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Бравикова Елена\Лично\! Строгановка\Контракты\Березка\2026\"/>
    </mc:Choice>
  </mc:AlternateContent>
  <bookViews>
    <workbookView xWindow="0" yWindow="0" windowWidth="28800" windowHeight="8745"/>
  </bookViews>
  <sheets>
    <sheet name="Смета по ФСНБ 421+557прРИМ" sheetId="7" r:id="rId1"/>
    <sheet name="Source" sheetId="1" r:id="rId2"/>
    <sheet name="SourceObSm" sheetId="2" r:id="rId3"/>
    <sheet name="SmtRes" sheetId="3" r:id="rId4"/>
    <sheet name="EtalonRes" sheetId="4" r:id="rId5"/>
    <sheet name="SrcPoprs" sheetId="5" r:id="rId6"/>
    <sheet name="SrcKA" sheetId="6" r:id="rId7"/>
  </sheets>
  <definedNames>
    <definedName name="_xlnm.Print_Titles" localSheetId="0">'Смета по ФСНБ 421+557прРИМ'!$51:$51</definedName>
    <definedName name="_xlnm.Print_Area" localSheetId="0">'Смета по ФСНБ 421+557прРИМ'!$A$1:$L$874</definedName>
  </definedNames>
  <calcPr calcId="15251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72" i="7" l="1"/>
  <c r="H869" i="7"/>
  <c r="C872" i="7"/>
  <c r="C869" i="7"/>
  <c r="C43" i="7"/>
  <c r="L863" i="7"/>
  <c r="L859" i="7"/>
  <c r="L858" i="7"/>
  <c r="L856" i="7" s="1"/>
  <c r="L852" i="7"/>
  <c r="L851" i="7"/>
  <c r="L847" i="7"/>
  <c r="L835" i="7"/>
  <c r="L834" i="7"/>
  <c r="L833" i="7"/>
  <c r="L832" i="7"/>
  <c r="L831" i="7"/>
  <c r="L830" i="7"/>
  <c r="L828" i="7" s="1"/>
  <c r="L827" i="7"/>
  <c r="L822" i="7" s="1"/>
  <c r="L826" i="7"/>
  <c r="L824" i="7"/>
  <c r="L821" i="7"/>
  <c r="L819" i="7" s="1"/>
  <c r="L816" i="7"/>
  <c r="L815" i="7"/>
  <c r="L814" i="7"/>
  <c r="L809" i="7"/>
  <c r="L808" i="7"/>
  <c r="L806" i="7" s="1"/>
  <c r="L801" i="7"/>
  <c r="L800" i="7"/>
  <c r="L796" i="7"/>
  <c r="L781" i="7"/>
  <c r="L780" i="7"/>
  <c r="L776" i="7"/>
  <c r="L759" i="7"/>
  <c r="L758" i="7"/>
  <c r="L755" i="7"/>
  <c r="L754" i="7"/>
  <c r="L752" i="7"/>
  <c r="L751" i="7"/>
  <c r="L749" i="7" s="1"/>
  <c r="L745" i="7"/>
  <c r="L744" i="7"/>
  <c r="L740" i="7"/>
  <c r="AT730" i="7"/>
  <c r="AO730" i="7"/>
  <c r="AE730" i="7"/>
  <c r="AD730" i="7"/>
  <c r="G729" i="7"/>
  <c r="F729" i="7"/>
  <c r="E729" i="7"/>
  <c r="G728" i="7"/>
  <c r="E728" i="7"/>
  <c r="L726" i="7"/>
  <c r="J726" i="7"/>
  <c r="F726" i="7"/>
  <c r="E726" i="7"/>
  <c r="G726" i="7" s="1"/>
  <c r="B725" i="7"/>
  <c r="AT724" i="7"/>
  <c r="AN724" i="7"/>
  <c r="BA724" i="7"/>
  <c r="AZ724" i="7"/>
  <c r="AE724" i="7"/>
  <c r="AD724" i="7"/>
  <c r="L724" i="7"/>
  <c r="AO724" i="7" s="1"/>
  <c r="J724" i="7"/>
  <c r="F724" i="7"/>
  <c r="E724" i="7"/>
  <c r="G724" i="7"/>
  <c r="D724" i="7"/>
  <c r="B724" i="7"/>
  <c r="L723" i="7"/>
  <c r="J723" i="7"/>
  <c r="G723" i="7"/>
  <c r="F723" i="7"/>
  <c r="E723" i="7"/>
  <c r="B722" i="7"/>
  <c r="AT721" i="7"/>
  <c r="AN721" i="7"/>
  <c r="BA721" i="7"/>
  <c r="AZ721" i="7"/>
  <c r="AE721" i="7"/>
  <c r="AD721" i="7"/>
  <c r="L721" i="7"/>
  <c r="AO721" i="7" s="1"/>
  <c r="J721" i="7"/>
  <c r="I721" i="7"/>
  <c r="H721" i="7"/>
  <c r="F721" i="7"/>
  <c r="E721" i="7"/>
  <c r="G721" i="7"/>
  <c r="D721" i="7"/>
  <c r="B721" i="7"/>
  <c r="BA720" i="7"/>
  <c r="AZ720" i="7"/>
  <c r="AE720" i="7"/>
  <c r="AD720" i="7"/>
  <c r="L720" i="7"/>
  <c r="AW720" i="7" s="1"/>
  <c r="I720" i="7"/>
  <c r="H720" i="7"/>
  <c r="J720" i="7" s="1"/>
  <c r="E720" i="7"/>
  <c r="G720" i="7"/>
  <c r="D720" i="7"/>
  <c r="C720" i="7"/>
  <c r="B720" i="7"/>
  <c r="G718" i="7"/>
  <c r="E718" i="7"/>
  <c r="D718" i="7"/>
  <c r="C718" i="7"/>
  <c r="B718" i="7"/>
  <c r="L717" i="7"/>
  <c r="J717" i="7"/>
  <c r="I717" i="7"/>
  <c r="H717" i="7"/>
  <c r="G717" i="7"/>
  <c r="L716" i="7"/>
  <c r="L715" i="7" s="1"/>
  <c r="AW730" i="7" s="1"/>
  <c r="J716" i="7"/>
  <c r="I716" i="7"/>
  <c r="H716" i="7"/>
  <c r="G716" i="7"/>
  <c r="L714" i="7"/>
  <c r="L713" i="7" s="1"/>
  <c r="J714" i="7"/>
  <c r="G714" i="7"/>
  <c r="F714" i="7"/>
  <c r="C712" i="7"/>
  <c r="C711" i="7"/>
  <c r="B711" i="7"/>
  <c r="E710" i="7"/>
  <c r="G710" i="7"/>
  <c r="D710" i="7"/>
  <c r="AT709" i="7"/>
  <c r="AO709" i="7"/>
  <c r="AE709" i="7"/>
  <c r="AD709" i="7"/>
  <c r="G708" i="7"/>
  <c r="F708" i="7"/>
  <c r="E708" i="7"/>
  <c r="G707" i="7"/>
  <c r="E707" i="7"/>
  <c r="L705" i="7"/>
  <c r="J705" i="7"/>
  <c r="F705" i="7"/>
  <c r="E705" i="7"/>
  <c r="G705" i="7" s="1"/>
  <c r="B704" i="7"/>
  <c r="AT703" i="7"/>
  <c r="AO703" i="7"/>
  <c r="AN703" i="7"/>
  <c r="BA703" i="7"/>
  <c r="AZ703" i="7"/>
  <c r="AE703" i="7"/>
  <c r="AD703" i="7"/>
  <c r="L703" i="7"/>
  <c r="J703" i="7"/>
  <c r="F703" i="7"/>
  <c r="E703" i="7"/>
  <c r="G703" i="7"/>
  <c r="D703" i="7"/>
  <c r="B703" i="7"/>
  <c r="L702" i="7"/>
  <c r="J702" i="7"/>
  <c r="F702" i="7"/>
  <c r="E702" i="7"/>
  <c r="G702" i="7" s="1"/>
  <c r="B701" i="7"/>
  <c r="AT700" i="7"/>
  <c r="AO700" i="7"/>
  <c r="AN700" i="7"/>
  <c r="BA700" i="7"/>
  <c r="AZ700" i="7"/>
  <c r="AE700" i="7"/>
  <c r="AD700" i="7"/>
  <c r="L700" i="7"/>
  <c r="I700" i="7"/>
  <c r="H700" i="7"/>
  <c r="J700" i="7" s="1"/>
  <c r="F700" i="7"/>
  <c r="E700" i="7"/>
  <c r="G700" i="7"/>
  <c r="D700" i="7"/>
  <c r="B700" i="7"/>
  <c r="AN699" i="7"/>
  <c r="BA699" i="7"/>
  <c r="AZ699" i="7"/>
  <c r="AE699" i="7"/>
  <c r="AD699" i="7"/>
  <c r="L699" i="7"/>
  <c r="AW699" i="7" s="1"/>
  <c r="J699" i="7"/>
  <c r="I699" i="7"/>
  <c r="H699" i="7"/>
  <c r="E699" i="7"/>
  <c r="G699" i="7"/>
  <c r="D699" i="7"/>
  <c r="C699" i="7"/>
  <c r="B699" i="7"/>
  <c r="BA698" i="7"/>
  <c r="AZ698" i="7"/>
  <c r="AE698" i="7"/>
  <c r="AD698" i="7"/>
  <c r="L698" i="7"/>
  <c r="AW698" i="7" s="1"/>
  <c r="J698" i="7"/>
  <c r="I698" i="7"/>
  <c r="H698" i="7"/>
  <c r="E698" i="7"/>
  <c r="G698" i="7"/>
  <c r="D698" i="7"/>
  <c r="C698" i="7"/>
  <c r="B698" i="7"/>
  <c r="G696" i="7"/>
  <c r="E696" i="7"/>
  <c r="D696" i="7"/>
  <c r="C696" i="7"/>
  <c r="B696" i="7"/>
  <c r="G695" i="7"/>
  <c r="E695" i="7"/>
  <c r="D695" i="7"/>
  <c r="C695" i="7"/>
  <c r="B695" i="7"/>
  <c r="L694" i="7"/>
  <c r="L691" i="7" s="1"/>
  <c r="AW709" i="7" s="1"/>
  <c r="J694" i="7"/>
  <c r="I694" i="7"/>
  <c r="H694" i="7"/>
  <c r="G694" i="7"/>
  <c r="L693" i="7"/>
  <c r="I693" i="7"/>
  <c r="H693" i="7"/>
  <c r="J693" i="7" s="1"/>
  <c r="G693" i="7"/>
  <c r="L692" i="7"/>
  <c r="I692" i="7"/>
  <c r="J692" i="7" s="1"/>
  <c r="H692" i="7"/>
  <c r="G692" i="7"/>
  <c r="L690" i="7"/>
  <c r="L689" i="7" s="1"/>
  <c r="J690" i="7"/>
  <c r="G690" i="7"/>
  <c r="F690" i="7"/>
  <c r="C688" i="7"/>
  <c r="C687" i="7"/>
  <c r="B687" i="7"/>
  <c r="E686" i="7"/>
  <c r="G686" i="7"/>
  <c r="D686" i="7"/>
  <c r="AT685" i="7"/>
  <c r="AO685" i="7"/>
  <c r="AE685" i="7"/>
  <c r="AD685" i="7"/>
  <c r="G684" i="7"/>
  <c r="F684" i="7"/>
  <c r="E684" i="7"/>
  <c r="G683" i="7"/>
  <c r="E683" i="7"/>
  <c r="L681" i="7"/>
  <c r="J681" i="7"/>
  <c r="G681" i="7"/>
  <c r="F681" i="7"/>
  <c r="E681" i="7"/>
  <c r="B680" i="7"/>
  <c r="AT679" i="7"/>
  <c r="AN679" i="7"/>
  <c r="BA679" i="7"/>
  <c r="AZ679" i="7"/>
  <c r="AE679" i="7"/>
  <c r="AD679" i="7"/>
  <c r="L679" i="7"/>
  <c r="AO679" i="7" s="1"/>
  <c r="J679" i="7"/>
  <c r="F679" i="7"/>
  <c r="E679" i="7"/>
  <c r="G679" i="7"/>
  <c r="D679" i="7"/>
  <c r="B679" i="7"/>
  <c r="L678" i="7"/>
  <c r="J678" i="7"/>
  <c r="G678" i="7"/>
  <c r="F678" i="7"/>
  <c r="E678" i="7"/>
  <c r="B677" i="7"/>
  <c r="AT676" i="7"/>
  <c r="BA676" i="7"/>
  <c r="AZ676" i="7"/>
  <c r="AE676" i="7"/>
  <c r="AD676" i="7"/>
  <c r="L676" i="7"/>
  <c r="AO676" i="7" s="1"/>
  <c r="J676" i="7"/>
  <c r="I676" i="7"/>
  <c r="H676" i="7"/>
  <c r="F676" i="7"/>
  <c r="E676" i="7"/>
  <c r="G676" i="7"/>
  <c r="D676" i="7"/>
  <c r="B676" i="7"/>
  <c r="AW675" i="7"/>
  <c r="AN675" i="7"/>
  <c r="BA675" i="7"/>
  <c r="AZ675" i="7"/>
  <c r="AE675" i="7"/>
  <c r="AD675" i="7"/>
  <c r="L675" i="7"/>
  <c r="I675" i="7"/>
  <c r="J675" i="7" s="1"/>
  <c r="H675" i="7"/>
  <c r="E675" i="7"/>
  <c r="G675" i="7"/>
  <c r="D675" i="7"/>
  <c r="C675" i="7"/>
  <c r="B675" i="7"/>
  <c r="G673" i="7"/>
  <c r="E673" i="7"/>
  <c r="D673" i="7"/>
  <c r="C673" i="7"/>
  <c r="B673" i="7"/>
  <c r="L672" i="7"/>
  <c r="I672" i="7"/>
  <c r="J672" i="7" s="1"/>
  <c r="H672" i="7"/>
  <c r="G672" i="7"/>
  <c r="L671" i="7"/>
  <c r="J671" i="7"/>
  <c r="I671" i="7"/>
  <c r="H671" i="7"/>
  <c r="G671" i="7"/>
  <c r="L670" i="7"/>
  <c r="L669" i="7" s="1"/>
  <c r="AW685" i="7" s="1"/>
  <c r="J670" i="7"/>
  <c r="I670" i="7"/>
  <c r="H670" i="7"/>
  <c r="G670" i="7"/>
  <c r="L668" i="7"/>
  <c r="L667" i="7" s="1"/>
  <c r="J668" i="7"/>
  <c r="G668" i="7"/>
  <c r="F668" i="7"/>
  <c r="C666" i="7"/>
  <c r="C665" i="7"/>
  <c r="B665" i="7"/>
  <c r="E664" i="7"/>
  <c r="G664" i="7"/>
  <c r="D664" i="7"/>
  <c r="AE663" i="7"/>
  <c r="AD663" i="7"/>
  <c r="G662" i="7"/>
  <c r="F662" i="7"/>
  <c r="E662" i="7"/>
  <c r="G661" i="7"/>
  <c r="E661" i="7"/>
  <c r="AW659" i="7"/>
  <c r="BA659" i="7"/>
  <c r="AZ659" i="7"/>
  <c r="AE659" i="7"/>
  <c r="AD659" i="7"/>
  <c r="L659" i="7"/>
  <c r="AN659" i="7" s="1"/>
  <c r="I659" i="7"/>
  <c r="J659" i="7" s="1"/>
  <c r="H659" i="7"/>
  <c r="E659" i="7"/>
  <c r="G659" i="7"/>
  <c r="D659" i="7"/>
  <c r="C659" i="7"/>
  <c r="B659" i="7"/>
  <c r="G657" i="7"/>
  <c r="E657" i="7"/>
  <c r="D657" i="7"/>
  <c r="C657" i="7"/>
  <c r="B657" i="7"/>
  <c r="L656" i="7"/>
  <c r="L655" i="7" s="1"/>
  <c r="AW663" i="7" s="1"/>
  <c r="I656" i="7"/>
  <c r="J656" i="7" s="1"/>
  <c r="H656" i="7"/>
  <c r="G656" i="7"/>
  <c r="L654" i="7"/>
  <c r="J654" i="7"/>
  <c r="G654" i="7"/>
  <c r="F654" i="7"/>
  <c r="E654" i="7"/>
  <c r="L653" i="7"/>
  <c r="J653" i="7"/>
  <c r="G653" i="7"/>
  <c r="F653" i="7"/>
  <c r="L652" i="7"/>
  <c r="L650" i="7" s="1"/>
  <c r="J652" i="7"/>
  <c r="F652" i="7"/>
  <c r="E652" i="7"/>
  <c r="G652" i="7" s="1"/>
  <c r="L651" i="7"/>
  <c r="I651" i="7"/>
  <c r="H651" i="7"/>
  <c r="J651" i="7" s="1"/>
  <c r="G651" i="7"/>
  <c r="F651" i="7"/>
  <c r="L648" i="7"/>
  <c r="L647" i="7" s="1"/>
  <c r="J648" i="7"/>
  <c r="G648" i="7"/>
  <c r="F648" i="7"/>
  <c r="C646" i="7"/>
  <c r="E642" i="7"/>
  <c r="G642" i="7"/>
  <c r="D642" i="7"/>
  <c r="C642" i="7"/>
  <c r="AT641" i="7"/>
  <c r="AO641" i="7"/>
  <c r="AE641" i="7"/>
  <c r="AD641" i="7"/>
  <c r="G640" i="7"/>
  <c r="E640" i="7"/>
  <c r="G639" i="7"/>
  <c r="E639" i="7"/>
  <c r="L637" i="7"/>
  <c r="J637" i="7"/>
  <c r="F637" i="7"/>
  <c r="E637" i="7"/>
  <c r="G637" i="7" s="1"/>
  <c r="B636" i="7"/>
  <c r="AT635" i="7"/>
  <c r="BA635" i="7"/>
  <c r="AZ635" i="7"/>
  <c r="AE635" i="7"/>
  <c r="AD635" i="7"/>
  <c r="L635" i="7"/>
  <c r="AO635" i="7" s="1"/>
  <c r="J635" i="7"/>
  <c r="F635" i="7"/>
  <c r="E635" i="7"/>
  <c r="G635" i="7"/>
  <c r="D635" i="7"/>
  <c r="B635" i="7"/>
  <c r="L634" i="7"/>
  <c r="J634" i="7"/>
  <c r="F634" i="7"/>
  <c r="E634" i="7"/>
  <c r="G634" i="7" s="1"/>
  <c r="B633" i="7"/>
  <c r="AT632" i="7"/>
  <c r="BA632" i="7"/>
  <c r="AZ632" i="7"/>
  <c r="AE632" i="7"/>
  <c r="AD632" i="7"/>
  <c r="L632" i="7"/>
  <c r="AO632" i="7" s="1"/>
  <c r="J632" i="7"/>
  <c r="F632" i="7"/>
  <c r="E632" i="7"/>
  <c r="G632" i="7"/>
  <c r="D632" i="7"/>
  <c r="B632" i="7"/>
  <c r="AW631" i="7"/>
  <c r="AN631" i="7"/>
  <c r="BA631" i="7"/>
  <c r="AZ631" i="7"/>
  <c r="AE631" i="7"/>
  <c r="AD631" i="7"/>
  <c r="L631" i="7"/>
  <c r="J631" i="7"/>
  <c r="E631" i="7"/>
  <c r="G631" i="7"/>
  <c r="D631" i="7"/>
  <c r="C631" i="7"/>
  <c r="B631" i="7"/>
  <c r="BA630" i="7"/>
  <c r="AZ630" i="7"/>
  <c r="AE630" i="7"/>
  <c r="AD630" i="7"/>
  <c r="E630" i="7"/>
  <c r="G630" i="7"/>
  <c r="D630" i="7"/>
  <c r="C630" i="7"/>
  <c r="B630" i="7"/>
  <c r="L628" i="7"/>
  <c r="I628" i="7"/>
  <c r="J628" i="7" s="1"/>
  <c r="H628" i="7"/>
  <c r="G628" i="7"/>
  <c r="L627" i="7"/>
  <c r="L626" i="7" s="1"/>
  <c r="J627" i="7"/>
  <c r="I627" i="7"/>
  <c r="H627" i="7"/>
  <c r="G627" i="7"/>
  <c r="L624" i="7"/>
  <c r="L625" i="7"/>
  <c r="J625" i="7"/>
  <c r="G625" i="7"/>
  <c r="F625" i="7"/>
  <c r="C623" i="7"/>
  <c r="C622" i="7"/>
  <c r="B622" i="7"/>
  <c r="E621" i="7"/>
  <c r="G621" i="7"/>
  <c r="D621" i="7"/>
  <c r="AT620" i="7"/>
  <c r="AO620" i="7"/>
  <c r="AE620" i="7"/>
  <c r="AD620" i="7"/>
  <c r="G619" i="7"/>
  <c r="E619" i="7"/>
  <c r="G618" i="7"/>
  <c r="E618" i="7"/>
  <c r="L616" i="7"/>
  <c r="J616" i="7"/>
  <c r="G616" i="7"/>
  <c r="F616" i="7"/>
  <c r="E616" i="7"/>
  <c r="B615" i="7"/>
  <c r="AT614" i="7"/>
  <c r="BA614" i="7"/>
  <c r="AZ614" i="7"/>
  <c r="AE614" i="7"/>
  <c r="AD614" i="7"/>
  <c r="L614" i="7"/>
  <c r="AO614" i="7" s="1"/>
  <c r="J614" i="7"/>
  <c r="F614" i="7"/>
  <c r="E614" i="7"/>
  <c r="G614" i="7"/>
  <c r="D614" i="7"/>
  <c r="B614" i="7"/>
  <c r="L613" i="7"/>
  <c r="J613" i="7"/>
  <c r="G613" i="7"/>
  <c r="F613" i="7"/>
  <c r="E613" i="7"/>
  <c r="B612" i="7"/>
  <c r="AT611" i="7"/>
  <c r="BA611" i="7"/>
  <c r="AZ611" i="7"/>
  <c r="AE611" i="7"/>
  <c r="AD611" i="7"/>
  <c r="L611" i="7"/>
  <c r="AO611" i="7" s="1"/>
  <c r="J611" i="7"/>
  <c r="F611" i="7"/>
  <c r="E611" i="7"/>
  <c r="G611" i="7"/>
  <c r="D611" i="7"/>
  <c r="B611" i="7"/>
  <c r="BA610" i="7"/>
  <c r="AZ610" i="7"/>
  <c r="AE610" i="7"/>
  <c r="AD610" i="7"/>
  <c r="E610" i="7"/>
  <c r="G610" i="7"/>
  <c r="D610" i="7"/>
  <c r="C610" i="7"/>
  <c r="B610" i="7"/>
  <c r="BA609" i="7"/>
  <c r="AZ609" i="7"/>
  <c r="AE609" i="7"/>
  <c r="AD609" i="7"/>
  <c r="L609" i="7"/>
  <c r="AW609" i="7" s="1"/>
  <c r="I609" i="7"/>
  <c r="H609" i="7"/>
  <c r="J609" i="7" s="1"/>
  <c r="E609" i="7"/>
  <c r="G609" i="7"/>
  <c r="D609" i="7"/>
  <c r="C609" i="7"/>
  <c r="B609" i="7"/>
  <c r="L607" i="7"/>
  <c r="J607" i="7"/>
  <c r="I607" i="7"/>
  <c r="H607" i="7"/>
  <c r="G607" i="7"/>
  <c r="L606" i="7"/>
  <c r="I606" i="7"/>
  <c r="H606" i="7"/>
  <c r="J606" i="7" s="1"/>
  <c r="G606" i="7"/>
  <c r="L605" i="7"/>
  <c r="I605" i="7"/>
  <c r="H605" i="7"/>
  <c r="J605" i="7" s="1"/>
  <c r="G605" i="7"/>
  <c r="L604" i="7"/>
  <c r="L603" i="7" s="1"/>
  <c r="AW620" i="7" s="1"/>
  <c r="I604" i="7"/>
  <c r="J604" i="7" s="1"/>
  <c r="H604" i="7"/>
  <c r="G604" i="7"/>
  <c r="L602" i="7"/>
  <c r="L601" i="7" s="1"/>
  <c r="J602" i="7"/>
  <c r="G602" i="7"/>
  <c r="F602" i="7"/>
  <c r="C600" i="7"/>
  <c r="C599" i="7"/>
  <c r="B599" i="7"/>
  <c r="E598" i="7"/>
  <c r="G598" i="7"/>
  <c r="D598" i="7"/>
  <c r="AT597" i="7"/>
  <c r="AO597" i="7"/>
  <c r="AE597" i="7"/>
  <c r="AD597" i="7"/>
  <c r="G596" i="7"/>
  <c r="E596" i="7"/>
  <c r="G595" i="7"/>
  <c r="E595" i="7"/>
  <c r="L593" i="7"/>
  <c r="J593" i="7"/>
  <c r="F593" i="7"/>
  <c r="G593" i="7" s="1"/>
  <c r="E593" i="7"/>
  <c r="B592" i="7"/>
  <c r="AT591" i="7"/>
  <c r="AO591" i="7"/>
  <c r="BA591" i="7"/>
  <c r="AZ591" i="7"/>
  <c r="AE591" i="7"/>
  <c r="AD591" i="7"/>
  <c r="L591" i="7"/>
  <c r="AN591" i="7" s="1"/>
  <c r="J591" i="7"/>
  <c r="F591" i="7"/>
  <c r="E591" i="7"/>
  <c r="G591" i="7"/>
  <c r="D591" i="7"/>
  <c r="B591" i="7"/>
  <c r="L590" i="7"/>
  <c r="J590" i="7"/>
  <c r="F590" i="7"/>
  <c r="G590" i="7" s="1"/>
  <c r="E590" i="7"/>
  <c r="B589" i="7"/>
  <c r="AT588" i="7"/>
  <c r="AO588" i="7"/>
  <c r="BA588" i="7"/>
  <c r="AZ588" i="7"/>
  <c r="AE588" i="7"/>
  <c r="AD588" i="7"/>
  <c r="L588" i="7"/>
  <c r="AN588" i="7" s="1"/>
  <c r="J588" i="7"/>
  <c r="F588" i="7"/>
  <c r="E588" i="7"/>
  <c r="G588" i="7"/>
  <c r="D588" i="7"/>
  <c r="B588" i="7"/>
  <c r="BA587" i="7"/>
  <c r="AZ587" i="7"/>
  <c r="AE587" i="7"/>
  <c r="AD587" i="7"/>
  <c r="E587" i="7"/>
  <c r="G587" i="7"/>
  <c r="D587" i="7"/>
  <c r="C587" i="7"/>
  <c r="B587" i="7"/>
  <c r="BA586" i="7"/>
  <c r="AZ586" i="7"/>
  <c r="AE586" i="7"/>
  <c r="AD586" i="7"/>
  <c r="L586" i="7"/>
  <c r="AW586" i="7" s="1"/>
  <c r="J586" i="7"/>
  <c r="E586" i="7"/>
  <c r="G586" i="7"/>
  <c r="D586" i="7"/>
  <c r="C586" i="7"/>
  <c r="B586" i="7"/>
  <c r="L584" i="7"/>
  <c r="L581" i="7" s="1"/>
  <c r="AW597" i="7" s="1"/>
  <c r="J584" i="7"/>
  <c r="I584" i="7"/>
  <c r="H584" i="7"/>
  <c r="G584" i="7"/>
  <c r="L583" i="7"/>
  <c r="I583" i="7"/>
  <c r="H583" i="7"/>
  <c r="J583" i="7" s="1"/>
  <c r="G583" i="7"/>
  <c r="L582" i="7"/>
  <c r="I582" i="7"/>
  <c r="J582" i="7" s="1"/>
  <c r="H582" i="7"/>
  <c r="G582" i="7"/>
  <c r="L580" i="7"/>
  <c r="L579" i="7" s="1"/>
  <c r="J580" i="7"/>
  <c r="G580" i="7"/>
  <c r="F580" i="7"/>
  <c r="C578" i="7"/>
  <c r="C577" i="7"/>
  <c r="B577" i="7"/>
  <c r="E576" i="7"/>
  <c r="G576" i="7"/>
  <c r="D576" i="7"/>
  <c r="AT575" i="7"/>
  <c r="AO575" i="7"/>
  <c r="AE575" i="7"/>
  <c r="AD575" i="7"/>
  <c r="G574" i="7"/>
  <c r="E574" i="7"/>
  <c r="G573" i="7"/>
  <c r="E573" i="7"/>
  <c r="L571" i="7"/>
  <c r="J571" i="7"/>
  <c r="E571" i="7"/>
  <c r="G571" i="7" s="1"/>
  <c r="AT570" i="7"/>
  <c r="BA570" i="7"/>
  <c r="AZ570" i="7"/>
  <c r="AE570" i="7"/>
  <c r="AD570" i="7"/>
  <c r="L570" i="7"/>
  <c r="AO570" i="7" s="1"/>
  <c r="I570" i="7"/>
  <c r="H570" i="7"/>
  <c r="J570" i="7" s="1"/>
  <c r="E570" i="7"/>
  <c r="G570" i="7"/>
  <c r="D570" i="7"/>
  <c r="B570" i="7"/>
  <c r="BA569" i="7"/>
  <c r="AZ569" i="7"/>
  <c r="AE569" i="7"/>
  <c r="AD569" i="7"/>
  <c r="E569" i="7"/>
  <c r="G569" i="7"/>
  <c r="D569" i="7"/>
  <c r="C569" i="7"/>
  <c r="B569" i="7"/>
  <c r="AW568" i="7"/>
  <c r="BA568" i="7"/>
  <c r="AZ568" i="7"/>
  <c r="AE568" i="7"/>
  <c r="AD568" i="7"/>
  <c r="L568" i="7"/>
  <c r="AN568" i="7" s="1"/>
  <c r="I568" i="7"/>
  <c r="J568" i="7" s="1"/>
  <c r="H568" i="7"/>
  <c r="E568" i="7"/>
  <c r="G568" i="7"/>
  <c r="D568" i="7"/>
  <c r="C568" i="7"/>
  <c r="B568" i="7"/>
  <c r="AW567" i="7"/>
  <c r="AN567" i="7"/>
  <c r="BA567" i="7"/>
  <c r="AZ567" i="7"/>
  <c r="AE567" i="7"/>
  <c r="AD567" i="7"/>
  <c r="L567" i="7"/>
  <c r="I567" i="7"/>
  <c r="H567" i="7"/>
  <c r="J567" i="7" s="1"/>
  <c r="E567" i="7"/>
  <c r="G567" i="7"/>
  <c r="D567" i="7"/>
  <c r="C567" i="7"/>
  <c r="B567" i="7"/>
  <c r="BA566" i="7"/>
  <c r="AZ566" i="7"/>
  <c r="AE566" i="7"/>
  <c r="AD566" i="7"/>
  <c r="L566" i="7"/>
  <c r="AW566" i="7" s="1"/>
  <c r="I566" i="7"/>
  <c r="H566" i="7"/>
  <c r="J566" i="7" s="1"/>
  <c r="E566" i="7"/>
  <c r="G566" i="7"/>
  <c r="D566" i="7"/>
  <c r="C566" i="7"/>
  <c r="B566" i="7"/>
  <c r="BA565" i="7"/>
  <c r="AZ565" i="7"/>
  <c r="AE565" i="7"/>
  <c r="AD565" i="7"/>
  <c r="L565" i="7"/>
  <c r="AW565" i="7" s="1"/>
  <c r="J565" i="7"/>
  <c r="I565" i="7"/>
  <c r="H565" i="7"/>
  <c r="E565" i="7"/>
  <c r="G565" i="7"/>
  <c r="D565" i="7"/>
  <c r="C565" i="7"/>
  <c r="B565" i="7"/>
  <c r="AW564" i="7"/>
  <c r="BA564" i="7"/>
  <c r="AZ564" i="7"/>
  <c r="AE564" i="7"/>
  <c r="AD564" i="7"/>
  <c r="L564" i="7"/>
  <c r="AN564" i="7" s="1"/>
  <c r="I564" i="7"/>
  <c r="J564" i="7" s="1"/>
  <c r="H564" i="7"/>
  <c r="E564" i="7"/>
  <c r="G564" i="7"/>
  <c r="D564" i="7"/>
  <c r="C564" i="7"/>
  <c r="B564" i="7"/>
  <c r="L559" i="7"/>
  <c r="AW575" i="7" s="1"/>
  <c r="L562" i="7"/>
  <c r="I562" i="7"/>
  <c r="H562" i="7"/>
  <c r="J562" i="7" s="1"/>
  <c r="G562" i="7"/>
  <c r="L561" i="7"/>
  <c r="I561" i="7"/>
  <c r="J561" i="7" s="1"/>
  <c r="H561" i="7"/>
  <c r="G561" i="7"/>
  <c r="L560" i="7"/>
  <c r="J560" i="7"/>
  <c r="G560" i="7"/>
  <c r="L558" i="7"/>
  <c r="L557" i="7" s="1"/>
  <c r="J558" i="7"/>
  <c r="G558" i="7"/>
  <c r="C556" i="7"/>
  <c r="E555" i="7"/>
  <c r="G555" i="7"/>
  <c r="D555" i="7"/>
  <c r="C555" i="7"/>
  <c r="AW554" i="7"/>
  <c r="AT554" i="7"/>
  <c r="AO554" i="7"/>
  <c r="AE554" i="7"/>
  <c r="AD554" i="7"/>
  <c r="G553" i="7"/>
  <c r="E553" i="7"/>
  <c r="G552" i="7"/>
  <c r="E552" i="7"/>
  <c r="L549" i="7"/>
  <c r="L548" i="7" s="1"/>
  <c r="J549" i="7"/>
  <c r="G549" i="7"/>
  <c r="C547" i="7"/>
  <c r="E546" i="7"/>
  <c r="G546" i="7"/>
  <c r="D546" i="7"/>
  <c r="C546" i="7"/>
  <c r="AW545" i="7"/>
  <c r="AE545" i="7"/>
  <c r="AD545" i="7"/>
  <c r="G544" i="7"/>
  <c r="E544" i="7"/>
  <c r="G543" i="7"/>
  <c r="E543" i="7"/>
  <c r="L538" i="7"/>
  <c r="L537" i="7" s="1"/>
  <c r="AO545" i="7" s="1"/>
  <c r="L540" i="7"/>
  <c r="J540" i="7"/>
  <c r="G540" i="7"/>
  <c r="E540" i="7"/>
  <c r="L539" i="7"/>
  <c r="J539" i="7"/>
  <c r="I539" i="7"/>
  <c r="H539" i="7"/>
  <c r="G539" i="7"/>
  <c r="L535" i="7"/>
  <c r="L536" i="7"/>
  <c r="J536" i="7"/>
  <c r="G536" i="7"/>
  <c r="C534" i="7"/>
  <c r="E533" i="7"/>
  <c r="G533" i="7"/>
  <c r="D533" i="7"/>
  <c r="C533" i="7"/>
  <c r="AT532" i="7"/>
  <c r="AO532" i="7"/>
  <c r="AE532" i="7"/>
  <c r="AD532" i="7"/>
  <c r="G531" i="7"/>
  <c r="E531" i="7"/>
  <c r="G530" i="7"/>
  <c r="E530" i="7"/>
  <c r="L528" i="7"/>
  <c r="J528" i="7"/>
  <c r="F528" i="7"/>
  <c r="E528" i="7"/>
  <c r="G528" i="7" s="1"/>
  <c r="B527" i="7"/>
  <c r="AT526" i="7"/>
  <c r="AO526" i="7"/>
  <c r="AN526" i="7"/>
  <c r="BA526" i="7"/>
  <c r="AZ526" i="7"/>
  <c r="AE526" i="7"/>
  <c r="AD526" i="7"/>
  <c r="L526" i="7"/>
  <c r="I526" i="7"/>
  <c r="H526" i="7"/>
  <c r="J526" i="7" s="1"/>
  <c r="F526" i="7"/>
  <c r="E526" i="7"/>
  <c r="G526" i="7"/>
  <c r="D526" i="7"/>
  <c r="C526" i="7"/>
  <c r="B526" i="7"/>
  <c r="BA525" i="7"/>
  <c r="AZ525" i="7"/>
  <c r="AE525" i="7"/>
  <c r="AD525" i="7"/>
  <c r="K525" i="7"/>
  <c r="E525" i="7"/>
  <c r="G525" i="7"/>
  <c r="D525" i="7"/>
  <c r="C525" i="7"/>
  <c r="B525" i="7"/>
  <c r="L523" i="7"/>
  <c r="I523" i="7"/>
  <c r="H523" i="7"/>
  <c r="J523" i="7" s="1"/>
  <c r="G523" i="7"/>
  <c r="L522" i="7"/>
  <c r="J522" i="7"/>
  <c r="I522" i="7"/>
  <c r="H522" i="7"/>
  <c r="G522" i="7"/>
  <c r="L521" i="7"/>
  <c r="L520" i="7" s="1"/>
  <c r="AW532" i="7" s="1"/>
  <c r="J521" i="7"/>
  <c r="G521" i="7"/>
  <c r="L519" i="7"/>
  <c r="L518" i="7" s="1"/>
  <c r="J519" i="7"/>
  <c r="G519" i="7"/>
  <c r="C517" i="7"/>
  <c r="C516" i="7"/>
  <c r="B516" i="7"/>
  <c r="E515" i="7"/>
  <c r="G515" i="7"/>
  <c r="D515" i="7"/>
  <c r="L509" i="7"/>
  <c r="L505" i="7"/>
  <c r="L504" i="7"/>
  <c r="L502" i="7"/>
  <c r="L501" i="7"/>
  <c r="L499" i="7" s="1"/>
  <c r="L495" i="7"/>
  <c r="L494" i="7"/>
  <c r="L490" i="7"/>
  <c r="AW480" i="7"/>
  <c r="AT480" i="7"/>
  <c r="AO480" i="7"/>
  <c r="AE480" i="7"/>
  <c r="AD480" i="7"/>
  <c r="G479" i="7"/>
  <c r="F479" i="7"/>
  <c r="E479" i="7"/>
  <c r="G478" i="7"/>
  <c r="E478" i="7"/>
  <c r="L476" i="7"/>
  <c r="J476" i="7"/>
  <c r="F476" i="7"/>
  <c r="E476" i="7"/>
  <c r="G476" i="7" s="1"/>
  <c r="B475" i="7"/>
  <c r="AT474" i="7"/>
  <c r="AO474" i="7"/>
  <c r="AN474" i="7"/>
  <c r="BA474" i="7"/>
  <c r="AZ474" i="7"/>
  <c r="AE474" i="7"/>
  <c r="AD474" i="7"/>
  <c r="L474" i="7"/>
  <c r="J474" i="7"/>
  <c r="F474" i="7"/>
  <c r="E474" i="7"/>
  <c r="G474" i="7"/>
  <c r="D474" i="7"/>
  <c r="B474" i="7"/>
  <c r="AW473" i="7"/>
  <c r="AN473" i="7"/>
  <c r="BA473" i="7"/>
  <c r="AZ473" i="7"/>
  <c r="AE473" i="7"/>
  <c r="AD473" i="7"/>
  <c r="L473" i="7"/>
  <c r="I473" i="7"/>
  <c r="J473" i="7" s="1"/>
  <c r="H473" i="7"/>
  <c r="E473" i="7"/>
  <c r="G473" i="7"/>
  <c r="D473" i="7"/>
  <c r="C473" i="7"/>
  <c r="B473" i="7"/>
  <c r="G471" i="7"/>
  <c r="E471" i="7"/>
  <c r="D471" i="7"/>
  <c r="C471" i="7"/>
  <c r="B471" i="7"/>
  <c r="L469" i="7"/>
  <c r="L470" i="7"/>
  <c r="I470" i="7"/>
  <c r="H470" i="7"/>
  <c r="J470" i="7" s="1"/>
  <c r="G470" i="7"/>
  <c r="L468" i="7"/>
  <c r="L467" i="7" s="1"/>
  <c r="J468" i="7"/>
  <c r="G468" i="7"/>
  <c r="F468" i="7"/>
  <c r="C466" i="7"/>
  <c r="C465" i="7"/>
  <c r="B465" i="7"/>
  <c r="E464" i="7"/>
  <c r="G464" i="7"/>
  <c r="D464" i="7"/>
  <c r="AX463" i="7"/>
  <c r="L862" i="7" s="1"/>
  <c r="AT463" i="7"/>
  <c r="AR463" i="7"/>
  <c r="AO463" i="7"/>
  <c r="BA463" i="7"/>
  <c r="AZ463" i="7"/>
  <c r="AE463" i="7"/>
  <c r="AD463" i="7"/>
  <c r="L462" i="7"/>
  <c r="AN463" i="7" s="1"/>
  <c r="J462" i="7"/>
  <c r="E462" i="7"/>
  <c r="G462" i="7"/>
  <c r="D462" i="7"/>
  <c r="C462" i="7"/>
  <c r="B462" i="7"/>
  <c r="AT461" i="7"/>
  <c r="AO461" i="7"/>
  <c r="AE461" i="7"/>
  <c r="AD461" i="7"/>
  <c r="G460" i="7"/>
  <c r="F460" i="7"/>
  <c r="E460" i="7"/>
  <c r="G459" i="7"/>
  <c r="E459" i="7"/>
  <c r="L457" i="7"/>
  <c r="J457" i="7"/>
  <c r="F457" i="7"/>
  <c r="G457" i="7" s="1"/>
  <c r="E457" i="7"/>
  <c r="B456" i="7"/>
  <c r="AT455" i="7"/>
  <c r="AO455" i="7"/>
  <c r="AN455" i="7"/>
  <c r="BA455" i="7"/>
  <c r="AZ455" i="7"/>
  <c r="AE455" i="7"/>
  <c r="AD455" i="7"/>
  <c r="L455" i="7"/>
  <c r="J455" i="7"/>
  <c r="F455" i="7"/>
  <c r="E455" i="7"/>
  <c r="G455" i="7"/>
  <c r="D455" i="7"/>
  <c r="B455" i="7"/>
  <c r="L454" i="7"/>
  <c r="J454" i="7"/>
  <c r="F454" i="7"/>
  <c r="G454" i="7" s="1"/>
  <c r="E454" i="7"/>
  <c r="B453" i="7"/>
  <c r="AT452" i="7"/>
  <c r="AO452" i="7"/>
  <c r="BA452" i="7"/>
  <c r="AZ452" i="7"/>
  <c r="AE452" i="7"/>
  <c r="AD452" i="7"/>
  <c r="L452" i="7"/>
  <c r="AN452" i="7" s="1"/>
  <c r="J452" i="7"/>
  <c r="F452" i="7"/>
  <c r="E452" i="7"/>
  <c r="G452" i="7"/>
  <c r="D452" i="7"/>
  <c r="B452" i="7"/>
  <c r="L451" i="7"/>
  <c r="J451" i="7"/>
  <c r="F451" i="7"/>
  <c r="E451" i="7"/>
  <c r="G451" i="7" s="1"/>
  <c r="B450" i="7"/>
  <c r="AT449" i="7"/>
  <c r="L489" i="7" s="1"/>
  <c r="AO449" i="7"/>
  <c r="L487" i="7" s="1"/>
  <c r="BA449" i="7"/>
  <c r="AZ449" i="7"/>
  <c r="AE449" i="7"/>
  <c r="AD449" i="7"/>
  <c r="L449" i="7"/>
  <c r="AN449" i="7" s="1"/>
  <c r="J449" i="7"/>
  <c r="F449" i="7"/>
  <c r="E449" i="7"/>
  <c r="G449" i="7"/>
  <c r="D449" i="7"/>
  <c r="B449" i="7"/>
  <c r="G447" i="7"/>
  <c r="E447" i="7"/>
  <c r="D447" i="7"/>
  <c r="C447" i="7"/>
  <c r="B447" i="7"/>
  <c r="G446" i="7"/>
  <c r="E446" i="7"/>
  <c r="D446" i="7"/>
  <c r="C446" i="7"/>
  <c r="B446" i="7"/>
  <c r="G445" i="7"/>
  <c r="E445" i="7"/>
  <c r="D445" i="7"/>
  <c r="C445" i="7"/>
  <c r="B445" i="7"/>
  <c r="L444" i="7"/>
  <c r="I444" i="7"/>
  <c r="H444" i="7"/>
  <c r="J444" i="7" s="1"/>
  <c r="G444" i="7"/>
  <c r="L443" i="7"/>
  <c r="J443" i="7"/>
  <c r="I443" i="7"/>
  <c r="H443" i="7"/>
  <c r="G443" i="7"/>
  <c r="L442" i="7"/>
  <c r="L440" i="7" s="1"/>
  <c r="AW461" i="7" s="1"/>
  <c r="J442" i="7"/>
  <c r="I442" i="7"/>
  <c r="H442" i="7"/>
  <c r="G442" i="7"/>
  <c r="L441" i="7"/>
  <c r="I441" i="7"/>
  <c r="H441" i="7"/>
  <c r="J441" i="7" s="1"/>
  <c r="G441" i="7"/>
  <c r="L439" i="7"/>
  <c r="L438" i="7" s="1"/>
  <c r="J439" i="7"/>
  <c r="G439" i="7"/>
  <c r="F439" i="7"/>
  <c r="C437" i="7"/>
  <c r="C436" i="7"/>
  <c r="B436" i="7"/>
  <c r="E435" i="7"/>
  <c r="G435" i="7"/>
  <c r="D435" i="7"/>
  <c r="L429" i="7"/>
  <c r="L428" i="7"/>
  <c r="L425" i="7"/>
  <c r="L424" i="7"/>
  <c r="L422" i="7"/>
  <c r="L421" i="7"/>
  <c r="L419" i="7" s="1"/>
  <c r="L415" i="7"/>
  <c r="L414" i="7"/>
  <c r="L410" i="7"/>
  <c r="AW400" i="7"/>
  <c r="AT400" i="7"/>
  <c r="AO400" i="7"/>
  <c r="AE400" i="7"/>
  <c r="AD400" i="7"/>
  <c r="G399" i="7"/>
  <c r="E399" i="7"/>
  <c r="G398" i="7"/>
  <c r="E398" i="7"/>
  <c r="L396" i="7"/>
  <c r="J396" i="7"/>
  <c r="E396" i="7"/>
  <c r="G396" i="7" s="1"/>
  <c r="AT395" i="7"/>
  <c r="AO395" i="7"/>
  <c r="BA395" i="7"/>
  <c r="AZ395" i="7"/>
  <c r="AE395" i="7"/>
  <c r="AD395" i="7"/>
  <c r="L395" i="7"/>
  <c r="AN395" i="7" s="1"/>
  <c r="I395" i="7"/>
  <c r="H395" i="7"/>
  <c r="J395" i="7" s="1"/>
  <c r="E395" i="7"/>
  <c r="G395" i="7"/>
  <c r="D395" i="7"/>
  <c r="B395" i="7"/>
  <c r="L393" i="7"/>
  <c r="L392" i="7" s="1"/>
  <c r="J393" i="7"/>
  <c r="G393" i="7"/>
  <c r="C391" i="7"/>
  <c r="E390" i="7"/>
  <c r="G390" i="7"/>
  <c r="D390" i="7"/>
  <c r="C390" i="7"/>
  <c r="AW389" i="7"/>
  <c r="AT389" i="7"/>
  <c r="AO389" i="7"/>
  <c r="AE389" i="7"/>
  <c r="AD389" i="7"/>
  <c r="G388" i="7"/>
  <c r="E388" i="7"/>
  <c r="G387" i="7"/>
  <c r="E387" i="7"/>
  <c r="L385" i="7"/>
  <c r="J385" i="7"/>
  <c r="E385" i="7"/>
  <c r="G385" i="7" s="1"/>
  <c r="AT384" i="7"/>
  <c r="AO384" i="7"/>
  <c r="BA384" i="7"/>
  <c r="AZ384" i="7"/>
  <c r="AE384" i="7"/>
  <c r="AD384" i="7"/>
  <c r="L384" i="7"/>
  <c r="AN384" i="7" s="1"/>
  <c r="I384" i="7"/>
  <c r="H384" i="7"/>
  <c r="J384" i="7" s="1"/>
  <c r="E384" i="7"/>
  <c r="G384" i="7"/>
  <c r="D384" i="7"/>
  <c r="B384" i="7"/>
  <c r="L382" i="7"/>
  <c r="L381" i="7" s="1"/>
  <c r="J382" i="7"/>
  <c r="G382" i="7"/>
  <c r="C380" i="7"/>
  <c r="E379" i="7"/>
  <c r="G379" i="7"/>
  <c r="D379" i="7"/>
  <c r="C379" i="7"/>
  <c r="AW378" i="7"/>
  <c r="AT378" i="7"/>
  <c r="AO378" i="7"/>
  <c r="AE378" i="7"/>
  <c r="AD378" i="7"/>
  <c r="G377" i="7"/>
  <c r="F377" i="7"/>
  <c r="E377" i="7"/>
  <c r="G376" i="7"/>
  <c r="E376" i="7"/>
  <c r="AW374" i="7"/>
  <c r="AN374" i="7"/>
  <c r="BA374" i="7"/>
  <c r="AZ374" i="7"/>
  <c r="AE374" i="7"/>
  <c r="AD374" i="7"/>
  <c r="L374" i="7"/>
  <c r="I374" i="7"/>
  <c r="J374" i="7" s="1"/>
  <c r="H374" i="7"/>
  <c r="E374" i="7"/>
  <c r="G374" i="7"/>
  <c r="D374" i="7"/>
  <c r="B374" i="7"/>
  <c r="AN373" i="7"/>
  <c r="BA373" i="7"/>
  <c r="AZ373" i="7"/>
  <c r="AE373" i="7"/>
  <c r="AD373" i="7"/>
  <c r="L373" i="7"/>
  <c r="AW373" i="7" s="1"/>
  <c r="J373" i="7"/>
  <c r="I373" i="7"/>
  <c r="H373" i="7"/>
  <c r="E373" i="7"/>
  <c r="G373" i="7"/>
  <c r="D373" i="7"/>
  <c r="B373" i="7"/>
  <c r="AW372" i="7"/>
  <c r="BA372" i="7"/>
  <c r="AZ372" i="7"/>
  <c r="AE372" i="7"/>
  <c r="AD372" i="7"/>
  <c r="L372" i="7"/>
  <c r="AN372" i="7" s="1"/>
  <c r="I372" i="7"/>
  <c r="H372" i="7"/>
  <c r="J372" i="7" s="1"/>
  <c r="E372" i="7"/>
  <c r="G372" i="7"/>
  <c r="D372" i="7"/>
  <c r="B372" i="7"/>
  <c r="L371" i="7"/>
  <c r="J371" i="7"/>
  <c r="F371" i="7"/>
  <c r="E371" i="7"/>
  <c r="B370" i="7"/>
  <c r="AT369" i="7"/>
  <c r="BA369" i="7"/>
  <c r="AZ369" i="7"/>
  <c r="AE369" i="7"/>
  <c r="AD369" i="7"/>
  <c r="L369" i="7"/>
  <c r="AO369" i="7" s="1"/>
  <c r="J369" i="7"/>
  <c r="F369" i="7"/>
  <c r="E369" i="7"/>
  <c r="G369" i="7"/>
  <c r="D369" i="7"/>
  <c r="B369" i="7"/>
  <c r="B368" i="7"/>
  <c r="AT367" i="7"/>
  <c r="L409" i="7" s="1"/>
  <c r="AO367" i="7"/>
  <c r="BA367" i="7"/>
  <c r="AZ367" i="7"/>
  <c r="AE367" i="7"/>
  <c r="AD367" i="7"/>
  <c r="L367" i="7"/>
  <c r="AN367" i="7" s="1"/>
  <c r="I367" i="7"/>
  <c r="H367" i="7"/>
  <c r="J367" i="7" s="1"/>
  <c r="F367" i="7"/>
  <c r="E367" i="7"/>
  <c r="G367" i="7"/>
  <c r="D367" i="7"/>
  <c r="B367" i="7"/>
  <c r="G365" i="7"/>
  <c r="E365" i="7"/>
  <c r="D365" i="7"/>
  <c r="C365" i="7"/>
  <c r="B365" i="7"/>
  <c r="G364" i="7"/>
  <c r="E364" i="7"/>
  <c r="D364" i="7"/>
  <c r="C364" i="7"/>
  <c r="B364" i="7"/>
  <c r="L363" i="7"/>
  <c r="L362" i="7" s="1"/>
  <c r="J363" i="7"/>
  <c r="G363" i="7"/>
  <c r="F363" i="7"/>
  <c r="C361" i="7"/>
  <c r="B361" i="7"/>
  <c r="E360" i="7"/>
  <c r="G360" i="7"/>
  <c r="G371" i="7" s="1"/>
  <c r="D360" i="7"/>
  <c r="AT359" i="7"/>
  <c r="AE359" i="7"/>
  <c r="AD359" i="7"/>
  <c r="G358" i="7"/>
  <c r="F358" i="7"/>
  <c r="E358" i="7"/>
  <c r="G357" i="7"/>
  <c r="E357" i="7"/>
  <c r="L355" i="7"/>
  <c r="J355" i="7"/>
  <c r="F355" i="7"/>
  <c r="E355" i="7"/>
  <c r="G355" i="7" s="1"/>
  <c r="B354" i="7"/>
  <c r="AT353" i="7"/>
  <c r="AO353" i="7"/>
  <c r="AN353" i="7"/>
  <c r="BA353" i="7"/>
  <c r="AZ353" i="7"/>
  <c r="AE353" i="7"/>
  <c r="AD353" i="7"/>
  <c r="L353" i="7"/>
  <c r="J353" i="7"/>
  <c r="F353" i="7"/>
  <c r="E353" i="7"/>
  <c r="G353" i="7"/>
  <c r="D353" i="7"/>
  <c r="B353" i="7"/>
  <c r="G351" i="7"/>
  <c r="F351" i="7"/>
  <c r="E351" i="7"/>
  <c r="D351" i="7"/>
  <c r="C351" i="7"/>
  <c r="B351" i="7"/>
  <c r="L350" i="7"/>
  <c r="L346" i="7" s="1"/>
  <c r="AW359" i="7" s="1"/>
  <c r="L413" i="7" s="1"/>
  <c r="L411" i="7" s="1"/>
  <c r="J350" i="7"/>
  <c r="G350" i="7"/>
  <c r="F350" i="7"/>
  <c r="L349" i="7"/>
  <c r="J349" i="7"/>
  <c r="G349" i="7"/>
  <c r="F349" i="7"/>
  <c r="L348" i="7"/>
  <c r="I348" i="7"/>
  <c r="H348" i="7"/>
  <c r="J348" i="7" s="1"/>
  <c r="G348" i="7"/>
  <c r="F348" i="7"/>
  <c r="L347" i="7"/>
  <c r="J347" i="7"/>
  <c r="G347" i="7"/>
  <c r="F347" i="7"/>
  <c r="L344" i="7"/>
  <c r="L343" i="7"/>
  <c r="AO359" i="7" s="1"/>
  <c r="L407" i="7" s="1"/>
  <c r="L405" i="7" s="1"/>
  <c r="L345" i="7"/>
  <c r="J345" i="7"/>
  <c r="G345" i="7"/>
  <c r="F345" i="7"/>
  <c r="L342" i="7"/>
  <c r="L341" i="7" s="1"/>
  <c r="J342" i="7"/>
  <c r="G342" i="7"/>
  <c r="F342" i="7"/>
  <c r="C340" i="7"/>
  <c r="B340" i="7"/>
  <c r="E339" i="7"/>
  <c r="G339" i="7"/>
  <c r="D339" i="7"/>
  <c r="L333" i="7"/>
  <c r="L332" i="7"/>
  <c r="L329" i="7"/>
  <c r="L328" i="7"/>
  <c r="L323" i="7"/>
  <c r="L326" i="7"/>
  <c r="L325" i="7"/>
  <c r="L319" i="7"/>
  <c r="L318" i="7"/>
  <c r="L314" i="7"/>
  <c r="AE304" i="7"/>
  <c r="AD304" i="7"/>
  <c r="G303" i="7"/>
  <c r="E303" i="7"/>
  <c r="G302" i="7"/>
  <c r="E302" i="7"/>
  <c r="BA300" i="7"/>
  <c r="AZ300" i="7"/>
  <c r="AE300" i="7"/>
  <c r="AD300" i="7"/>
  <c r="E300" i="7"/>
  <c r="G300" i="7"/>
  <c r="D300" i="7"/>
  <c r="C300" i="7"/>
  <c r="B300" i="7"/>
  <c r="BA299" i="7"/>
  <c r="AZ299" i="7"/>
  <c r="AE299" i="7"/>
  <c r="AD299" i="7"/>
  <c r="L299" i="7"/>
  <c r="AW299" i="7" s="1"/>
  <c r="J299" i="7"/>
  <c r="I299" i="7"/>
  <c r="H299" i="7"/>
  <c r="E299" i="7"/>
  <c r="G299" i="7"/>
  <c r="D299" i="7"/>
  <c r="C299" i="7"/>
  <c r="B299" i="7"/>
  <c r="L297" i="7"/>
  <c r="I297" i="7"/>
  <c r="J297" i="7" s="1"/>
  <c r="H297" i="7"/>
  <c r="G297" i="7"/>
  <c r="L296" i="7"/>
  <c r="J296" i="7"/>
  <c r="I296" i="7"/>
  <c r="H296" i="7"/>
  <c r="G296" i="7"/>
  <c r="L295" i="7"/>
  <c r="L293" i="7" s="1"/>
  <c r="AW304" i="7" s="1"/>
  <c r="I295" i="7"/>
  <c r="H295" i="7"/>
  <c r="J295" i="7" s="1"/>
  <c r="G295" i="7"/>
  <c r="L294" i="7"/>
  <c r="J294" i="7"/>
  <c r="G294" i="7"/>
  <c r="L290" i="7"/>
  <c r="AT304" i="7" s="1"/>
  <c r="L292" i="7"/>
  <c r="J292" i="7"/>
  <c r="E292" i="7"/>
  <c r="G292" i="7" s="1"/>
  <c r="L291" i="7"/>
  <c r="J291" i="7"/>
  <c r="G291" i="7"/>
  <c r="L288" i="7"/>
  <c r="J288" i="7"/>
  <c r="G288" i="7"/>
  <c r="L287" i="7"/>
  <c r="J287" i="7"/>
  <c r="G287" i="7"/>
  <c r="L286" i="7"/>
  <c r="L285" i="7" s="1"/>
  <c r="J286" i="7"/>
  <c r="G286" i="7"/>
  <c r="C284" i="7"/>
  <c r="E283" i="7"/>
  <c r="G283" i="7"/>
  <c r="D283" i="7"/>
  <c r="C283" i="7"/>
  <c r="AT282" i="7"/>
  <c r="AO282" i="7"/>
  <c r="AE282" i="7"/>
  <c r="AD282" i="7"/>
  <c r="G281" i="7"/>
  <c r="E281" i="7"/>
  <c r="G280" i="7"/>
  <c r="E280" i="7"/>
  <c r="BA278" i="7"/>
  <c r="AZ278" i="7"/>
  <c r="AE278" i="7"/>
  <c r="AD278" i="7"/>
  <c r="E278" i="7"/>
  <c r="G278" i="7"/>
  <c r="D278" i="7"/>
  <c r="C278" i="7"/>
  <c r="B278" i="7"/>
  <c r="AW277" i="7"/>
  <c r="BA277" i="7"/>
  <c r="AZ277" i="7"/>
  <c r="AE277" i="7"/>
  <c r="AD277" i="7"/>
  <c r="L277" i="7"/>
  <c r="AN277" i="7" s="1"/>
  <c r="I277" i="7"/>
  <c r="H277" i="7"/>
  <c r="J277" i="7" s="1"/>
  <c r="E277" i="7"/>
  <c r="G277" i="7"/>
  <c r="D277" i="7"/>
  <c r="C277" i="7"/>
  <c r="B277" i="7"/>
  <c r="AW276" i="7"/>
  <c r="AN276" i="7"/>
  <c r="BA276" i="7"/>
  <c r="AZ276" i="7"/>
  <c r="AE276" i="7"/>
  <c r="AD276" i="7"/>
  <c r="L276" i="7"/>
  <c r="I276" i="7"/>
  <c r="H276" i="7"/>
  <c r="J276" i="7" s="1"/>
  <c r="E276" i="7"/>
  <c r="G276" i="7"/>
  <c r="D276" i="7"/>
  <c r="C276" i="7"/>
  <c r="B276" i="7"/>
  <c r="L274" i="7"/>
  <c r="I274" i="7"/>
  <c r="H274" i="7"/>
  <c r="J274" i="7" s="1"/>
  <c r="G274" i="7"/>
  <c r="L273" i="7"/>
  <c r="I273" i="7"/>
  <c r="H273" i="7"/>
  <c r="J273" i="7" s="1"/>
  <c r="G273" i="7"/>
  <c r="L272" i="7"/>
  <c r="I272" i="7"/>
  <c r="H272" i="7"/>
  <c r="J272" i="7" s="1"/>
  <c r="G272" i="7"/>
  <c r="L271" i="7"/>
  <c r="J271" i="7"/>
  <c r="I271" i="7"/>
  <c r="H271" i="7"/>
  <c r="G271" i="7"/>
  <c r="L270" i="7"/>
  <c r="J270" i="7"/>
  <c r="I270" i="7"/>
  <c r="H270" i="7"/>
  <c r="G270" i="7"/>
  <c r="L269" i="7"/>
  <c r="I269" i="7"/>
  <c r="H269" i="7"/>
  <c r="J269" i="7" s="1"/>
  <c r="G269" i="7"/>
  <c r="L268" i="7"/>
  <c r="I268" i="7"/>
  <c r="J268" i="7" s="1"/>
  <c r="H268" i="7"/>
  <c r="G268" i="7"/>
  <c r="L267" i="7"/>
  <c r="J267" i="7"/>
  <c r="I267" i="7"/>
  <c r="H267" i="7"/>
  <c r="G267" i="7"/>
  <c r="L266" i="7"/>
  <c r="I266" i="7"/>
  <c r="H266" i="7"/>
  <c r="J266" i="7" s="1"/>
  <c r="G266" i="7"/>
  <c r="L265" i="7"/>
  <c r="J265" i="7"/>
  <c r="G265" i="7"/>
  <c r="L264" i="7"/>
  <c r="L262" i="7" s="1"/>
  <c r="AW282" i="7" s="1"/>
  <c r="I264" i="7"/>
  <c r="H264" i="7"/>
  <c r="J264" i="7" s="1"/>
  <c r="G264" i="7"/>
  <c r="L263" i="7"/>
  <c r="I263" i="7"/>
  <c r="H263" i="7"/>
  <c r="J263" i="7" s="1"/>
  <c r="G263" i="7"/>
  <c r="L260" i="7"/>
  <c r="L259" i="7"/>
  <c r="L261" i="7"/>
  <c r="J261" i="7"/>
  <c r="G261" i="7"/>
  <c r="L257" i="7"/>
  <c r="L258" i="7"/>
  <c r="J258" i="7"/>
  <c r="G258" i="7"/>
  <c r="C256" i="7"/>
  <c r="E255" i="7"/>
  <c r="G255" i="7"/>
  <c r="D255" i="7"/>
  <c r="C255" i="7"/>
  <c r="AT254" i="7"/>
  <c r="AO254" i="7"/>
  <c r="AE254" i="7"/>
  <c r="AD254" i="7"/>
  <c r="G253" i="7"/>
  <c r="E253" i="7"/>
  <c r="G252" i="7"/>
  <c r="E252" i="7"/>
  <c r="L250" i="7"/>
  <c r="J250" i="7"/>
  <c r="E250" i="7"/>
  <c r="AT249" i="7"/>
  <c r="BA249" i="7"/>
  <c r="AZ249" i="7"/>
  <c r="AE249" i="7"/>
  <c r="AD249" i="7"/>
  <c r="L249" i="7"/>
  <c r="AO249" i="7" s="1"/>
  <c r="J249" i="7"/>
  <c r="E249" i="7"/>
  <c r="G249" i="7"/>
  <c r="D249" i="7"/>
  <c r="B249" i="7"/>
  <c r="L248" i="7"/>
  <c r="J248" i="7"/>
  <c r="E248" i="7"/>
  <c r="G248" i="7" s="1"/>
  <c r="AT247" i="7"/>
  <c r="BA247" i="7"/>
  <c r="AZ247" i="7"/>
  <c r="AE247" i="7"/>
  <c r="AD247" i="7"/>
  <c r="L247" i="7"/>
  <c r="AO247" i="7" s="1"/>
  <c r="J247" i="7"/>
  <c r="E247" i="7"/>
  <c r="G247" i="7"/>
  <c r="D247" i="7"/>
  <c r="B247" i="7"/>
  <c r="BA246" i="7"/>
  <c r="AZ246" i="7"/>
  <c r="AE246" i="7"/>
  <c r="AD246" i="7"/>
  <c r="E246" i="7"/>
  <c r="G246" i="7"/>
  <c r="D246" i="7"/>
  <c r="C246" i="7"/>
  <c r="B246" i="7"/>
  <c r="BA245" i="7"/>
  <c r="AZ245" i="7"/>
  <c r="AE245" i="7"/>
  <c r="AD245" i="7"/>
  <c r="L245" i="7"/>
  <c r="AW245" i="7" s="1"/>
  <c r="J245" i="7"/>
  <c r="E245" i="7"/>
  <c r="G245" i="7"/>
  <c r="D245" i="7"/>
  <c r="C245" i="7"/>
  <c r="B245" i="7"/>
  <c r="L241" i="7"/>
  <c r="AW254" i="7" s="1"/>
  <c r="L243" i="7"/>
  <c r="I243" i="7"/>
  <c r="H243" i="7"/>
  <c r="J243" i="7" s="1"/>
  <c r="G243" i="7"/>
  <c r="L242" i="7"/>
  <c r="I242" i="7"/>
  <c r="J242" i="7" s="1"/>
  <c r="H242" i="7"/>
  <c r="G242" i="7"/>
  <c r="L240" i="7"/>
  <c r="L239" i="7" s="1"/>
  <c r="J240" i="7"/>
  <c r="G240" i="7"/>
  <c r="C238" i="7"/>
  <c r="E237" i="7"/>
  <c r="G237" i="7"/>
  <c r="G250" i="7" s="1"/>
  <c r="D237" i="7"/>
  <c r="C237" i="7"/>
  <c r="AT236" i="7"/>
  <c r="AO236" i="7"/>
  <c r="AE236" i="7"/>
  <c r="AD236" i="7"/>
  <c r="G235" i="7"/>
  <c r="E235" i="7"/>
  <c r="G234" i="7"/>
  <c r="E234" i="7"/>
  <c r="AW232" i="7"/>
  <c r="AN232" i="7"/>
  <c r="BA232" i="7"/>
  <c r="AZ232" i="7"/>
  <c r="AE232" i="7"/>
  <c r="AD232" i="7"/>
  <c r="L232" i="7"/>
  <c r="I232" i="7"/>
  <c r="H232" i="7"/>
  <c r="J232" i="7" s="1"/>
  <c r="E232" i="7"/>
  <c r="G232" i="7"/>
  <c r="D232" i="7"/>
  <c r="B232" i="7"/>
  <c r="BA231" i="7"/>
  <c r="AZ231" i="7"/>
  <c r="AE231" i="7"/>
  <c r="AD231" i="7"/>
  <c r="L231" i="7"/>
  <c r="AW231" i="7" s="1"/>
  <c r="J231" i="7"/>
  <c r="I231" i="7"/>
  <c r="H231" i="7"/>
  <c r="E231" i="7"/>
  <c r="G231" i="7"/>
  <c r="D231" i="7"/>
  <c r="B231" i="7"/>
  <c r="AW230" i="7"/>
  <c r="AN230" i="7"/>
  <c r="BA230" i="7"/>
  <c r="AZ230" i="7"/>
  <c r="AE230" i="7"/>
  <c r="AD230" i="7"/>
  <c r="L230" i="7"/>
  <c r="I230" i="7"/>
  <c r="H230" i="7"/>
  <c r="J230" i="7" s="1"/>
  <c r="E230" i="7"/>
  <c r="G230" i="7"/>
  <c r="D230" i="7"/>
  <c r="B230" i="7"/>
  <c r="L229" i="7"/>
  <c r="J229" i="7"/>
  <c r="E229" i="7"/>
  <c r="G229" i="7" s="1"/>
  <c r="AT228" i="7"/>
  <c r="BA228" i="7"/>
  <c r="AZ228" i="7"/>
  <c r="AE228" i="7"/>
  <c r="AD228" i="7"/>
  <c r="L228" i="7"/>
  <c r="AO228" i="7" s="1"/>
  <c r="I228" i="7"/>
  <c r="H228" i="7"/>
  <c r="J228" i="7" s="1"/>
  <c r="E228" i="7"/>
  <c r="G228" i="7"/>
  <c r="D228" i="7"/>
  <c r="B228" i="7"/>
  <c r="BA227" i="7"/>
  <c r="AZ227" i="7"/>
  <c r="AE227" i="7"/>
  <c r="AD227" i="7"/>
  <c r="E227" i="7"/>
  <c r="G227" i="7"/>
  <c r="D227" i="7"/>
  <c r="C227" i="7"/>
  <c r="B227" i="7"/>
  <c r="AW226" i="7"/>
  <c r="AN226" i="7"/>
  <c r="BA226" i="7"/>
  <c r="AZ226" i="7"/>
  <c r="AE226" i="7"/>
  <c r="AD226" i="7"/>
  <c r="L226" i="7"/>
  <c r="I226" i="7"/>
  <c r="J226" i="7" s="1"/>
  <c r="H226" i="7"/>
  <c r="E226" i="7"/>
  <c r="G226" i="7"/>
  <c r="D226" i="7"/>
  <c r="C226" i="7"/>
  <c r="B226" i="7"/>
  <c r="L220" i="7"/>
  <c r="AW236" i="7" s="1"/>
  <c r="L224" i="7"/>
  <c r="I224" i="7"/>
  <c r="H224" i="7"/>
  <c r="J224" i="7" s="1"/>
  <c r="G224" i="7"/>
  <c r="L223" i="7"/>
  <c r="I223" i="7"/>
  <c r="H223" i="7"/>
  <c r="J223" i="7" s="1"/>
  <c r="G223" i="7"/>
  <c r="L222" i="7"/>
  <c r="J222" i="7"/>
  <c r="I222" i="7"/>
  <c r="H222" i="7"/>
  <c r="G222" i="7"/>
  <c r="L221" i="7"/>
  <c r="J221" i="7"/>
  <c r="I221" i="7"/>
  <c r="H221" i="7"/>
  <c r="G221" i="7"/>
  <c r="L219" i="7"/>
  <c r="L218" i="7" s="1"/>
  <c r="J219" i="7"/>
  <c r="G219" i="7"/>
  <c r="E217" i="7"/>
  <c r="G217" i="7"/>
  <c r="D217" i="7"/>
  <c r="C217" i="7"/>
  <c r="AT216" i="7"/>
  <c r="AO216" i="7"/>
  <c r="AE216" i="7"/>
  <c r="AD216" i="7"/>
  <c r="G215" i="7"/>
  <c r="E215" i="7"/>
  <c r="G214" i="7"/>
  <c r="E214" i="7"/>
  <c r="L212" i="7"/>
  <c r="J212" i="7"/>
  <c r="E212" i="7"/>
  <c r="G212" i="7" s="1"/>
  <c r="AT211" i="7"/>
  <c r="BA211" i="7"/>
  <c r="AZ211" i="7"/>
  <c r="AE211" i="7"/>
  <c r="AD211" i="7"/>
  <c r="L211" i="7"/>
  <c r="AO211" i="7" s="1"/>
  <c r="J211" i="7"/>
  <c r="E211" i="7"/>
  <c r="G211" i="7"/>
  <c r="D211" i="7"/>
  <c r="C211" i="7"/>
  <c r="B211" i="7"/>
  <c r="BA210" i="7"/>
  <c r="AZ210" i="7"/>
  <c r="AE210" i="7"/>
  <c r="AD210" i="7"/>
  <c r="E210" i="7"/>
  <c r="G210" i="7"/>
  <c r="D210" i="7"/>
  <c r="C210" i="7"/>
  <c r="B210" i="7"/>
  <c r="BA209" i="7"/>
  <c r="AZ209" i="7"/>
  <c r="AE209" i="7"/>
  <c r="AD209" i="7"/>
  <c r="L209" i="7"/>
  <c r="AW209" i="7" s="1"/>
  <c r="I209" i="7"/>
  <c r="H209" i="7"/>
  <c r="J209" i="7" s="1"/>
  <c r="E209" i="7"/>
  <c r="G209" i="7"/>
  <c r="D209" i="7"/>
  <c r="C209" i="7"/>
  <c r="B209" i="7"/>
  <c r="BA208" i="7"/>
  <c r="AZ208" i="7"/>
  <c r="AE208" i="7"/>
  <c r="AD208" i="7"/>
  <c r="L208" i="7"/>
  <c r="AW208" i="7" s="1"/>
  <c r="J208" i="7"/>
  <c r="I208" i="7"/>
  <c r="H208" i="7"/>
  <c r="E208" i="7"/>
  <c r="G208" i="7"/>
  <c r="D208" i="7"/>
  <c r="C208" i="7"/>
  <c r="B208" i="7"/>
  <c r="L206" i="7"/>
  <c r="I206" i="7"/>
  <c r="J206" i="7" s="1"/>
  <c r="H206" i="7"/>
  <c r="G206" i="7"/>
  <c r="L205" i="7"/>
  <c r="J205" i="7"/>
  <c r="I205" i="7"/>
  <c r="H205" i="7"/>
  <c r="G205" i="7"/>
  <c r="L204" i="7"/>
  <c r="I204" i="7"/>
  <c r="H204" i="7"/>
  <c r="J204" i="7" s="1"/>
  <c r="G204" i="7"/>
  <c r="L203" i="7"/>
  <c r="L202" i="7" s="1"/>
  <c r="AW216" i="7" s="1"/>
  <c r="I203" i="7"/>
  <c r="H203" i="7"/>
  <c r="J203" i="7" s="1"/>
  <c r="G203" i="7"/>
  <c r="L201" i="7"/>
  <c r="L200" i="7" s="1"/>
  <c r="J201" i="7"/>
  <c r="G201" i="7"/>
  <c r="C199" i="7"/>
  <c r="E198" i="7"/>
  <c r="G198" i="7"/>
  <c r="D198" i="7"/>
  <c r="C198" i="7"/>
  <c r="AT197" i="7"/>
  <c r="AO197" i="7"/>
  <c r="AE197" i="7"/>
  <c r="AD197" i="7"/>
  <c r="G196" i="7"/>
  <c r="E196" i="7"/>
  <c r="G195" i="7"/>
  <c r="E195" i="7"/>
  <c r="L193" i="7"/>
  <c r="J193" i="7"/>
  <c r="G193" i="7"/>
  <c r="E193" i="7"/>
  <c r="AT192" i="7"/>
  <c r="AO192" i="7"/>
  <c r="AN192" i="7"/>
  <c r="BA192" i="7"/>
  <c r="AZ192" i="7"/>
  <c r="AE192" i="7"/>
  <c r="AD192" i="7"/>
  <c r="L192" i="7"/>
  <c r="J192" i="7"/>
  <c r="E192" i="7"/>
  <c r="G192" i="7"/>
  <c r="D192" i="7"/>
  <c r="B192" i="7"/>
  <c r="L191" i="7"/>
  <c r="J191" i="7"/>
  <c r="E191" i="7"/>
  <c r="G191" i="7" s="1"/>
  <c r="AT190" i="7"/>
  <c r="AO190" i="7"/>
  <c r="BA190" i="7"/>
  <c r="AZ190" i="7"/>
  <c r="AE190" i="7"/>
  <c r="AD190" i="7"/>
  <c r="L190" i="7"/>
  <c r="AN190" i="7" s="1"/>
  <c r="J190" i="7"/>
  <c r="E190" i="7"/>
  <c r="G190" i="7"/>
  <c r="D190" i="7"/>
  <c r="B190" i="7"/>
  <c r="BA189" i="7"/>
  <c r="AZ189" i="7"/>
  <c r="AE189" i="7"/>
  <c r="AD189" i="7"/>
  <c r="E189" i="7"/>
  <c r="G189" i="7"/>
  <c r="D189" i="7"/>
  <c r="C189" i="7"/>
  <c r="B189" i="7"/>
  <c r="AW188" i="7"/>
  <c r="BA188" i="7"/>
  <c r="AZ188" i="7"/>
  <c r="AE188" i="7"/>
  <c r="AD188" i="7"/>
  <c r="L188" i="7"/>
  <c r="AN188" i="7" s="1"/>
  <c r="J188" i="7"/>
  <c r="E188" i="7"/>
  <c r="G188" i="7"/>
  <c r="D188" i="7"/>
  <c r="C188" i="7"/>
  <c r="B188" i="7"/>
  <c r="BA187" i="7"/>
  <c r="AZ187" i="7"/>
  <c r="AE187" i="7"/>
  <c r="AD187" i="7"/>
  <c r="L187" i="7"/>
  <c r="AW187" i="7" s="1"/>
  <c r="J187" i="7"/>
  <c r="E187" i="7"/>
  <c r="G187" i="7"/>
  <c r="D187" i="7"/>
  <c r="C187" i="7"/>
  <c r="B187" i="7"/>
  <c r="L185" i="7"/>
  <c r="L182" i="7" s="1"/>
  <c r="AW197" i="7" s="1"/>
  <c r="J185" i="7"/>
  <c r="I185" i="7"/>
  <c r="H185" i="7"/>
  <c r="G185" i="7"/>
  <c r="L184" i="7"/>
  <c r="I184" i="7"/>
  <c r="H184" i="7"/>
  <c r="J184" i="7" s="1"/>
  <c r="G184" i="7"/>
  <c r="L183" i="7"/>
  <c r="I183" i="7"/>
  <c r="J183" i="7" s="1"/>
  <c r="H183" i="7"/>
  <c r="G183" i="7"/>
  <c r="L181" i="7"/>
  <c r="L180" i="7" s="1"/>
  <c r="J181" i="7"/>
  <c r="G181" i="7"/>
  <c r="C179" i="7"/>
  <c r="E178" i="7"/>
  <c r="G178" i="7"/>
  <c r="D178" i="7"/>
  <c r="C178" i="7"/>
  <c r="AT177" i="7"/>
  <c r="AO177" i="7"/>
  <c r="AE177" i="7"/>
  <c r="AD177" i="7"/>
  <c r="G176" i="7"/>
  <c r="E176" i="7"/>
  <c r="G175" i="7"/>
  <c r="E175" i="7"/>
  <c r="L173" i="7"/>
  <c r="J173" i="7"/>
  <c r="E173" i="7"/>
  <c r="G173" i="7" s="1"/>
  <c r="AT172" i="7"/>
  <c r="AO172" i="7"/>
  <c r="BA172" i="7"/>
  <c r="AZ172" i="7"/>
  <c r="AE172" i="7"/>
  <c r="AD172" i="7"/>
  <c r="L172" i="7"/>
  <c r="AN172" i="7" s="1"/>
  <c r="I172" i="7"/>
  <c r="J172" i="7" s="1"/>
  <c r="H172" i="7"/>
  <c r="E172" i="7"/>
  <c r="G172" i="7"/>
  <c r="D172" i="7"/>
  <c r="B172" i="7"/>
  <c r="BA171" i="7"/>
  <c r="AZ171" i="7"/>
  <c r="AE171" i="7"/>
  <c r="AD171" i="7"/>
  <c r="E171" i="7"/>
  <c r="G171" i="7"/>
  <c r="D171" i="7"/>
  <c r="C171" i="7"/>
  <c r="B171" i="7"/>
  <c r="BA170" i="7"/>
  <c r="AZ170" i="7"/>
  <c r="AE170" i="7"/>
  <c r="AD170" i="7"/>
  <c r="L170" i="7"/>
  <c r="AW170" i="7" s="1"/>
  <c r="I170" i="7"/>
  <c r="H170" i="7"/>
  <c r="J170" i="7" s="1"/>
  <c r="E170" i="7"/>
  <c r="G170" i="7"/>
  <c r="D170" i="7"/>
  <c r="C170" i="7"/>
  <c r="B170" i="7"/>
  <c r="BA169" i="7"/>
  <c r="AZ169" i="7"/>
  <c r="AE169" i="7"/>
  <c r="AD169" i="7"/>
  <c r="L169" i="7"/>
  <c r="AW169" i="7" s="1"/>
  <c r="J169" i="7"/>
  <c r="I169" i="7"/>
  <c r="H169" i="7"/>
  <c r="E169" i="7"/>
  <c r="G169" i="7"/>
  <c r="D169" i="7"/>
  <c r="C169" i="7"/>
  <c r="B169" i="7"/>
  <c r="AW168" i="7"/>
  <c r="BA168" i="7"/>
  <c r="AZ168" i="7"/>
  <c r="AE168" i="7"/>
  <c r="AD168" i="7"/>
  <c r="L168" i="7"/>
  <c r="AN168" i="7" s="1"/>
  <c r="I168" i="7"/>
  <c r="H168" i="7"/>
  <c r="J168" i="7" s="1"/>
  <c r="E168" i="7"/>
  <c r="G168" i="7"/>
  <c r="D168" i="7"/>
  <c r="C168" i="7"/>
  <c r="B168" i="7"/>
  <c r="AW167" i="7"/>
  <c r="AN167" i="7"/>
  <c r="BA167" i="7"/>
  <c r="AZ167" i="7"/>
  <c r="AE167" i="7"/>
  <c r="AD167" i="7"/>
  <c r="L167" i="7"/>
  <c r="I167" i="7"/>
  <c r="H167" i="7"/>
  <c r="J167" i="7" s="1"/>
  <c r="E167" i="7"/>
  <c r="G167" i="7"/>
  <c r="D167" i="7"/>
  <c r="C167" i="7"/>
  <c r="B167" i="7"/>
  <c r="BA166" i="7"/>
  <c r="AZ166" i="7"/>
  <c r="AE166" i="7"/>
  <c r="AD166" i="7"/>
  <c r="L166" i="7"/>
  <c r="AW166" i="7" s="1"/>
  <c r="I166" i="7"/>
  <c r="H166" i="7"/>
  <c r="J166" i="7" s="1"/>
  <c r="E166" i="7"/>
  <c r="G166" i="7"/>
  <c r="D166" i="7"/>
  <c r="C166" i="7"/>
  <c r="B166" i="7"/>
  <c r="L164" i="7"/>
  <c r="J164" i="7"/>
  <c r="I164" i="7"/>
  <c r="H164" i="7"/>
  <c r="G164" i="7"/>
  <c r="L163" i="7"/>
  <c r="L161" i="7" s="1"/>
  <c r="AW177" i="7" s="1"/>
  <c r="J163" i="7"/>
  <c r="I163" i="7"/>
  <c r="H163" i="7"/>
  <c r="G163" i="7"/>
  <c r="L162" i="7"/>
  <c r="J162" i="7"/>
  <c r="G162" i="7"/>
  <c r="L159" i="7"/>
  <c r="L160" i="7"/>
  <c r="J160" i="7"/>
  <c r="G160" i="7"/>
  <c r="C158" i="7"/>
  <c r="E157" i="7"/>
  <c r="G157" i="7"/>
  <c r="D157" i="7"/>
  <c r="C157" i="7"/>
  <c r="L153" i="7"/>
  <c r="AT156" i="7"/>
  <c r="AR156" i="7"/>
  <c r="AO156" i="7"/>
  <c r="AE156" i="7"/>
  <c r="AD156" i="7"/>
  <c r="G155" i="7"/>
  <c r="E155" i="7"/>
  <c r="G154" i="7"/>
  <c r="E154" i="7"/>
  <c r="L152" i="7"/>
  <c r="J152" i="7"/>
  <c r="E152" i="7"/>
  <c r="AT151" i="7"/>
  <c r="BA151" i="7"/>
  <c r="AZ151" i="7"/>
  <c r="AE151" i="7"/>
  <c r="AD151" i="7"/>
  <c r="L151" i="7"/>
  <c r="AO151" i="7" s="1"/>
  <c r="J151" i="7"/>
  <c r="I151" i="7"/>
  <c r="H151" i="7"/>
  <c r="E151" i="7"/>
  <c r="G151" i="7"/>
  <c r="D151" i="7"/>
  <c r="B151" i="7"/>
  <c r="BA150" i="7"/>
  <c r="AZ150" i="7"/>
  <c r="AE150" i="7"/>
  <c r="AD150" i="7"/>
  <c r="E150" i="7"/>
  <c r="G150" i="7"/>
  <c r="D150" i="7"/>
  <c r="C150" i="7"/>
  <c r="B150" i="7"/>
  <c r="AW149" i="7"/>
  <c r="AN149" i="7"/>
  <c r="BA149" i="7"/>
  <c r="AZ149" i="7"/>
  <c r="AE149" i="7"/>
  <c r="AD149" i="7"/>
  <c r="L149" i="7"/>
  <c r="I149" i="7"/>
  <c r="H149" i="7"/>
  <c r="J149" i="7" s="1"/>
  <c r="E149" i="7"/>
  <c r="G149" i="7"/>
  <c r="D149" i="7"/>
  <c r="C149" i="7"/>
  <c r="B149" i="7"/>
  <c r="L147" i="7"/>
  <c r="L144" i="7" s="1"/>
  <c r="J147" i="7"/>
  <c r="I147" i="7"/>
  <c r="H147" i="7"/>
  <c r="G147" i="7"/>
  <c r="L146" i="7"/>
  <c r="I146" i="7"/>
  <c r="H146" i="7"/>
  <c r="J146" i="7" s="1"/>
  <c r="G146" i="7"/>
  <c r="L145" i="7"/>
  <c r="J145" i="7"/>
  <c r="G145" i="7"/>
  <c r="L142" i="7"/>
  <c r="L143" i="7"/>
  <c r="J143" i="7"/>
  <c r="G143" i="7"/>
  <c r="C141" i="7"/>
  <c r="E140" i="7"/>
  <c r="G140" i="7"/>
  <c r="G152" i="7" s="1"/>
  <c r="D140" i="7"/>
  <c r="C140" i="7"/>
  <c r="AW139" i="7"/>
  <c r="AT139" i="7"/>
  <c r="AR139" i="7"/>
  <c r="L136" i="7" s="1"/>
  <c r="AO139" i="7"/>
  <c r="AE139" i="7"/>
  <c r="AD139" i="7"/>
  <c r="G138" i="7"/>
  <c r="E138" i="7"/>
  <c r="G137" i="7"/>
  <c r="E137" i="7"/>
  <c r="L135" i="7"/>
  <c r="J135" i="7"/>
  <c r="E135" i="7"/>
  <c r="G135" i="7" s="1"/>
  <c r="AT134" i="7"/>
  <c r="BA134" i="7"/>
  <c r="AZ134" i="7"/>
  <c r="AE134" i="7"/>
  <c r="AD134" i="7"/>
  <c r="L134" i="7"/>
  <c r="AO134" i="7" s="1"/>
  <c r="I134" i="7"/>
  <c r="H134" i="7"/>
  <c r="J134" i="7" s="1"/>
  <c r="E134" i="7"/>
  <c r="G134" i="7"/>
  <c r="D134" i="7"/>
  <c r="B134" i="7"/>
  <c r="L133" i="7"/>
  <c r="L131" i="7"/>
  <c r="L132" i="7"/>
  <c r="J132" i="7"/>
  <c r="G132" i="7"/>
  <c r="C130" i="7"/>
  <c r="E129" i="7"/>
  <c r="G129" i="7"/>
  <c r="D129" i="7"/>
  <c r="C129" i="7"/>
  <c r="AT128" i="7"/>
  <c r="AO128" i="7"/>
  <c r="AE128" i="7"/>
  <c r="AD128" i="7"/>
  <c r="G127" i="7"/>
  <c r="E127" i="7"/>
  <c r="G126" i="7"/>
  <c r="E126" i="7"/>
  <c r="L124" i="7"/>
  <c r="J124" i="7"/>
  <c r="E124" i="7"/>
  <c r="G124" i="7" s="1"/>
  <c r="AT123" i="7"/>
  <c r="BA123" i="7"/>
  <c r="AZ123" i="7"/>
  <c r="AE123" i="7"/>
  <c r="AD123" i="7"/>
  <c r="L123" i="7"/>
  <c r="AO123" i="7" s="1"/>
  <c r="I123" i="7"/>
  <c r="H123" i="7"/>
  <c r="J123" i="7" s="1"/>
  <c r="E123" i="7"/>
  <c r="G123" i="7"/>
  <c r="D123" i="7"/>
  <c r="B123" i="7"/>
  <c r="BA122" i="7"/>
  <c r="AZ122" i="7"/>
  <c r="AE122" i="7"/>
  <c r="AD122" i="7"/>
  <c r="K122" i="7"/>
  <c r="E122" i="7"/>
  <c r="G122" i="7"/>
  <c r="D122" i="7"/>
  <c r="C122" i="7"/>
  <c r="B122" i="7"/>
  <c r="L120" i="7"/>
  <c r="J120" i="7"/>
  <c r="I120" i="7"/>
  <c r="H120" i="7"/>
  <c r="G120" i="7"/>
  <c r="F120" i="7"/>
  <c r="L119" i="7"/>
  <c r="I119" i="7"/>
  <c r="H119" i="7"/>
  <c r="J119" i="7" s="1"/>
  <c r="G119" i="7"/>
  <c r="F119" i="7"/>
  <c r="L118" i="7"/>
  <c r="L117" i="7" s="1"/>
  <c r="AW128" i="7" s="1"/>
  <c r="J118" i="7"/>
  <c r="G118" i="7"/>
  <c r="F118" i="7"/>
  <c r="L116" i="7"/>
  <c r="L115" i="7" s="1"/>
  <c r="J116" i="7"/>
  <c r="G116" i="7"/>
  <c r="F116" i="7"/>
  <c r="C114" i="7"/>
  <c r="E112" i="7"/>
  <c r="G112" i="7"/>
  <c r="D112" i="7"/>
  <c r="C112" i="7"/>
  <c r="AR111" i="7"/>
  <c r="AE111" i="7"/>
  <c r="AD111" i="7"/>
  <c r="G110" i="7"/>
  <c r="E110" i="7"/>
  <c r="G109" i="7"/>
  <c r="E109" i="7"/>
  <c r="BA107" i="7"/>
  <c r="AZ107" i="7"/>
  <c r="AE107" i="7"/>
  <c r="AD107" i="7"/>
  <c r="E107" i="7"/>
  <c r="G107" i="7"/>
  <c r="D107" i="7"/>
  <c r="C107" i="7"/>
  <c r="B107" i="7"/>
  <c r="L105" i="7"/>
  <c r="I105" i="7"/>
  <c r="H105" i="7"/>
  <c r="J105" i="7" s="1"/>
  <c r="G105" i="7"/>
  <c r="F105" i="7"/>
  <c r="L104" i="7"/>
  <c r="I104" i="7"/>
  <c r="H104" i="7"/>
  <c r="J104" i="7" s="1"/>
  <c r="G104" i="7"/>
  <c r="F104" i="7"/>
  <c r="L103" i="7"/>
  <c r="I103" i="7"/>
  <c r="H103" i="7"/>
  <c r="J103" i="7" s="1"/>
  <c r="G103" i="7"/>
  <c r="F103" i="7"/>
  <c r="L102" i="7"/>
  <c r="I102" i="7"/>
  <c r="H102" i="7"/>
  <c r="J102" i="7" s="1"/>
  <c r="G102" i="7"/>
  <c r="F102" i="7"/>
  <c r="L101" i="7"/>
  <c r="I101" i="7"/>
  <c r="H101" i="7"/>
  <c r="J101" i="7" s="1"/>
  <c r="G101" i="7"/>
  <c r="F101" i="7"/>
  <c r="L100" i="7"/>
  <c r="I100" i="7"/>
  <c r="H100" i="7"/>
  <c r="J100" i="7" s="1"/>
  <c r="G100" i="7"/>
  <c r="F100" i="7"/>
  <c r="L99" i="7"/>
  <c r="I99" i="7"/>
  <c r="H99" i="7"/>
  <c r="J99" i="7" s="1"/>
  <c r="G99" i="7"/>
  <c r="F99" i="7"/>
  <c r="L98" i="7"/>
  <c r="I98" i="7"/>
  <c r="H98" i="7"/>
  <c r="J98" i="7" s="1"/>
  <c r="G98" i="7"/>
  <c r="F98" i="7"/>
  <c r="L97" i="7"/>
  <c r="I97" i="7"/>
  <c r="H97" i="7"/>
  <c r="J97" i="7" s="1"/>
  <c r="G97" i="7"/>
  <c r="F97" i="7"/>
  <c r="L96" i="7"/>
  <c r="I96" i="7"/>
  <c r="H96" i="7"/>
  <c r="J96" i="7" s="1"/>
  <c r="G96" i="7"/>
  <c r="F96" i="7"/>
  <c r="L95" i="7"/>
  <c r="J95" i="7"/>
  <c r="G95" i="7"/>
  <c r="F95" i="7"/>
  <c r="L94" i="7"/>
  <c r="I94" i="7"/>
  <c r="J94" i="7" s="1"/>
  <c r="H94" i="7"/>
  <c r="G94" i="7"/>
  <c r="F94" i="7"/>
  <c r="L93" i="7"/>
  <c r="L92" i="7" s="1"/>
  <c r="AW111" i="7" s="1"/>
  <c r="J93" i="7"/>
  <c r="I93" i="7"/>
  <c r="H93" i="7"/>
  <c r="G93" i="7"/>
  <c r="F93" i="7"/>
  <c r="L90" i="7"/>
  <c r="AT111" i="7" s="1"/>
  <c r="L89" i="7"/>
  <c r="AO111" i="7" s="1"/>
  <c r="L91" i="7"/>
  <c r="J91" i="7"/>
  <c r="G91" i="7"/>
  <c r="F91" i="7"/>
  <c r="L87" i="7"/>
  <c r="L88" i="7"/>
  <c r="J88" i="7"/>
  <c r="G88" i="7"/>
  <c r="F88" i="7"/>
  <c r="C86" i="7"/>
  <c r="B86" i="7"/>
  <c r="E85" i="7"/>
  <c r="G85" i="7"/>
  <c r="D85" i="7"/>
  <c r="AW84" i="7"/>
  <c r="AT84" i="7"/>
  <c r="L313" i="7" s="1"/>
  <c r="AO84" i="7"/>
  <c r="AE84" i="7"/>
  <c r="AD84" i="7"/>
  <c r="G83" i="7"/>
  <c r="E83" i="7"/>
  <c r="G82" i="7"/>
  <c r="E82" i="7"/>
  <c r="L79" i="7"/>
  <c r="L78" i="7" s="1"/>
  <c r="J79" i="7"/>
  <c r="G79" i="7"/>
  <c r="C77" i="7"/>
  <c r="E76" i="7"/>
  <c r="G76" i="7"/>
  <c r="D76" i="7"/>
  <c r="C76" i="7"/>
  <c r="AW75" i="7"/>
  <c r="AT75" i="7"/>
  <c r="AO75" i="7"/>
  <c r="AE75" i="7"/>
  <c r="AD75" i="7"/>
  <c r="G74" i="7"/>
  <c r="E74" i="7"/>
  <c r="G73" i="7"/>
  <c r="E73" i="7"/>
  <c r="L71" i="7"/>
  <c r="J71" i="7"/>
  <c r="G71" i="7"/>
  <c r="E71" i="7"/>
  <c r="AT70" i="7"/>
  <c r="AO70" i="7"/>
  <c r="AN70" i="7"/>
  <c r="BA70" i="7"/>
  <c r="AZ70" i="7"/>
  <c r="AE70" i="7"/>
  <c r="AD70" i="7"/>
  <c r="L70" i="7"/>
  <c r="I70" i="7"/>
  <c r="J70" i="7" s="1"/>
  <c r="H70" i="7"/>
  <c r="E70" i="7"/>
  <c r="G70" i="7"/>
  <c r="D70" i="7"/>
  <c r="B70" i="7"/>
  <c r="L68" i="7"/>
  <c r="L67" i="7" s="1"/>
  <c r="J68" i="7"/>
  <c r="G68" i="7"/>
  <c r="C66" i="7"/>
  <c r="E65" i="7"/>
  <c r="G65" i="7"/>
  <c r="D65" i="7"/>
  <c r="C65" i="7"/>
  <c r="AW64" i="7"/>
  <c r="AT64" i="7"/>
  <c r="AO64" i="7"/>
  <c r="AE64" i="7"/>
  <c r="AD64" i="7"/>
  <c r="G63" i="7"/>
  <c r="E63" i="7"/>
  <c r="G62" i="7"/>
  <c r="E62" i="7"/>
  <c r="L60" i="7"/>
  <c r="J60" i="7"/>
  <c r="G60" i="7"/>
  <c r="E60" i="7"/>
  <c r="AT59" i="7"/>
  <c r="AO59" i="7"/>
  <c r="AN59" i="7"/>
  <c r="BA59" i="7"/>
  <c r="AZ59" i="7"/>
  <c r="AE59" i="7"/>
  <c r="AD59" i="7"/>
  <c r="L59" i="7"/>
  <c r="I59" i="7"/>
  <c r="J59" i="7" s="1"/>
  <c r="H59" i="7"/>
  <c r="E59" i="7"/>
  <c r="G59" i="7"/>
  <c r="D59" i="7"/>
  <c r="B59" i="7"/>
  <c r="L57" i="7"/>
  <c r="L56" i="7" s="1"/>
  <c r="J57" i="7"/>
  <c r="G57" i="7"/>
  <c r="C55" i="7"/>
  <c r="E54" i="7"/>
  <c r="G54" i="7"/>
  <c r="D54" i="7"/>
  <c r="C54" i="7"/>
  <c r="A25" i="7"/>
  <c r="F16" i="7"/>
  <c r="F14" i="7"/>
  <c r="CO6" i="7"/>
  <c r="F6" i="7"/>
  <c r="CO4" i="7"/>
  <c r="F4" i="7"/>
  <c r="A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1" i="3"/>
  <c r="Y1" i="3"/>
  <c r="CY1" i="3"/>
  <c r="CZ1" i="3"/>
  <c r="DB1" i="3" s="1"/>
  <c r="DA1" i="3"/>
  <c r="DC1" i="3"/>
  <c r="A2" i="3"/>
  <c r="Y2" i="3"/>
  <c r="CY2" i="3"/>
  <c r="CZ2" i="3"/>
  <c r="DB2" i="3" s="1"/>
  <c r="DA2" i="3"/>
  <c r="DC2" i="3"/>
  <c r="A3" i="3"/>
  <c r="Y3" i="3"/>
  <c r="CY3" i="3"/>
  <c r="CZ3" i="3"/>
  <c r="DA3" i="3"/>
  <c r="DB3" i="3"/>
  <c r="DC3" i="3"/>
  <c r="A4" i="3"/>
  <c r="Y4" i="3"/>
  <c r="CY4" i="3"/>
  <c r="CZ4" i="3"/>
  <c r="DB4" i="3" s="1"/>
  <c r="DA4" i="3"/>
  <c r="DC4" i="3"/>
  <c r="A5" i="3"/>
  <c r="Y5" i="3"/>
  <c r="CY5" i="3"/>
  <c r="CZ5" i="3"/>
  <c r="DB5" i="3" s="1"/>
  <c r="DA5" i="3"/>
  <c r="DC5" i="3"/>
  <c r="A6" i="3"/>
  <c r="Y6" i="3"/>
  <c r="CY6" i="3"/>
  <c r="CZ6" i="3"/>
  <c r="DB6" i="3" s="1"/>
  <c r="DA6" i="3"/>
  <c r="DC6" i="3"/>
  <c r="A7" i="3"/>
  <c r="Y7" i="3"/>
  <c r="CY7" i="3"/>
  <c r="CZ7" i="3"/>
  <c r="DB7" i="3" s="1"/>
  <c r="DA7" i="3"/>
  <c r="DC7" i="3"/>
  <c r="A8" i="3"/>
  <c r="Y8" i="3"/>
  <c r="CY8" i="3"/>
  <c r="CZ8" i="3"/>
  <c r="DA8" i="3"/>
  <c r="DB8" i="3"/>
  <c r="DC8" i="3"/>
  <c r="A9" i="3"/>
  <c r="Y9" i="3"/>
  <c r="CY9" i="3"/>
  <c r="CZ9" i="3"/>
  <c r="DA9" i="3"/>
  <c r="DB9" i="3"/>
  <c r="DC9" i="3"/>
  <c r="A10" i="3"/>
  <c r="Y10" i="3"/>
  <c r="CY10" i="3"/>
  <c r="CZ10" i="3"/>
  <c r="DB10" i="3" s="1"/>
  <c r="DA10" i="3"/>
  <c r="DC10" i="3"/>
  <c r="A11" i="3"/>
  <c r="Y11" i="3"/>
  <c r="CY11" i="3"/>
  <c r="CZ11" i="3"/>
  <c r="DB11" i="3" s="1"/>
  <c r="DA11" i="3"/>
  <c r="DC11" i="3"/>
  <c r="A12" i="3"/>
  <c r="Y12" i="3"/>
  <c r="CY12" i="3"/>
  <c r="CZ12" i="3"/>
  <c r="DB12" i="3" s="1"/>
  <c r="DA12" i="3"/>
  <c r="DC12" i="3"/>
  <c r="A13" i="3"/>
  <c r="Y13" i="3"/>
  <c r="CY13" i="3"/>
  <c r="CZ13" i="3"/>
  <c r="DB13" i="3" s="1"/>
  <c r="DA13" i="3"/>
  <c r="DC13" i="3"/>
  <c r="A14" i="3"/>
  <c r="Y14" i="3"/>
  <c r="CY14" i="3"/>
  <c r="CZ14" i="3"/>
  <c r="DB14" i="3" s="1"/>
  <c r="DA14" i="3"/>
  <c r="DC14" i="3"/>
  <c r="A15" i="3"/>
  <c r="Y15" i="3"/>
  <c r="CY15" i="3"/>
  <c r="CZ15" i="3"/>
  <c r="DB15" i="3" s="1"/>
  <c r="DA15" i="3"/>
  <c r="DC15" i="3"/>
  <c r="A16" i="3"/>
  <c r="Y16" i="3"/>
  <c r="CY16" i="3"/>
  <c r="CZ16" i="3"/>
  <c r="DB16" i="3" s="1"/>
  <c r="DA16" i="3"/>
  <c r="DC16" i="3"/>
  <c r="A17" i="3"/>
  <c r="Y17" i="3"/>
  <c r="CY17" i="3"/>
  <c r="CZ17" i="3"/>
  <c r="DB17" i="3" s="1"/>
  <c r="DA17" i="3"/>
  <c r="DC17" i="3"/>
  <c r="A18" i="3"/>
  <c r="Y18" i="3"/>
  <c r="CY18" i="3"/>
  <c r="CZ18" i="3"/>
  <c r="DA18" i="3"/>
  <c r="DB18" i="3"/>
  <c r="DC18" i="3"/>
  <c r="A19" i="3"/>
  <c r="Y19" i="3"/>
  <c r="CY19" i="3"/>
  <c r="CZ19" i="3"/>
  <c r="DA19" i="3"/>
  <c r="DB19" i="3"/>
  <c r="DC19" i="3"/>
  <c r="A20" i="3"/>
  <c r="Y20" i="3"/>
  <c r="CY20" i="3"/>
  <c r="CZ20" i="3"/>
  <c r="DA20" i="3"/>
  <c r="DB20" i="3"/>
  <c r="DC20" i="3"/>
  <c r="A21" i="3"/>
  <c r="Y21" i="3"/>
  <c r="CY21" i="3"/>
  <c r="CZ21" i="3"/>
  <c r="DB21" i="3" s="1"/>
  <c r="DA21" i="3"/>
  <c r="DC21" i="3"/>
  <c r="A22" i="3"/>
  <c r="Y22" i="3"/>
  <c r="CY22" i="3"/>
  <c r="CZ22" i="3"/>
  <c r="DB22" i="3" s="1"/>
  <c r="DA22" i="3"/>
  <c r="DC22" i="3"/>
  <c r="A23" i="3"/>
  <c r="Y23" i="3"/>
  <c r="CY23" i="3"/>
  <c r="CZ23" i="3"/>
  <c r="DB23" i="3" s="1"/>
  <c r="DA23" i="3"/>
  <c r="DC23" i="3"/>
  <c r="A24" i="3"/>
  <c r="Y24" i="3"/>
  <c r="CY24" i="3"/>
  <c r="CZ24" i="3"/>
  <c r="DA24" i="3"/>
  <c r="DB24" i="3"/>
  <c r="DC24" i="3"/>
  <c r="A25" i="3"/>
  <c r="Y25" i="3"/>
  <c r="CY25" i="3"/>
  <c r="CZ25" i="3"/>
  <c r="DA25" i="3"/>
  <c r="DB25" i="3"/>
  <c r="DC25" i="3"/>
  <c r="A26" i="3"/>
  <c r="Y26" i="3"/>
  <c r="CY26" i="3"/>
  <c r="CZ26" i="3"/>
  <c r="DA26" i="3"/>
  <c r="DB26" i="3"/>
  <c r="DC26" i="3"/>
  <c r="A27" i="3"/>
  <c r="Y27" i="3"/>
  <c r="CY27" i="3"/>
  <c r="CZ27" i="3"/>
  <c r="DA27" i="3"/>
  <c r="DB27" i="3"/>
  <c r="DC27" i="3"/>
  <c r="A28" i="3"/>
  <c r="Y28" i="3"/>
  <c r="CY28" i="3"/>
  <c r="CZ28" i="3"/>
  <c r="DA28" i="3"/>
  <c r="DB28" i="3"/>
  <c r="DC28" i="3"/>
  <c r="A29" i="3"/>
  <c r="Y29" i="3"/>
  <c r="CY29" i="3"/>
  <c r="CZ29" i="3"/>
  <c r="DB29" i="3" s="1"/>
  <c r="DA29" i="3"/>
  <c r="DC29" i="3"/>
  <c r="A30" i="3"/>
  <c r="Y30" i="3"/>
  <c r="CY30" i="3"/>
  <c r="CZ30" i="3"/>
  <c r="DB30" i="3" s="1"/>
  <c r="DA30" i="3"/>
  <c r="DC30" i="3"/>
  <c r="A31" i="3"/>
  <c r="Y31" i="3"/>
  <c r="CY31" i="3"/>
  <c r="CZ31" i="3"/>
  <c r="DA31" i="3"/>
  <c r="DB31" i="3"/>
  <c r="DC31" i="3"/>
  <c r="A32" i="3"/>
  <c r="Y32" i="3"/>
  <c r="CY32" i="3"/>
  <c r="CZ32" i="3"/>
  <c r="DA32" i="3"/>
  <c r="DB32" i="3"/>
  <c r="DC32" i="3"/>
  <c r="A33" i="3"/>
  <c r="Y33" i="3"/>
  <c r="CY33" i="3"/>
  <c r="CZ33" i="3"/>
  <c r="DA33" i="3"/>
  <c r="DB33" i="3"/>
  <c r="DC33" i="3"/>
  <c r="A34" i="3"/>
  <c r="Y34" i="3"/>
  <c r="CY34" i="3"/>
  <c r="CZ34" i="3"/>
  <c r="DA34" i="3"/>
  <c r="DB34" i="3"/>
  <c r="DC34" i="3"/>
  <c r="A35" i="3"/>
  <c r="Y35" i="3"/>
  <c r="CY35" i="3"/>
  <c r="CZ35" i="3"/>
  <c r="DB35" i="3" s="1"/>
  <c r="DA35" i="3"/>
  <c r="DC35" i="3"/>
  <c r="A36" i="3"/>
  <c r="Y36" i="3"/>
  <c r="CY36" i="3"/>
  <c r="CZ36" i="3"/>
  <c r="DA36" i="3"/>
  <c r="DB36" i="3"/>
  <c r="DC36" i="3"/>
  <c r="A37" i="3"/>
  <c r="Y37" i="3"/>
  <c r="CY37" i="3"/>
  <c r="CZ37" i="3"/>
  <c r="DA37" i="3"/>
  <c r="DB37" i="3"/>
  <c r="DC37" i="3"/>
  <c r="A38" i="3"/>
  <c r="Y38" i="3"/>
  <c r="CY38" i="3"/>
  <c r="CZ38" i="3"/>
  <c r="DA38" i="3"/>
  <c r="DB38" i="3"/>
  <c r="DC38" i="3"/>
  <c r="A39" i="3"/>
  <c r="Y39" i="3"/>
  <c r="CY39" i="3"/>
  <c r="CZ39" i="3"/>
  <c r="DA39" i="3"/>
  <c r="DB39" i="3"/>
  <c r="DC39" i="3"/>
  <c r="A40" i="3"/>
  <c r="Y40" i="3"/>
  <c r="CY40" i="3"/>
  <c r="CZ40" i="3"/>
  <c r="DA40" i="3"/>
  <c r="DB40" i="3"/>
  <c r="DC40" i="3"/>
  <c r="A41" i="3"/>
  <c r="Y41" i="3"/>
  <c r="CY41" i="3"/>
  <c r="CZ41" i="3"/>
  <c r="DA41" i="3"/>
  <c r="DB41" i="3"/>
  <c r="DC41" i="3"/>
  <c r="A42" i="3"/>
  <c r="Y42" i="3"/>
  <c r="CY42" i="3"/>
  <c r="CZ42" i="3"/>
  <c r="DB42" i="3" s="1"/>
  <c r="DA42" i="3"/>
  <c r="DC42" i="3"/>
  <c r="A43" i="3"/>
  <c r="Y43" i="3"/>
  <c r="CY43" i="3"/>
  <c r="CZ43" i="3"/>
  <c r="DA43" i="3"/>
  <c r="DB43" i="3"/>
  <c r="DC43" i="3"/>
  <c r="A44" i="3"/>
  <c r="Y44" i="3"/>
  <c r="CY44" i="3"/>
  <c r="CZ44" i="3"/>
  <c r="DA44" i="3"/>
  <c r="DB44" i="3"/>
  <c r="DC44" i="3"/>
  <c r="A45" i="3"/>
  <c r="Y45" i="3"/>
  <c r="CY45" i="3"/>
  <c r="CZ45" i="3"/>
  <c r="DA45" i="3"/>
  <c r="DB45" i="3"/>
  <c r="DC45" i="3"/>
  <c r="A46" i="3"/>
  <c r="Y46" i="3"/>
  <c r="CY46" i="3"/>
  <c r="CZ46" i="3"/>
  <c r="DB46" i="3" s="1"/>
  <c r="DA46" i="3"/>
  <c r="DC46" i="3"/>
  <c r="A47" i="3"/>
  <c r="Y47" i="3"/>
  <c r="CY47" i="3"/>
  <c r="CZ47" i="3"/>
  <c r="DB47" i="3" s="1"/>
  <c r="DA47" i="3"/>
  <c r="DC47" i="3"/>
  <c r="A48" i="3"/>
  <c r="Y48" i="3"/>
  <c r="CY48" i="3"/>
  <c r="CZ48" i="3"/>
  <c r="DA48" i="3"/>
  <c r="DB48" i="3"/>
  <c r="DC48" i="3"/>
  <c r="A49" i="3"/>
  <c r="Y49" i="3"/>
  <c r="CY49" i="3"/>
  <c r="CZ49" i="3"/>
  <c r="DB49" i="3" s="1"/>
  <c r="DA49" i="3"/>
  <c r="DC49" i="3"/>
  <c r="A50" i="3"/>
  <c r="Y50" i="3"/>
  <c r="CY50" i="3"/>
  <c r="CZ50" i="3"/>
  <c r="DA50" i="3"/>
  <c r="DB50" i="3"/>
  <c r="DC50" i="3"/>
  <c r="A51" i="3"/>
  <c r="Y51" i="3"/>
  <c r="CY51" i="3"/>
  <c r="CZ51" i="3"/>
  <c r="DA51" i="3"/>
  <c r="DB51" i="3"/>
  <c r="DC51" i="3"/>
  <c r="A52" i="3"/>
  <c r="Y52" i="3"/>
  <c r="CY52" i="3"/>
  <c r="CZ52" i="3"/>
  <c r="DB52" i="3" s="1"/>
  <c r="DA52" i="3"/>
  <c r="DC52" i="3"/>
  <c r="A53" i="3"/>
  <c r="Y53" i="3"/>
  <c r="CY53" i="3"/>
  <c r="CZ53" i="3"/>
  <c r="DB53" i="3" s="1"/>
  <c r="DA53" i="3"/>
  <c r="DC53" i="3"/>
  <c r="A54" i="3"/>
  <c r="Y54" i="3"/>
  <c r="CY54" i="3"/>
  <c r="CZ54" i="3"/>
  <c r="DA54" i="3"/>
  <c r="DB54" i="3"/>
  <c r="DC54" i="3"/>
  <c r="A55" i="3"/>
  <c r="Y55" i="3"/>
  <c r="CY55" i="3"/>
  <c r="CZ55" i="3"/>
  <c r="DB55" i="3" s="1"/>
  <c r="DA55" i="3"/>
  <c r="DC55" i="3"/>
  <c r="A56" i="3"/>
  <c r="Y56" i="3"/>
  <c r="CY56" i="3"/>
  <c r="CZ56" i="3"/>
  <c r="DA56" i="3"/>
  <c r="DB56" i="3"/>
  <c r="DC56" i="3"/>
  <c r="A57" i="3"/>
  <c r="Y57" i="3"/>
  <c r="CY57" i="3"/>
  <c r="CZ57" i="3"/>
  <c r="DB57" i="3" s="1"/>
  <c r="DA57" i="3"/>
  <c r="DC57" i="3"/>
  <c r="A58" i="3"/>
  <c r="Y58" i="3"/>
  <c r="CY58" i="3"/>
  <c r="CZ58" i="3"/>
  <c r="DA58" i="3"/>
  <c r="DB58" i="3"/>
  <c r="DC58" i="3"/>
  <c r="A59" i="3"/>
  <c r="Y59" i="3"/>
  <c r="CY59" i="3"/>
  <c r="CZ59" i="3"/>
  <c r="DA59" i="3"/>
  <c r="DB59" i="3"/>
  <c r="DC59" i="3"/>
  <c r="A60" i="3"/>
  <c r="Y60" i="3"/>
  <c r="CY60" i="3"/>
  <c r="CZ60" i="3"/>
  <c r="DB60" i="3" s="1"/>
  <c r="DA60" i="3"/>
  <c r="DC60" i="3"/>
  <c r="A61" i="3"/>
  <c r="Y61" i="3"/>
  <c r="CY61" i="3"/>
  <c r="CZ61" i="3"/>
  <c r="DB61" i="3" s="1"/>
  <c r="DA61" i="3"/>
  <c r="DC61" i="3"/>
  <c r="A62" i="3"/>
  <c r="Y62" i="3"/>
  <c r="CY62" i="3"/>
  <c r="CZ62" i="3"/>
  <c r="DA62" i="3"/>
  <c r="DB62" i="3"/>
  <c r="DC62" i="3"/>
  <c r="A63" i="3"/>
  <c r="Y63" i="3"/>
  <c r="CY63" i="3"/>
  <c r="CZ63" i="3"/>
  <c r="DA63" i="3"/>
  <c r="DB63" i="3"/>
  <c r="DC63" i="3"/>
  <c r="A64" i="3"/>
  <c r="Y64" i="3"/>
  <c r="CY64" i="3"/>
  <c r="CZ64" i="3"/>
  <c r="DA64" i="3"/>
  <c r="DB64" i="3"/>
  <c r="DC64" i="3"/>
  <c r="A65" i="3"/>
  <c r="Y65" i="3"/>
  <c r="CY65" i="3"/>
  <c r="CZ65" i="3"/>
  <c r="DA65" i="3"/>
  <c r="DB65" i="3"/>
  <c r="DC65" i="3"/>
  <c r="A66" i="3"/>
  <c r="Y66" i="3"/>
  <c r="CY66" i="3"/>
  <c r="CZ66" i="3"/>
  <c r="DB66" i="3" s="1"/>
  <c r="DA66" i="3"/>
  <c r="DC66" i="3"/>
  <c r="A67" i="3"/>
  <c r="Y67" i="3"/>
  <c r="CY67" i="3"/>
  <c r="CZ67" i="3"/>
  <c r="DB67" i="3" s="1"/>
  <c r="DA67" i="3"/>
  <c r="DC67" i="3"/>
  <c r="A68" i="3"/>
  <c r="Y68" i="3"/>
  <c r="CY68" i="3"/>
  <c r="CZ68" i="3"/>
  <c r="DB68" i="3" s="1"/>
  <c r="DA68" i="3"/>
  <c r="DC68" i="3"/>
  <c r="A69" i="3"/>
  <c r="Y69" i="3"/>
  <c r="CY69" i="3"/>
  <c r="CZ69" i="3"/>
  <c r="DB69" i="3" s="1"/>
  <c r="DA69" i="3"/>
  <c r="DC69" i="3"/>
  <c r="A70" i="3"/>
  <c r="Y70" i="3"/>
  <c r="CY70" i="3"/>
  <c r="CZ70" i="3"/>
  <c r="DB70" i="3" s="1"/>
  <c r="DA70" i="3"/>
  <c r="DC70" i="3"/>
  <c r="A71" i="3"/>
  <c r="Y71" i="3"/>
  <c r="CY71" i="3"/>
  <c r="CZ71" i="3"/>
  <c r="DA71" i="3"/>
  <c r="DB71" i="3"/>
  <c r="DC71" i="3"/>
  <c r="A72" i="3"/>
  <c r="Y72" i="3"/>
  <c r="CY72" i="3"/>
  <c r="CZ72" i="3"/>
  <c r="DB72" i="3" s="1"/>
  <c r="DA72" i="3"/>
  <c r="DC72" i="3"/>
  <c r="A73" i="3"/>
  <c r="Y73" i="3"/>
  <c r="CY73" i="3"/>
  <c r="CZ73" i="3"/>
  <c r="DB73" i="3" s="1"/>
  <c r="DA73" i="3"/>
  <c r="DC73" i="3"/>
  <c r="A74" i="3"/>
  <c r="Y74" i="3"/>
  <c r="CY74" i="3"/>
  <c r="CZ74" i="3"/>
  <c r="DA74" i="3"/>
  <c r="DB74" i="3"/>
  <c r="DC74" i="3"/>
  <c r="A75" i="3"/>
  <c r="Y75" i="3"/>
  <c r="CY75" i="3"/>
  <c r="CZ75" i="3"/>
  <c r="DA75" i="3"/>
  <c r="DB75" i="3"/>
  <c r="DC75" i="3"/>
  <c r="A76" i="3"/>
  <c r="Y76" i="3"/>
  <c r="CY76" i="3"/>
  <c r="CZ76" i="3"/>
  <c r="DB76" i="3" s="1"/>
  <c r="DA76" i="3"/>
  <c r="DC76" i="3"/>
  <c r="A77" i="3"/>
  <c r="Y77" i="3"/>
  <c r="CY77" i="3"/>
  <c r="CZ77" i="3"/>
  <c r="DB77" i="3" s="1"/>
  <c r="DA77" i="3"/>
  <c r="DC77" i="3"/>
  <c r="A78" i="3"/>
  <c r="Y78" i="3"/>
  <c r="CY78" i="3"/>
  <c r="CZ78" i="3"/>
  <c r="DB78" i="3" s="1"/>
  <c r="DA78" i="3"/>
  <c r="DC78" i="3"/>
  <c r="A79" i="3"/>
  <c r="Y79" i="3"/>
  <c r="CY79" i="3"/>
  <c r="CZ79" i="3"/>
  <c r="DB79" i="3" s="1"/>
  <c r="DA79" i="3"/>
  <c r="DC79" i="3"/>
  <c r="A80" i="3"/>
  <c r="Y80" i="3"/>
  <c r="CY80" i="3"/>
  <c r="CZ80" i="3"/>
  <c r="DA80" i="3"/>
  <c r="DB80" i="3"/>
  <c r="DC80" i="3"/>
  <c r="A81" i="3"/>
  <c r="Y81" i="3"/>
  <c r="CY81" i="3"/>
  <c r="CZ81" i="3"/>
  <c r="DA81" i="3"/>
  <c r="DB81" i="3"/>
  <c r="DC81" i="3"/>
  <c r="A82" i="3"/>
  <c r="Y82" i="3"/>
  <c r="CY82" i="3"/>
  <c r="CZ82" i="3"/>
  <c r="DA82" i="3"/>
  <c r="DB82" i="3"/>
  <c r="DC82" i="3"/>
  <c r="A83" i="3"/>
  <c r="Y83" i="3"/>
  <c r="CY83" i="3"/>
  <c r="CZ83" i="3"/>
  <c r="DB83" i="3" s="1"/>
  <c r="DA83" i="3"/>
  <c r="DC83" i="3"/>
  <c r="A84" i="3"/>
  <c r="Y84" i="3"/>
  <c r="CY84" i="3"/>
  <c r="CZ84" i="3"/>
  <c r="DB84" i="3" s="1"/>
  <c r="DA84" i="3"/>
  <c r="DC84" i="3"/>
  <c r="A85" i="3"/>
  <c r="Y85" i="3"/>
  <c r="CY85" i="3"/>
  <c r="CZ85" i="3"/>
  <c r="DB85" i="3" s="1"/>
  <c r="DA85" i="3"/>
  <c r="DC85" i="3"/>
  <c r="A86" i="3"/>
  <c r="Y86" i="3"/>
  <c r="CY86" i="3"/>
  <c r="CZ86" i="3"/>
  <c r="DA86" i="3"/>
  <c r="DB86" i="3"/>
  <c r="DC86" i="3"/>
  <c r="A87" i="3"/>
  <c r="Y87" i="3"/>
  <c r="CY87" i="3"/>
  <c r="CZ87" i="3"/>
  <c r="DA87" i="3"/>
  <c r="DB87" i="3"/>
  <c r="DC87" i="3"/>
  <c r="A88" i="3"/>
  <c r="Y88" i="3"/>
  <c r="CY88" i="3"/>
  <c r="CZ88" i="3"/>
  <c r="DB88" i="3" s="1"/>
  <c r="DA88" i="3"/>
  <c r="DC88" i="3"/>
  <c r="A89" i="3"/>
  <c r="Y89" i="3"/>
  <c r="CY89" i="3"/>
  <c r="CZ89" i="3"/>
  <c r="DB89" i="3" s="1"/>
  <c r="DA89" i="3"/>
  <c r="DC89" i="3"/>
  <c r="A90" i="3"/>
  <c r="Y90" i="3"/>
  <c r="CY90" i="3"/>
  <c r="CZ90" i="3"/>
  <c r="DA90" i="3"/>
  <c r="DB90" i="3"/>
  <c r="DC90" i="3"/>
  <c r="A91" i="3"/>
  <c r="Y91" i="3"/>
  <c r="CY91" i="3"/>
  <c r="CZ91" i="3"/>
  <c r="DB91" i="3" s="1"/>
  <c r="DA91" i="3"/>
  <c r="DC91" i="3"/>
  <c r="A92" i="3"/>
  <c r="Y92" i="3"/>
  <c r="CY92" i="3"/>
  <c r="CZ92" i="3"/>
  <c r="DA92" i="3"/>
  <c r="DB92" i="3"/>
  <c r="DC92" i="3"/>
  <c r="A93" i="3"/>
  <c r="Y93" i="3"/>
  <c r="CY93" i="3"/>
  <c r="CZ93" i="3"/>
  <c r="DB93" i="3" s="1"/>
  <c r="DA93" i="3"/>
  <c r="DC93" i="3"/>
  <c r="A94" i="3"/>
  <c r="Y94" i="3"/>
  <c r="CY94" i="3"/>
  <c r="CZ94" i="3"/>
  <c r="DB94" i="3" s="1"/>
  <c r="DA94" i="3"/>
  <c r="DC94" i="3"/>
  <c r="A95" i="3"/>
  <c r="Y95" i="3"/>
  <c r="CY95" i="3"/>
  <c r="CZ95" i="3"/>
  <c r="DB95" i="3" s="1"/>
  <c r="DA95" i="3"/>
  <c r="DC95" i="3"/>
  <c r="A96" i="3"/>
  <c r="Y96" i="3"/>
  <c r="CY96" i="3"/>
  <c r="CZ96" i="3"/>
  <c r="DA96" i="3"/>
  <c r="DB96" i="3"/>
  <c r="DC96" i="3"/>
  <c r="A97" i="3"/>
  <c r="Y97" i="3"/>
  <c r="CY97" i="3"/>
  <c r="CZ97" i="3"/>
  <c r="DA97" i="3"/>
  <c r="DB97" i="3"/>
  <c r="DC97" i="3"/>
  <c r="A98" i="3"/>
  <c r="Y98" i="3"/>
  <c r="CY98" i="3"/>
  <c r="CZ98" i="3"/>
  <c r="DB98" i="3" s="1"/>
  <c r="DA98" i="3"/>
  <c r="DC98" i="3"/>
  <c r="A99" i="3"/>
  <c r="Y99" i="3"/>
  <c r="CY99" i="3"/>
  <c r="CZ99" i="3"/>
  <c r="DB99" i="3" s="1"/>
  <c r="DA99" i="3"/>
  <c r="DC99" i="3"/>
  <c r="A100" i="3"/>
  <c r="Y100" i="3"/>
  <c r="CY100" i="3"/>
  <c r="CZ100" i="3"/>
  <c r="DA100" i="3"/>
  <c r="DB100" i="3"/>
  <c r="DC100" i="3"/>
  <c r="A101" i="3"/>
  <c r="Y101" i="3"/>
  <c r="CY101" i="3"/>
  <c r="CZ101" i="3"/>
  <c r="DB101" i="3" s="1"/>
  <c r="DA101" i="3"/>
  <c r="DC101" i="3"/>
  <c r="A102" i="3"/>
  <c r="Y102" i="3"/>
  <c r="CY102" i="3"/>
  <c r="CZ102" i="3"/>
  <c r="DB102" i="3" s="1"/>
  <c r="DA102" i="3"/>
  <c r="DC102" i="3"/>
  <c r="A103" i="3"/>
  <c r="Y103" i="3"/>
  <c r="CY103" i="3"/>
  <c r="CZ103" i="3"/>
  <c r="DB103" i="3" s="1"/>
  <c r="DA103" i="3"/>
  <c r="DC103" i="3"/>
  <c r="A104" i="3"/>
  <c r="Y104" i="3"/>
  <c r="CY104" i="3"/>
  <c r="CZ104" i="3"/>
  <c r="DB104" i="3" s="1"/>
  <c r="DA104" i="3"/>
  <c r="DC104" i="3"/>
  <c r="A105" i="3"/>
  <c r="Y105" i="3"/>
  <c r="CY105" i="3"/>
  <c r="CZ105" i="3"/>
  <c r="DB105" i="3" s="1"/>
  <c r="DA105" i="3"/>
  <c r="DC105" i="3"/>
  <c r="A106" i="3"/>
  <c r="Y106" i="3"/>
  <c r="CY106" i="3"/>
  <c r="CZ106" i="3"/>
  <c r="DB106" i="3" s="1"/>
  <c r="DA106" i="3"/>
  <c r="DC106" i="3"/>
  <c r="A107" i="3"/>
  <c r="Y107" i="3"/>
  <c r="CY107" i="3"/>
  <c r="CZ107" i="3"/>
  <c r="DB107" i="3" s="1"/>
  <c r="DA107" i="3"/>
  <c r="DC107" i="3"/>
  <c r="A108" i="3"/>
  <c r="Y108" i="3"/>
  <c r="CY108" i="3"/>
  <c r="CZ108" i="3"/>
  <c r="DA108" i="3"/>
  <c r="DB108" i="3"/>
  <c r="DC108" i="3"/>
  <c r="A109" i="3"/>
  <c r="Y109" i="3"/>
  <c r="CY109" i="3"/>
  <c r="CZ109" i="3"/>
  <c r="DA109" i="3"/>
  <c r="DB109" i="3"/>
  <c r="DC109" i="3"/>
  <c r="A110" i="3"/>
  <c r="Y110" i="3"/>
  <c r="CY110" i="3"/>
  <c r="CZ110" i="3"/>
  <c r="DA110" i="3"/>
  <c r="DB110" i="3"/>
  <c r="DC110" i="3"/>
  <c r="A111" i="3"/>
  <c r="Y111" i="3"/>
  <c r="CY111" i="3"/>
  <c r="CZ111" i="3"/>
  <c r="DA111" i="3"/>
  <c r="DB111" i="3"/>
  <c r="DC111" i="3"/>
  <c r="A112" i="3"/>
  <c r="Y112" i="3"/>
  <c r="CY112" i="3"/>
  <c r="CZ112" i="3"/>
  <c r="DA112" i="3"/>
  <c r="DB112" i="3"/>
  <c r="DC112" i="3"/>
  <c r="A113" i="3"/>
  <c r="Y113" i="3"/>
  <c r="CY113" i="3"/>
  <c r="CZ113" i="3"/>
  <c r="DB113" i="3" s="1"/>
  <c r="DA113" i="3"/>
  <c r="DC113" i="3"/>
  <c r="A114" i="3"/>
  <c r="Y114" i="3"/>
  <c r="CY114" i="3"/>
  <c r="CZ114" i="3"/>
  <c r="DB114" i="3" s="1"/>
  <c r="DA114" i="3"/>
  <c r="DC114" i="3"/>
  <c r="A115" i="3"/>
  <c r="Y115" i="3"/>
  <c r="CY115" i="3"/>
  <c r="CZ115" i="3"/>
  <c r="DA115" i="3"/>
  <c r="DB115" i="3"/>
  <c r="DC115" i="3"/>
  <c r="A116" i="3"/>
  <c r="Y116" i="3"/>
  <c r="CY116" i="3"/>
  <c r="CZ116" i="3"/>
  <c r="DA116" i="3"/>
  <c r="DB116" i="3"/>
  <c r="DC116" i="3"/>
  <c r="A117" i="3"/>
  <c r="Y117" i="3"/>
  <c r="CY117" i="3"/>
  <c r="CZ117" i="3"/>
  <c r="DB117" i="3" s="1"/>
  <c r="DA117" i="3"/>
  <c r="DC117" i="3"/>
  <c r="A118" i="3"/>
  <c r="Y118" i="3"/>
  <c r="CY118" i="3"/>
  <c r="CZ118" i="3"/>
  <c r="DA118" i="3"/>
  <c r="DB118" i="3"/>
  <c r="DC118" i="3"/>
  <c r="A119" i="3"/>
  <c r="Y119" i="3"/>
  <c r="CY119" i="3"/>
  <c r="CZ119" i="3"/>
  <c r="DB119" i="3" s="1"/>
  <c r="DA119" i="3"/>
  <c r="DC119" i="3"/>
  <c r="A120" i="3"/>
  <c r="Y120" i="3"/>
  <c r="CY120" i="3"/>
  <c r="CZ120" i="3"/>
  <c r="DA120" i="3"/>
  <c r="DB120" i="3"/>
  <c r="DC120" i="3"/>
  <c r="A121" i="3"/>
  <c r="Y121" i="3"/>
  <c r="CY121" i="3"/>
  <c r="CZ121" i="3"/>
  <c r="DA121" i="3"/>
  <c r="DB121" i="3"/>
  <c r="DC121" i="3"/>
  <c r="A122" i="3"/>
  <c r="Y122" i="3"/>
  <c r="CY122" i="3"/>
  <c r="CZ122" i="3"/>
  <c r="DB122" i="3" s="1"/>
  <c r="DA122" i="3"/>
  <c r="DC122" i="3"/>
  <c r="A123" i="3"/>
  <c r="Y123" i="3"/>
  <c r="CY123" i="3"/>
  <c r="CZ123" i="3"/>
  <c r="DB123" i="3" s="1"/>
  <c r="DA123" i="3"/>
  <c r="DC123" i="3"/>
  <c r="A124" i="3"/>
  <c r="Y124" i="3"/>
  <c r="CY124" i="3"/>
  <c r="CZ124" i="3"/>
  <c r="DB124" i="3" s="1"/>
  <c r="DA124" i="3"/>
  <c r="DC124" i="3"/>
  <c r="A125" i="3"/>
  <c r="Y125" i="3"/>
  <c r="CY125" i="3"/>
  <c r="CZ125" i="3"/>
  <c r="DA125" i="3"/>
  <c r="DB125" i="3"/>
  <c r="DC125" i="3"/>
  <c r="A126" i="3"/>
  <c r="Y126" i="3"/>
  <c r="CY126" i="3"/>
  <c r="CZ126" i="3"/>
  <c r="DA126" i="3"/>
  <c r="DB126" i="3"/>
  <c r="DC126" i="3"/>
  <c r="A127" i="3"/>
  <c r="Y127" i="3"/>
  <c r="CY127" i="3"/>
  <c r="CZ127" i="3"/>
  <c r="DB127" i="3" s="1"/>
  <c r="DA127" i="3"/>
  <c r="DC127" i="3"/>
  <c r="A128" i="3"/>
  <c r="Y128" i="3"/>
  <c r="CY128" i="3"/>
  <c r="CZ128" i="3"/>
  <c r="DA128" i="3"/>
  <c r="DB128" i="3"/>
  <c r="DC128" i="3"/>
  <c r="A129" i="3"/>
  <c r="Y129" i="3"/>
  <c r="CY129" i="3"/>
  <c r="CZ129" i="3"/>
  <c r="DB129" i="3" s="1"/>
  <c r="DA129" i="3"/>
  <c r="DC129" i="3"/>
  <c r="A130" i="3"/>
  <c r="Y130" i="3"/>
  <c r="CU130" i="3"/>
  <c r="CY130" i="3"/>
  <c r="CZ130" i="3"/>
  <c r="DB130" i="3" s="1"/>
  <c r="DA130" i="3"/>
  <c r="DC130" i="3"/>
  <c r="A131" i="3"/>
  <c r="Y131" i="3"/>
  <c r="CX131" i="3"/>
  <c r="CY131" i="3"/>
  <c r="CZ131" i="3"/>
  <c r="DA131" i="3"/>
  <c r="DB131" i="3"/>
  <c r="DC131" i="3"/>
  <c r="DF131" i="3"/>
  <c r="A132" i="3"/>
  <c r="Y132" i="3"/>
  <c r="CW132" i="3"/>
  <c r="CX132" i="3"/>
  <c r="CY132" i="3"/>
  <c r="CZ132" i="3"/>
  <c r="DA132" i="3"/>
  <c r="DB132" i="3"/>
  <c r="DC132" i="3"/>
  <c r="DF132" i="3"/>
  <c r="A133" i="3"/>
  <c r="Y133" i="3"/>
  <c r="CW133" i="3" s="1"/>
  <c r="CX133" i="3"/>
  <c r="DG133" i="3" s="1"/>
  <c r="CY133" i="3"/>
  <c r="CZ133" i="3"/>
  <c r="DB133" i="3" s="1"/>
  <c r="DA133" i="3"/>
  <c r="DC133" i="3"/>
  <c r="A134" i="3"/>
  <c r="Y134" i="3"/>
  <c r="CX134" i="3"/>
  <c r="DG134" i="3" s="1"/>
  <c r="CY134" i="3"/>
  <c r="CZ134" i="3"/>
  <c r="DA134" i="3"/>
  <c r="DB134" i="3"/>
  <c r="DC134" i="3"/>
  <c r="DF134" i="3"/>
  <c r="DJ134" i="3" s="1"/>
  <c r="DI134" i="3"/>
  <c r="A135" i="3"/>
  <c r="Y135" i="3"/>
  <c r="CX135" i="3"/>
  <c r="CY135" i="3"/>
  <c r="CZ135" i="3"/>
  <c r="DB135" i="3" s="1"/>
  <c r="DA135" i="3"/>
  <c r="DC135" i="3"/>
  <c r="DH135" i="3"/>
  <c r="A136" i="3"/>
  <c r="Y136" i="3"/>
  <c r="CX136" i="3"/>
  <c r="CY136" i="3"/>
  <c r="CZ136" i="3"/>
  <c r="DB136" i="3" s="1"/>
  <c r="DA136" i="3"/>
  <c r="DC136" i="3"/>
  <c r="A137" i="3"/>
  <c r="Y137" i="3"/>
  <c r="CX137" i="3" s="1"/>
  <c r="CY137" i="3"/>
  <c r="CZ137" i="3"/>
  <c r="DA137" i="3"/>
  <c r="DB137" i="3"/>
  <c r="DC137" i="3"/>
  <c r="A138" i="3"/>
  <c r="Y138" i="3"/>
  <c r="CX138" i="3" s="1"/>
  <c r="CY138" i="3"/>
  <c r="CZ138" i="3"/>
  <c r="DA138" i="3"/>
  <c r="DB138" i="3"/>
  <c r="DC138" i="3"/>
  <c r="A139" i="3"/>
  <c r="Y139" i="3"/>
  <c r="CY139" i="3"/>
  <c r="CZ139" i="3"/>
  <c r="DB139" i="3" s="1"/>
  <c r="DA139" i="3"/>
  <c r="DC139" i="3"/>
  <c r="A140" i="3"/>
  <c r="Y140" i="3"/>
  <c r="CY140" i="3"/>
  <c r="CZ140" i="3"/>
  <c r="DB140" i="3" s="1"/>
  <c r="DA140" i="3"/>
  <c r="DC140" i="3"/>
  <c r="A141" i="3"/>
  <c r="Y141" i="3"/>
  <c r="CY141" i="3"/>
  <c r="CZ141" i="3"/>
  <c r="DA141" i="3"/>
  <c r="DB141" i="3"/>
  <c r="DC141" i="3"/>
  <c r="A142" i="3"/>
  <c r="Y142" i="3"/>
  <c r="CY142" i="3"/>
  <c r="CZ142" i="3"/>
  <c r="DA142" i="3"/>
  <c r="DB142" i="3"/>
  <c r="DC142" i="3"/>
  <c r="A143" i="3"/>
  <c r="Y143" i="3"/>
  <c r="CY143" i="3"/>
  <c r="CZ143" i="3"/>
  <c r="DB143" i="3" s="1"/>
  <c r="DA143" i="3"/>
  <c r="DC143" i="3"/>
  <c r="A144" i="3"/>
  <c r="Y144" i="3"/>
  <c r="CY144" i="3"/>
  <c r="CZ144" i="3"/>
  <c r="DB144" i="3" s="1"/>
  <c r="DA144" i="3"/>
  <c r="DC144" i="3"/>
  <c r="A145" i="3"/>
  <c r="Y145" i="3"/>
  <c r="CY145" i="3"/>
  <c r="CZ145" i="3"/>
  <c r="DA145" i="3"/>
  <c r="DB145" i="3"/>
  <c r="DC145" i="3"/>
  <c r="A146" i="3"/>
  <c r="Y146" i="3"/>
  <c r="CY146" i="3"/>
  <c r="CZ146" i="3"/>
  <c r="DB146" i="3" s="1"/>
  <c r="DA146" i="3"/>
  <c r="DC146" i="3"/>
  <c r="A147" i="3"/>
  <c r="Y147" i="3"/>
  <c r="CY147" i="3"/>
  <c r="CZ147" i="3"/>
  <c r="DB147" i="3" s="1"/>
  <c r="DA147" i="3"/>
  <c r="DC147" i="3"/>
  <c r="A148" i="3"/>
  <c r="Y148" i="3"/>
  <c r="CY148" i="3"/>
  <c r="CZ148" i="3"/>
  <c r="DA148" i="3"/>
  <c r="DB148" i="3"/>
  <c r="DC148" i="3"/>
  <c r="A149" i="3"/>
  <c r="Y149" i="3"/>
  <c r="CY149" i="3"/>
  <c r="CZ149" i="3"/>
  <c r="DA149" i="3"/>
  <c r="DB149" i="3"/>
  <c r="DC149" i="3"/>
  <c r="A150" i="3"/>
  <c r="Y150" i="3"/>
  <c r="CY150" i="3"/>
  <c r="CZ150" i="3"/>
  <c r="DA150" i="3"/>
  <c r="DB150" i="3"/>
  <c r="DC150" i="3"/>
  <c r="A151" i="3"/>
  <c r="Y151" i="3"/>
  <c r="CY151" i="3"/>
  <c r="CZ151" i="3"/>
  <c r="DB151" i="3" s="1"/>
  <c r="DA151" i="3"/>
  <c r="DC151" i="3"/>
  <c r="A152" i="3"/>
  <c r="Y152" i="3"/>
  <c r="CY152" i="3"/>
  <c r="CZ152" i="3"/>
  <c r="DB152" i="3" s="1"/>
  <c r="DA152" i="3"/>
  <c r="DC152" i="3"/>
  <c r="A153" i="3"/>
  <c r="Y153" i="3"/>
  <c r="CY153" i="3"/>
  <c r="CZ153" i="3"/>
  <c r="DB153" i="3" s="1"/>
  <c r="DA153" i="3"/>
  <c r="DC153" i="3"/>
  <c r="A154" i="3"/>
  <c r="Y154" i="3"/>
  <c r="CY154" i="3"/>
  <c r="CZ154" i="3"/>
  <c r="DA154" i="3"/>
  <c r="DB154" i="3"/>
  <c r="DC154" i="3"/>
  <c r="A155" i="3"/>
  <c r="Y155" i="3"/>
  <c r="CY155" i="3"/>
  <c r="CZ155" i="3"/>
  <c r="DA155" i="3"/>
  <c r="DB155" i="3"/>
  <c r="DC155" i="3"/>
  <c r="A156" i="3"/>
  <c r="Y156" i="3"/>
  <c r="CY156" i="3"/>
  <c r="CZ156" i="3"/>
  <c r="DB156" i="3" s="1"/>
  <c r="DA156" i="3"/>
  <c r="DC156" i="3"/>
  <c r="A157" i="3"/>
  <c r="Y157" i="3"/>
  <c r="CY157" i="3"/>
  <c r="CZ157" i="3"/>
  <c r="DA157" i="3"/>
  <c r="DB157" i="3"/>
  <c r="DC157" i="3"/>
  <c r="A158" i="3"/>
  <c r="Y158" i="3"/>
  <c r="CY158" i="3"/>
  <c r="CZ158" i="3"/>
  <c r="DA158" i="3"/>
  <c r="DB158" i="3"/>
  <c r="DC158" i="3"/>
  <c r="A159" i="3"/>
  <c r="Y159" i="3"/>
  <c r="CY159" i="3"/>
  <c r="CZ159" i="3"/>
  <c r="DA159" i="3"/>
  <c r="DB159" i="3"/>
  <c r="DC159" i="3"/>
  <c r="A160" i="3"/>
  <c r="Y160" i="3"/>
  <c r="CY160" i="3"/>
  <c r="CZ160" i="3"/>
  <c r="DB160" i="3" s="1"/>
  <c r="DA160" i="3"/>
  <c r="DC160" i="3"/>
  <c r="A161" i="3"/>
  <c r="Y161" i="3"/>
  <c r="CY161" i="3"/>
  <c r="CZ161" i="3"/>
  <c r="DB161" i="3" s="1"/>
  <c r="DA161" i="3"/>
  <c r="DC161" i="3"/>
  <c r="A162" i="3"/>
  <c r="Y162" i="3"/>
  <c r="CY162" i="3"/>
  <c r="CZ162" i="3"/>
  <c r="DA162" i="3"/>
  <c r="DB162" i="3"/>
  <c r="DC162" i="3"/>
  <c r="A163" i="3"/>
  <c r="Y163" i="3"/>
  <c r="CY163" i="3"/>
  <c r="CZ163" i="3"/>
  <c r="DA163" i="3"/>
  <c r="DB163" i="3"/>
  <c r="DC163" i="3"/>
  <c r="A164" i="3"/>
  <c r="Y164" i="3"/>
  <c r="CY164" i="3"/>
  <c r="CZ164" i="3"/>
  <c r="DB164" i="3" s="1"/>
  <c r="DA164" i="3"/>
  <c r="DC164" i="3"/>
  <c r="A165" i="3"/>
  <c r="Y165" i="3"/>
  <c r="CY165" i="3"/>
  <c r="CZ165" i="3"/>
  <c r="DA165" i="3"/>
  <c r="DB165" i="3"/>
  <c r="DC165" i="3"/>
  <c r="A166" i="3"/>
  <c r="Y166" i="3"/>
  <c r="CY166" i="3"/>
  <c r="CZ166" i="3"/>
  <c r="DA166" i="3"/>
  <c r="DB166" i="3"/>
  <c r="DC166" i="3"/>
  <c r="A167" i="3"/>
  <c r="Y167" i="3"/>
  <c r="CY167" i="3"/>
  <c r="CZ167" i="3"/>
  <c r="DA167" i="3"/>
  <c r="DB167" i="3"/>
  <c r="DC167" i="3"/>
  <c r="A168" i="3"/>
  <c r="Y168" i="3"/>
  <c r="CY168" i="3"/>
  <c r="CZ168" i="3"/>
  <c r="DA168" i="3"/>
  <c r="DB168" i="3"/>
  <c r="DC168" i="3"/>
  <c r="A169" i="3"/>
  <c r="Y169" i="3"/>
  <c r="CY169" i="3"/>
  <c r="CZ169" i="3"/>
  <c r="DA169" i="3"/>
  <c r="DB169" i="3"/>
  <c r="DC169" i="3"/>
  <c r="A170" i="3"/>
  <c r="Y170" i="3"/>
  <c r="CY170" i="3"/>
  <c r="CZ170" i="3"/>
  <c r="DA170" i="3"/>
  <c r="DB170" i="3"/>
  <c r="DC170" i="3"/>
  <c r="A171" i="3"/>
  <c r="Y171" i="3"/>
  <c r="CY171" i="3"/>
  <c r="CZ171" i="3"/>
  <c r="DA171" i="3"/>
  <c r="DB171" i="3"/>
  <c r="DC171" i="3"/>
  <c r="A172" i="3"/>
  <c r="Y172" i="3"/>
  <c r="CY172" i="3"/>
  <c r="CZ172" i="3"/>
  <c r="DA172" i="3"/>
  <c r="DB172" i="3"/>
  <c r="DC172" i="3"/>
  <c r="A173" i="3"/>
  <c r="Y173" i="3"/>
  <c r="CY173" i="3"/>
  <c r="CZ173" i="3"/>
  <c r="DA173" i="3"/>
  <c r="DB173" i="3"/>
  <c r="DC173" i="3"/>
  <c r="A174" i="3"/>
  <c r="Y174" i="3"/>
  <c r="CY174" i="3"/>
  <c r="CZ174" i="3"/>
  <c r="DA174" i="3"/>
  <c r="DB174" i="3"/>
  <c r="DC174" i="3"/>
  <c r="A175" i="3"/>
  <c r="Y175" i="3"/>
  <c r="CY175" i="3"/>
  <c r="CZ175" i="3"/>
  <c r="DA175" i="3"/>
  <c r="DB175" i="3"/>
  <c r="DC175" i="3"/>
  <c r="A176" i="3"/>
  <c r="Y176" i="3"/>
  <c r="CY176" i="3"/>
  <c r="CZ176" i="3"/>
  <c r="DA176" i="3"/>
  <c r="DB176" i="3"/>
  <c r="DC176" i="3"/>
  <c r="A177" i="3"/>
  <c r="Y177" i="3"/>
  <c r="CY177" i="3"/>
  <c r="CZ177" i="3"/>
  <c r="DB177" i="3" s="1"/>
  <c r="DA177" i="3"/>
  <c r="DC177" i="3"/>
  <c r="A178" i="3"/>
  <c r="Y178" i="3"/>
  <c r="CY178" i="3"/>
  <c r="CZ178" i="3"/>
  <c r="DB178" i="3" s="1"/>
  <c r="DA178" i="3"/>
  <c r="DC178" i="3"/>
  <c r="A179" i="3"/>
  <c r="Y179" i="3"/>
  <c r="CY179" i="3"/>
  <c r="CZ179" i="3"/>
  <c r="DB179" i="3" s="1"/>
  <c r="DA179" i="3"/>
  <c r="DC179" i="3"/>
  <c r="A180" i="3"/>
  <c r="Y180" i="3"/>
  <c r="CY180" i="3"/>
  <c r="CZ180" i="3"/>
  <c r="DB180" i="3" s="1"/>
  <c r="DA180" i="3"/>
  <c r="DC180" i="3"/>
  <c r="A181" i="3"/>
  <c r="Y181" i="3"/>
  <c r="CY181" i="3"/>
  <c r="CZ181" i="3"/>
  <c r="DA181" i="3"/>
  <c r="DB181" i="3"/>
  <c r="DC181" i="3"/>
  <c r="A182" i="3"/>
  <c r="Y182" i="3"/>
  <c r="CY182" i="3"/>
  <c r="CZ182" i="3"/>
  <c r="DA182" i="3"/>
  <c r="DB182" i="3"/>
  <c r="DC182" i="3"/>
  <c r="A183" i="3"/>
  <c r="Y183" i="3"/>
  <c r="CY183" i="3"/>
  <c r="CZ183" i="3"/>
  <c r="DB183" i="3" s="1"/>
  <c r="DA183" i="3"/>
  <c r="DC183" i="3"/>
  <c r="A184" i="3"/>
  <c r="Y184" i="3"/>
  <c r="CY184" i="3"/>
  <c r="CZ184" i="3"/>
  <c r="DA184" i="3"/>
  <c r="DB184" i="3"/>
  <c r="DC184" i="3"/>
  <c r="A185" i="3"/>
  <c r="Y185" i="3"/>
  <c r="CY185" i="3"/>
  <c r="CZ185" i="3"/>
  <c r="DB185" i="3" s="1"/>
  <c r="DA185" i="3"/>
  <c r="DC185" i="3"/>
  <c r="A186" i="3"/>
  <c r="Y186" i="3"/>
  <c r="CY186" i="3"/>
  <c r="CZ186" i="3"/>
  <c r="DA186" i="3"/>
  <c r="DB186" i="3"/>
  <c r="DC186" i="3"/>
  <c r="A187" i="3"/>
  <c r="Y187" i="3"/>
  <c r="CY187" i="3"/>
  <c r="CZ187" i="3"/>
  <c r="DB187" i="3" s="1"/>
  <c r="DA187" i="3"/>
  <c r="DC187" i="3"/>
  <c r="A188" i="3"/>
  <c r="Y188" i="3"/>
  <c r="CY188" i="3"/>
  <c r="CZ188" i="3"/>
  <c r="DB188" i="3" s="1"/>
  <c r="DA188" i="3"/>
  <c r="DC188" i="3"/>
  <c r="A189" i="3"/>
  <c r="Y189" i="3"/>
  <c r="CY189" i="3"/>
  <c r="CZ189" i="3"/>
  <c r="DA189" i="3"/>
  <c r="DB189" i="3"/>
  <c r="DC189" i="3"/>
  <c r="A190" i="3"/>
  <c r="Y190" i="3"/>
  <c r="CY190" i="3"/>
  <c r="CZ190" i="3"/>
  <c r="DA190" i="3"/>
  <c r="DB190" i="3"/>
  <c r="DC190" i="3"/>
  <c r="A191" i="3"/>
  <c r="Y191" i="3"/>
  <c r="CY191" i="3"/>
  <c r="CZ191" i="3"/>
  <c r="DA191" i="3"/>
  <c r="DB191" i="3"/>
  <c r="DC191" i="3"/>
  <c r="A192" i="3"/>
  <c r="Y192" i="3"/>
  <c r="CY192" i="3"/>
  <c r="CZ192" i="3"/>
  <c r="DA192" i="3"/>
  <c r="DB192" i="3"/>
  <c r="DC192" i="3"/>
  <c r="A193" i="3"/>
  <c r="Y193" i="3"/>
  <c r="CY193" i="3"/>
  <c r="CZ193" i="3"/>
  <c r="DB193" i="3" s="1"/>
  <c r="DA193" i="3"/>
  <c r="DC193" i="3"/>
  <c r="A194" i="3"/>
  <c r="Y194" i="3"/>
  <c r="CY194" i="3"/>
  <c r="CZ194" i="3"/>
  <c r="DA194" i="3"/>
  <c r="DB194" i="3"/>
  <c r="DC194" i="3"/>
  <c r="A195" i="3"/>
  <c r="Y195" i="3"/>
  <c r="CY195" i="3"/>
  <c r="CZ195" i="3"/>
  <c r="DA195" i="3"/>
  <c r="DB195" i="3"/>
  <c r="DC195" i="3"/>
  <c r="A196" i="3"/>
  <c r="Y196" i="3"/>
  <c r="CY196" i="3"/>
  <c r="CZ196" i="3"/>
  <c r="DB196" i="3" s="1"/>
  <c r="DA196" i="3"/>
  <c r="DC196" i="3"/>
  <c r="A197" i="3"/>
  <c r="Y197" i="3"/>
  <c r="CY197" i="3"/>
  <c r="CZ197" i="3"/>
  <c r="DA197" i="3"/>
  <c r="DB197" i="3"/>
  <c r="DC197" i="3"/>
  <c r="A198" i="3"/>
  <c r="Y198" i="3"/>
  <c r="CY198" i="3"/>
  <c r="CZ198" i="3"/>
  <c r="DA198" i="3"/>
  <c r="DB198" i="3"/>
  <c r="DC198" i="3"/>
  <c r="A199" i="3"/>
  <c r="Y199" i="3"/>
  <c r="CY199" i="3"/>
  <c r="CZ199" i="3"/>
  <c r="DA199" i="3"/>
  <c r="DB199" i="3"/>
  <c r="DC199" i="3"/>
  <c r="A200" i="3"/>
  <c r="Y200" i="3"/>
  <c r="CY200" i="3"/>
  <c r="CZ200" i="3"/>
  <c r="DA200" i="3"/>
  <c r="DB200" i="3"/>
  <c r="DC200" i="3"/>
  <c r="A201" i="3"/>
  <c r="Y201" i="3"/>
  <c r="CY201" i="3"/>
  <c r="CZ201" i="3"/>
  <c r="DB201" i="3" s="1"/>
  <c r="DA201" i="3"/>
  <c r="DC201" i="3"/>
  <c r="A202" i="3"/>
  <c r="Y202" i="3"/>
  <c r="CY202" i="3"/>
  <c r="CZ202" i="3"/>
  <c r="DB202" i="3" s="1"/>
  <c r="DA202" i="3"/>
  <c r="DC202" i="3"/>
  <c r="A203" i="3"/>
  <c r="Y203" i="3"/>
  <c r="CY203" i="3"/>
  <c r="CZ203" i="3"/>
  <c r="DA203" i="3"/>
  <c r="DB203" i="3"/>
  <c r="DC203" i="3"/>
  <c r="A204" i="3"/>
  <c r="Y204" i="3"/>
  <c r="CY204" i="3"/>
  <c r="CZ204" i="3"/>
  <c r="DA204" i="3"/>
  <c r="DB204" i="3"/>
  <c r="DC204" i="3"/>
  <c r="A205" i="3"/>
  <c r="Y205" i="3"/>
  <c r="CY205" i="3"/>
  <c r="CZ205" i="3"/>
  <c r="DB205" i="3" s="1"/>
  <c r="DA205" i="3"/>
  <c r="DC205" i="3"/>
  <c r="A206" i="3"/>
  <c r="Y206" i="3"/>
  <c r="CY206" i="3"/>
  <c r="CZ206" i="3"/>
  <c r="DA206" i="3"/>
  <c r="DB206" i="3"/>
  <c r="DC206" i="3"/>
  <c r="A207" i="3"/>
  <c r="Y207" i="3"/>
  <c r="CY207" i="3"/>
  <c r="CZ207" i="3"/>
  <c r="DA207" i="3"/>
  <c r="DB207" i="3"/>
  <c r="DC207" i="3"/>
  <c r="A208" i="3"/>
  <c r="Y208" i="3"/>
  <c r="CY208" i="3"/>
  <c r="CZ208" i="3"/>
  <c r="DA208" i="3"/>
  <c r="DB208" i="3"/>
  <c r="DC208" i="3"/>
  <c r="A209" i="3"/>
  <c r="Y209" i="3"/>
  <c r="CY209" i="3"/>
  <c r="CZ209" i="3"/>
  <c r="DB209" i="3" s="1"/>
  <c r="DA209" i="3"/>
  <c r="DC209" i="3"/>
  <c r="A210" i="3"/>
  <c r="Y210" i="3"/>
  <c r="CY210" i="3"/>
  <c r="CZ210" i="3"/>
  <c r="DB210" i="3" s="1"/>
  <c r="DA210" i="3"/>
  <c r="DC210" i="3"/>
  <c r="A211" i="3"/>
  <c r="Y211" i="3"/>
  <c r="CY211" i="3"/>
  <c r="CZ211" i="3"/>
  <c r="DA211" i="3"/>
  <c r="DB211" i="3"/>
  <c r="DC211" i="3"/>
  <c r="A212" i="3"/>
  <c r="Y212" i="3"/>
  <c r="CY212" i="3"/>
  <c r="CZ212" i="3"/>
  <c r="DA212" i="3"/>
  <c r="DB212" i="3"/>
  <c r="DC212" i="3"/>
  <c r="A213" i="3"/>
  <c r="Y213" i="3"/>
  <c r="CY213" i="3"/>
  <c r="CZ213" i="3"/>
  <c r="DB213" i="3" s="1"/>
  <c r="DA213" i="3"/>
  <c r="DC213" i="3"/>
  <c r="A214" i="3"/>
  <c r="Y214" i="3"/>
  <c r="CY214" i="3"/>
  <c r="CZ214" i="3"/>
  <c r="DA214" i="3"/>
  <c r="DB214" i="3"/>
  <c r="DC214" i="3"/>
  <c r="A215" i="3"/>
  <c r="Y215" i="3"/>
  <c r="CY215" i="3"/>
  <c r="CZ215" i="3"/>
  <c r="DA215" i="3"/>
  <c r="DB215" i="3"/>
  <c r="DC215" i="3"/>
  <c r="A216" i="3"/>
  <c r="Y216" i="3"/>
  <c r="CY216" i="3"/>
  <c r="CZ216" i="3"/>
  <c r="DA216" i="3"/>
  <c r="DB216" i="3"/>
  <c r="DC216" i="3"/>
  <c r="A217" i="3"/>
  <c r="Y217" i="3"/>
  <c r="CY217" i="3"/>
  <c r="CZ217" i="3"/>
  <c r="DB217" i="3" s="1"/>
  <c r="DA217" i="3"/>
  <c r="DC217" i="3"/>
  <c r="A218" i="3"/>
  <c r="Y218" i="3"/>
  <c r="CY218" i="3"/>
  <c r="CZ218" i="3"/>
  <c r="DA218" i="3"/>
  <c r="DB218" i="3"/>
  <c r="DC218" i="3"/>
  <c r="A219" i="3"/>
  <c r="Y219" i="3"/>
  <c r="CY219" i="3"/>
  <c r="CZ219" i="3"/>
  <c r="DA219" i="3"/>
  <c r="DB219" i="3"/>
  <c r="DC219" i="3"/>
  <c r="A220" i="3"/>
  <c r="Y220" i="3"/>
  <c r="CY220" i="3"/>
  <c r="CZ220" i="3"/>
  <c r="DB220" i="3" s="1"/>
  <c r="DA220" i="3"/>
  <c r="DC220" i="3"/>
  <c r="A221" i="3"/>
  <c r="Y221" i="3"/>
  <c r="CY221" i="3"/>
  <c r="CZ221" i="3"/>
  <c r="DA221" i="3"/>
  <c r="DB221" i="3"/>
  <c r="DC221" i="3"/>
  <c r="A222" i="3"/>
  <c r="Y222" i="3"/>
  <c r="CY222" i="3"/>
  <c r="CZ222" i="3"/>
  <c r="DB222" i="3" s="1"/>
  <c r="DA222" i="3"/>
  <c r="DC222" i="3"/>
  <c r="A223" i="3"/>
  <c r="Y223" i="3"/>
  <c r="CY223" i="3"/>
  <c r="CZ223" i="3"/>
  <c r="DA223" i="3"/>
  <c r="DB223" i="3"/>
  <c r="DC223" i="3"/>
  <c r="A224" i="3"/>
  <c r="Y224" i="3"/>
  <c r="CY224" i="3"/>
  <c r="CZ224" i="3"/>
  <c r="DA224" i="3"/>
  <c r="DB224" i="3"/>
  <c r="DC224" i="3"/>
  <c r="A225" i="3"/>
  <c r="Y225" i="3"/>
  <c r="CY225" i="3"/>
  <c r="CZ225" i="3"/>
  <c r="DB225" i="3" s="1"/>
  <c r="DA225" i="3"/>
  <c r="DC225" i="3"/>
  <c r="A226" i="3"/>
  <c r="Y226" i="3"/>
  <c r="CY226" i="3"/>
  <c r="CZ226" i="3"/>
  <c r="DA226" i="3"/>
  <c r="DB226" i="3"/>
  <c r="DC226" i="3"/>
  <c r="A227" i="3"/>
  <c r="Y227" i="3"/>
  <c r="CY227" i="3"/>
  <c r="CZ227" i="3"/>
  <c r="DB227" i="3" s="1"/>
  <c r="DA227" i="3"/>
  <c r="DC227" i="3"/>
  <c r="A228" i="3"/>
  <c r="Y228" i="3"/>
  <c r="CY228" i="3"/>
  <c r="CZ228" i="3"/>
  <c r="DB228" i="3" s="1"/>
  <c r="DA228" i="3"/>
  <c r="DC228" i="3"/>
  <c r="A229" i="3"/>
  <c r="Y229" i="3"/>
  <c r="CY229" i="3"/>
  <c r="CZ229" i="3"/>
  <c r="DA229" i="3"/>
  <c r="DB229" i="3"/>
  <c r="DC229" i="3"/>
  <c r="A230" i="3"/>
  <c r="Y230" i="3"/>
  <c r="CY230" i="3"/>
  <c r="CZ230" i="3"/>
  <c r="DB230" i="3" s="1"/>
  <c r="DA230" i="3"/>
  <c r="DC230" i="3"/>
  <c r="A231" i="3"/>
  <c r="Y231" i="3"/>
  <c r="CY231" i="3"/>
  <c r="CZ231" i="3"/>
  <c r="DA231" i="3"/>
  <c r="DB231" i="3"/>
  <c r="DC231" i="3"/>
  <c r="A232" i="3"/>
  <c r="Y232" i="3"/>
  <c r="CY232" i="3"/>
  <c r="CZ232" i="3"/>
  <c r="DA232" i="3"/>
  <c r="DB232" i="3"/>
  <c r="DC232" i="3"/>
  <c r="A233" i="3"/>
  <c r="Y233" i="3"/>
  <c r="CY233" i="3"/>
  <c r="CZ233" i="3"/>
  <c r="DB233" i="3" s="1"/>
  <c r="DA233" i="3"/>
  <c r="DC233" i="3"/>
  <c r="A234" i="3"/>
  <c r="Y234" i="3"/>
  <c r="CY234" i="3"/>
  <c r="CZ234" i="3"/>
  <c r="DB234" i="3" s="1"/>
  <c r="DA234" i="3"/>
  <c r="DC234" i="3"/>
  <c r="A235" i="3"/>
  <c r="Y235" i="3"/>
  <c r="CY235" i="3"/>
  <c r="CZ235" i="3"/>
  <c r="DA235" i="3"/>
  <c r="DB235" i="3"/>
  <c r="DC235" i="3"/>
  <c r="A236" i="3"/>
  <c r="Y236" i="3"/>
  <c r="CY236" i="3"/>
  <c r="CZ236" i="3"/>
  <c r="DA236" i="3"/>
  <c r="DB236" i="3"/>
  <c r="DC236" i="3"/>
  <c r="A237" i="3"/>
  <c r="Y237" i="3"/>
  <c r="CY237" i="3"/>
  <c r="CZ237" i="3"/>
  <c r="DA237" i="3"/>
  <c r="DB237" i="3"/>
  <c r="DC237" i="3"/>
  <c r="A238" i="3"/>
  <c r="Y238" i="3"/>
  <c r="CY238" i="3"/>
  <c r="CZ238" i="3"/>
  <c r="DB238" i="3" s="1"/>
  <c r="DA238" i="3"/>
  <c r="DC238" i="3"/>
  <c r="A239" i="3"/>
  <c r="Y239" i="3"/>
  <c r="CY239" i="3"/>
  <c r="CZ239" i="3"/>
  <c r="DA239" i="3"/>
  <c r="DB239" i="3"/>
  <c r="DC239" i="3"/>
  <c r="A240" i="3"/>
  <c r="Y240" i="3"/>
  <c r="CY240" i="3"/>
  <c r="CZ240" i="3"/>
  <c r="DA240" i="3"/>
  <c r="DB240" i="3"/>
  <c r="DC240" i="3"/>
  <c r="A241" i="3"/>
  <c r="Y241" i="3"/>
  <c r="CY241" i="3"/>
  <c r="CZ241" i="3"/>
  <c r="DB241" i="3" s="1"/>
  <c r="DA241" i="3"/>
  <c r="DC241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I28" i="1"/>
  <c r="K28" i="1"/>
  <c r="V28" i="1"/>
  <c r="AC28" i="1"/>
  <c r="AE28" i="1"/>
  <c r="AD28" i="1" s="1"/>
  <c r="AF28" i="1"/>
  <c r="AG28" i="1"/>
  <c r="CU28" i="1" s="1"/>
  <c r="T28" i="1" s="1"/>
  <c r="AH28" i="1"/>
  <c r="AI28" i="1"/>
  <c r="AJ28" i="1"/>
  <c r="CX28" i="1" s="1"/>
  <c r="W28" i="1" s="1"/>
  <c r="CQ28" i="1"/>
  <c r="CR28" i="1"/>
  <c r="CS28" i="1"/>
  <c r="CT28" i="1"/>
  <c r="CV28" i="1"/>
  <c r="CW28" i="1"/>
  <c r="GL28" i="1"/>
  <c r="GO28" i="1"/>
  <c r="GP28" i="1"/>
  <c r="GV28" i="1"/>
  <c r="HC28" i="1"/>
  <c r="GX28" i="1" s="1"/>
  <c r="I29" i="1"/>
  <c r="R29" i="1"/>
  <c r="T29" i="1"/>
  <c r="AC29" i="1"/>
  <c r="AE29" i="1"/>
  <c r="AD29" i="1" s="1"/>
  <c r="AB29" i="1" s="1"/>
  <c r="AF29" i="1"/>
  <c r="AG29" i="1"/>
  <c r="AH29" i="1"/>
  <c r="CV29" i="1" s="1"/>
  <c r="U29" i="1" s="1"/>
  <c r="AI29" i="1"/>
  <c r="AJ29" i="1"/>
  <c r="CX29" i="1" s="1"/>
  <c r="W29" i="1" s="1"/>
  <c r="CQ29" i="1"/>
  <c r="P29" i="1" s="1"/>
  <c r="CR29" i="1"/>
  <c r="Q29" i="1" s="1"/>
  <c r="CS29" i="1"/>
  <c r="CT29" i="1"/>
  <c r="S29" i="1" s="1"/>
  <c r="CU29" i="1"/>
  <c r="CW29" i="1"/>
  <c r="V29" i="1" s="1"/>
  <c r="GL29" i="1"/>
  <c r="GO29" i="1"/>
  <c r="GP29" i="1"/>
  <c r="GV29" i="1"/>
  <c r="HC29" i="1" s="1"/>
  <c r="GX29" i="1" s="1"/>
  <c r="C30" i="1"/>
  <c r="D30" i="1"/>
  <c r="I30" i="1"/>
  <c r="K30" i="1"/>
  <c r="V30" i="1"/>
  <c r="W30" i="1"/>
  <c r="AC30" i="1"/>
  <c r="AD30" i="1"/>
  <c r="AE30" i="1"/>
  <c r="AF30" i="1"/>
  <c r="AG30" i="1"/>
  <c r="AH30" i="1"/>
  <c r="AI30" i="1"/>
  <c r="AJ30" i="1"/>
  <c r="CQ30" i="1"/>
  <c r="CR30" i="1"/>
  <c r="CS30" i="1"/>
  <c r="CT30" i="1"/>
  <c r="CU30" i="1"/>
  <c r="T30" i="1" s="1"/>
  <c r="CV30" i="1"/>
  <c r="CW30" i="1"/>
  <c r="CX30" i="1"/>
  <c r="GL30" i="1"/>
  <c r="GO30" i="1"/>
  <c r="GP30" i="1"/>
  <c r="GV30" i="1"/>
  <c r="GX30" i="1"/>
  <c r="HC30" i="1"/>
  <c r="I31" i="1"/>
  <c r="S31" i="1" s="1"/>
  <c r="AB31" i="1"/>
  <c r="AC31" i="1"/>
  <c r="AD31" i="1"/>
  <c r="AE31" i="1"/>
  <c r="AF31" i="1"/>
  <c r="AG31" i="1"/>
  <c r="CU31" i="1" s="1"/>
  <c r="T31" i="1" s="1"/>
  <c r="AH31" i="1"/>
  <c r="CV31" i="1" s="1"/>
  <c r="U31" i="1" s="1"/>
  <c r="AI31" i="1"/>
  <c r="CW31" i="1" s="1"/>
  <c r="V31" i="1" s="1"/>
  <c r="AJ31" i="1"/>
  <c r="CQ31" i="1"/>
  <c r="P31" i="1" s="1"/>
  <c r="CR31" i="1"/>
  <c r="Q31" i="1" s="1"/>
  <c r="CS31" i="1"/>
  <c r="R31" i="1" s="1"/>
  <c r="CT31" i="1"/>
  <c r="CX31" i="1"/>
  <c r="W31" i="1" s="1"/>
  <c r="GL31" i="1"/>
  <c r="GO31" i="1"/>
  <c r="GP31" i="1"/>
  <c r="GV31" i="1"/>
  <c r="HC31" i="1" s="1"/>
  <c r="GX31" i="1" s="1"/>
  <c r="C32" i="1"/>
  <c r="D32" i="1"/>
  <c r="I32" i="1"/>
  <c r="K32" i="1"/>
  <c r="V32" i="1"/>
  <c r="AC32" i="1"/>
  <c r="AE32" i="1"/>
  <c r="AD32" i="1" s="1"/>
  <c r="AF32" i="1"/>
  <c r="AG32" i="1"/>
  <c r="CU32" i="1" s="1"/>
  <c r="T32" i="1" s="1"/>
  <c r="AH32" i="1"/>
  <c r="AI32" i="1"/>
  <c r="AJ32" i="1"/>
  <c r="CQ32" i="1"/>
  <c r="CR32" i="1"/>
  <c r="CS32" i="1"/>
  <c r="CT32" i="1"/>
  <c r="CV32" i="1"/>
  <c r="CW32" i="1"/>
  <c r="CX32" i="1"/>
  <c r="W32" i="1" s="1"/>
  <c r="GL32" i="1"/>
  <c r="GO32" i="1"/>
  <c r="GP32" i="1"/>
  <c r="GV32" i="1"/>
  <c r="HC32" i="1"/>
  <c r="GX32" i="1" s="1"/>
  <c r="C33" i="1"/>
  <c r="D33" i="1"/>
  <c r="I33" i="1"/>
  <c r="K33" i="1"/>
  <c r="AC33" i="1"/>
  <c r="AE33" i="1"/>
  <c r="AD33" i="1" s="1"/>
  <c r="AF33" i="1"/>
  <c r="AG33" i="1"/>
  <c r="CU33" i="1" s="1"/>
  <c r="T33" i="1" s="1"/>
  <c r="AH33" i="1"/>
  <c r="AI33" i="1"/>
  <c r="AJ33" i="1"/>
  <c r="CX33" i="1" s="1"/>
  <c r="W33" i="1" s="1"/>
  <c r="CQ33" i="1"/>
  <c r="CR33" i="1"/>
  <c r="CS33" i="1"/>
  <c r="CT33" i="1"/>
  <c r="CV33" i="1"/>
  <c r="CW33" i="1"/>
  <c r="GL33" i="1"/>
  <c r="GN33" i="1"/>
  <c r="GP33" i="1"/>
  <c r="GV33" i="1"/>
  <c r="HC33" i="1"/>
  <c r="GX33" i="1" s="1"/>
  <c r="I34" i="1"/>
  <c r="R34" i="1"/>
  <c r="S34" i="1"/>
  <c r="T34" i="1"/>
  <c r="Y34" i="1"/>
  <c r="AC34" i="1"/>
  <c r="AB34" i="1" s="1"/>
  <c r="AE34" i="1"/>
  <c r="AD34" i="1" s="1"/>
  <c r="AF34" i="1"/>
  <c r="AG34" i="1"/>
  <c r="AH34" i="1"/>
  <c r="AI34" i="1"/>
  <c r="AJ34" i="1"/>
  <c r="CP34" i="1"/>
  <c r="CQ34" i="1"/>
  <c r="CR34" i="1"/>
  <c r="Q34" i="1" s="1"/>
  <c r="CS34" i="1"/>
  <c r="CT34" i="1"/>
  <c r="CU34" i="1"/>
  <c r="CV34" i="1"/>
  <c r="U34" i="1" s="1"/>
  <c r="CW34" i="1"/>
  <c r="V34" i="1" s="1"/>
  <c r="CX34" i="1"/>
  <c r="W34" i="1" s="1"/>
  <c r="CY34" i="1"/>
  <c r="X34" i="1" s="1"/>
  <c r="CZ34" i="1"/>
  <c r="GL34" i="1"/>
  <c r="GN34" i="1"/>
  <c r="GP34" i="1"/>
  <c r="GV34" i="1"/>
  <c r="HC34" i="1"/>
  <c r="GX34" i="1" s="1"/>
  <c r="C35" i="1"/>
  <c r="D35" i="1"/>
  <c r="I35" i="1"/>
  <c r="K35" i="1"/>
  <c r="V35" i="1"/>
  <c r="AC35" i="1"/>
  <c r="AE35" i="1"/>
  <c r="AD35" i="1" s="1"/>
  <c r="AF35" i="1"/>
  <c r="AG35" i="1"/>
  <c r="CU35" i="1" s="1"/>
  <c r="T35" i="1" s="1"/>
  <c r="AH35" i="1"/>
  <c r="AI35" i="1"/>
  <c r="AJ35" i="1"/>
  <c r="CQ35" i="1"/>
  <c r="CR35" i="1"/>
  <c r="CS35" i="1"/>
  <c r="CT35" i="1"/>
  <c r="CV35" i="1"/>
  <c r="CW35" i="1"/>
  <c r="CX35" i="1"/>
  <c r="GL35" i="1"/>
  <c r="GN35" i="1"/>
  <c r="GP35" i="1"/>
  <c r="GV35" i="1"/>
  <c r="HC35" i="1"/>
  <c r="GX35" i="1" s="1"/>
  <c r="I36" i="1"/>
  <c r="S36" i="1"/>
  <c r="T36" i="1"/>
  <c r="U36" i="1"/>
  <c r="AB36" i="1"/>
  <c r="AC36" i="1"/>
  <c r="AD36" i="1"/>
  <c r="AE36" i="1"/>
  <c r="AF36" i="1"/>
  <c r="AG36" i="1"/>
  <c r="AH36" i="1"/>
  <c r="AI36" i="1"/>
  <c r="AJ36" i="1"/>
  <c r="CP36" i="1"/>
  <c r="CQ36" i="1"/>
  <c r="CR36" i="1"/>
  <c r="Q36" i="1" s="1"/>
  <c r="CS36" i="1"/>
  <c r="R36" i="1" s="1"/>
  <c r="CT36" i="1"/>
  <c r="CU36" i="1"/>
  <c r="CV36" i="1"/>
  <c r="CW36" i="1"/>
  <c r="V36" i="1" s="1"/>
  <c r="CX36" i="1"/>
  <c r="W36" i="1" s="1"/>
  <c r="CY36" i="1"/>
  <c r="X36" i="1" s="1"/>
  <c r="CZ36" i="1"/>
  <c r="Y36" i="1" s="1"/>
  <c r="GL36" i="1"/>
  <c r="GN36" i="1"/>
  <c r="GP36" i="1"/>
  <c r="GV36" i="1"/>
  <c r="HC36" i="1"/>
  <c r="AC37" i="1"/>
  <c r="AE37" i="1"/>
  <c r="AD37" i="1" s="1"/>
  <c r="AF37" i="1"/>
  <c r="AG37" i="1"/>
  <c r="AH37" i="1"/>
  <c r="AI37" i="1"/>
  <c r="CW37" i="1" s="1"/>
  <c r="AJ37" i="1"/>
  <c r="CX37" i="1" s="1"/>
  <c r="CQ37" i="1"/>
  <c r="CR37" i="1"/>
  <c r="CS37" i="1"/>
  <c r="CT37" i="1"/>
  <c r="CU37" i="1"/>
  <c r="CV37" i="1"/>
  <c r="GL37" i="1"/>
  <c r="GN37" i="1"/>
  <c r="GP37" i="1"/>
  <c r="GV37" i="1"/>
  <c r="HC37" i="1"/>
  <c r="C38" i="1"/>
  <c r="D38" i="1"/>
  <c r="I38" i="1"/>
  <c r="K38" i="1"/>
  <c r="T38" i="1"/>
  <c r="V38" i="1"/>
  <c r="AC38" i="1"/>
  <c r="AE38" i="1"/>
  <c r="AD38" i="1" s="1"/>
  <c r="AF38" i="1"/>
  <c r="AG38" i="1"/>
  <c r="AH38" i="1"/>
  <c r="AI38" i="1"/>
  <c r="AJ38" i="1"/>
  <c r="CX38" i="1" s="1"/>
  <c r="W38" i="1" s="1"/>
  <c r="CQ38" i="1"/>
  <c r="CR38" i="1"/>
  <c r="CS38" i="1"/>
  <c r="CT38" i="1"/>
  <c r="CU38" i="1"/>
  <c r="CV38" i="1"/>
  <c r="CW38" i="1"/>
  <c r="GL38" i="1"/>
  <c r="GO38" i="1"/>
  <c r="GP38" i="1"/>
  <c r="GV38" i="1"/>
  <c r="HC38" i="1" s="1"/>
  <c r="GX38" i="1" s="1"/>
  <c r="I39" i="1"/>
  <c r="P39" i="1"/>
  <c r="Q39" i="1"/>
  <c r="R39" i="1"/>
  <c r="AC39" i="1"/>
  <c r="AE39" i="1"/>
  <c r="AD39" i="1" s="1"/>
  <c r="AF39" i="1"/>
  <c r="AG39" i="1"/>
  <c r="AH39" i="1"/>
  <c r="AI39" i="1"/>
  <c r="AJ39" i="1"/>
  <c r="CX39" i="1" s="1"/>
  <c r="W39" i="1" s="1"/>
  <c r="CQ39" i="1"/>
  <c r="CR39" i="1"/>
  <c r="CS39" i="1"/>
  <c r="CT39" i="1"/>
  <c r="S39" i="1" s="1"/>
  <c r="CU39" i="1"/>
  <c r="T39" i="1" s="1"/>
  <c r="CV39" i="1"/>
  <c r="U39" i="1" s="1"/>
  <c r="CW39" i="1"/>
  <c r="V39" i="1" s="1"/>
  <c r="GL39" i="1"/>
  <c r="GO39" i="1"/>
  <c r="GP39" i="1"/>
  <c r="GV39" i="1"/>
  <c r="HC39" i="1"/>
  <c r="GX39" i="1" s="1"/>
  <c r="C40" i="1"/>
  <c r="D40" i="1"/>
  <c r="I40" i="1"/>
  <c r="K40" i="1"/>
  <c r="V40" i="1"/>
  <c r="AC40" i="1"/>
  <c r="AD40" i="1"/>
  <c r="AE40" i="1"/>
  <c r="AF40" i="1"/>
  <c r="AG40" i="1"/>
  <c r="AH40" i="1"/>
  <c r="AI40" i="1"/>
  <c r="AJ40" i="1"/>
  <c r="CX40" i="1" s="1"/>
  <c r="W40" i="1" s="1"/>
  <c r="CQ40" i="1"/>
  <c r="CR40" i="1"/>
  <c r="CS40" i="1"/>
  <c r="CT40" i="1"/>
  <c r="CU40" i="1"/>
  <c r="T40" i="1" s="1"/>
  <c r="CV40" i="1"/>
  <c r="CW40" i="1"/>
  <c r="GL40" i="1"/>
  <c r="GN40" i="1"/>
  <c r="GP40" i="1"/>
  <c r="GV40" i="1"/>
  <c r="GX40" i="1"/>
  <c r="HC40" i="1"/>
  <c r="I41" i="1"/>
  <c r="Q41" i="1"/>
  <c r="R41" i="1"/>
  <c r="S41" i="1"/>
  <c r="AC41" i="1"/>
  <c r="AE41" i="1"/>
  <c r="AD41" i="1" s="1"/>
  <c r="AB41" i="1" s="1"/>
  <c r="AF41" i="1"/>
  <c r="AG41" i="1"/>
  <c r="CU41" i="1" s="1"/>
  <c r="T41" i="1" s="1"/>
  <c r="AH41" i="1"/>
  <c r="AI41" i="1"/>
  <c r="AJ41" i="1"/>
  <c r="CQ41" i="1"/>
  <c r="P41" i="1" s="1"/>
  <c r="CR41" i="1"/>
  <c r="CS41" i="1"/>
  <c r="CT41" i="1"/>
  <c r="CV41" i="1"/>
  <c r="U41" i="1" s="1"/>
  <c r="CW41" i="1"/>
  <c r="V41" i="1" s="1"/>
  <c r="CX41" i="1"/>
  <c r="W41" i="1" s="1"/>
  <c r="GL41" i="1"/>
  <c r="GN41" i="1"/>
  <c r="GP41" i="1"/>
  <c r="GV41" i="1"/>
  <c r="HC41" i="1"/>
  <c r="GX41" i="1" s="1"/>
  <c r="I42" i="1"/>
  <c r="Y42" i="1"/>
  <c r="AC42" i="1"/>
  <c r="AB42" i="1" s="1"/>
  <c r="AD42" i="1"/>
  <c r="AE42" i="1"/>
  <c r="AF42" i="1"/>
  <c r="AG42" i="1"/>
  <c r="AH42" i="1"/>
  <c r="AI42" i="1"/>
  <c r="AJ42" i="1"/>
  <c r="CP42" i="1"/>
  <c r="CQ42" i="1"/>
  <c r="CR42" i="1"/>
  <c r="Q42" i="1" s="1"/>
  <c r="CS42" i="1"/>
  <c r="R42" i="1" s="1"/>
  <c r="CT42" i="1"/>
  <c r="S42" i="1" s="1"/>
  <c r="CU42" i="1"/>
  <c r="CV42" i="1"/>
  <c r="CW42" i="1"/>
  <c r="CX42" i="1"/>
  <c r="W42" i="1" s="1"/>
  <c r="CY42" i="1"/>
  <c r="X42" i="1" s="1"/>
  <c r="CZ42" i="1"/>
  <c r="GL42" i="1"/>
  <c r="GN42" i="1"/>
  <c r="GP42" i="1"/>
  <c r="GV42" i="1"/>
  <c r="HC42" i="1"/>
  <c r="I43" i="1"/>
  <c r="P43" i="1"/>
  <c r="Q43" i="1"/>
  <c r="R43" i="1"/>
  <c r="U43" i="1"/>
  <c r="W43" i="1"/>
  <c r="AC43" i="1"/>
  <c r="AB43" i="1" s="1"/>
  <c r="AD43" i="1"/>
  <c r="AE43" i="1"/>
  <c r="AF43" i="1"/>
  <c r="AG43" i="1"/>
  <c r="AH43" i="1"/>
  <c r="AI43" i="1"/>
  <c r="CW43" i="1" s="1"/>
  <c r="V43" i="1" s="1"/>
  <c r="AJ43" i="1"/>
  <c r="CX43" i="1" s="1"/>
  <c r="CP43" i="1"/>
  <c r="O43" i="1" s="1"/>
  <c r="GM43" i="1" s="1"/>
  <c r="GO43" i="1" s="1"/>
  <c r="CQ43" i="1"/>
  <c r="CR43" i="1"/>
  <c r="CS43" i="1"/>
  <c r="CT43" i="1"/>
  <c r="S43" i="1" s="1"/>
  <c r="CY43" i="1" s="1"/>
  <c r="X43" i="1" s="1"/>
  <c r="CU43" i="1"/>
  <c r="T43" i="1" s="1"/>
  <c r="CV43" i="1"/>
  <c r="CZ43" i="1"/>
  <c r="Y43" i="1" s="1"/>
  <c r="GL43" i="1"/>
  <c r="GN43" i="1"/>
  <c r="GP43" i="1"/>
  <c r="GV43" i="1"/>
  <c r="GX43" i="1"/>
  <c r="HC43" i="1"/>
  <c r="C44" i="1"/>
  <c r="D44" i="1"/>
  <c r="I44" i="1"/>
  <c r="I45" i="1" s="1"/>
  <c r="Q45" i="1" s="1"/>
  <c r="K44" i="1"/>
  <c r="V44" i="1"/>
  <c r="AC44" i="1"/>
  <c r="AD44" i="1"/>
  <c r="AE44" i="1"/>
  <c r="AF44" i="1"/>
  <c r="AG44" i="1"/>
  <c r="AH44" i="1"/>
  <c r="AI44" i="1"/>
  <c r="AJ44" i="1"/>
  <c r="CX44" i="1" s="1"/>
  <c r="W44" i="1" s="1"/>
  <c r="CQ44" i="1"/>
  <c r="CR44" i="1"/>
  <c r="CS44" i="1"/>
  <c r="CT44" i="1"/>
  <c r="CU44" i="1"/>
  <c r="T44" i="1" s="1"/>
  <c r="CV44" i="1"/>
  <c r="CW44" i="1"/>
  <c r="GL44" i="1"/>
  <c r="GN44" i="1"/>
  <c r="GP44" i="1"/>
  <c r="GV44" i="1"/>
  <c r="HC44" i="1" s="1"/>
  <c r="GX44" i="1"/>
  <c r="R45" i="1"/>
  <c r="S45" i="1"/>
  <c r="AC45" i="1"/>
  <c r="AE45" i="1"/>
  <c r="AD45" i="1" s="1"/>
  <c r="AF45" i="1"/>
  <c r="AG45" i="1"/>
  <c r="CU45" i="1" s="1"/>
  <c r="AH45" i="1"/>
  <c r="AI45" i="1"/>
  <c r="AJ45" i="1"/>
  <c r="CQ45" i="1"/>
  <c r="P45" i="1" s="1"/>
  <c r="CR45" i="1"/>
  <c r="CS45" i="1"/>
  <c r="CT45" i="1"/>
  <c r="CV45" i="1"/>
  <c r="CW45" i="1"/>
  <c r="V45" i="1" s="1"/>
  <c r="CX45" i="1"/>
  <c r="W45" i="1" s="1"/>
  <c r="GL45" i="1"/>
  <c r="GN45" i="1"/>
  <c r="GP45" i="1"/>
  <c r="GV45" i="1"/>
  <c r="HC45" i="1"/>
  <c r="GX45" i="1" s="1"/>
  <c r="I46" i="1"/>
  <c r="T46" i="1"/>
  <c r="AC46" i="1"/>
  <c r="AE46" i="1"/>
  <c r="AD46" i="1" s="1"/>
  <c r="AB46" i="1" s="1"/>
  <c r="AF46" i="1"/>
  <c r="AG46" i="1"/>
  <c r="CU46" i="1" s="1"/>
  <c r="AH46" i="1"/>
  <c r="CV46" i="1" s="1"/>
  <c r="U46" i="1" s="1"/>
  <c r="AI46" i="1"/>
  <c r="AJ46" i="1"/>
  <c r="CQ46" i="1"/>
  <c r="P46" i="1" s="1"/>
  <c r="CR46" i="1"/>
  <c r="Q46" i="1" s="1"/>
  <c r="CS46" i="1"/>
  <c r="R46" i="1" s="1"/>
  <c r="CT46" i="1"/>
  <c r="S46" i="1" s="1"/>
  <c r="CW46" i="1"/>
  <c r="V46" i="1" s="1"/>
  <c r="CX46" i="1"/>
  <c r="GL46" i="1"/>
  <c r="GN46" i="1"/>
  <c r="GP46" i="1"/>
  <c r="GV46" i="1"/>
  <c r="HC46" i="1" s="1"/>
  <c r="I47" i="1"/>
  <c r="V47" i="1" s="1"/>
  <c r="P47" i="1"/>
  <c r="U47" i="1"/>
  <c r="AC47" i="1"/>
  <c r="AD47" i="1"/>
  <c r="AB47" i="1" s="1"/>
  <c r="AE47" i="1"/>
  <c r="AF47" i="1"/>
  <c r="AG47" i="1"/>
  <c r="AH47" i="1"/>
  <c r="CV47" i="1" s="1"/>
  <c r="AI47" i="1"/>
  <c r="CW47" i="1" s="1"/>
  <c r="AJ47" i="1"/>
  <c r="CX47" i="1" s="1"/>
  <c r="W47" i="1" s="1"/>
  <c r="CQ47" i="1"/>
  <c r="CR47" i="1"/>
  <c r="CS47" i="1"/>
  <c r="CT47" i="1"/>
  <c r="CU47" i="1"/>
  <c r="T47" i="1" s="1"/>
  <c r="GL47" i="1"/>
  <c r="GN47" i="1"/>
  <c r="GP47" i="1"/>
  <c r="GV47" i="1"/>
  <c r="HC47" i="1" s="1"/>
  <c r="GX47" i="1" s="1"/>
  <c r="I48" i="1"/>
  <c r="P48" i="1"/>
  <c r="CP48" i="1" s="1"/>
  <c r="O48" i="1" s="1"/>
  <c r="Q48" i="1"/>
  <c r="R48" i="1"/>
  <c r="S48" i="1"/>
  <c r="CY48" i="1" s="1"/>
  <c r="X48" i="1" s="1"/>
  <c r="AC48" i="1"/>
  <c r="AD48" i="1"/>
  <c r="AE48" i="1"/>
  <c r="AF48" i="1"/>
  <c r="AG48" i="1"/>
  <c r="AH48" i="1"/>
  <c r="AI48" i="1"/>
  <c r="CW48" i="1" s="1"/>
  <c r="V48" i="1" s="1"/>
  <c r="AJ48" i="1"/>
  <c r="CX48" i="1" s="1"/>
  <c r="W48" i="1" s="1"/>
  <c r="CQ48" i="1"/>
  <c r="CR48" i="1"/>
  <c r="CS48" i="1"/>
  <c r="CT48" i="1"/>
  <c r="CU48" i="1"/>
  <c r="T48" i="1" s="1"/>
  <c r="CV48" i="1"/>
  <c r="U48" i="1" s="1"/>
  <c r="GL48" i="1"/>
  <c r="GN48" i="1"/>
  <c r="GP48" i="1"/>
  <c r="GV48" i="1"/>
  <c r="HC48" i="1"/>
  <c r="GX48" i="1" s="1"/>
  <c r="I49" i="1"/>
  <c r="P49" i="1"/>
  <c r="R49" i="1"/>
  <c r="AC49" i="1"/>
  <c r="AB49" i="1" s="1"/>
  <c r="AD49" i="1"/>
  <c r="AE49" i="1"/>
  <c r="AF49" i="1"/>
  <c r="AG49" i="1"/>
  <c r="AH49" i="1"/>
  <c r="CV49" i="1" s="1"/>
  <c r="U49" i="1" s="1"/>
  <c r="AI49" i="1"/>
  <c r="CW49" i="1" s="1"/>
  <c r="V49" i="1" s="1"/>
  <c r="AJ49" i="1"/>
  <c r="CQ49" i="1"/>
  <c r="CR49" i="1"/>
  <c r="Q49" i="1" s="1"/>
  <c r="CS49" i="1"/>
  <c r="CT49" i="1"/>
  <c r="S49" i="1" s="1"/>
  <c r="CU49" i="1"/>
  <c r="T49" i="1" s="1"/>
  <c r="CX49" i="1"/>
  <c r="W49" i="1" s="1"/>
  <c r="GL49" i="1"/>
  <c r="GN49" i="1"/>
  <c r="GP49" i="1"/>
  <c r="GV49" i="1"/>
  <c r="HC49" i="1"/>
  <c r="GX49" i="1" s="1"/>
  <c r="I50" i="1"/>
  <c r="V50" i="1" s="1"/>
  <c r="T50" i="1"/>
  <c r="U50" i="1"/>
  <c r="AC50" i="1"/>
  <c r="AB50" i="1" s="1"/>
  <c r="AD50" i="1"/>
  <c r="AE50" i="1"/>
  <c r="AF50" i="1"/>
  <c r="AG50" i="1"/>
  <c r="AH50" i="1"/>
  <c r="AI50" i="1"/>
  <c r="AJ50" i="1"/>
  <c r="CP50" i="1"/>
  <c r="CQ50" i="1"/>
  <c r="CR50" i="1"/>
  <c r="Q50" i="1" s="1"/>
  <c r="CS50" i="1"/>
  <c r="R50" i="1" s="1"/>
  <c r="CT50" i="1"/>
  <c r="S50" i="1" s="1"/>
  <c r="CU50" i="1"/>
  <c r="CV50" i="1"/>
  <c r="CW50" i="1"/>
  <c r="CX50" i="1"/>
  <c r="CY50" i="1"/>
  <c r="X50" i="1" s="1"/>
  <c r="CZ50" i="1"/>
  <c r="Y50" i="1" s="1"/>
  <c r="GL50" i="1"/>
  <c r="GN50" i="1"/>
  <c r="GP50" i="1"/>
  <c r="GV50" i="1"/>
  <c r="GX50" i="1"/>
  <c r="HC50" i="1"/>
  <c r="I51" i="1"/>
  <c r="Q51" i="1"/>
  <c r="R51" i="1"/>
  <c r="V51" i="1"/>
  <c r="W51" i="1"/>
  <c r="AC51" i="1"/>
  <c r="AE51" i="1"/>
  <c r="AD51" i="1" s="1"/>
  <c r="AF51" i="1"/>
  <c r="AG51" i="1"/>
  <c r="CU51" i="1" s="1"/>
  <c r="T51" i="1" s="1"/>
  <c r="AH51" i="1"/>
  <c r="AI51" i="1"/>
  <c r="AJ51" i="1"/>
  <c r="CP51" i="1"/>
  <c r="O51" i="1" s="1"/>
  <c r="CQ51" i="1"/>
  <c r="P51" i="1" s="1"/>
  <c r="CR51" i="1"/>
  <c r="CS51" i="1"/>
  <c r="CT51" i="1"/>
  <c r="S51" i="1" s="1"/>
  <c r="CV51" i="1"/>
  <c r="U51" i="1" s="1"/>
  <c r="CW51" i="1"/>
  <c r="CX51" i="1"/>
  <c r="GL51" i="1"/>
  <c r="GN51" i="1"/>
  <c r="GP51" i="1"/>
  <c r="GV51" i="1"/>
  <c r="HC51" i="1"/>
  <c r="GX51" i="1" s="1"/>
  <c r="C52" i="1"/>
  <c r="D52" i="1"/>
  <c r="I52" i="1"/>
  <c r="K52" i="1"/>
  <c r="V52" i="1"/>
  <c r="W52" i="1"/>
  <c r="AC52" i="1"/>
  <c r="AE52" i="1"/>
  <c r="AD52" i="1" s="1"/>
  <c r="AF52" i="1"/>
  <c r="AG52" i="1"/>
  <c r="AH52" i="1"/>
  <c r="AI52" i="1"/>
  <c r="AJ52" i="1"/>
  <c r="CX52" i="1" s="1"/>
  <c r="CQ52" i="1"/>
  <c r="CR52" i="1"/>
  <c r="CS52" i="1"/>
  <c r="CT52" i="1"/>
  <c r="CU52" i="1"/>
  <c r="T52" i="1" s="1"/>
  <c r="CV52" i="1"/>
  <c r="CW52" i="1"/>
  <c r="GL52" i="1"/>
  <c r="GN52" i="1"/>
  <c r="GP52" i="1"/>
  <c r="GV52" i="1"/>
  <c r="HC52" i="1"/>
  <c r="GX52" i="1" s="1"/>
  <c r="I53" i="1"/>
  <c r="R53" i="1"/>
  <c r="S53" i="1"/>
  <c r="AC53" i="1"/>
  <c r="AD53" i="1"/>
  <c r="AB53" i="1" s="1"/>
  <c r="AE53" i="1"/>
  <c r="AF53" i="1"/>
  <c r="AG53" i="1"/>
  <c r="CU53" i="1" s="1"/>
  <c r="T53" i="1" s="1"/>
  <c r="AH53" i="1"/>
  <c r="CV53" i="1" s="1"/>
  <c r="U53" i="1" s="1"/>
  <c r="AI53" i="1"/>
  <c r="AJ53" i="1"/>
  <c r="CQ53" i="1"/>
  <c r="P53" i="1" s="1"/>
  <c r="CR53" i="1"/>
  <c r="Q53" i="1" s="1"/>
  <c r="CS53" i="1"/>
  <c r="CT53" i="1"/>
  <c r="CW53" i="1"/>
  <c r="V53" i="1" s="1"/>
  <c r="CX53" i="1"/>
  <c r="W53" i="1" s="1"/>
  <c r="GL53" i="1"/>
  <c r="GN53" i="1"/>
  <c r="GP53" i="1"/>
  <c r="GV53" i="1"/>
  <c r="GX53" i="1"/>
  <c r="HC53" i="1"/>
  <c r="I54" i="1"/>
  <c r="T54" i="1" s="1"/>
  <c r="AB54" i="1"/>
  <c r="AC54" i="1"/>
  <c r="AD54" i="1"/>
  <c r="AE54" i="1"/>
  <c r="AF54" i="1"/>
  <c r="AG54" i="1"/>
  <c r="AH54" i="1"/>
  <c r="CV54" i="1" s="1"/>
  <c r="U54" i="1" s="1"/>
  <c r="AI54" i="1"/>
  <c r="CW54" i="1" s="1"/>
  <c r="AJ54" i="1"/>
  <c r="CX54" i="1" s="1"/>
  <c r="W54" i="1" s="1"/>
  <c r="CQ54" i="1"/>
  <c r="P54" i="1" s="1"/>
  <c r="CR54" i="1"/>
  <c r="CS54" i="1"/>
  <c r="R54" i="1" s="1"/>
  <c r="CT54" i="1"/>
  <c r="S54" i="1" s="1"/>
  <c r="CZ54" i="1" s="1"/>
  <c r="Y54" i="1" s="1"/>
  <c r="CU54" i="1"/>
  <c r="GL54" i="1"/>
  <c r="GN54" i="1"/>
  <c r="GP54" i="1"/>
  <c r="GV54" i="1"/>
  <c r="HC54" i="1" s="1"/>
  <c r="GX54" i="1" s="1"/>
  <c r="I55" i="1"/>
  <c r="Q55" i="1"/>
  <c r="V55" i="1"/>
  <c r="W55" i="1"/>
  <c r="AC55" i="1"/>
  <c r="AE55" i="1"/>
  <c r="AD55" i="1" s="1"/>
  <c r="AB55" i="1" s="1"/>
  <c r="AF55" i="1"/>
  <c r="AG55" i="1"/>
  <c r="AH55" i="1"/>
  <c r="AI55" i="1"/>
  <c r="AJ55" i="1"/>
  <c r="CP55" i="1"/>
  <c r="CQ55" i="1"/>
  <c r="CR55" i="1"/>
  <c r="CS55" i="1"/>
  <c r="R55" i="1" s="1"/>
  <c r="CT55" i="1"/>
  <c r="S55" i="1" s="1"/>
  <c r="CU55" i="1"/>
  <c r="T55" i="1" s="1"/>
  <c r="CV55" i="1"/>
  <c r="U55" i="1" s="1"/>
  <c r="CW55" i="1"/>
  <c r="CX55" i="1"/>
  <c r="CY55" i="1"/>
  <c r="X55" i="1" s="1"/>
  <c r="CZ55" i="1"/>
  <c r="Y55" i="1" s="1"/>
  <c r="GL55" i="1"/>
  <c r="GN55" i="1"/>
  <c r="GP55" i="1"/>
  <c r="GV55" i="1"/>
  <c r="GX55" i="1"/>
  <c r="HC55" i="1"/>
  <c r="I56" i="1"/>
  <c r="R56" i="1"/>
  <c r="S56" i="1"/>
  <c r="AC56" i="1"/>
  <c r="AD56" i="1"/>
  <c r="AE56" i="1"/>
  <c r="AF56" i="1"/>
  <c r="AG56" i="1"/>
  <c r="CU56" i="1" s="1"/>
  <c r="T56" i="1" s="1"/>
  <c r="AH56" i="1"/>
  <c r="CV56" i="1" s="1"/>
  <c r="U56" i="1" s="1"/>
  <c r="AI56" i="1"/>
  <c r="AJ56" i="1"/>
  <c r="CQ56" i="1"/>
  <c r="P56" i="1" s="1"/>
  <c r="CR56" i="1"/>
  <c r="Q56" i="1" s="1"/>
  <c r="CS56" i="1"/>
  <c r="CT56" i="1"/>
  <c r="CW56" i="1"/>
  <c r="V56" i="1" s="1"/>
  <c r="CX56" i="1"/>
  <c r="W56" i="1" s="1"/>
  <c r="GL56" i="1"/>
  <c r="GN56" i="1"/>
  <c r="GP56" i="1"/>
  <c r="GV56" i="1"/>
  <c r="GX56" i="1"/>
  <c r="HC56" i="1"/>
  <c r="I57" i="1"/>
  <c r="T57" i="1" s="1"/>
  <c r="AB57" i="1"/>
  <c r="AC57" i="1"/>
  <c r="AD57" i="1"/>
  <c r="AE57" i="1"/>
  <c r="AF57" i="1"/>
  <c r="AG57" i="1"/>
  <c r="AH57" i="1"/>
  <c r="CV57" i="1" s="1"/>
  <c r="U57" i="1" s="1"/>
  <c r="AI57" i="1"/>
  <c r="CW57" i="1" s="1"/>
  <c r="AJ57" i="1"/>
  <c r="CX57" i="1" s="1"/>
  <c r="W57" i="1" s="1"/>
  <c r="CQ57" i="1"/>
  <c r="P57" i="1" s="1"/>
  <c r="CR57" i="1"/>
  <c r="CS57" i="1"/>
  <c r="CT57" i="1"/>
  <c r="CU57" i="1"/>
  <c r="GL57" i="1"/>
  <c r="GN57" i="1"/>
  <c r="GP57" i="1"/>
  <c r="GV57" i="1"/>
  <c r="HC57" i="1" s="1"/>
  <c r="C58" i="1"/>
  <c r="D58" i="1"/>
  <c r="I58" i="1"/>
  <c r="K58" i="1"/>
  <c r="V58" i="1"/>
  <c r="AC58" i="1"/>
  <c r="AE58" i="1"/>
  <c r="AD58" i="1" s="1"/>
  <c r="AF58" i="1"/>
  <c r="AG58" i="1"/>
  <c r="CU58" i="1" s="1"/>
  <c r="T58" i="1" s="1"/>
  <c r="AH58" i="1"/>
  <c r="AI58" i="1"/>
  <c r="AJ58" i="1"/>
  <c r="CQ58" i="1"/>
  <c r="CR58" i="1"/>
  <c r="CS58" i="1"/>
  <c r="CT58" i="1"/>
  <c r="CV58" i="1"/>
  <c r="CW58" i="1"/>
  <c r="CX58" i="1"/>
  <c r="W58" i="1" s="1"/>
  <c r="GL58" i="1"/>
  <c r="GN58" i="1"/>
  <c r="GP58" i="1"/>
  <c r="GV58" i="1"/>
  <c r="HC58" i="1"/>
  <c r="AC59" i="1"/>
  <c r="AB59" i="1" s="1"/>
  <c r="AD59" i="1"/>
  <c r="AE59" i="1"/>
  <c r="AF59" i="1"/>
  <c r="AG59" i="1"/>
  <c r="AH59" i="1"/>
  <c r="AI59" i="1"/>
  <c r="CW59" i="1" s="1"/>
  <c r="AJ59" i="1"/>
  <c r="CX59" i="1" s="1"/>
  <c r="CQ59" i="1"/>
  <c r="CR59" i="1"/>
  <c r="CS59" i="1"/>
  <c r="CT59" i="1"/>
  <c r="CU59" i="1"/>
  <c r="CV59" i="1"/>
  <c r="GL59" i="1"/>
  <c r="GN59" i="1"/>
  <c r="GP59" i="1"/>
  <c r="GV59" i="1"/>
  <c r="HC59" i="1" s="1"/>
  <c r="AC60" i="1"/>
  <c r="AE60" i="1"/>
  <c r="AD60" i="1" s="1"/>
  <c r="AF60" i="1"/>
  <c r="AG60" i="1"/>
  <c r="CU60" i="1" s="1"/>
  <c r="AH60" i="1"/>
  <c r="AI60" i="1"/>
  <c r="AJ60" i="1"/>
  <c r="CQ60" i="1"/>
  <c r="CR60" i="1"/>
  <c r="CS60" i="1"/>
  <c r="CT60" i="1"/>
  <c r="CV60" i="1"/>
  <c r="CW60" i="1"/>
  <c r="CX60" i="1"/>
  <c r="GL60" i="1"/>
  <c r="GN60" i="1"/>
  <c r="GP60" i="1"/>
  <c r="GV60" i="1"/>
  <c r="HC60" i="1"/>
  <c r="I61" i="1"/>
  <c r="S61" i="1" s="1"/>
  <c r="Y61" i="1"/>
  <c r="AC61" i="1"/>
  <c r="AE61" i="1"/>
  <c r="AD61" i="1" s="1"/>
  <c r="AB61" i="1" s="1"/>
  <c r="AF61" i="1"/>
  <c r="AG61" i="1"/>
  <c r="AH61" i="1"/>
  <c r="AI61" i="1"/>
  <c r="AJ61" i="1"/>
  <c r="CP61" i="1"/>
  <c r="CQ61" i="1"/>
  <c r="CR61" i="1"/>
  <c r="CS61" i="1"/>
  <c r="CT61" i="1"/>
  <c r="CU61" i="1"/>
  <c r="CV61" i="1"/>
  <c r="U61" i="1" s="1"/>
  <c r="CW61" i="1"/>
  <c r="CX61" i="1"/>
  <c r="CY61" i="1"/>
  <c r="X61" i="1" s="1"/>
  <c r="CZ61" i="1"/>
  <c r="GL61" i="1"/>
  <c r="GN61" i="1"/>
  <c r="GP61" i="1"/>
  <c r="GV61" i="1"/>
  <c r="HC61" i="1"/>
  <c r="AC62" i="1"/>
  <c r="AB62" i="1" s="1"/>
  <c r="AD62" i="1"/>
  <c r="AE62" i="1"/>
  <c r="AF62" i="1"/>
  <c r="AG62" i="1"/>
  <c r="AH62" i="1"/>
  <c r="AI62" i="1"/>
  <c r="CW62" i="1" s="1"/>
  <c r="AJ62" i="1"/>
  <c r="CX62" i="1" s="1"/>
  <c r="CQ62" i="1"/>
  <c r="CR62" i="1"/>
  <c r="CS62" i="1"/>
  <c r="CT62" i="1"/>
  <c r="CU62" i="1"/>
  <c r="CV62" i="1"/>
  <c r="GL62" i="1"/>
  <c r="GN62" i="1"/>
  <c r="GP62" i="1"/>
  <c r="GV62" i="1"/>
  <c r="HC62" i="1" s="1"/>
  <c r="C63" i="1"/>
  <c r="D63" i="1"/>
  <c r="I63" i="1"/>
  <c r="K63" i="1"/>
  <c r="T63" i="1"/>
  <c r="V63" i="1"/>
  <c r="AC63" i="1"/>
  <c r="AD63" i="1"/>
  <c r="AE63" i="1"/>
  <c r="AF63" i="1"/>
  <c r="AG63" i="1"/>
  <c r="AH63" i="1"/>
  <c r="AI63" i="1"/>
  <c r="AJ63" i="1"/>
  <c r="CX63" i="1" s="1"/>
  <c r="W63" i="1" s="1"/>
  <c r="CQ63" i="1"/>
  <c r="CR63" i="1"/>
  <c r="CS63" i="1"/>
  <c r="CT63" i="1"/>
  <c r="CU63" i="1"/>
  <c r="CV63" i="1"/>
  <c r="CW63" i="1"/>
  <c r="GL63" i="1"/>
  <c r="GN63" i="1"/>
  <c r="GP63" i="1"/>
  <c r="GV63" i="1"/>
  <c r="HC63" i="1" s="1"/>
  <c r="GX63" i="1" s="1"/>
  <c r="I64" i="1"/>
  <c r="P64" i="1"/>
  <c r="Q64" i="1"/>
  <c r="V64" i="1"/>
  <c r="AC64" i="1"/>
  <c r="AE64" i="1"/>
  <c r="AD64" i="1" s="1"/>
  <c r="AB64" i="1" s="1"/>
  <c r="AF64" i="1"/>
  <c r="AG64" i="1"/>
  <c r="AH64" i="1"/>
  <c r="AI64" i="1"/>
  <c r="AJ64" i="1"/>
  <c r="CX64" i="1" s="1"/>
  <c r="W64" i="1" s="1"/>
  <c r="CP64" i="1"/>
  <c r="O64" i="1" s="1"/>
  <c r="CQ64" i="1"/>
  <c r="CR64" i="1"/>
  <c r="CS64" i="1"/>
  <c r="R64" i="1" s="1"/>
  <c r="CT64" i="1"/>
  <c r="S64" i="1" s="1"/>
  <c r="CU64" i="1"/>
  <c r="T64" i="1" s="1"/>
  <c r="CV64" i="1"/>
  <c r="U64" i="1" s="1"/>
  <c r="CW64" i="1"/>
  <c r="GL64" i="1"/>
  <c r="GN64" i="1"/>
  <c r="GP64" i="1"/>
  <c r="GV64" i="1"/>
  <c r="GX64" i="1"/>
  <c r="HC64" i="1"/>
  <c r="I65" i="1"/>
  <c r="R65" i="1"/>
  <c r="S65" i="1"/>
  <c r="X65" i="1"/>
  <c r="Y65" i="1"/>
  <c r="AC65" i="1"/>
  <c r="AD65" i="1"/>
  <c r="AE65" i="1"/>
  <c r="AF65" i="1"/>
  <c r="AG65" i="1"/>
  <c r="AH65" i="1"/>
  <c r="AI65" i="1"/>
  <c r="AJ65" i="1"/>
  <c r="CP65" i="1"/>
  <c r="CQ65" i="1"/>
  <c r="CR65" i="1"/>
  <c r="Q65" i="1" s="1"/>
  <c r="CS65" i="1"/>
  <c r="CT65" i="1"/>
  <c r="CU65" i="1"/>
  <c r="T65" i="1" s="1"/>
  <c r="CV65" i="1"/>
  <c r="U65" i="1" s="1"/>
  <c r="CW65" i="1"/>
  <c r="V65" i="1" s="1"/>
  <c r="CX65" i="1"/>
  <c r="W65" i="1" s="1"/>
  <c r="CY65" i="1"/>
  <c r="CZ65" i="1"/>
  <c r="GL65" i="1"/>
  <c r="GN65" i="1"/>
  <c r="GP65" i="1"/>
  <c r="GV65" i="1"/>
  <c r="GX65" i="1"/>
  <c r="HC65" i="1"/>
  <c r="I66" i="1"/>
  <c r="T66" i="1"/>
  <c r="U66" i="1"/>
  <c r="AC66" i="1"/>
  <c r="AB66" i="1" s="1"/>
  <c r="AD66" i="1"/>
  <c r="AE66" i="1"/>
  <c r="AF66" i="1"/>
  <c r="AG66" i="1"/>
  <c r="AH66" i="1"/>
  <c r="CV66" i="1" s="1"/>
  <c r="AI66" i="1"/>
  <c r="CW66" i="1" s="1"/>
  <c r="V66" i="1" s="1"/>
  <c r="AJ66" i="1"/>
  <c r="CX66" i="1" s="1"/>
  <c r="W66" i="1" s="1"/>
  <c r="CQ66" i="1"/>
  <c r="P66" i="1" s="1"/>
  <c r="CR66" i="1"/>
  <c r="Q66" i="1" s="1"/>
  <c r="CS66" i="1"/>
  <c r="R66" i="1" s="1"/>
  <c r="CT66" i="1"/>
  <c r="CU66" i="1"/>
  <c r="GL66" i="1"/>
  <c r="GN66" i="1"/>
  <c r="GP66" i="1"/>
  <c r="GV66" i="1"/>
  <c r="HC66" i="1" s="1"/>
  <c r="GX66" i="1" s="1"/>
  <c r="I67" i="1"/>
  <c r="P67" i="1"/>
  <c r="Q67" i="1"/>
  <c r="CP67" i="1" s="1"/>
  <c r="O67" i="1" s="1"/>
  <c r="V67" i="1"/>
  <c r="AC67" i="1"/>
  <c r="AE67" i="1"/>
  <c r="AD67" i="1" s="1"/>
  <c r="AB67" i="1" s="1"/>
  <c r="AF67" i="1"/>
  <c r="AG67" i="1"/>
  <c r="AH67" i="1"/>
  <c r="AI67" i="1"/>
  <c r="AJ67" i="1"/>
  <c r="CX67" i="1" s="1"/>
  <c r="W67" i="1" s="1"/>
  <c r="CQ67" i="1"/>
  <c r="CR67" i="1"/>
  <c r="CS67" i="1"/>
  <c r="R67" i="1" s="1"/>
  <c r="CT67" i="1"/>
  <c r="S67" i="1" s="1"/>
  <c r="CU67" i="1"/>
  <c r="T67" i="1" s="1"/>
  <c r="CV67" i="1"/>
  <c r="U67" i="1" s="1"/>
  <c r="CW67" i="1"/>
  <c r="GL67" i="1"/>
  <c r="GN67" i="1"/>
  <c r="GP67" i="1"/>
  <c r="GV67" i="1"/>
  <c r="GX67" i="1"/>
  <c r="HC67" i="1"/>
  <c r="I68" i="1"/>
  <c r="R68" i="1"/>
  <c r="S68" i="1"/>
  <c r="AC68" i="1"/>
  <c r="AD68" i="1"/>
  <c r="AB68" i="1" s="1"/>
  <c r="AE68" i="1"/>
  <c r="AF68" i="1"/>
  <c r="AG68" i="1"/>
  <c r="CU68" i="1" s="1"/>
  <c r="T68" i="1" s="1"/>
  <c r="AH68" i="1"/>
  <c r="CV68" i="1" s="1"/>
  <c r="U68" i="1" s="1"/>
  <c r="AI68" i="1"/>
  <c r="AJ68" i="1"/>
  <c r="CQ68" i="1"/>
  <c r="P68" i="1" s="1"/>
  <c r="CP68" i="1" s="1"/>
  <c r="O68" i="1" s="1"/>
  <c r="CR68" i="1"/>
  <c r="Q68" i="1" s="1"/>
  <c r="CS68" i="1"/>
  <c r="CT68" i="1"/>
  <c r="CW68" i="1"/>
  <c r="V68" i="1" s="1"/>
  <c r="CX68" i="1"/>
  <c r="W68" i="1" s="1"/>
  <c r="GL68" i="1"/>
  <c r="GN68" i="1"/>
  <c r="GP68" i="1"/>
  <c r="GV68" i="1"/>
  <c r="GX68" i="1"/>
  <c r="HC68" i="1"/>
  <c r="I69" i="1"/>
  <c r="T69" i="1" s="1"/>
  <c r="R69" i="1"/>
  <c r="AB69" i="1"/>
  <c r="AC69" i="1"/>
  <c r="AD69" i="1"/>
  <c r="AE69" i="1"/>
  <c r="AF69" i="1"/>
  <c r="AG69" i="1"/>
  <c r="AH69" i="1"/>
  <c r="CV69" i="1" s="1"/>
  <c r="U69" i="1" s="1"/>
  <c r="AI69" i="1"/>
  <c r="AJ69" i="1"/>
  <c r="CX69" i="1" s="1"/>
  <c r="W69" i="1" s="1"/>
  <c r="CQ69" i="1"/>
  <c r="P69" i="1" s="1"/>
  <c r="CR69" i="1"/>
  <c r="CS69" i="1"/>
  <c r="CT69" i="1"/>
  <c r="S69" i="1" s="1"/>
  <c r="CZ69" i="1" s="1"/>
  <c r="Y69" i="1" s="1"/>
  <c r="CU69" i="1"/>
  <c r="CW69" i="1"/>
  <c r="V69" i="1" s="1"/>
  <c r="CY69" i="1"/>
  <c r="X69" i="1" s="1"/>
  <c r="GL69" i="1"/>
  <c r="GN69" i="1"/>
  <c r="GP69" i="1"/>
  <c r="GV69" i="1"/>
  <c r="HC69" i="1" s="1"/>
  <c r="GX69" i="1" s="1"/>
  <c r="C70" i="1"/>
  <c r="D70" i="1"/>
  <c r="I70" i="1"/>
  <c r="I73" i="1" s="1"/>
  <c r="K70" i="1"/>
  <c r="T70" i="1"/>
  <c r="V70" i="1"/>
  <c r="AC70" i="1"/>
  <c r="AE70" i="1"/>
  <c r="AD70" i="1" s="1"/>
  <c r="AF70" i="1"/>
  <c r="AG70" i="1"/>
  <c r="CU70" i="1" s="1"/>
  <c r="AH70" i="1"/>
  <c r="AI70" i="1"/>
  <c r="AJ70" i="1"/>
  <c r="CQ70" i="1"/>
  <c r="CR70" i="1"/>
  <c r="CS70" i="1"/>
  <c r="CT70" i="1"/>
  <c r="CV70" i="1"/>
  <c r="CW70" i="1"/>
  <c r="CX70" i="1"/>
  <c r="W70" i="1" s="1"/>
  <c r="GL70" i="1"/>
  <c r="GN70" i="1"/>
  <c r="GP70" i="1"/>
  <c r="GV70" i="1"/>
  <c r="HC70" i="1"/>
  <c r="AC71" i="1"/>
  <c r="AB71" i="1" s="1"/>
  <c r="AD71" i="1"/>
  <c r="AE71" i="1"/>
  <c r="AF71" i="1"/>
  <c r="AG71" i="1"/>
  <c r="AH71" i="1"/>
  <c r="AI71" i="1"/>
  <c r="CW71" i="1" s="1"/>
  <c r="AJ71" i="1"/>
  <c r="CQ71" i="1"/>
  <c r="CR71" i="1"/>
  <c r="CS71" i="1"/>
  <c r="CT71" i="1"/>
  <c r="CU71" i="1"/>
  <c r="CV71" i="1"/>
  <c r="CX71" i="1"/>
  <c r="GL71" i="1"/>
  <c r="GN71" i="1"/>
  <c r="GP71" i="1"/>
  <c r="GV71" i="1"/>
  <c r="HC71" i="1" s="1"/>
  <c r="I72" i="1"/>
  <c r="Q72" i="1"/>
  <c r="R72" i="1"/>
  <c r="U72" i="1"/>
  <c r="W72" i="1"/>
  <c r="X72" i="1"/>
  <c r="AC72" i="1"/>
  <c r="AE72" i="1"/>
  <c r="AD72" i="1" s="1"/>
  <c r="AF72" i="1"/>
  <c r="AG72" i="1"/>
  <c r="AH72" i="1"/>
  <c r="AI72" i="1"/>
  <c r="AJ72" i="1"/>
  <c r="CP72" i="1"/>
  <c r="CQ72" i="1"/>
  <c r="CR72" i="1"/>
  <c r="CS72" i="1"/>
  <c r="CT72" i="1"/>
  <c r="S72" i="1" s="1"/>
  <c r="CU72" i="1"/>
  <c r="T72" i="1" s="1"/>
  <c r="CV72" i="1"/>
  <c r="CW72" i="1"/>
  <c r="V72" i="1" s="1"/>
  <c r="CX72" i="1"/>
  <c r="CY72" i="1"/>
  <c r="CZ72" i="1"/>
  <c r="Y72" i="1" s="1"/>
  <c r="GL72" i="1"/>
  <c r="GN72" i="1"/>
  <c r="GP72" i="1"/>
  <c r="GV72" i="1"/>
  <c r="HC72" i="1"/>
  <c r="GX72" i="1" s="1"/>
  <c r="AB73" i="1"/>
  <c r="AC73" i="1"/>
  <c r="AE73" i="1"/>
  <c r="AD73" i="1" s="1"/>
  <c r="AF73" i="1"/>
  <c r="AG73" i="1"/>
  <c r="CU73" i="1" s="1"/>
  <c r="AH73" i="1"/>
  <c r="AI73" i="1"/>
  <c r="CW73" i="1" s="1"/>
  <c r="AJ73" i="1"/>
  <c r="CQ73" i="1"/>
  <c r="CR73" i="1"/>
  <c r="Q73" i="1" s="1"/>
  <c r="CS73" i="1"/>
  <c r="CT73" i="1"/>
  <c r="CV73" i="1"/>
  <c r="CX73" i="1"/>
  <c r="GL73" i="1"/>
  <c r="GN73" i="1"/>
  <c r="GP73" i="1"/>
  <c r="GV73" i="1"/>
  <c r="HC73" i="1"/>
  <c r="AC74" i="1"/>
  <c r="AB74" i="1" s="1"/>
  <c r="AD74" i="1"/>
  <c r="AE74" i="1"/>
  <c r="AF74" i="1"/>
  <c r="AG74" i="1"/>
  <c r="CU74" i="1" s="1"/>
  <c r="AH74" i="1"/>
  <c r="AI74" i="1"/>
  <c r="CW74" i="1" s="1"/>
  <c r="AJ74" i="1"/>
  <c r="CQ74" i="1"/>
  <c r="CR74" i="1"/>
  <c r="CS74" i="1"/>
  <c r="CT74" i="1"/>
  <c r="CV74" i="1"/>
  <c r="CX74" i="1"/>
  <c r="GL74" i="1"/>
  <c r="GN74" i="1"/>
  <c r="GP74" i="1"/>
  <c r="GV74" i="1"/>
  <c r="HC74" i="1" s="1"/>
  <c r="C75" i="1"/>
  <c r="D75" i="1"/>
  <c r="I75" i="1"/>
  <c r="K75" i="1"/>
  <c r="T75" i="1"/>
  <c r="AC75" i="1"/>
  <c r="AD75" i="1"/>
  <c r="AE75" i="1"/>
  <c r="AF75" i="1"/>
  <c r="AG75" i="1"/>
  <c r="AH75" i="1"/>
  <c r="AI75" i="1"/>
  <c r="AJ75" i="1"/>
  <c r="CX75" i="1" s="1"/>
  <c r="W75" i="1" s="1"/>
  <c r="CQ75" i="1"/>
  <c r="CR75" i="1"/>
  <c r="CS75" i="1"/>
  <c r="CT75" i="1"/>
  <c r="CU75" i="1"/>
  <c r="CV75" i="1"/>
  <c r="CW75" i="1"/>
  <c r="GL75" i="1"/>
  <c r="GN75" i="1"/>
  <c r="GP75" i="1"/>
  <c r="GV75" i="1"/>
  <c r="HC75" i="1" s="1"/>
  <c r="GX75" i="1" s="1"/>
  <c r="I76" i="1"/>
  <c r="GX76" i="1" s="1"/>
  <c r="AC76" i="1"/>
  <c r="AE76" i="1"/>
  <c r="AD76" i="1" s="1"/>
  <c r="AB76" i="1" s="1"/>
  <c r="AF76" i="1"/>
  <c r="AG76" i="1"/>
  <c r="AH76" i="1"/>
  <c r="CV76" i="1" s="1"/>
  <c r="AI76" i="1"/>
  <c r="AJ76" i="1"/>
  <c r="CX76" i="1" s="1"/>
  <c r="CQ76" i="1"/>
  <c r="CR76" i="1"/>
  <c r="CS76" i="1"/>
  <c r="CT76" i="1"/>
  <c r="CU76" i="1"/>
  <c r="CW76" i="1"/>
  <c r="GL76" i="1"/>
  <c r="GN76" i="1"/>
  <c r="GP76" i="1"/>
  <c r="GV76" i="1"/>
  <c r="HC76" i="1"/>
  <c r="I77" i="1"/>
  <c r="R77" i="1"/>
  <c r="S77" i="1"/>
  <c r="V77" i="1"/>
  <c r="AC77" i="1"/>
  <c r="AD77" i="1"/>
  <c r="AE77" i="1"/>
  <c r="AF77" i="1"/>
  <c r="AG77" i="1"/>
  <c r="CU77" i="1" s="1"/>
  <c r="T77" i="1" s="1"/>
  <c r="AH77" i="1"/>
  <c r="CV77" i="1" s="1"/>
  <c r="U77" i="1" s="1"/>
  <c r="AI77" i="1"/>
  <c r="AJ77" i="1"/>
  <c r="CX77" i="1" s="1"/>
  <c r="W77" i="1" s="1"/>
  <c r="CQ77" i="1"/>
  <c r="P77" i="1" s="1"/>
  <c r="CP77" i="1" s="1"/>
  <c r="O77" i="1" s="1"/>
  <c r="CR77" i="1"/>
  <c r="Q77" i="1" s="1"/>
  <c r="CS77" i="1"/>
  <c r="CT77" i="1"/>
  <c r="CW77" i="1"/>
  <c r="GL77" i="1"/>
  <c r="GN77" i="1"/>
  <c r="GP77" i="1"/>
  <c r="GV77" i="1"/>
  <c r="GX77" i="1"/>
  <c r="HC77" i="1"/>
  <c r="I78" i="1"/>
  <c r="X78" i="1"/>
  <c r="AB78" i="1"/>
  <c r="AC78" i="1"/>
  <c r="AD78" i="1"/>
  <c r="AE78" i="1"/>
  <c r="AF78" i="1"/>
  <c r="AG78" i="1"/>
  <c r="AH78" i="1"/>
  <c r="AI78" i="1"/>
  <c r="AJ78" i="1"/>
  <c r="CP78" i="1"/>
  <c r="CQ78" i="1"/>
  <c r="CR78" i="1"/>
  <c r="Q78" i="1" s="1"/>
  <c r="CS78" i="1"/>
  <c r="CT78" i="1"/>
  <c r="CU78" i="1"/>
  <c r="CV78" i="1"/>
  <c r="CW78" i="1"/>
  <c r="CX78" i="1"/>
  <c r="CY78" i="1"/>
  <c r="CZ78" i="1"/>
  <c r="Y78" i="1" s="1"/>
  <c r="GL78" i="1"/>
  <c r="GN78" i="1"/>
  <c r="GP78" i="1"/>
  <c r="GV78" i="1"/>
  <c r="HC78" i="1"/>
  <c r="C79" i="1"/>
  <c r="D79" i="1"/>
  <c r="I79" i="1"/>
  <c r="T79" i="1" s="1"/>
  <c r="K79" i="1"/>
  <c r="AC79" i="1"/>
  <c r="AE79" i="1"/>
  <c r="AD79" i="1" s="1"/>
  <c r="AF79" i="1"/>
  <c r="AG79" i="1"/>
  <c r="CU79" i="1" s="1"/>
  <c r="AH79" i="1"/>
  <c r="AI79" i="1"/>
  <c r="AJ79" i="1"/>
  <c r="CQ79" i="1"/>
  <c r="CR79" i="1"/>
  <c r="CS79" i="1"/>
  <c r="CT79" i="1"/>
  <c r="CV79" i="1"/>
  <c r="CW79" i="1"/>
  <c r="CX79" i="1"/>
  <c r="W79" i="1" s="1"/>
  <c r="GL79" i="1"/>
  <c r="GN79" i="1"/>
  <c r="GP79" i="1"/>
  <c r="GV79" i="1"/>
  <c r="HC79" i="1" s="1"/>
  <c r="GX79" i="1" s="1"/>
  <c r="AC80" i="1"/>
  <c r="AE80" i="1"/>
  <c r="AD80" i="1" s="1"/>
  <c r="AF80" i="1"/>
  <c r="AG80" i="1"/>
  <c r="CU80" i="1" s="1"/>
  <c r="AH80" i="1"/>
  <c r="AI80" i="1"/>
  <c r="CW80" i="1" s="1"/>
  <c r="AJ80" i="1"/>
  <c r="CQ80" i="1"/>
  <c r="CR80" i="1"/>
  <c r="CS80" i="1"/>
  <c r="CT80" i="1"/>
  <c r="CV80" i="1"/>
  <c r="CX80" i="1"/>
  <c r="GL80" i="1"/>
  <c r="GN80" i="1"/>
  <c r="GP80" i="1"/>
  <c r="GV80" i="1"/>
  <c r="HC80" i="1" s="1"/>
  <c r="I81" i="1"/>
  <c r="Q81" i="1"/>
  <c r="R81" i="1"/>
  <c r="S81" i="1"/>
  <c r="X81" i="1"/>
  <c r="AC81" i="1"/>
  <c r="AE81" i="1"/>
  <c r="AD81" i="1" s="1"/>
  <c r="AF81" i="1"/>
  <c r="AG81" i="1"/>
  <c r="AH81" i="1"/>
  <c r="AI81" i="1"/>
  <c r="AJ81" i="1"/>
  <c r="CP81" i="1"/>
  <c r="CQ81" i="1"/>
  <c r="CR81" i="1"/>
  <c r="CS81" i="1"/>
  <c r="CT81" i="1"/>
  <c r="CU81" i="1"/>
  <c r="T81" i="1" s="1"/>
  <c r="CV81" i="1"/>
  <c r="U81" i="1" s="1"/>
  <c r="CW81" i="1"/>
  <c r="V81" i="1" s="1"/>
  <c r="CX81" i="1"/>
  <c r="W81" i="1" s="1"/>
  <c r="CY81" i="1"/>
  <c r="CZ81" i="1"/>
  <c r="Y81" i="1" s="1"/>
  <c r="GL81" i="1"/>
  <c r="GN81" i="1"/>
  <c r="GP81" i="1"/>
  <c r="GV81" i="1"/>
  <c r="HC81" i="1"/>
  <c r="GX81" i="1" s="1"/>
  <c r="B83" i="1"/>
  <c r="B26" i="1" s="1"/>
  <c r="C83" i="1"/>
  <c r="C26" i="1" s="1"/>
  <c r="D83" i="1"/>
  <c r="D26" i="1" s="1"/>
  <c r="F83" i="1"/>
  <c r="F26" i="1" s="1"/>
  <c r="G83" i="1"/>
  <c r="G26" i="1" s="1"/>
  <c r="AP83" i="1"/>
  <c r="AP26" i="1" s="1"/>
  <c r="BB83" i="1"/>
  <c r="BB26" i="1" s="1"/>
  <c r="BX83" i="1"/>
  <c r="BY83" i="1"/>
  <c r="BY26" i="1" s="1"/>
  <c r="CK83" i="1"/>
  <c r="CK26" i="1" s="1"/>
  <c r="CL83" i="1"/>
  <c r="CM83" i="1"/>
  <c r="CM26" i="1" s="1"/>
  <c r="F96" i="1"/>
  <c r="D113" i="1"/>
  <c r="C115" i="1"/>
  <c r="E115" i="1"/>
  <c r="Z115" i="1"/>
  <c r="AA115" i="1"/>
  <c r="AM115" i="1"/>
  <c r="AN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EF115" i="1"/>
  <c r="EG115" i="1"/>
  <c r="EH115" i="1"/>
  <c r="EI115" i="1"/>
  <c r="EJ115" i="1"/>
  <c r="EK115" i="1"/>
  <c r="EL115" i="1"/>
  <c r="EM115" i="1"/>
  <c r="EN115" i="1"/>
  <c r="EO115" i="1"/>
  <c r="EP115" i="1"/>
  <c r="EQ115" i="1"/>
  <c r="ER115" i="1"/>
  <c r="ES115" i="1"/>
  <c r="ET115" i="1"/>
  <c r="EU115" i="1"/>
  <c r="EV115" i="1"/>
  <c r="EW115" i="1"/>
  <c r="EX115" i="1"/>
  <c r="EY115" i="1"/>
  <c r="EZ115" i="1"/>
  <c r="FA115" i="1"/>
  <c r="FB115" i="1"/>
  <c r="FC115" i="1"/>
  <c r="FD115" i="1"/>
  <c r="FE115" i="1"/>
  <c r="FF115" i="1"/>
  <c r="FG115" i="1"/>
  <c r="FH115" i="1"/>
  <c r="FI115" i="1"/>
  <c r="FJ115" i="1"/>
  <c r="FK115" i="1"/>
  <c r="FL115" i="1"/>
  <c r="FM115" i="1"/>
  <c r="FN115" i="1"/>
  <c r="FO115" i="1"/>
  <c r="FP115" i="1"/>
  <c r="FQ115" i="1"/>
  <c r="FR115" i="1"/>
  <c r="FS115" i="1"/>
  <c r="FT115" i="1"/>
  <c r="FU115" i="1"/>
  <c r="FV115" i="1"/>
  <c r="FW115" i="1"/>
  <c r="FX115" i="1"/>
  <c r="FY115" i="1"/>
  <c r="FZ115" i="1"/>
  <c r="GA115" i="1"/>
  <c r="GB115" i="1"/>
  <c r="GC115" i="1"/>
  <c r="GD115" i="1"/>
  <c r="GE115" i="1"/>
  <c r="GF115" i="1"/>
  <c r="GG115" i="1"/>
  <c r="GH115" i="1"/>
  <c r="GI115" i="1"/>
  <c r="GJ115" i="1"/>
  <c r="GK115" i="1"/>
  <c r="GL115" i="1"/>
  <c r="GM115" i="1"/>
  <c r="GN115" i="1"/>
  <c r="GO115" i="1"/>
  <c r="GP115" i="1"/>
  <c r="GQ115" i="1"/>
  <c r="GR115" i="1"/>
  <c r="GS115" i="1"/>
  <c r="GT115" i="1"/>
  <c r="GU115" i="1"/>
  <c r="GV115" i="1"/>
  <c r="GW115" i="1"/>
  <c r="GX115" i="1"/>
  <c r="C117" i="1"/>
  <c r="D117" i="1"/>
  <c r="I117" i="1"/>
  <c r="I118" i="1" s="1"/>
  <c r="Q118" i="1" s="1"/>
  <c r="K117" i="1"/>
  <c r="AC117" i="1"/>
  <c r="AE117" i="1"/>
  <c r="AD117" i="1" s="1"/>
  <c r="AF117" i="1"/>
  <c r="AG117" i="1"/>
  <c r="CU117" i="1" s="1"/>
  <c r="T117" i="1" s="1"/>
  <c r="AH117" i="1"/>
  <c r="AI117" i="1"/>
  <c r="AJ117" i="1"/>
  <c r="CX117" i="1" s="1"/>
  <c r="W117" i="1" s="1"/>
  <c r="CQ117" i="1"/>
  <c r="CR117" i="1"/>
  <c r="CS117" i="1"/>
  <c r="CT117" i="1"/>
  <c r="CV117" i="1"/>
  <c r="CW117" i="1"/>
  <c r="GL117" i="1"/>
  <c r="GO117" i="1"/>
  <c r="GP117" i="1"/>
  <c r="GV117" i="1"/>
  <c r="HC117" i="1" s="1"/>
  <c r="GX117" i="1" s="1"/>
  <c r="R118" i="1"/>
  <c r="AC118" i="1"/>
  <c r="AE118" i="1"/>
  <c r="AD118" i="1" s="1"/>
  <c r="AF118" i="1"/>
  <c r="AG118" i="1"/>
  <c r="CU118" i="1" s="1"/>
  <c r="T118" i="1" s="1"/>
  <c r="AH118" i="1"/>
  <c r="AI118" i="1"/>
  <c r="AJ118" i="1"/>
  <c r="CQ118" i="1"/>
  <c r="CR118" i="1"/>
  <c r="CS118" i="1"/>
  <c r="CT118" i="1"/>
  <c r="CV118" i="1"/>
  <c r="CW118" i="1"/>
  <c r="V118" i="1" s="1"/>
  <c r="CX118" i="1"/>
  <c r="GL118" i="1"/>
  <c r="GO118" i="1"/>
  <c r="GP118" i="1"/>
  <c r="GV118" i="1"/>
  <c r="HC118" i="1"/>
  <c r="GX118" i="1" s="1"/>
  <c r="C119" i="1"/>
  <c r="D119" i="1"/>
  <c r="V119" i="1"/>
  <c r="AC119" i="1"/>
  <c r="AD119" i="1"/>
  <c r="AE119" i="1"/>
  <c r="AF119" i="1"/>
  <c r="AG119" i="1"/>
  <c r="CU119" i="1" s="1"/>
  <c r="T119" i="1" s="1"/>
  <c r="AH119" i="1"/>
  <c r="AI119" i="1"/>
  <c r="AJ119" i="1"/>
  <c r="CQ119" i="1"/>
  <c r="CR119" i="1"/>
  <c r="CS119" i="1"/>
  <c r="CT119" i="1"/>
  <c r="CV119" i="1"/>
  <c r="CW119" i="1"/>
  <c r="CX119" i="1"/>
  <c r="W119" i="1" s="1"/>
  <c r="GL119" i="1"/>
  <c r="GO119" i="1"/>
  <c r="GP119" i="1"/>
  <c r="GV119" i="1"/>
  <c r="GX119" i="1"/>
  <c r="HC119" i="1"/>
  <c r="I120" i="1"/>
  <c r="T120" i="1" s="1"/>
  <c r="AB120" i="1"/>
  <c r="AC120" i="1"/>
  <c r="AD120" i="1"/>
  <c r="AE120" i="1"/>
  <c r="AF120" i="1"/>
  <c r="AG120" i="1"/>
  <c r="AH120" i="1"/>
  <c r="CV120" i="1" s="1"/>
  <c r="U120" i="1" s="1"/>
  <c r="AI120" i="1"/>
  <c r="CW120" i="1" s="1"/>
  <c r="AJ120" i="1"/>
  <c r="CX120" i="1" s="1"/>
  <c r="W120" i="1" s="1"/>
  <c r="CQ120" i="1"/>
  <c r="CR120" i="1"/>
  <c r="CS120" i="1"/>
  <c r="CT120" i="1"/>
  <c r="CU120" i="1"/>
  <c r="GL120" i="1"/>
  <c r="GO120" i="1"/>
  <c r="GP120" i="1"/>
  <c r="GV120" i="1"/>
  <c r="HC120" i="1" s="1"/>
  <c r="I121" i="1"/>
  <c r="S121" i="1" s="1"/>
  <c r="CP121" i="1" s="1"/>
  <c r="O121" i="1" s="1"/>
  <c r="P121" i="1"/>
  <c r="Q121" i="1"/>
  <c r="V121" i="1"/>
  <c r="AC121" i="1"/>
  <c r="AD121" i="1"/>
  <c r="AB121" i="1" s="1"/>
  <c r="AE121" i="1"/>
  <c r="AF121" i="1"/>
  <c r="AG121" i="1"/>
  <c r="AH121" i="1"/>
  <c r="AI121" i="1"/>
  <c r="AJ121" i="1"/>
  <c r="CX121" i="1" s="1"/>
  <c r="W121" i="1" s="1"/>
  <c r="CQ121" i="1"/>
  <c r="CR121" i="1"/>
  <c r="CS121" i="1"/>
  <c r="R121" i="1" s="1"/>
  <c r="CT121" i="1"/>
  <c r="CU121" i="1"/>
  <c r="T121" i="1" s="1"/>
  <c r="CV121" i="1"/>
  <c r="U121" i="1" s="1"/>
  <c r="CW121" i="1"/>
  <c r="GL121" i="1"/>
  <c r="GO121" i="1"/>
  <c r="GP121" i="1"/>
  <c r="GV121" i="1"/>
  <c r="HC121" i="1"/>
  <c r="GX121" i="1" s="1"/>
  <c r="I122" i="1"/>
  <c r="R122" i="1"/>
  <c r="S122" i="1"/>
  <c r="AC122" i="1"/>
  <c r="AD122" i="1"/>
  <c r="AE122" i="1"/>
  <c r="AF122" i="1"/>
  <c r="AG122" i="1"/>
  <c r="CU122" i="1" s="1"/>
  <c r="T122" i="1" s="1"/>
  <c r="AH122" i="1"/>
  <c r="CV122" i="1" s="1"/>
  <c r="U122" i="1" s="1"/>
  <c r="AI122" i="1"/>
  <c r="AJ122" i="1"/>
  <c r="CQ122" i="1"/>
  <c r="P122" i="1" s="1"/>
  <c r="CR122" i="1"/>
  <c r="Q122" i="1" s="1"/>
  <c r="CS122" i="1"/>
  <c r="CT122" i="1"/>
  <c r="CW122" i="1"/>
  <c r="V122" i="1" s="1"/>
  <c r="CX122" i="1"/>
  <c r="W122" i="1" s="1"/>
  <c r="GL122" i="1"/>
  <c r="GO122" i="1"/>
  <c r="GP122" i="1"/>
  <c r="GV122" i="1"/>
  <c r="HC122" i="1" s="1"/>
  <c r="GX122" i="1" s="1"/>
  <c r="I123" i="1"/>
  <c r="U123" i="1" s="1"/>
  <c r="T123" i="1"/>
  <c r="AC123" i="1"/>
  <c r="AB123" i="1" s="1"/>
  <c r="AD123" i="1"/>
  <c r="AE123" i="1"/>
  <c r="AF123" i="1"/>
  <c r="AG123" i="1"/>
  <c r="AH123" i="1"/>
  <c r="CV123" i="1" s="1"/>
  <c r="AI123" i="1"/>
  <c r="CW123" i="1" s="1"/>
  <c r="AJ123" i="1"/>
  <c r="CX123" i="1" s="1"/>
  <c r="W123" i="1" s="1"/>
  <c r="CQ123" i="1"/>
  <c r="CR123" i="1"/>
  <c r="Q123" i="1" s="1"/>
  <c r="CS123" i="1"/>
  <c r="CT123" i="1"/>
  <c r="CU123" i="1"/>
  <c r="GL123" i="1"/>
  <c r="GO123" i="1"/>
  <c r="GP123" i="1"/>
  <c r="GV123" i="1"/>
  <c r="HC123" i="1" s="1"/>
  <c r="I124" i="1"/>
  <c r="S124" i="1" s="1"/>
  <c r="P124" i="1"/>
  <c r="Q124" i="1"/>
  <c r="CP124" i="1" s="1"/>
  <c r="O124" i="1" s="1"/>
  <c r="V124" i="1"/>
  <c r="AC124" i="1"/>
  <c r="AD124" i="1"/>
  <c r="AB124" i="1" s="1"/>
  <c r="AE124" i="1"/>
  <c r="AF124" i="1"/>
  <c r="AG124" i="1"/>
  <c r="AH124" i="1"/>
  <c r="AI124" i="1"/>
  <c r="AJ124" i="1"/>
  <c r="CX124" i="1" s="1"/>
  <c r="W124" i="1" s="1"/>
  <c r="CQ124" i="1"/>
  <c r="CR124" i="1"/>
  <c r="CS124" i="1"/>
  <c r="R124" i="1" s="1"/>
  <c r="CT124" i="1"/>
  <c r="CU124" i="1"/>
  <c r="T124" i="1" s="1"/>
  <c r="CV124" i="1"/>
  <c r="U124" i="1" s="1"/>
  <c r="CW124" i="1"/>
  <c r="GL124" i="1"/>
  <c r="GO124" i="1"/>
  <c r="GP124" i="1"/>
  <c r="GV124" i="1"/>
  <c r="GX124" i="1"/>
  <c r="HC124" i="1"/>
  <c r="I125" i="1"/>
  <c r="R125" i="1"/>
  <c r="S125" i="1"/>
  <c r="AC125" i="1"/>
  <c r="AD125" i="1"/>
  <c r="AE125" i="1"/>
  <c r="AF125" i="1"/>
  <c r="AG125" i="1"/>
  <c r="AH125" i="1"/>
  <c r="CV125" i="1" s="1"/>
  <c r="U125" i="1" s="1"/>
  <c r="AI125" i="1"/>
  <c r="AJ125" i="1"/>
  <c r="CQ125" i="1"/>
  <c r="P125" i="1" s="1"/>
  <c r="CR125" i="1"/>
  <c r="Q125" i="1" s="1"/>
  <c r="CS125" i="1"/>
  <c r="CT125" i="1"/>
  <c r="CU125" i="1"/>
  <c r="T125" i="1" s="1"/>
  <c r="CW125" i="1"/>
  <c r="V125" i="1" s="1"/>
  <c r="CX125" i="1"/>
  <c r="W125" i="1" s="1"/>
  <c r="GL125" i="1"/>
  <c r="GO125" i="1"/>
  <c r="GP125" i="1"/>
  <c r="GV125" i="1"/>
  <c r="HC125" i="1" s="1"/>
  <c r="GX125" i="1"/>
  <c r="I126" i="1"/>
  <c r="T126" i="1"/>
  <c r="AC126" i="1"/>
  <c r="AB126" i="1" s="1"/>
  <c r="AD126" i="1"/>
  <c r="AE126" i="1"/>
  <c r="AF126" i="1"/>
  <c r="AG126" i="1"/>
  <c r="AH126" i="1"/>
  <c r="CV126" i="1" s="1"/>
  <c r="U126" i="1" s="1"/>
  <c r="AI126" i="1"/>
  <c r="CW126" i="1" s="1"/>
  <c r="V126" i="1" s="1"/>
  <c r="AJ126" i="1"/>
  <c r="CX126" i="1" s="1"/>
  <c r="CQ126" i="1"/>
  <c r="P126" i="1" s="1"/>
  <c r="CR126" i="1"/>
  <c r="CS126" i="1"/>
  <c r="CT126" i="1"/>
  <c r="CU126" i="1"/>
  <c r="GL126" i="1"/>
  <c r="GO126" i="1"/>
  <c r="GP126" i="1"/>
  <c r="GV126" i="1"/>
  <c r="HC126" i="1" s="1"/>
  <c r="C127" i="1"/>
  <c r="D127" i="1"/>
  <c r="I127" i="1"/>
  <c r="K127" i="1"/>
  <c r="T127" i="1"/>
  <c r="V127" i="1"/>
  <c r="AC127" i="1"/>
  <c r="AE127" i="1"/>
  <c r="AD127" i="1" s="1"/>
  <c r="AF127" i="1"/>
  <c r="AG127" i="1"/>
  <c r="CU127" i="1" s="1"/>
  <c r="AH127" i="1"/>
  <c r="AI127" i="1"/>
  <c r="AJ127" i="1"/>
  <c r="CQ127" i="1"/>
  <c r="CR127" i="1"/>
  <c r="CS127" i="1"/>
  <c r="CT127" i="1"/>
  <c r="CV127" i="1"/>
  <c r="CW127" i="1"/>
  <c r="CX127" i="1"/>
  <c r="W127" i="1" s="1"/>
  <c r="GL127" i="1"/>
  <c r="GO127" i="1"/>
  <c r="GP127" i="1"/>
  <c r="GV127" i="1"/>
  <c r="HC127" i="1"/>
  <c r="GX127" i="1" s="1"/>
  <c r="AC128" i="1"/>
  <c r="AD128" i="1"/>
  <c r="AE128" i="1"/>
  <c r="AF128" i="1"/>
  <c r="AG128" i="1"/>
  <c r="AH128" i="1"/>
  <c r="AI128" i="1"/>
  <c r="CW128" i="1" s="1"/>
  <c r="AJ128" i="1"/>
  <c r="CX128" i="1" s="1"/>
  <c r="CQ128" i="1"/>
  <c r="CR128" i="1"/>
  <c r="CS128" i="1"/>
  <c r="CT128" i="1"/>
  <c r="CU128" i="1"/>
  <c r="CV128" i="1"/>
  <c r="GL128" i="1"/>
  <c r="GO128" i="1"/>
  <c r="GP128" i="1"/>
  <c r="GV128" i="1"/>
  <c r="HC128" i="1" s="1"/>
  <c r="C129" i="1"/>
  <c r="D129" i="1"/>
  <c r="I129" i="1"/>
  <c r="K129" i="1"/>
  <c r="T129" i="1"/>
  <c r="V129" i="1"/>
  <c r="AC129" i="1"/>
  <c r="AD129" i="1"/>
  <c r="AE129" i="1"/>
  <c r="AF129" i="1"/>
  <c r="AB129" i="1" s="1"/>
  <c r="AG129" i="1"/>
  <c r="AH129" i="1"/>
  <c r="AI129" i="1"/>
  <c r="AJ129" i="1"/>
  <c r="CX129" i="1" s="1"/>
  <c r="W129" i="1" s="1"/>
  <c r="CQ129" i="1"/>
  <c r="CR129" i="1"/>
  <c r="CS129" i="1"/>
  <c r="CT129" i="1"/>
  <c r="CU129" i="1"/>
  <c r="CV129" i="1"/>
  <c r="CW129" i="1"/>
  <c r="GL129" i="1"/>
  <c r="GO129" i="1"/>
  <c r="GP129" i="1"/>
  <c r="GV129" i="1"/>
  <c r="HC129" i="1" s="1"/>
  <c r="GX129" i="1" s="1"/>
  <c r="I130" i="1"/>
  <c r="Q130" i="1" s="1"/>
  <c r="CP130" i="1" s="1"/>
  <c r="O130" i="1" s="1"/>
  <c r="P130" i="1"/>
  <c r="T130" i="1"/>
  <c r="AC130" i="1"/>
  <c r="AE130" i="1"/>
  <c r="AD130" i="1" s="1"/>
  <c r="AB130" i="1" s="1"/>
  <c r="AF130" i="1"/>
  <c r="AG130" i="1"/>
  <c r="AH130" i="1"/>
  <c r="AI130" i="1"/>
  <c r="AJ130" i="1"/>
  <c r="CX130" i="1" s="1"/>
  <c r="CQ130" i="1"/>
  <c r="CR130" i="1"/>
  <c r="CS130" i="1"/>
  <c r="R130" i="1" s="1"/>
  <c r="CT130" i="1"/>
  <c r="S130" i="1" s="1"/>
  <c r="CZ130" i="1" s="1"/>
  <c r="Y130" i="1" s="1"/>
  <c r="CU130" i="1"/>
  <c r="CV130" i="1"/>
  <c r="U130" i="1" s="1"/>
  <c r="CW130" i="1"/>
  <c r="GL130" i="1"/>
  <c r="GO130" i="1"/>
  <c r="GP130" i="1"/>
  <c r="GV130" i="1"/>
  <c r="HC130" i="1"/>
  <c r="GX130" i="1" s="1"/>
  <c r="B132" i="1"/>
  <c r="B115" i="1" s="1"/>
  <c r="C132" i="1"/>
  <c r="D132" i="1"/>
  <c r="D115" i="1" s="1"/>
  <c r="F132" i="1"/>
  <c r="F115" i="1" s="1"/>
  <c r="G132" i="1"/>
  <c r="G115" i="1" s="1"/>
  <c r="BB132" i="1"/>
  <c r="BB115" i="1" s="1"/>
  <c r="BC132" i="1"/>
  <c r="F148" i="1" s="1"/>
  <c r="BX132" i="1"/>
  <c r="AO132" i="1" s="1"/>
  <c r="BY132" i="1"/>
  <c r="AP132" i="1" s="1"/>
  <c r="CK132" i="1"/>
  <c r="CK115" i="1" s="1"/>
  <c r="CL132" i="1"/>
  <c r="CL115" i="1" s="1"/>
  <c r="CM132" i="1"/>
  <c r="F145" i="1"/>
  <c r="D162" i="1"/>
  <c r="C164" i="1"/>
  <c r="D164" i="1"/>
  <c r="E164" i="1"/>
  <c r="Z164" i="1"/>
  <c r="AA164" i="1"/>
  <c r="AM164" i="1"/>
  <c r="AN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Y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EF164" i="1"/>
  <c r="EG164" i="1"/>
  <c r="EH164" i="1"/>
  <c r="EI164" i="1"/>
  <c r="EJ164" i="1"/>
  <c r="EK164" i="1"/>
  <c r="EL164" i="1"/>
  <c r="EM164" i="1"/>
  <c r="EN164" i="1"/>
  <c r="EO164" i="1"/>
  <c r="EP164" i="1"/>
  <c r="EQ164" i="1"/>
  <c r="ER164" i="1"/>
  <c r="ES164" i="1"/>
  <c r="ET164" i="1"/>
  <c r="EU164" i="1"/>
  <c r="EV164" i="1"/>
  <c r="EW164" i="1"/>
  <c r="EX164" i="1"/>
  <c r="EY164" i="1"/>
  <c r="EZ164" i="1"/>
  <c r="FA164" i="1"/>
  <c r="FB164" i="1"/>
  <c r="FC164" i="1"/>
  <c r="FD164" i="1"/>
  <c r="FE164" i="1"/>
  <c r="FF164" i="1"/>
  <c r="FG164" i="1"/>
  <c r="FH164" i="1"/>
  <c r="FI164" i="1"/>
  <c r="FJ164" i="1"/>
  <c r="FK164" i="1"/>
  <c r="FL164" i="1"/>
  <c r="FM164" i="1"/>
  <c r="FN164" i="1"/>
  <c r="FO164" i="1"/>
  <c r="FP164" i="1"/>
  <c r="FQ164" i="1"/>
  <c r="FR164" i="1"/>
  <c r="FS164" i="1"/>
  <c r="FT164" i="1"/>
  <c r="FU164" i="1"/>
  <c r="FV164" i="1"/>
  <c r="FW164" i="1"/>
  <c r="FX164" i="1"/>
  <c r="FY164" i="1"/>
  <c r="FZ164" i="1"/>
  <c r="GA164" i="1"/>
  <c r="GB164" i="1"/>
  <c r="GC164" i="1"/>
  <c r="GD164" i="1"/>
  <c r="GE164" i="1"/>
  <c r="GF164" i="1"/>
  <c r="GG164" i="1"/>
  <c r="GH164" i="1"/>
  <c r="GI164" i="1"/>
  <c r="GJ164" i="1"/>
  <c r="GK164" i="1"/>
  <c r="GL164" i="1"/>
  <c r="GM164" i="1"/>
  <c r="GN164" i="1"/>
  <c r="GO164" i="1"/>
  <c r="GP164" i="1"/>
  <c r="GQ164" i="1"/>
  <c r="GR164" i="1"/>
  <c r="GS164" i="1"/>
  <c r="GT164" i="1"/>
  <c r="GU164" i="1"/>
  <c r="GV164" i="1"/>
  <c r="GW164" i="1"/>
  <c r="GX164" i="1"/>
  <c r="C166" i="1"/>
  <c r="D166" i="1"/>
  <c r="I166" i="1"/>
  <c r="K166" i="1"/>
  <c r="V166" i="1"/>
  <c r="AC166" i="1"/>
  <c r="AD166" i="1"/>
  <c r="AE166" i="1"/>
  <c r="AF166" i="1"/>
  <c r="AG166" i="1"/>
  <c r="AH166" i="1"/>
  <c r="AI166" i="1"/>
  <c r="AJ166" i="1"/>
  <c r="CQ166" i="1"/>
  <c r="CR166" i="1"/>
  <c r="CS166" i="1"/>
  <c r="CT166" i="1"/>
  <c r="CU166" i="1"/>
  <c r="T166" i="1" s="1"/>
  <c r="CV166" i="1"/>
  <c r="CW166" i="1"/>
  <c r="CX166" i="1"/>
  <c r="W166" i="1" s="1"/>
  <c r="GL166" i="1"/>
  <c r="GO166" i="1"/>
  <c r="GP166" i="1"/>
  <c r="GV166" i="1"/>
  <c r="GX166" i="1"/>
  <c r="HC166" i="1"/>
  <c r="AC167" i="1"/>
  <c r="AB167" i="1" s="1"/>
  <c r="AE167" i="1"/>
  <c r="AD167" i="1" s="1"/>
  <c r="AF167" i="1"/>
  <c r="AG167" i="1"/>
  <c r="CU167" i="1" s="1"/>
  <c r="AH167" i="1"/>
  <c r="CV167" i="1" s="1"/>
  <c r="AI167" i="1"/>
  <c r="AJ167" i="1"/>
  <c r="CX167" i="1" s="1"/>
  <c r="CQ167" i="1"/>
  <c r="CR167" i="1"/>
  <c r="CS167" i="1"/>
  <c r="CT167" i="1"/>
  <c r="CW167" i="1"/>
  <c r="GL167" i="1"/>
  <c r="GO167" i="1"/>
  <c r="GP167" i="1"/>
  <c r="GV167" i="1"/>
  <c r="HC167" i="1" s="1"/>
  <c r="I168" i="1"/>
  <c r="P168" i="1" s="1"/>
  <c r="Q168" i="1"/>
  <c r="AB168" i="1"/>
  <c r="AC168" i="1"/>
  <c r="AD168" i="1"/>
  <c r="AE168" i="1"/>
  <c r="AF168" i="1"/>
  <c r="AG168" i="1"/>
  <c r="AH168" i="1"/>
  <c r="CV168" i="1" s="1"/>
  <c r="U168" i="1" s="1"/>
  <c r="AI168" i="1"/>
  <c r="AJ168" i="1"/>
  <c r="CX168" i="1" s="1"/>
  <c r="W168" i="1" s="1"/>
  <c r="CQ168" i="1"/>
  <c r="CR168" i="1"/>
  <c r="CS168" i="1"/>
  <c r="R168" i="1" s="1"/>
  <c r="CT168" i="1"/>
  <c r="CU168" i="1"/>
  <c r="T168" i="1" s="1"/>
  <c r="CW168" i="1"/>
  <c r="GL168" i="1"/>
  <c r="GO168" i="1"/>
  <c r="GP168" i="1"/>
  <c r="GV168" i="1"/>
  <c r="HC168" i="1"/>
  <c r="GX168" i="1" s="1"/>
  <c r="AC169" i="1"/>
  <c r="AD169" i="1"/>
  <c r="AB169" i="1" s="1"/>
  <c r="AE169" i="1"/>
  <c r="AF169" i="1"/>
  <c r="AG169" i="1"/>
  <c r="CU169" i="1" s="1"/>
  <c r="AH169" i="1"/>
  <c r="CV169" i="1" s="1"/>
  <c r="AI169" i="1"/>
  <c r="AJ169" i="1"/>
  <c r="CX169" i="1" s="1"/>
  <c r="CQ169" i="1"/>
  <c r="CR169" i="1"/>
  <c r="CS169" i="1"/>
  <c r="CT169" i="1"/>
  <c r="CW169" i="1"/>
  <c r="GL169" i="1"/>
  <c r="GO169" i="1"/>
  <c r="GP169" i="1"/>
  <c r="GV169" i="1"/>
  <c r="HC169" i="1"/>
  <c r="I170" i="1"/>
  <c r="Q170" i="1" s="1"/>
  <c r="T170" i="1"/>
  <c r="AC170" i="1"/>
  <c r="AB170" i="1" s="1"/>
  <c r="AE170" i="1"/>
  <c r="AD170" i="1" s="1"/>
  <c r="AF170" i="1"/>
  <c r="AG170" i="1"/>
  <c r="AH170" i="1"/>
  <c r="CV170" i="1" s="1"/>
  <c r="AI170" i="1"/>
  <c r="AJ170" i="1"/>
  <c r="CX170" i="1" s="1"/>
  <c r="W170" i="1" s="1"/>
  <c r="CQ170" i="1"/>
  <c r="CR170" i="1"/>
  <c r="CS170" i="1"/>
  <c r="R170" i="1" s="1"/>
  <c r="CT170" i="1"/>
  <c r="CU170" i="1"/>
  <c r="CW170" i="1"/>
  <c r="V170" i="1" s="1"/>
  <c r="GL170" i="1"/>
  <c r="GO170" i="1"/>
  <c r="GP170" i="1"/>
  <c r="GV170" i="1"/>
  <c r="HC170" i="1" s="1"/>
  <c r="I171" i="1"/>
  <c r="V171" i="1" s="1"/>
  <c r="AC171" i="1"/>
  <c r="AE171" i="1"/>
  <c r="AD171" i="1" s="1"/>
  <c r="AB171" i="1" s="1"/>
  <c r="AF171" i="1"/>
  <c r="AG171" i="1"/>
  <c r="AH171" i="1"/>
  <c r="CV171" i="1" s="1"/>
  <c r="U171" i="1" s="1"/>
  <c r="AI171" i="1"/>
  <c r="AJ171" i="1"/>
  <c r="CX171" i="1" s="1"/>
  <c r="CQ171" i="1"/>
  <c r="CR171" i="1"/>
  <c r="CS171" i="1"/>
  <c r="R171" i="1" s="1"/>
  <c r="CT171" i="1"/>
  <c r="CU171" i="1"/>
  <c r="CW171" i="1"/>
  <c r="GL171" i="1"/>
  <c r="GO171" i="1"/>
  <c r="GP171" i="1"/>
  <c r="GV171" i="1"/>
  <c r="HC171" i="1"/>
  <c r="AC172" i="1"/>
  <c r="AD172" i="1"/>
  <c r="AE172" i="1"/>
  <c r="AF172" i="1"/>
  <c r="AG172" i="1"/>
  <c r="AH172" i="1"/>
  <c r="CV172" i="1" s="1"/>
  <c r="AI172" i="1"/>
  <c r="AJ172" i="1"/>
  <c r="CQ172" i="1"/>
  <c r="CR172" i="1"/>
  <c r="CS172" i="1"/>
  <c r="CT172" i="1"/>
  <c r="CU172" i="1"/>
  <c r="CW172" i="1"/>
  <c r="CX172" i="1"/>
  <c r="GL172" i="1"/>
  <c r="GO172" i="1"/>
  <c r="GP172" i="1"/>
  <c r="GV172" i="1"/>
  <c r="HC172" i="1"/>
  <c r="P173" i="1"/>
  <c r="CP173" i="1" s="1"/>
  <c r="O173" i="1" s="1"/>
  <c r="R173" i="1"/>
  <c r="U173" i="1"/>
  <c r="V173" i="1"/>
  <c r="AC173" i="1"/>
  <c r="AB173" i="1" s="1"/>
  <c r="AD173" i="1"/>
  <c r="AE173" i="1"/>
  <c r="AF173" i="1"/>
  <c r="AG173" i="1"/>
  <c r="CU173" i="1" s="1"/>
  <c r="T173" i="1" s="1"/>
  <c r="AH173" i="1"/>
  <c r="AI173" i="1"/>
  <c r="CW173" i="1" s="1"/>
  <c r="AJ173" i="1"/>
  <c r="CQ173" i="1"/>
  <c r="CR173" i="1"/>
  <c r="Q173" i="1" s="1"/>
  <c r="CS173" i="1"/>
  <c r="CT173" i="1"/>
  <c r="S173" i="1" s="1"/>
  <c r="CV173" i="1"/>
  <c r="CX173" i="1"/>
  <c r="W173" i="1" s="1"/>
  <c r="CY173" i="1"/>
  <c r="X173" i="1" s="1"/>
  <c r="CZ173" i="1"/>
  <c r="Y173" i="1" s="1"/>
  <c r="GL173" i="1"/>
  <c r="GO173" i="1"/>
  <c r="GP173" i="1"/>
  <c r="GV173" i="1"/>
  <c r="HC173" i="1" s="1"/>
  <c r="GX173" i="1"/>
  <c r="HG173" i="1"/>
  <c r="C174" i="1"/>
  <c r="D174" i="1"/>
  <c r="I174" i="1"/>
  <c r="K174" i="1"/>
  <c r="V174" i="1"/>
  <c r="W174" i="1"/>
  <c r="AC174" i="1"/>
  <c r="AE174" i="1"/>
  <c r="AD174" i="1" s="1"/>
  <c r="AF174" i="1"/>
  <c r="AG174" i="1"/>
  <c r="CU174" i="1" s="1"/>
  <c r="AH174" i="1"/>
  <c r="AI174" i="1"/>
  <c r="AJ174" i="1"/>
  <c r="CX174" i="1" s="1"/>
  <c r="CQ174" i="1"/>
  <c r="CR174" i="1"/>
  <c r="CS174" i="1"/>
  <c r="CT174" i="1"/>
  <c r="CV174" i="1"/>
  <c r="CW174" i="1"/>
  <c r="GL174" i="1"/>
  <c r="GO174" i="1"/>
  <c r="GP174" i="1"/>
  <c r="CD178" i="1" s="1"/>
  <c r="GV174" i="1"/>
  <c r="HC174" i="1" s="1"/>
  <c r="AC175" i="1"/>
  <c r="AD175" i="1"/>
  <c r="AE175" i="1"/>
  <c r="AF175" i="1"/>
  <c r="AG175" i="1"/>
  <c r="AH175" i="1"/>
  <c r="AI175" i="1"/>
  <c r="AJ175" i="1"/>
  <c r="CX175" i="1" s="1"/>
  <c r="CQ175" i="1"/>
  <c r="CR175" i="1"/>
  <c r="CS175" i="1"/>
  <c r="CT175" i="1"/>
  <c r="CU175" i="1"/>
  <c r="CV175" i="1"/>
  <c r="CW175" i="1"/>
  <c r="GL175" i="1"/>
  <c r="GO175" i="1"/>
  <c r="GP175" i="1"/>
  <c r="GV175" i="1"/>
  <c r="HC175" i="1"/>
  <c r="AC176" i="1"/>
  <c r="AD176" i="1"/>
  <c r="AB176" i="1" s="1"/>
  <c r="AE176" i="1"/>
  <c r="AF176" i="1"/>
  <c r="AG176" i="1"/>
  <c r="AH176" i="1"/>
  <c r="AI176" i="1"/>
  <c r="AJ176" i="1"/>
  <c r="CX176" i="1" s="1"/>
  <c r="CQ176" i="1"/>
  <c r="CR176" i="1"/>
  <c r="CS176" i="1"/>
  <c r="CT176" i="1"/>
  <c r="CU176" i="1"/>
  <c r="CV176" i="1"/>
  <c r="CW176" i="1"/>
  <c r="GL176" i="1"/>
  <c r="GO176" i="1"/>
  <c r="GP176" i="1"/>
  <c r="GV176" i="1"/>
  <c r="HC176" i="1"/>
  <c r="B178" i="1"/>
  <c r="B164" i="1" s="1"/>
  <c r="C178" i="1"/>
  <c r="D178" i="1"/>
  <c r="F178" i="1"/>
  <c r="F164" i="1" s="1"/>
  <c r="G178" i="1"/>
  <c r="G164" i="1" s="1"/>
  <c r="AP178" i="1"/>
  <c r="AP164" i="1" s="1"/>
  <c r="BB178" i="1"/>
  <c r="BB164" i="1" s="1"/>
  <c r="BC178" i="1"/>
  <c r="BC164" i="1" s="1"/>
  <c r="BX178" i="1"/>
  <c r="BY178" i="1"/>
  <c r="CK178" i="1"/>
  <c r="CK164" i="1" s="1"/>
  <c r="CL178" i="1"/>
  <c r="CL164" i="1" s="1"/>
  <c r="CM178" i="1"/>
  <c r="CM164" i="1" s="1"/>
  <c r="F191" i="1"/>
  <c r="F194" i="1"/>
  <c r="D208" i="1"/>
  <c r="E210" i="1"/>
  <c r="Z210" i="1"/>
  <c r="AA210" i="1"/>
  <c r="AM210" i="1"/>
  <c r="AN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DF210" i="1"/>
  <c r="DG210" i="1"/>
  <c r="DH210" i="1"/>
  <c r="DI210" i="1"/>
  <c r="DJ210" i="1"/>
  <c r="DK210" i="1"/>
  <c r="DL210" i="1"/>
  <c r="DM210" i="1"/>
  <c r="DN210" i="1"/>
  <c r="DO210" i="1"/>
  <c r="DP210" i="1"/>
  <c r="DQ210" i="1"/>
  <c r="DR210" i="1"/>
  <c r="DS210" i="1"/>
  <c r="DT210" i="1"/>
  <c r="DU210" i="1"/>
  <c r="DV210" i="1"/>
  <c r="DW210" i="1"/>
  <c r="DX210" i="1"/>
  <c r="DY210" i="1"/>
  <c r="DZ210" i="1"/>
  <c r="EA210" i="1"/>
  <c r="EB210" i="1"/>
  <c r="EC210" i="1"/>
  <c r="ED210" i="1"/>
  <c r="EE210" i="1"/>
  <c r="EF210" i="1"/>
  <c r="EG210" i="1"/>
  <c r="EH210" i="1"/>
  <c r="EI210" i="1"/>
  <c r="EJ210" i="1"/>
  <c r="EK210" i="1"/>
  <c r="EL210" i="1"/>
  <c r="EM210" i="1"/>
  <c r="EN210" i="1"/>
  <c r="EO210" i="1"/>
  <c r="EP210" i="1"/>
  <c r="EQ210" i="1"/>
  <c r="ER210" i="1"/>
  <c r="ES210" i="1"/>
  <c r="ET210" i="1"/>
  <c r="EU210" i="1"/>
  <c r="EV210" i="1"/>
  <c r="EW210" i="1"/>
  <c r="EX210" i="1"/>
  <c r="EY210" i="1"/>
  <c r="EZ210" i="1"/>
  <c r="FA210" i="1"/>
  <c r="FB210" i="1"/>
  <c r="FC210" i="1"/>
  <c r="FD210" i="1"/>
  <c r="FE210" i="1"/>
  <c r="FF210" i="1"/>
  <c r="FG210" i="1"/>
  <c r="FH210" i="1"/>
  <c r="FI210" i="1"/>
  <c r="FJ210" i="1"/>
  <c r="FK210" i="1"/>
  <c r="FL210" i="1"/>
  <c r="FM210" i="1"/>
  <c r="FN210" i="1"/>
  <c r="FO210" i="1"/>
  <c r="FP210" i="1"/>
  <c r="FQ210" i="1"/>
  <c r="FR210" i="1"/>
  <c r="FS210" i="1"/>
  <c r="FT210" i="1"/>
  <c r="FU210" i="1"/>
  <c r="FV210" i="1"/>
  <c r="FW210" i="1"/>
  <c r="FX210" i="1"/>
  <c r="FY210" i="1"/>
  <c r="FZ210" i="1"/>
  <c r="GA210" i="1"/>
  <c r="GB210" i="1"/>
  <c r="GC210" i="1"/>
  <c r="GD210" i="1"/>
  <c r="GE210" i="1"/>
  <c r="GF210" i="1"/>
  <c r="GG210" i="1"/>
  <c r="GH210" i="1"/>
  <c r="GI210" i="1"/>
  <c r="GJ210" i="1"/>
  <c r="GK210" i="1"/>
  <c r="GL210" i="1"/>
  <c r="GM210" i="1"/>
  <c r="GN210" i="1"/>
  <c r="GO210" i="1"/>
  <c r="GP210" i="1"/>
  <c r="GQ210" i="1"/>
  <c r="GR210" i="1"/>
  <c r="GS210" i="1"/>
  <c r="GT210" i="1"/>
  <c r="GU210" i="1"/>
  <c r="GV210" i="1"/>
  <c r="GW210" i="1"/>
  <c r="GX210" i="1"/>
  <c r="C212" i="1"/>
  <c r="D212" i="1"/>
  <c r="I212" i="1"/>
  <c r="K212" i="1"/>
  <c r="V212" i="1"/>
  <c r="AC212" i="1"/>
  <c r="AD212" i="1"/>
  <c r="AE212" i="1"/>
  <c r="AF212" i="1"/>
  <c r="AG212" i="1"/>
  <c r="CU212" i="1" s="1"/>
  <c r="AH212" i="1"/>
  <c r="AI212" i="1"/>
  <c r="AJ212" i="1"/>
  <c r="CQ212" i="1"/>
  <c r="CR212" i="1"/>
  <c r="CS212" i="1"/>
  <c r="CT212" i="1"/>
  <c r="CV212" i="1"/>
  <c r="CW212" i="1"/>
  <c r="CX212" i="1"/>
  <c r="GL212" i="1"/>
  <c r="GN212" i="1"/>
  <c r="GP212" i="1"/>
  <c r="GV212" i="1"/>
  <c r="HC212" i="1" s="1"/>
  <c r="I213" i="1"/>
  <c r="Q213" i="1"/>
  <c r="T213" i="1"/>
  <c r="U213" i="1"/>
  <c r="W213" i="1"/>
  <c r="AC213" i="1"/>
  <c r="AE213" i="1"/>
  <c r="AD213" i="1" s="1"/>
  <c r="AF213" i="1"/>
  <c r="AG213" i="1"/>
  <c r="AH213" i="1"/>
  <c r="AI213" i="1"/>
  <c r="AJ213" i="1"/>
  <c r="CP213" i="1"/>
  <c r="CQ213" i="1"/>
  <c r="CR213" i="1"/>
  <c r="CS213" i="1"/>
  <c r="R213" i="1" s="1"/>
  <c r="CT213" i="1"/>
  <c r="S213" i="1" s="1"/>
  <c r="CU213" i="1"/>
  <c r="CV213" i="1"/>
  <c r="CW213" i="1"/>
  <c r="V213" i="1" s="1"/>
  <c r="CX213" i="1"/>
  <c r="CY213" i="1"/>
  <c r="X213" i="1" s="1"/>
  <c r="CZ213" i="1"/>
  <c r="Y213" i="1" s="1"/>
  <c r="GL213" i="1"/>
  <c r="GN213" i="1"/>
  <c r="GP213" i="1"/>
  <c r="GV213" i="1"/>
  <c r="HC213" i="1"/>
  <c r="GX213" i="1" s="1"/>
  <c r="AC214" i="1"/>
  <c r="AE214" i="1"/>
  <c r="AD214" i="1" s="1"/>
  <c r="AB214" i="1" s="1"/>
  <c r="AF214" i="1"/>
  <c r="AG214" i="1"/>
  <c r="CU214" i="1" s="1"/>
  <c r="AH214" i="1"/>
  <c r="AI214" i="1"/>
  <c r="AJ214" i="1"/>
  <c r="CQ214" i="1"/>
  <c r="CR214" i="1"/>
  <c r="CS214" i="1"/>
  <c r="CT214" i="1"/>
  <c r="CV214" i="1"/>
  <c r="CW214" i="1"/>
  <c r="CX214" i="1"/>
  <c r="GL214" i="1"/>
  <c r="GN214" i="1"/>
  <c r="GP214" i="1"/>
  <c r="GV214" i="1"/>
  <c r="HC214" i="1"/>
  <c r="C215" i="1"/>
  <c r="D215" i="1"/>
  <c r="I215" i="1"/>
  <c r="K215" i="1"/>
  <c r="AC215" i="1"/>
  <c r="AD215" i="1"/>
  <c r="AE215" i="1"/>
  <c r="AF215" i="1"/>
  <c r="AG215" i="1"/>
  <c r="AH215" i="1"/>
  <c r="AI215" i="1"/>
  <c r="AJ215" i="1"/>
  <c r="CX215" i="1" s="1"/>
  <c r="W215" i="1" s="1"/>
  <c r="CQ215" i="1"/>
  <c r="CR215" i="1"/>
  <c r="CS215" i="1"/>
  <c r="CT215" i="1"/>
  <c r="CU215" i="1"/>
  <c r="T215" i="1" s="1"/>
  <c r="CV215" i="1"/>
  <c r="CW215" i="1"/>
  <c r="GL215" i="1"/>
  <c r="GO215" i="1"/>
  <c r="GP215" i="1"/>
  <c r="GV215" i="1"/>
  <c r="HC215" i="1" s="1"/>
  <c r="GX215" i="1"/>
  <c r="C216" i="1"/>
  <c r="D216" i="1"/>
  <c r="I216" i="1"/>
  <c r="K216" i="1"/>
  <c r="T216" i="1"/>
  <c r="V216" i="1"/>
  <c r="W216" i="1"/>
  <c r="AC216" i="1"/>
  <c r="AE216" i="1"/>
  <c r="AD216" i="1" s="1"/>
  <c r="AF216" i="1"/>
  <c r="AG216" i="1"/>
  <c r="AH216" i="1"/>
  <c r="AI216" i="1"/>
  <c r="AJ216" i="1"/>
  <c r="CX216" i="1" s="1"/>
  <c r="CQ216" i="1"/>
  <c r="CR216" i="1"/>
  <c r="CS216" i="1"/>
  <c r="CT216" i="1"/>
  <c r="CU216" i="1"/>
  <c r="CV216" i="1"/>
  <c r="CW216" i="1"/>
  <c r="GL216" i="1"/>
  <c r="GO216" i="1"/>
  <c r="GP216" i="1"/>
  <c r="GV216" i="1"/>
  <c r="HC216" i="1"/>
  <c r="GX216" i="1" s="1"/>
  <c r="C217" i="1"/>
  <c r="D217" i="1"/>
  <c r="I217" i="1"/>
  <c r="I218" i="1" s="1"/>
  <c r="U218" i="1" s="1"/>
  <c r="K217" i="1"/>
  <c r="V217" i="1"/>
  <c r="AC217" i="1"/>
  <c r="AD217" i="1"/>
  <c r="AE217" i="1"/>
  <c r="AF217" i="1"/>
  <c r="AG217" i="1"/>
  <c r="AH217" i="1"/>
  <c r="AI217" i="1"/>
  <c r="AJ217" i="1"/>
  <c r="CX217" i="1" s="1"/>
  <c r="W217" i="1" s="1"/>
  <c r="CQ217" i="1"/>
  <c r="CR217" i="1"/>
  <c r="CS217" i="1"/>
  <c r="CT217" i="1"/>
  <c r="CU217" i="1"/>
  <c r="T217" i="1" s="1"/>
  <c r="CV217" i="1"/>
  <c r="CW217" i="1"/>
  <c r="GL217" i="1"/>
  <c r="GN217" i="1"/>
  <c r="GP217" i="1"/>
  <c r="GV217" i="1"/>
  <c r="HC217" i="1" s="1"/>
  <c r="GX217" i="1" s="1"/>
  <c r="W218" i="1"/>
  <c r="AC218" i="1"/>
  <c r="AD218" i="1"/>
  <c r="AE218" i="1"/>
  <c r="AF218" i="1"/>
  <c r="AG218" i="1"/>
  <c r="AH218" i="1"/>
  <c r="AI218" i="1"/>
  <c r="AJ218" i="1"/>
  <c r="CX218" i="1" s="1"/>
  <c r="CQ218" i="1"/>
  <c r="P218" i="1" s="1"/>
  <c r="CR218" i="1"/>
  <c r="Q218" i="1" s="1"/>
  <c r="CS218" i="1"/>
  <c r="CT218" i="1"/>
  <c r="S218" i="1" s="1"/>
  <c r="CU218" i="1"/>
  <c r="T218" i="1" s="1"/>
  <c r="CV218" i="1"/>
  <c r="CW218" i="1"/>
  <c r="V218" i="1" s="1"/>
  <c r="GL218" i="1"/>
  <c r="GN218" i="1"/>
  <c r="GP218" i="1"/>
  <c r="GV218" i="1"/>
  <c r="HC218" i="1" s="1"/>
  <c r="GX218" i="1"/>
  <c r="I219" i="1"/>
  <c r="Q219" i="1" s="1"/>
  <c r="T219" i="1"/>
  <c r="AC219" i="1"/>
  <c r="AE219" i="1"/>
  <c r="AD219" i="1" s="1"/>
  <c r="AB219" i="1" s="1"/>
  <c r="AF219" i="1"/>
  <c r="AG219" i="1"/>
  <c r="CU219" i="1" s="1"/>
  <c r="AH219" i="1"/>
  <c r="CV219" i="1" s="1"/>
  <c r="AI219" i="1"/>
  <c r="AJ219" i="1"/>
  <c r="CQ219" i="1"/>
  <c r="CR219" i="1"/>
  <c r="CS219" i="1"/>
  <c r="R219" i="1" s="1"/>
  <c r="CT219" i="1"/>
  <c r="CW219" i="1"/>
  <c r="V219" i="1" s="1"/>
  <c r="CX219" i="1"/>
  <c r="GL219" i="1"/>
  <c r="GN219" i="1"/>
  <c r="GP219" i="1"/>
  <c r="GV219" i="1"/>
  <c r="HC219" i="1"/>
  <c r="GX219" i="1" s="1"/>
  <c r="I220" i="1"/>
  <c r="P220" i="1"/>
  <c r="T220" i="1"/>
  <c r="V220" i="1"/>
  <c r="AC220" i="1"/>
  <c r="AB220" i="1" s="1"/>
  <c r="AD220" i="1"/>
  <c r="AE220" i="1"/>
  <c r="AF220" i="1"/>
  <c r="AG220" i="1"/>
  <c r="AH220" i="1"/>
  <c r="CV220" i="1" s="1"/>
  <c r="U220" i="1" s="1"/>
  <c r="AI220" i="1"/>
  <c r="CW220" i="1" s="1"/>
  <c r="AJ220" i="1"/>
  <c r="CX220" i="1" s="1"/>
  <c r="W220" i="1" s="1"/>
  <c r="CQ220" i="1"/>
  <c r="CR220" i="1"/>
  <c r="Q220" i="1" s="1"/>
  <c r="CS220" i="1"/>
  <c r="R220" i="1" s="1"/>
  <c r="CT220" i="1"/>
  <c r="CU220" i="1"/>
  <c r="GL220" i="1"/>
  <c r="GN220" i="1"/>
  <c r="GP220" i="1"/>
  <c r="GV220" i="1"/>
  <c r="HC220" i="1" s="1"/>
  <c r="GX220" i="1" s="1"/>
  <c r="AC221" i="1"/>
  <c r="AB221" i="1" s="1"/>
  <c r="AD221" i="1"/>
  <c r="AE221" i="1"/>
  <c r="AF221" i="1"/>
  <c r="AG221" i="1"/>
  <c r="AH221" i="1"/>
  <c r="AI221" i="1"/>
  <c r="AJ221" i="1"/>
  <c r="CX221" i="1" s="1"/>
  <c r="CQ221" i="1"/>
  <c r="CR221" i="1"/>
  <c r="CS221" i="1"/>
  <c r="CT221" i="1"/>
  <c r="CU221" i="1"/>
  <c r="CV221" i="1"/>
  <c r="CW221" i="1"/>
  <c r="GL221" i="1"/>
  <c r="GN221" i="1"/>
  <c r="GP221" i="1"/>
  <c r="GV221" i="1"/>
  <c r="HC221" i="1" s="1"/>
  <c r="I222" i="1"/>
  <c r="Q222" i="1" s="1"/>
  <c r="S222" i="1"/>
  <c r="AB222" i="1"/>
  <c r="AC222" i="1"/>
  <c r="AE222" i="1"/>
  <c r="AD222" i="1" s="1"/>
  <c r="AF222" i="1"/>
  <c r="AG222" i="1"/>
  <c r="CU222" i="1" s="1"/>
  <c r="T222" i="1" s="1"/>
  <c r="AH222" i="1"/>
  <c r="CV222" i="1" s="1"/>
  <c r="U222" i="1" s="1"/>
  <c r="AI222" i="1"/>
  <c r="AJ222" i="1"/>
  <c r="CQ222" i="1"/>
  <c r="CR222" i="1"/>
  <c r="CS222" i="1"/>
  <c r="CT222" i="1"/>
  <c r="CW222" i="1"/>
  <c r="CX222" i="1"/>
  <c r="W222" i="1" s="1"/>
  <c r="GL222" i="1"/>
  <c r="GN222" i="1"/>
  <c r="GP222" i="1"/>
  <c r="GV222" i="1"/>
  <c r="HC222" i="1"/>
  <c r="I223" i="1"/>
  <c r="T223" i="1"/>
  <c r="V223" i="1"/>
  <c r="Y223" i="1"/>
  <c r="AB223" i="1"/>
  <c r="AC223" i="1"/>
  <c r="AD223" i="1"/>
  <c r="AE223" i="1"/>
  <c r="AF223" i="1"/>
  <c r="AG223" i="1"/>
  <c r="AH223" i="1"/>
  <c r="AI223" i="1"/>
  <c r="AJ223" i="1"/>
  <c r="CP223" i="1"/>
  <c r="CQ223" i="1"/>
  <c r="CR223" i="1"/>
  <c r="Q223" i="1" s="1"/>
  <c r="CS223" i="1"/>
  <c r="R223" i="1" s="1"/>
  <c r="CT223" i="1"/>
  <c r="S223" i="1" s="1"/>
  <c r="CU223" i="1"/>
  <c r="CV223" i="1"/>
  <c r="U223" i="1" s="1"/>
  <c r="CW223" i="1"/>
  <c r="CX223" i="1"/>
  <c r="W223" i="1" s="1"/>
  <c r="CY223" i="1"/>
  <c r="X223" i="1" s="1"/>
  <c r="CZ223" i="1"/>
  <c r="GL223" i="1"/>
  <c r="GN223" i="1"/>
  <c r="GP223" i="1"/>
  <c r="GV223" i="1"/>
  <c r="GX223" i="1"/>
  <c r="HC223" i="1"/>
  <c r="AC224" i="1"/>
  <c r="AD224" i="1"/>
  <c r="AE224" i="1"/>
  <c r="AF224" i="1"/>
  <c r="AG224" i="1"/>
  <c r="AH224" i="1"/>
  <c r="AI224" i="1"/>
  <c r="AJ224" i="1"/>
  <c r="CX224" i="1" s="1"/>
  <c r="CQ224" i="1"/>
  <c r="CR224" i="1"/>
  <c r="CS224" i="1"/>
  <c r="CT224" i="1"/>
  <c r="CU224" i="1"/>
  <c r="CV224" i="1"/>
  <c r="CW224" i="1"/>
  <c r="GL224" i="1"/>
  <c r="GN224" i="1"/>
  <c r="GP224" i="1"/>
  <c r="GV224" i="1"/>
  <c r="HC224" i="1" s="1"/>
  <c r="C225" i="1"/>
  <c r="D225" i="1"/>
  <c r="I225" i="1"/>
  <c r="K225" i="1"/>
  <c r="T225" i="1"/>
  <c r="V225" i="1"/>
  <c r="AC225" i="1"/>
  <c r="AE225" i="1"/>
  <c r="AD225" i="1" s="1"/>
  <c r="AF225" i="1"/>
  <c r="AG225" i="1"/>
  <c r="AH225" i="1"/>
  <c r="AI225" i="1"/>
  <c r="AJ225" i="1"/>
  <c r="CX225" i="1" s="1"/>
  <c r="W225" i="1" s="1"/>
  <c r="CQ225" i="1"/>
  <c r="CR225" i="1"/>
  <c r="CS225" i="1"/>
  <c r="CT225" i="1"/>
  <c r="CU225" i="1"/>
  <c r="CV225" i="1"/>
  <c r="CW225" i="1"/>
  <c r="GL225" i="1"/>
  <c r="GN225" i="1"/>
  <c r="GP225" i="1"/>
  <c r="GV225" i="1"/>
  <c r="HC225" i="1" s="1"/>
  <c r="GX225" i="1" s="1"/>
  <c r="I226" i="1"/>
  <c r="S226" i="1"/>
  <c r="V226" i="1"/>
  <c r="W226" i="1"/>
  <c r="AC226" i="1"/>
  <c r="AD226" i="1"/>
  <c r="AB226" i="1" s="1"/>
  <c r="AE226" i="1"/>
  <c r="AF226" i="1"/>
  <c r="AG226" i="1"/>
  <c r="AH226" i="1"/>
  <c r="AI226" i="1"/>
  <c r="AJ226" i="1"/>
  <c r="CX226" i="1" s="1"/>
  <c r="CQ226" i="1"/>
  <c r="P226" i="1" s="1"/>
  <c r="CP226" i="1" s="1"/>
  <c r="O226" i="1" s="1"/>
  <c r="CR226" i="1"/>
  <c r="Q226" i="1" s="1"/>
  <c r="CS226" i="1"/>
  <c r="R226" i="1" s="1"/>
  <c r="CT226" i="1"/>
  <c r="CU226" i="1"/>
  <c r="T226" i="1" s="1"/>
  <c r="CV226" i="1"/>
  <c r="U226" i="1" s="1"/>
  <c r="CW226" i="1"/>
  <c r="GL226" i="1"/>
  <c r="GN226" i="1"/>
  <c r="GP226" i="1"/>
  <c r="GV226" i="1"/>
  <c r="GX226" i="1"/>
  <c r="HC226" i="1"/>
  <c r="I227" i="1"/>
  <c r="R227" i="1"/>
  <c r="T227" i="1"/>
  <c r="U227" i="1"/>
  <c r="X227" i="1"/>
  <c r="Y227" i="1"/>
  <c r="AC227" i="1"/>
  <c r="AB227" i="1" s="1"/>
  <c r="AD227" i="1"/>
  <c r="AE227" i="1"/>
  <c r="AF227" i="1"/>
  <c r="AG227" i="1"/>
  <c r="AH227" i="1"/>
  <c r="AI227" i="1"/>
  <c r="AJ227" i="1"/>
  <c r="CP227" i="1"/>
  <c r="CQ227" i="1"/>
  <c r="CR227" i="1"/>
  <c r="Q227" i="1" s="1"/>
  <c r="CS227" i="1"/>
  <c r="CT227" i="1"/>
  <c r="S227" i="1" s="1"/>
  <c r="CU227" i="1"/>
  <c r="CV227" i="1"/>
  <c r="CW227" i="1"/>
  <c r="V227" i="1" s="1"/>
  <c r="CX227" i="1"/>
  <c r="W227" i="1" s="1"/>
  <c r="CY227" i="1"/>
  <c r="CZ227" i="1"/>
  <c r="GL227" i="1"/>
  <c r="GN227" i="1"/>
  <c r="GP227" i="1"/>
  <c r="GV227" i="1"/>
  <c r="GX227" i="1"/>
  <c r="HC227" i="1"/>
  <c r="I228" i="1"/>
  <c r="Q228" i="1" s="1"/>
  <c r="P228" i="1"/>
  <c r="W228" i="1"/>
  <c r="AC228" i="1"/>
  <c r="AE228" i="1"/>
  <c r="AD228" i="1" s="1"/>
  <c r="AB228" i="1" s="1"/>
  <c r="AF228" i="1"/>
  <c r="AG228" i="1"/>
  <c r="AH228" i="1"/>
  <c r="AI228" i="1"/>
  <c r="CW228" i="1" s="1"/>
  <c r="V228" i="1" s="1"/>
  <c r="AJ228" i="1"/>
  <c r="CX228" i="1" s="1"/>
  <c r="CQ228" i="1"/>
  <c r="CR228" i="1"/>
  <c r="CS228" i="1"/>
  <c r="R228" i="1" s="1"/>
  <c r="CT228" i="1"/>
  <c r="CU228" i="1"/>
  <c r="T228" i="1" s="1"/>
  <c r="CV228" i="1"/>
  <c r="U228" i="1" s="1"/>
  <c r="GL228" i="1"/>
  <c r="GN228" i="1"/>
  <c r="GP228" i="1"/>
  <c r="GV228" i="1"/>
  <c r="GX228" i="1"/>
  <c r="HC228" i="1"/>
  <c r="I229" i="1"/>
  <c r="P229" i="1"/>
  <c r="Q229" i="1"/>
  <c r="S229" i="1"/>
  <c r="V229" i="1"/>
  <c r="AC229" i="1"/>
  <c r="AE229" i="1"/>
  <c r="AD229" i="1" s="1"/>
  <c r="AB229" i="1" s="1"/>
  <c r="AF229" i="1"/>
  <c r="AG229" i="1"/>
  <c r="CU229" i="1" s="1"/>
  <c r="T229" i="1" s="1"/>
  <c r="AH229" i="1"/>
  <c r="AI229" i="1"/>
  <c r="AJ229" i="1"/>
  <c r="CX229" i="1" s="1"/>
  <c r="W229" i="1" s="1"/>
  <c r="CQ229" i="1"/>
  <c r="CR229" i="1"/>
  <c r="CS229" i="1"/>
  <c r="R229" i="1" s="1"/>
  <c r="CT229" i="1"/>
  <c r="CV229" i="1"/>
  <c r="U229" i="1" s="1"/>
  <c r="CW229" i="1"/>
  <c r="GL229" i="1"/>
  <c r="GN229" i="1"/>
  <c r="GP229" i="1"/>
  <c r="GV229" i="1"/>
  <c r="HC229" i="1"/>
  <c r="GX229" i="1" s="1"/>
  <c r="C230" i="1"/>
  <c r="D230" i="1"/>
  <c r="I230" i="1"/>
  <c r="I233" i="1" s="1"/>
  <c r="K230" i="1"/>
  <c r="V230" i="1"/>
  <c r="AC230" i="1"/>
  <c r="AE230" i="1"/>
  <c r="AD230" i="1" s="1"/>
  <c r="AF230" i="1"/>
  <c r="AG230" i="1"/>
  <c r="AH230" i="1"/>
  <c r="AI230" i="1"/>
  <c r="AJ230" i="1"/>
  <c r="CX230" i="1" s="1"/>
  <c r="W230" i="1" s="1"/>
  <c r="CQ230" i="1"/>
  <c r="CR230" i="1"/>
  <c r="CS230" i="1"/>
  <c r="CT230" i="1"/>
  <c r="CU230" i="1"/>
  <c r="T230" i="1" s="1"/>
  <c r="CV230" i="1"/>
  <c r="CW230" i="1"/>
  <c r="GL230" i="1"/>
  <c r="GN230" i="1"/>
  <c r="GP230" i="1"/>
  <c r="GV230" i="1"/>
  <c r="HC230" i="1"/>
  <c r="GX230" i="1" s="1"/>
  <c r="I231" i="1"/>
  <c r="T231" i="1"/>
  <c r="W231" i="1"/>
  <c r="AB231" i="1"/>
  <c r="AC231" i="1"/>
  <c r="AE231" i="1"/>
  <c r="AD231" i="1" s="1"/>
  <c r="AF231" i="1"/>
  <c r="AG231" i="1"/>
  <c r="CU231" i="1" s="1"/>
  <c r="AH231" i="1"/>
  <c r="AI231" i="1"/>
  <c r="AJ231" i="1"/>
  <c r="CQ231" i="1"/>
  <c r="P231" i="1" s="1"/>
  <c r="CR231" i="1"/>
  <c r="Q231" i="1" s="1"/>
  <c r="CS231" i="1"/>
  <c r="R231" i="1" s="1"/>
  <c r="CT231" i="1"/>
  <c r="S231" i="1" s="1"/>
  <c r="CV231" i="1"/>
  <c r="U231" i="1" s="1"/>
  <c r="CW231" i="1"/>
  <c r="V231" i="1" s="1"/>
  <c r="CX231" i="1"/>
  <c r="GL231" i="1"/>
  <c r="GN231" i="1"/>
  <c r="GP231" i="1"/>
  <c r="GV231" i="1"/>
  <c r="HC231" i="1"/>
  <c r="GX231" i="1" s="1"/>
  <c r="I232" i="1"/>
  <c r="AB232" i="1"/>
  <c r="AC232" i="1"/>
  <c r="AD232" i="1"/>
  <c r="AE232" i="1"/>
  <c r="AF232" i="1"/>
  <c r="AG232" i="1"/>
  <c r="AH232" i="1"/>
  <c r="AI232" i="1"/>
  <c r="AJ232" i="1"/>
  <c r="CP232" i="1"/>
  <c r="CQ232" i="1"/>
  <c r="CR232" i="1"/>
  <c r="CS232" i="1"/>
  <c r="CT232" i="1"/>
  <c r="CU232" i="1"/>
  <c r="CV232" i="1"/>
  <c r="U232" i="1" s="1"/>
  <c r="CW232" i="1"/>
  <c r="CX232" i="1"/>
  <c r="W232" i="1" s="1"/>
  <c r="CY232" i="1"/>
  <c r="X232" i="1" s="1"/>
  <c r="CZ232" i="1"/>
  <c r="Y232" i="1" s="1"/>
  <c r="GL232" i="1"/>
  <c r="GN232" i="1"/>
  <c r="GP232" i="1"/>
  <c r="GV232" i="1"/>
  <c r="HC232" i="1"/>
  <c r="GX232" i="1" s="1"/>
  <c r="R233" i="1"/>
  <c r="AC233" i="1"/>
  <c r="AD233" i="1"/>
  <c r="AE233" i="1"/>
  <c r="AF233" i="1"/>
  <c r="AG233" i="1"/>
  <c r="AH233" i="1"/>
  <c r="AI233" i="1"/>
  <c r="AJ233" i="1"/>
  <c r="CX233" i="1" s="1"/>
  <c r="W233" i="1" s="1"/>
  <c r="CQ233" i="1"/>
  <c r="P233" i="1" s="1"/>
  <c r="CR233" i="1"/>
  <c r="Q233" i="1" s="1"/>
  <c r="CS233" i="1"/>
  <c r="CT233" i="1"/>
  <c r="S233" i="1" s="1"/>
  <c r="CU233" i="1"/>
  <c r="T233" i="1" s="1"/>
  <c r="CV233" i="1"/>
  <c r="U233" i="1" s="1"/>
  <c r="CW233" i="1"/>
  <c r="V233" i="1" s="1"/>
  <c r="GL233" i="1"/>
  <c r="GN233" i="1"/>
  <c r="GP233" i="1"/>
  <c r="GV233" i="1"/>
  <c r="HC233" i="1"/>
  <c r="GX233" i="1" s="1"/>
  <c r="I234" i="1"/>
  <c r="AC234" i="1"/>
  <c r="AB234" i="1" s="1"/>
  <c r="AE234" i="1"/>
  <c r="AD234" i="1" s="1"/>
  <c r="AF234" i="1"/>
  <c r="AG234" i="1"/>
  <c r="CU234" i="1" s="1"/>
  <c r="T234" i="1" s="1"/>
  <c r="AH234" i="1"/>
  <c r="AI234" i="1"/>
  <c r="AJ234" i="1"/>
  <c r="CQ234" i="1"/>
  <c r="CR234" i="1"/>
  <c r="Q234" i="1" s="1"/>
  <c r="CS234" i="1"/>
  <c r="CT234" i="1"/>
  <c r="S234" i="1" s="1"/>
  <c r="CV234" i="1"/>
  <c r="U234" i="1" s="1"/>
  <c r="CW234" i="1"/>
  <c r="V234" i="1" s="1"/>
  <c r="CX234" i="1"/>
  <c r="GL234" i="1"/>
  <c r="GN234" i="1"/>
  <c r="GP234" i="1"/>
  <c r="GV234" i="1"/>
  <c r="HC234" i="1"/>
  <c r="C235" i="1"/>
  <c r="D235" i="1"/>
  <c r="I235" i="1"/>
  <c r="I237" i="1" s="1"/>
  <c r="S237" i="1" s="1"/>
  <c r="K235" i="1"/>
  <c r="V235" i="1"/>
  <c r="AC235" i="1"/>
  <c r="AE235" i="1"/>
  <c r="AD235" i="1" s="1"/>
  <c r="AF235" i="1"/>
  <c r="AG235" i="1"/>
  <c r="CU235" i="1" s="1"/>
  <c r="T235" i="1" s="1"/>
  <c r="AH235" i="1"/>
  <c r="AI235" i="1"/>
  <c r="AJ235" i="1"/>
  <c r="CX235" i="1" s="1"/>
  <c r="W235" i="1" s="1"/>
  <c r="CQ235" i="1"/>
  <c r="CR235" i="1"/>
  <c r="CS235" i="1"/>
  <c r="CT235" i="1"/>
  <c r="CV235" i="1"/>
  <c r="CW235" i="1"/>
  <c r="GL235" i="1"/>
  <c r="GN235" i="1"/>
  <c r="GP235" i="1"/>
  <c r="GV235" i="1"/>
  <c r="GX235" i="1"/>
  <c r="HC235" i="1"/>
  <c r="I236" i="1"/>
  <c r="GX236" i="1" s="1"/>
  <c r="W236" i="1"/>
  <c r="X236" i="1"/>
  <c r="Y236" i="1"/>
  <c r="AC236" i="1"/>
  <c r="AB236" i="1" s="1"/>
  <c r="AD236" i="1"/>
  <c r="AE236" i="1"/>
  <c r="AF236" i="1"/>
  <c r="AG236" i="1"/>
  <c r="AH236" i="1"/>
  <c r="AI236" i="1"/>
  <c r="AJ236" i="1"/>
  <c r="CP236" i="1"/>
  <c r="CQ236" i="1"/>
  <c r="CR236" i="1"/>
  <c r="CS236" i="1"/>
  <c r="R236" i="1" s="1"/>
  <c r="CT236" i="1"/>
  <c r="S236" i="1" s="1"/>
  <c r="CU236" i="1"/>
  <c r="CV236" i="1"/>
  <c r="CW236" i="1"/>
  <c r="CX236" i="1"/>
  <c r="CY236" i="1"/>
  <c r="CZ236" i="1"/>
  <c r="GL236" i="1"/>
  <c r="GN236" i="1"/>
  <c r="GP236" i="1"/>
  <c r="GV236" i="1"/>
  <c r="HC236" i="1"/>
  <c r="AC237" i="1"/>
  <c r="AE237" i="1"/>
  <c r="AD237" i="1" s="1"/>
  <c r="AB237" i="1" s="1"/>
  <c r="AF237" i="1"/>
  <c r="AG237" i="1"/>
  <c r="AH237" i="1"/>
  <c r="CV237" i="1" s="1"/>
  <c r="AI237" i="1"/>
  <c r="CW237" i="1" s="1"/>
  <c r="V237" i="1" s="1"/>
  <c r="AJ237" i="1"/>
  <c r="CX237" i="1" s="1"/>
  <c r="CQ237" i="1"/>
  <c r="CR237" i="1"/>
  <c r="CS237" i="1"/>
  <c r="CT237" i="1"/>
  <c r="CU237" i="1"/>
  <c r="GL237" i="1"/>
  <c r="GN237" i="1"/>
  <c r="GP237" i="1"/>
  <c r="GV237" i="1"/>
  <c r="HC237" i="1"/>
  <c r="I238" i="1"/>
  <c r="P238" i="1" s="1"/>
  <c r="Q238" i="1"/>
  <c r="R238" i="1"/>
  <c r="AC238" i="1"/>
  <c r="AE238" i="1"/>
  <c r="AD238" i="1" s="1"/>
  <c r="AF238" i="1"/>
  <c r="AG238" i="1"/>
  <c r="CU238" i="1" s="1"/>
  <c r="T238" i="1" s="1"/>
  <c r="AH238" i="1"/>
  <c r="CV238" i="1" s="1"/>
  <c r="U238" i="1" s="1"/>
  <c r="AI238" i="1"/>
  <c r="AJ238" i="1"/>
  <c r="CQ238" i="1"/>
  <c r="CR238" i="1"/>
  <c r="CS238" i="1"/>
  <c r="CT238" i="1"/>
  <c r="S238" i="1" s="1"/>
  <c r="CW238" i="1"/>
  <c r="V238" i="1" s="1"/>
  <c r="CX238" i="1"/>
  <c r="W238" i="1" s="1"/>
  <c r="GL238" i="1"/>
  <c r="GN238" i="1"/>
  <c r="GP238" i="1"/>
  <c r="GV238" i="1"/>
  <c r="HC238" i="1" s="1"/>
  <c r="GX238" i="1" s="1"/>
  <c r="I239" i="1"/>
  <c r="P239" i="1" s="1"/>
  <c r="AB239" i="1"/>
  <c r="AC239" i="1"/>
  <c r="AD239" i="1"/>
  <c r="AE239" i="1"/>
  <c r="AF239" i="1"/>
  <c r="AG239" i="1"/>
  <c r="AH239" i="1"/>
  <c r="AI239" i="1"/>
  <c r="AJ239" i="1"/>
  <c r="CX239" i="1" s="1"/>
  <c r="W239" i="1" s="1"/>
  <c r="CQ239" i="1"/>
  <c r="CR239" i="1"/>
  <c r="Q239" i="1" s="1"/>
  <c r="CS239" i="1"/>
  <c r="R239" i="1" s="1"/>
  <c r="CT239" i="1"/>
  <c r="S239" i="1" s="1"/>
  <c r="CU239" i="1"/>
  <c r="T239" i="1" s="1"/>
  <c r="CV239" i="1"/>
  <c r="U239" i="1" s="1"/>
  <c r="CW239" i="1"/>
  <c r="V239" i="1" s="1"/>
  <c r="GL239" i="1"/>
  <c r="GN239" i="1"/>
  <c r="GP239" i="1"/>
  <c r="GV239" i="1"/>
  <c r="HC239" i="1" s="1"/>
  <c r="GX239" i="1" s="1"/>
  <c r="C240" i="1"/>
  <c r="D240" i="1"/>
  <c r="I240" i="1"/>
  <c r="K240" i="1"/>
  <c r="T240" i="1"/>
  <c r="AC240" i="1"/>
  <c r="AE240" i="1"/>
  <c r="AD240" i="1" s="1"/>
  <c r="AF240" i="1"/>
  <c r="AG240" i="1"/>
  <c r="CU240" i="1" s="1"/>
  <c r="AH240" i="1"/>
  <c r="AI240" i="1"/>
  <c r="AJ240" i="1"/>
  <c r="CQ240" i="1"/>
  <c r="CR240" i="1"/>
  <c r="CS240" i="1"/>
  <c r="CT240" i="1"/>
  <c r="CV240" i="1"/>
  <c r="CW240" i="1"/>
  <c r="CX240" i="1"/>
  <c r="W240" i="1" s="1"/>
  <c r="GL240" i="1"/>
  <c r="GO240" i="1"/>
  <c r="GP240" i="1"/>
  <c r="GV240" i="1"/>
  <c r="HC240" i="1" s="1"/>
  <c r="GX240" i="1" s="1"/>
  <c r="I241" i="1"/>
  <c r="P241" i="1"/>
  <c r="CP241" i="1" s="1"/>
  <c r="O241" i="1" s="1"/>
  <c r="Q241" i="1"/>
  <c r="AC241" i="1"/>
  <c r="AD241" i="1"/>
  <c r="AE241" i="1"/>
  <c r="AF241" i="1"/>
  <c r="AG241" i="1"/>
  <c r="AH241" i="1"/>
  <c r="AI241" i="1"/>
  <c r="AJ241" i="1"/>
  <c r="CQ241" i="1"/>
  <c r="CR241" i="1"/>
  <c r="CS241" i="1"/>
  <c r="R241" i="1" s="1"/>
  <c r="CT241" i="1"/>
  <c r="S241" i="1" s="1"/>
  <c r="CU241" i="1"/>
  <c r="T241" i="1" s="1"/>
  <c r="CV241" i="1"/>
  <c r="U241" i="1" s="1"/>
  <c r="CW241" i="1"/>
  <c r="V241" i="1" s="1"/>
  <c r="CX241" i="1"/>
  <c r="W241" i="1" s="1"/>
  <c r="GL241" i="1"/>
  <c r="GO241" i="1"/>
  <c r="GP241" i="1"/>
  <c r="GV241" i="1"/>
  <c r="HC241" i="1" s="1"/>
  <c r="GX241" i="1" s="1"/>
  <c r="C242" i="1"/>
  <c r="D242" i="1"/>
  <c r="I242" i="1"/>
  <c r="K242" i="1"/>
  <c r="T242" i="1"/>
  <c r="V242" i="1"/>
  <c r="AC242" i="1"/>
  <c r="AE242" i="1"/>
  <c r="AD242" i="1" s="1"/>
  <c r="AF242" i="1"/>
  <c r="AG242" i="1"/>
  <c r="AH242" i="1"/>
  <c r="AI242" i="1"/>
  <c r="AJ242" i="1"/>
  <c r="CX242" i="1" s="1"/>
  <c r="W242" i="1" s="1"/>
  <c r="CQ242" i="1"/>
  <c r="CR242" i="1"/>
  <c r="CS242" i="1"/>
  <c r="CT242" i="1"/>
  <c r="CU242" i="1"/>
  <c r="CV242" i="1"/>
  <c r="CW242" i="1"/>
  <c r="GL242" i="1"/>
  <c r="GO242" i="1"/>
  <c r="GP242" i="1"/>
  <c r="GV242" i="1"/>
  <c r="HC242" i="1"/>
  <c r="GX242" i="1" s="1"/>
  <c r="I243" i="1"/>
  <c r="P243" i="1"/>
  <c r="Q243" i="1"/>
  <c r="R243" i="1"/>
  <c r="AC243" i="1"/>
  <c r="AE243" i="1"/>
  <c r="AD243" i="1" s="1"/>
  <c r="AF243" i="1"/>
  <c r="AG243" i="1"/>
  <c r="AH243" i="1"/>
  <c r="AI243" i="1"/>
  <c r="AJ243" i="1"/>
  <c r="CX243" i="1" s="1"/>
  <c r="W243" i="1" s="1"/>
  <c r="CQ243" i="1"/>
  <c r="CR243" i="1"/>
  <c r="CS243" i="1"/>
  <c r="CT243" i="1"/>
  <c r="S243" i="1" s="1"/>
  <c r="CU243" i="1"/>
  <c r="T243" i="1" s="1"/>
  <c r="CV243" i="1"/>
  <c r="U243" i="1" s="1"/>
  <c r="CW243" i="1"/>
  <c r="V243" i="1" s="1"/>
  <c r="GL243" i="1"/>
  <c r="GO243" i="1"/>
  <c r="GP243" i="1"/>
  <c r="GV243" i="1"/>
  <c r="HC243" i="1"/>
  <c r="GX243" i="1" s="1"/>
  <c r="I244" i="1"/>
  <c r="AC244" i="1"/>
  <c r="AD244" i="1"/>
  <c r="AB244" i="1" s="1"/>
  <c r="AE244" i="1"/>
  <c r="AF244" i="1"/>
  <c r="AG244" i="1"/>
  <c r="AH244" i="1"/>
  <c r="CV244" i="1" s="1"/>
  <c r="U244" i="1" s="1"/>
  <c r="AI244" i="1"/>
  <c r="CW244" i="1" s="1"/>
  <c r="V244" i="1" s="1"/>
  <c r="AJ244" i="1"/>
  <c r="CX244" i="1" s="1"/>
  <c r="W244" i="1" s="1"/>
  <c r="CQ244" i="1"/>
  <c r="P244" i="1" s="1"/>
  <c r="CR244" i="1"/>
  <c r="Q244" i="1" s="1"/>
  <c r="CS244" i="1"/>
  <c r="R244" i="1" s="1"/>
  <c r="CT244" i="1"/>
  <c r="S244" i="1" s="1"/>
  <c r="CU244" i="1"/>
  <c r="T244" i="1" s="1"/>
  <c r="GL244" i="1"/>
  <c r="GO244" i="1"/>
  <c r="GP244" i="1"/>
  <c r="GV244" i="1"/>
  <c r="HC244" i="1" s="1"/>
  <c r="GX244" i="1" s="1"/>
  <c r="I245" i="1"/>
  <c r="Q245" i="1"/>
  <c r="R245" i="1"/>
  <c r="S245" i="1"/>
  <c r="T245" i="1"/>
  <c r="AC245" i="1"/>
  <c r="AE245" i="1"/>
  <c r="AD245" i="1" s="1"/>
  <c r="AB245" i="1" s="1"/>
  <c r="AF245" i="1"/>
  <c r="AG245" i="1"/>
  <c r="AH245" i="1"/>
  <c r="CV245" i="1" s="1"/>
  <c r="U245" i="1" s="1"/>
  <c r="AI245" i="1"/>
  <c r="CW245" i="1" s="1"/>
  <c r="V245" i="1" s="1"/>
  <c r="AJ245" i="1"/>
  <c r="CX245" i="1" s="1"/>
  <c r="W245" i="1" s="1"/>
  <c r="CQ245" i="1"/>
  <c r="P245" i="1" s="1"/>
  <c r="CP245" i="1" s="1"/>
  <c r="O245" i="1" s="1"/>
  <c r="CR245" i="1"/>
  <c r="CS245" i="1"/>
  <c r="CT245" i="1"/>
  <c r="CU245" i="1"/>
  <c r="CY245" i="1"/>
  <c r="X245" i="1" s="1"/>
  <c r="CZ245" i="1"/>
  <c r="Y245" i="1" s="1"/>
  <c r="GL245" i="1"/>
  <c r="GO245" i="1"/>
  <c r="GP245" i="1"/>
  <c r="GV245" i="1"/>
  <c r="HC245" i="1"/>
  <c r="GX245" i="1" s="1"/>
  <c r="C246" i="1"/>
  <c r="D246" i="1"/>
  <c r="I246" i="1"/>
  <c r="K246" i="1"/>
  <c r="V246" i="1"/>
  <c r="AC246" i="1"/>
  <c r="AE246" i="1"/>
  <c r="AD246" i="1" s="1"/>
  <c r="AF246" i="1"/>
  <c r="AG246" i="1"/>
  <c r="CU246" i="1" s="1"/>
  <c r="T246" i="1" s="1"/>
  <c r="AH246" i="1"/>
  <c r="AI246" i="1"/>
  <c r="AJ246" i="1"/>
  <c r="CX246" i="1" s="1"/>
  <c r="W246" i="1" s="1"/>
  <c r="CQ246" i="1"/>
  <c r="CR246" i="1"/>
  <c r="CS246" i="1"/>
  <c r="CT246" i="1"/>
  <c r="CV246" i="1"/>
  <c r="CW246" i="1"/>
  <c r="GL246" i="1"/>
  <c r="GO246" i="1"/>
  <c r="GP246" i="1"/>
  <c r="GV246" i="1"/>
  <c r="HC246" i="1"/>
  <c r="GX246" i="1" s="1"/>
  <c r="AC247" i="1"/>
  <c r="AB247" i="1" s="1"/>
  <c r="AE247" i="1"/>
  <c r="AD247" i="1" s="1"/>
  <c r="AF247" i="1"/>
  <c r="AG247" i="1"/>
  <c r="CU247" i="1" s="1"/>
  <c r="AH247" i="1"/>
  <c r="AI247" i="1"/>
  <c r="CW247" i="1" s="1"/>
  <c r="AJ247" i="1"/>
  <c r="CX247" i="1" s="1"/>
  <c r="CQ247" i="1"/>
  <c r="CR247" i="1"/>
  <c r="CS247" i="1"/>
  <c r="CT247" i="1"/>
  <c r="CV247" i="1"/>
  <c r="GL247" i="1"/>
  <c r="GO247" i="1"/>
  <c r="GP247" i="1"/>
  <c r="GV247" i="1"/>
  <c r="HC247" i="1"/>
  <c r="AC248" i="1"/>
  <c r="AE248" i="1"/>
  <c r="AD248" i="1" s="1"/>
  <c r="AF248" i="1"/>
  <c r="AG248" i="1"/>
  <c r="CU248" i="1" s="1"/>
  <c r="AH248" i="1"/>
  <c r="AI248" i="1"/>
  <c r="AJ248" i="1"/>
  <c r="CQ248" i="1"/>
  <c r="CR248" i="1"/>
  <c r="CS248" i="1"/>
  <c r="CT248" i="1"/>
  <c r="CV248" i="1"/>
  <c r="CW248" i="1"/>
  <c r="CX248" i="1"/>
  <c r="GL248" i="1"/>
  <c r="GO248" i="1"/>
  <c r="GP248" i="1"/>
  <c r="GV248" i="1"/>
  <c r="HC248" i="1"/>
  <c r="I249" i="1"/>
  <c r="AC249" i="1"/>
  <c r="AE249" i="1"/>
  <c r="AD249" i="1" s="1"/>
  <c r="AB249" i="1" s="1"/>
  <c r="AF249" i="1"/>
  <c r="AG249" i="1"/>
  <c r="CU249" i="1" s="1"/>
  <c r="T249" i="1" s="1"/>
  <c r="AH249" i="1"/>
  <c r="AI249" i="1"/>
  <c r="CW249" i="1" s="1"/>
  <c r="AJ249" i="1"/>
  <c r="CX249" i="1" s="1"/>
  <c r="W249" i="1" s="1"/>
  <c r="CQ249" i="1"/>
  <c r="P249" i="1" s="1"/>
  <c r="CR249" i="1"/>
  <c r="Q249" i="1" s="1"/>
  <c r="CS249" i="1"/>
  <c r="R249" i="1" s="1"/>
  <c r="CT249" i="1"/>
  <c r="S249" i="1" s="1"/>
  <c r="CV249" i="1"/>
  <c r="GL249" i="1"/>
  <c r="GO249" i="1"/>
  <c r="GP249" i="1"/>
  <c r="GV249" i="1"/>
  <c r="HC249" i="1"/>
  <c r="GX249" i="1" s="1"/>
  <c r="AC250" i="1"/>
  <c r="AE250" i="1"/>
  <c r="AD250" i="1" s="1"/>
  <c r="AF250" i="1"/>
  <c r="AG250" i="1"/>
  <c r="CU250" i="1" s="1"/>
  <c r="AH250" i="1"/>
  <c r="AI250" i="1"/>
  <c r="CW250" i="1" s="1"/>
  <c r="AJ250" i="1"/>
  <c r="CX250" i="1" s="1"/>
  <c r="CQ250" i="1"/>
  <c r="CR250" i="1"/>
  <c r="CS250" i="1"/>
  <c r="CT250" i="1"/>
  <c r="CV250" i="1"/>
  <c r="GL250" i="1"/>
  <c r="GO250" i="1"/>
  <c r="GP250" i="1"/>
  <c r="GV250" i="1"/>
  <c r="HC250" i="1"/>
  <c r="C251" i="1"/>
  <c r="D251" i="1"/>
  <c r="I251" i="1"/>
  <c r="K251" i="1"/>
  <c r="V251" i="1"/>
  <c r="AC251" i="1"/>
  <c r="AB251" i="1" s="1"/>
  <c r="AD251" i="1"/>
  <c r="AE251" i="1"/>
  <c r="AF251" i="1"/>
  <c r="AG251" i="1"/>
  <c r="AH251" i="1"/>
  <c r="AI251" i="1"/>
  <c r="AJ251" i="1"/>
  <c r="CX251" i="1" s="1"/>
  <c r="W251" i="1" s="1"/>
  <c r="CQ251" i="1"/>
  <c r="CR251" i="1"/>
  <c r="CS251" i="1"/>
  <c r="CT251" i="1"/>
  <c r="CU251" i="1"/>
  <c r="T251" i="1" s="1"/>
  <c r="CV251" i="1"/>
  <c r="CW251" i="1"/>
  <c r="GL251" i="1"/>
  <c r="GO251" i="1"/>
  <c r="GP251" i="1"/>
  <c r="GV251" i="1"/>
  <c r="HC251" i="1" s="1"/>
  <c r="GX251" i="1" s="1"/>
  <c r="I252" i="1"/>
  <c r="S252" i="1" s="1"/>
  <c r="W252" i="1"/>
  <c r="AB252" i="1"/>
  <c r="AC252" i="1"/>
  <c r="AD252" i="1"/>
  <c r="AE252" i="1"/>
  <c r="AF252" i="1"/>
  <c r="AG252" i="1"/>
  <c r="CU252" i="1" s="1"/>
  <c r="T252" i="1" s="1"/>
  <c r="AH252" i="1"/>
  <c r="CV252" i="1" s="1"/>
  <c r="U252" i="1" s="1"/>
  <c r="AI252" i="1"/>
  <c r="AJ252" i="1"/>
  <c r="CX252" i="1" s="1"/>
  <c r="CQ252" i="1"/>
  <c r="CR252" i="1"/>
  <c r="Q252" i="1" s="1"/>
  <c r="CS252" i="1"/>
  <c r="CT252" i="1"/>
  <c r="CW252" i="1"/>
  <c r="GL252" i="1"/>
  <c r="GO252" i="1"/>
  <c r="GP252" i="1"/>
  <c r="GV252" i="1"/>
  <c r="HC252" i="1" s="1"/>
  <c r="I253" i="1"/>
  <c r="P253" i="1" s="1"/>
  <c r="R253" i="1"/>
  <c r="S253" i="1"/>
  <c r="AC253" i="1"/>
  <c r="AE253" i="1"/>
  <c r="AD253" i="1" s="1"/>
  <c r="AF253" i="1"/>
  <c r="AG253" i="1"/>
  <c r="CU253" i="1" s="1"/>
  <c r="T253" i="1" s="1"/>
  <c r="AH253" i="1"/>
  <c r="CV253" i="1" s="1"/>
  <c r="U253" i="1" s="1"/>
  <c r="AI253" i="1"/>
  <c r="AJ253" i="1"/>
  <c r="CX253" i="1" s="1"/>
  <c r="W253" i="1" s="1"/>
  <c r="CQ253" i="1"/>
  <c r="CR253" i="1"/>
  <c r="CS253" i="1"/>
  <c r="CT253" i="1"/>
  <c r="CW253" i="1"/>
  <c r="V253" i="1" s="1"/>
  <c r="GL253" i="1"/>
  <c r="GO253" i="1"/>
  <c r="GP253" i="1"/>
  <c r="GV253" i="1"/>
  <c r="HC253" i="1" s="1"/>
  <c r="GX253" i="1" s="1"/>
  <c r="I254" i="1"/>
  <c r="P254" i="1" s="1"/>
  <c r="AC254" i="1"/>
  <c r="AB254" i="1" s="1"/>
  <c r="AD254" i="1"/>
  <c r="AE254" i="1"/>
  <c r="AF254" i="1"/>
  <c r="AG254" i="1"/>
  <c r="AH254" i="1"/>
  <c r="AI254" i="1"/>
  <c r="AJ254" i="1"/>
  <c r="CX254" i="1" s="1"/>
  <c r="CQ254" i="1"/>
  <c r="CR254" i="1"/>
  <c r="Q254" i="1" s="1"/>
  <c r="CS254" i="1"/>
  <c r="R254" i="1" s="1"/>
  <c r="CT254" i="1"/>
  <c r="CU254" i="1"/>
  <c r="CV254" i="1"/>
  <c r="CW254" i="1"/>
  <c r="V254" i="1" s="1"/>
  <c r="GL254" i="1"/>
  <c r="GO254" i="1"/>
  <c r="GP254" i="1"/>
  <c r="GV254" i="1"/>
  <c r="HC254" i="1" s="1"/>
  <c r="B256" i="1"/>
  <c r="B210" i="1" s="1"/>
  <c r="C256" i="1"/>
  <c r="C210" i="1" s="1"/>
  <c r="D256" i="1"/>
  <c r="D210" i="1" s="1"/>
  <c r="F256" i="1"/>
  <c r="F210" i="1" s="1"/>
  <c r="G256" i="1"/>
  <c r="G210" i="1" s="1"/>
  <c r="BX256" i="1"/>
  <c r="BX210" i="1" s="1"/>
  <c r="BY256" i="1"/>
  <c r="CK256" i="1"/>
  <c r="BB256" i="1" s="1"/>
  <c r="CL256" i="1"/>
  <c r="CM256" i="1"/>
  <c r="CM210" i="1" s="1"/>
  <c r="B286" i="1"/>
  <c r="B22" i="1" s="1"/>
  <c r="C286" i="1"/>
  <c r="C22" i="1" s="1"/>
  <c r="D286" i="1"/>
  <c r="D22" i="1" s="1"/>
  <c r="F286" i="1"/>
  <c r="F22" i="1" s="1"/>
  <c r="G286" i="1"/>
  <c r="G22" i="1" s="1"/>
  <c r="B316" i="1"/>
  <c r="B18" i="1" s="1"/>
  <c r="C316" i="1"/>
  <c r="C18" i="1" s="1"/>
  <c r="D316" i="1"/>
  <c r="D18" i="1" s="1"/>
  <c r="F316" i="1"/>
  <c r="F18" i="1" s="1"/>
  <c r="G316" i="1"/>
  <c r="G18" i="1" s="1"/>
  <c r="F12" i="6"/>
  <c r="G12" i="6"/>
  <c r="AB117" i="1" l="1"/>
  <c r="AB52" i="1"/>
  <c r="AB32" i="1"/>
  <c r="AB246" i="1"/>
  <c r="AB217" i="1"/>
  <c r="AB63" i="1"/>
  <c r="AB40" i="1"/>
  <c r="AR64" i="7"/>
  <c r="L58" i="7"/>
  <c r="L207" i="7"/>
  <c r="AR216" i="7"/>
  <c r="L213" i="7" s="1"/>
  <c r="L383" i="7"/>
  <c r="AR389" i="7"/>
  <c r="L386" i="7" s="1"/>
  <c r="L394" i="7"/>
  <c r="AR400" i="7"/>
  <c r="L397" i="7" s="1"/>
  <c r="AR554" i="7"/>
  <c r="L551" i="7" s="1"/>
  <c r="L550" i="7"/>
  <c r="AR663" i="7"/>
  <c r="AR709" i="7"/>
  <c r="L706" i="7" s="1"/>
  <c r="L697" i="7"/>
  <c r="AW641" i="7"/>
  <c r="AR236" i="7"/>
  <c r="L233" i="7" s="1"/>
  <c r="L225" i="7"/>
  <c r="L448" i="7"/>
  <c r="AR461" i="7"/>
  <c r="L585" i="7"/>
  <c r="AR597" i="7"/>
  <c r="L594" i="7" s="1"/>
  <c r="AR84" i="7"/>
  <c r="L81" i="7" s="1"/>
  <c r="L80" i="7"/>
  <c r="L719" i="7"/>
  <c r="AR730" i="7"/>
  <c r="L727" i="7" s="1"/>
  <c r="AR480" i="7"/>
  <c r="L477" i="7" s="1"/>
  <c r="L472" i="7"/>
  <c r="L674" i="7"/>
  <c r="AR685" i="7"/>
  <c r="L682" i="7" s="1"/>
  <c r="L366" i="7"/>
  <c r="AR378" i="7"/>
  <c r="L375" i="7" s="1"/>
  <c r="AR75" i="7"/>
  <c r="L72" i="7" s="1"/>
  <c r="L69" i="7"/>
  <c r="L148" i="7"/>
  <c r="L608" i="7"/>
  <c r="AR620" i="7"/>
  <c r="L617" i="7" s="1"/>
  <c r="L811" i="7"/>
  <c r="L860" i="7" s="1"/>
  <c r="L817" i="7"/>
  <c r="K40" i="7"/>
  <c r="AW156" i="7"/>
  <c r="AR197" i="7"/>
  <c r="L194" i="7" s="1"/>
  <c r="L186" i="7"/>
  <c r="AR304" i="7"/>
  <c r="L301" i="7" s="1"/>
  <c r="AR532" i="7"/>
  <c r="L524" i="7"/>
  <c r="AR575" i="7"/>
  <c r="L572" i="7" s="1"/>
  <c r="L563" i="7"/>
  <c r="L629" i="7"/>
  <c r="AT663" i="7"/>
  <c r="L649" i="7"/>
  <c r="AO663" i="7" s="1"/>
  <c r="L773" i="7" s="1"/>
  <c r="L771" i="7" s="1"/>
  <c r="L795" i="7"/>
  <c r="L108" i="7"/>
  <c r="AR254" i="7"/>
  <c r="L251" i="7" s="1"/>
  <c r="L244" i="7"/>
  <c r="L352" i="7"/>
  <c r="AR359" i="7"/>
  <c r="L493" i="7"/>
  <c r="L491" i="7" s="1"/>
  <c r="L485" i="7"/>
  <c r="L121" i="7"/>
  <c r="AR128" i="7"/>
  <c r="L125" i="7" s="1"/>
  <c r="AN151" i="7"/>
  <c r="AN169" i="7"/>
  <c r="AR177" i="7"/>
  <c r="L174" i="7" s="1"/>
  <c r="AN208" i="7"/>
  <c r="AN231" i="7"/>
  <c r="AN249" i="7"/>
  <c r="AN369" i="7"/>
  <c r="AR545" i="7"/>
  <c r="L542" i="7" s="1"/>
  <c r="AR641" i="7"/>
  <c r="L638" i="7" s="1"/>
  <c r="L790" i="7"/>
  <c r="AR282" i="7"/>
  <c r="L279" i="7" s="1"/>
  <c r="AW463" i="7"/>
  <c r="L508" i="7"/>
  <c r="L541" i="7"/>
  <c r="L165" i="7"/>
  <c r="K463" i="7"/>
  <c r="I463" i="7" s="1"/>
  <c r="AT545" i="7"/>
  <c r="L775" i="7" s="1"/>
  <c r="AN166" i="7"/>
  <c r="AN170" i="7"/>
  <c r="AN209" i="7"/>
  <c r="AN228" i="7"/>
  <c r="AN570" i="7"/>
  <c r="AN635" i="7"/>
  <c r="L779" i="7"/>
  <c r="L777" i="7" s="1"/>
  <c r="AN211" i="7"/>
  <c r="L275" i="7"/>
  <c r="L289" i="7"/>
  <c r="AO304" i="7" s="1"/>
  <c r="L311" i="7" s="1"/>
  <c r="L309" i="7" s="1"/>
  <c r="AN299" i="7"/>
  <c r="AN565" i="7"/>
  <c r="AN614" i="7"/>
  <c r="AN676" i="7"/>
  <c r="L106" i="7"/>
  <c r="AN123" i="7"/>
  <c r="AN134" i="7"/>
  <c r="AN245" i="7"/>
  <c r="AN247" i="7"/>
  <c r="AN566" i="7"/>
  <c r="AN609" i="7"/>
  <c r="AN632" i="7"/>
  <c r="AN187" i="7"/>
  <c r="AN586" i="7"/>
  <c r="AN611" i="7"/>
  <c r="AN698" i="7"/>
  <c r="AN720" i="7"/>
  <c r="AB58" i="1"/>
  <c r="CD83" i="1"/>
  <c r="CD26" i="1" s="1"/>
  <c r="AB242" i="1"/>
  <c r="AB79" i="1"/>
  <c r="AB127" i="1"/>
  <c r="AB44" i="1"/>
  <c r="AB28" i="1"/>
  <c r="BZ256" i="1"/>
  <c r="CI256" i="1" s="1"/>
  <c r="AB75" i="1"/>
  <c r="AB70" i="1"/>
  <c r="AB35" i="1"/>
  <c r="AB212" i="1"/>
  <c r="BZ83" i="1"/>
  <c r="AQ83" i="1" s="1"/>
  <c r="AQ26" i="1" s="1"/>
  <c r="AB30" i="1"/>
  <c r="AB240" i="1"/>
  <c r="AB215" i="1"/>
  <c r="AB235" i="1"/>
  <c r="AB119" i="1"/>
  <c r="GX248" i="1"/>
  <c r="T254" i="1"/>
  <c r="S254" i="1"/>
  <c r="AB248" i="1"/>
  <c r="GM245" i="1"/>
  <c r="GN245" i="1" s="1"/>
  <c r="AB241" i="1"/>
  <c r="CP238" i="1"/>
  <c r="O238" i="1" s="1"/>
  <c r="GM238" i="1" s="1"/>
  <c r="GO238" i="1" s="1"/>
  <c r="P237" i="1"/>
  <c r="R234" i="1"/>
  <c r="CZ234" i="1" s="1"/>
  <c r="Y234" i="1" s="1"/>
  <c r="W234" i="1"/>
  <c r="CP233" i="1"/>
  <c r="O233" i="1" s="1"/>
  <c r="P232" i="1"/>
  <c r="T232" i="1"/>
  <c r="V232" i="1"/>
  <c r="CP229" i="1"/>
  <c r="O229" i="1" s="1"/>
  <c r="CY233" i="1"/>
  <c r="X233" i="1" s="1"/>
  <c r="CZ233" i="1"/>
  <c r="Y233" i="1" s="1"/>
  <c r="AP256" i="1"/>
  <c r="BY210" i="1"/>
  <c r="GX252" i="1"/>
  <c r="CY241" i="1"/>
  <c r="X241" i="1" s="1"/>
  <c r="GM241" i="1" s="1"/>
  <c r="GN241" i="1" s="1"/>
  <c r="CZ241" i="1"/>
  <c r="Y241" i="1" s="1"/>
  <c r="GX237" i="1"/>
  <c r="W237" i="1"/>
  <c r="CY234" i="1"/>
  <c r="X234" i="1" s="1"/>
  <c r="CD256" i="1"/>
  <c r="U248" i="1"/>
  <c r="Q237" i="1"/>
  <c r="R237" i="1"/>
  <c r="CY237" i="1" s="1"/>
  <c r="X237" i="1" s="1"/>
  <c r="AU178" i="1"/>
  <c r="CD164" i="1"/>
  <c r="CP254" i="1"/>
  <c r="O254" i="1" s="1"/>
  <c r="U237" i="1"/>
  <c r="W254" i="1"/>
  <c r="U249" i="1"/>
  <c r="CP239" i="1"/>
  <c r="O239" i="1" s="1"/>
  <c r="R176" i="1"/>
  <c r="GX254" i="1"/>
  <c r="CY249" i="1"/>
  <c r="X249" i="1" s="1"/>
  <c r="CZ249" i="1"/>
  <c r="Y249" i="1" s="1"/>
  <c r="Q176" i="1"/>
  <c r="CY239" i="1"/>
  <c r="X239" i="1" s="1"/>
  <c r="CZ239" i="1"/>
  <c r="Y239" i="1" s="1"/>
  <c r="R214" i="1"/>
  <c r="CK210" i="1"/>
  <c r="GX176" i="1"/>
  <c r="AB253" i="1"/>
  <c r="R252" i="1"/>
  <c r="AB250" i="1"/>
  <c r="CP249" i="1"/>
  <c r="O249" i="1" s="1"/>
  <c r="CY244" i="1"/>
  <c r="X244" i="1" s="1"/>
  <c r="CZ244" i="1"/>
  <c r="Y244" i="1" s="1"/>
  <c r="CY243" i="1"/>
  <c r="X243" i="1" s="1"/>
  <c r="CZ243" i="1"/>
  <c r="Y243" i="1" s="1"/>
  <c r="T237" i="1"/>
  <c r="CW164" i="3"/>
  <c r="CV162" i="3"/>
  <c r="U212" i="1" s="1"/>
  <c r="G518" i="7" s="1"/>
  <c r="CX162" i="3"/>
  <c r="CU162" i="3"/>
  <c r="P213" i="1" s="1"/>
  <c r="CX166" i="3"/>
  <c r="CX165" i="3"/>
  <c r="CX164" i="3"/>
  <c r="I214" i="1"/>
  <c r="CL210" i="1"/>
  <c r="BC256" i="1"/>
  <c r="AB238" i="1"/>
  <c r="CZ231" i="1"/>
  <c r="Y231" i="1" s="1"/>
  <c r="CY231" i="1"/>
  <c r="X231" i="1" s="1"/>
  <c r="BB210" i="1"/>
  <c r="F269" i="1"/>
  <c r="BB286" i="1"/>
  <c r="U254" i="1"/>
  <c r="CY253" i="1"/>
  <c r="X253" i="1" s="1"/>
  <c r="CZ253" i="1"/>
  <c r="Y253" i="1" s="1"/>
  <c r="P252" i="1"/>
  <c r="CP252" i="1" s="1"/>
  <c r="O252" i="1" s="1"/>
  <c r="GM252" i="1" s="1"/>
  <c r="GN252" i="1" s="1"/>
  <c r="V252" i="1"/>
  <c r="S250" i="1"/>
  <c r="V249" i="1"/>
  <c r="T248" i="1"/>
  <c r="CU226" i="3"/>
  <c r="CX233" i="3"/>
  <c r="CW229" i="3"/>
  <c r="CX229" i="3"/>
  <c r="CX230" i="3"/>
  <c r="CX231" i="3"/>
  <c r="CX228" i="3"/>
  <c r="I247" i="1"/>
  <c r="Q247" i="1" s="1"/>
  <c r="I250" i="1"/>
  <c r="Q250" i="1" s="1"/>
  <c r="I248" i="1"/>
  <c r="W248" i="1" s="1"/>
  <c r="CP243" i="1"/>
  <c r="O243" i="1" s="1"/>
  <c r="S232" i="1"/>
  <c r="AB243" i="1"/>
  <c r="CY252" i="1"/>
  <c r="X252" i="1" s="1"/>
  <c r="CZ252" i="1"/>
  <c r="Y252" i="1" s="1"/>
  <c r="CP244" i="1"/>
  <c r="O244" i="1" s="1"/>
  <c r="GM244" i="1" s="1"/>
  <c r="GN244" i="1" s="1"/>
  <c r="CY238" i="1"/>
  <c r="X238" i="1" s="1"/>
  <c r="CZ238" i="1"/>
  <c r="Y238" i="1" s="1"/>
  <c r="CP231" i="1"/>
  <c r="O231" i="1" s="1"/>
  <c r="CY229" i="1"/>
  <c r="X229" i="1" s="1"/>
  <c r="CZ229" i="1"/>
  <c r="Y229" i="1" s="1"/>
  <c r="W169" i="1"/>
  <c r="Q253" i="1"/>
  <c r="CP253" i="1" s="1"/>
  <c r="O253" i="1" s="1"/>
  <c r="GM253" i="1" s="1"/>
  <c r="GN253" i="1" s="1"/>
  <c r="CU235" i="3"/>
  <c r="CV235" i="3"/>
  <c r="U251" i="1" s="1"/>
  <c r="G713" i="7" s="1"/>
  <c r="CX235" i="3"/>
  <c r="CX239" i="3"/>
  <c r="CX240" i="3"/>
  <c r="V236" i="1"/>
  <c r="GX234" i="1"/>
  <c r="AB233" i="1"/>
  <c r="S219" i="1"/>
  <c r="AB218" i="1"/>
  <c r="GX214" i="1"/>
  <c r="T212" i="1"/>
  <c r="BZ178" i="1"/>
  <c r="CI178" i="1" s="1"/>
  <c r="BD256" i="1"/>
  <c r="U236" i="1"/>
  <c r="S228" i="1"/>
  <c r="CY226" i="1"/>
  <c r="X226" i="1" s="1"/>
  <c r="CZ226" i="1"/>
  <c r="Y226" i="1" s="1"/>
  <c r="GM226" i="1" s="1"/>
  <c r="GO226" i="1" s="1"/>
  <c r="P219" i="1"/>
  <c r="AB213" i="1"/>
  <c r="W176" i="1"/>
  <c r="GX174" i="1"/>
  <c r="T236" i="1"/>
  <c r="R232" i="1"/>
  <c r="AB224" i="1"/>
  <c r="V222" i="1"/>
  <c r="W212" i="1"/>
  <c r="CX157" i="3"/>
  <c r="CU157" i="3"/>
  <c r="CV157" i="3"/>
  <c r="U174" i="1" s="1"/>
  <c r="G467" i="7" s="1"/>
  <c r="CX160" i="3"/>
  <c r="I175" i="1"/>
  <c r="GX175" i="1" s="1"/>
  <c r="I176" i="1"/>
  <c r="T171" i="1"/>
  <c r="P171" i="1"/>
  <c r="Q171" i="1"/>
  <c r="P234" i="1"/>
  <c r="Q232" i="1"/>
  <c r="BX164" i="1"/>
  <c r="AO178" i="1"/>
  <c r="F141" i="1"/>
  <c r="AP115" i="1"/>
  <c r="AO256" i="1"/>
  <c r="Q224" i="1"/>
  <c r="U219" i="1"/>
  <c r="R218" i="1"/>
  <c r="CZ218" i="1" s="1"/>
  <c r="Y218" i="1" s="1"/>
  <c r="CW215" i="3"/>
  <c r="CX213" i="3"/>
  <c r="CU212" i="3"/>
  <c r="CX217" i="3"/>
  <c r="AB230" i="1"/>
  <c r="AB225" i="1"/>
  <c r="T174" i="1"/>
  <c r="W171" i="1"/>
  <c r="V169" i="1"/>
  <c r="CC178" i="1"/>
  <c r="CU218" i="3"/>
  <c r="CX222" i="3"/>
  <c r="CX221" i="3"/>
  <c r="CX220" i="3"/>
  <c r="CX225" i="3"/>
  <c r="CV218" i="3"/>
  <c r="U242" i="1" s="1"/>
  <c r="G667" i="7" s="1"/>
  <c r="CX218" i="3"/>
  <c r="GX222" i="1"/>
  <c r="P222" i="1"/>
  <c r="T221" i="1"/>
  <c r="T214" i="1"/>
  <c r="V175" i="1"/>
  <c r="GX171" i="1"/>
  <c r="GM121" i="1"/>
  <c r="GN121" i="1" s="1"/>
  <c r="F93" i="1"/>
  <c r="P227" i="1"/>
  <c r="S221" i="1"/>
  <c r="U176" i="1"/>
  <c r="CZ222" i="1"/>
  <c r="Y222" i="1" s="1"/>
  <c r="GM173" i="1"/>
  <c r="GN173" i="1" s="1"/>
  <c r="R222" i="1"/>
  <c r="CY222" i="1" s="1"/>
  <c r="X222" i="1" s="1"/>
  <c r="S220" i="1"/>
  <c r="W219" i="1"/>
  <c r="AB216" i="1"/>
  <c r="GX212" i="1"/>
  <c r="T176" i="1"/>
  <c r="T175" i="1"/>
  <c r="AB175" i="1"/>
  <c r="AB174" i="1"/>
  <c r="Q236" i="1"/>
  <c r="CU204" i="3"/>
  <c r="P236" i="1" s="1"/>
  <c r="CX209" i="3"/>
  <c r="CX206" i="3"/>
  <c r="CX211" i="3"/>
  <c r="CX205" i="3"/>
  <c r="Q221" i="1"/>
  <c r="U214" i="1"/>
  <c r="S175" i="1"/>
  <c r="CV185" i="3"/>
  <c r="U225" i="1" s="1"/>
  <c r="G579" i="7" s="1"/>
  <c r="CX188" i="3"/>
  <c r="CX185" i="3"/>
  <c r="CX193" i="3"/>
  <c r="CU185" i="3"/>
  <c r="CW188" i="3"/>
  <c r="AB172" i="1"/>
  <c r="S170" i="1"/>
  <c r="V168" i="1"/>
  <c r="CY130" i="1"/>
  <c r="X130" i="1" s="1"/>
  <c r="GM130" i="1" s="1"/>
  <c r="GN130" i="1" s="1"/>
  <c r="S123" i="1"/>
  <c r="S118" i="1"/>
  <c r="BX26" i="1"/>
  <c r="AO83" i="1"/>
  <c r="CG83" i="1"/>
  <c r="CX200" i="3"/>
  <c r="CU194" i="3"/>
  <c r="CW197" i="3"/>
  <c r="CX203" i="3"/>
  <c r="CV194" i="3"/>
  <c r="U230" i="1" s="1"/>
  <c r="G601" i="7" s="1"/>
  <c r="CX198" i="3"/>
  <c r="CX197" i="3"/>
  <c r="CX196" i="3"/>
  <c r="CX195" i="3"/>
  <c r="CV169" i="3"/>
  <c r="U215" i="1" s="1"/>
  <c r="G535" i="7" s="1"/>
  <c r="CU169" i="3"/>
  <c r="CX169" i="3"/>
  <c r="CW171" i="3"/>
  <c r="V215" i="1" s="1"/>
  <c r="G538" i="7" s="1"/>
  <c r="U170" i="1"/>
  <c r="S167" i="1"/>
  <c r="CX150" i="3"/>
  <c r="CU145" i="3"/>
  <c r="CX146" i="3"/>
  <c r="CX155" i="3"/>
  <c r="CX151" i="3"/>
  <c r="CX145" i="3"/>
  <c r="CX153" i="3"/>
  <c r="I169" i="1"/>
  <c r="U169" i="1" s="1"/>
  <c r="I172" i="1"/>
  <c r="T172" i="1" s="1"/>
  <c r="R123" i="1"/>
  <c r="CC132" i="1"/>
  <c r="W118" i="1"/>
  <c r="BC115" i="1"/>
  <c r="CY122" i="1"/>
  <c r="X122" i="1" s="1"/>
  <c r="CZ122" i="1"/>
  <c r="Y122" i="1" s="1"/>
  <c r="U76" i="1"/>
  <c r="GX170" i="1"/>
  <c r="P170" i="1"/>
  <c r="CP170" i="1" s="1"/>
  <c r="O170" i="1" s="1"/>
  <c r="BY115" i="1"/>
  <c r="P123" i="1"/>
  <c r="CP122" i="1"/>
  <c r="O122" i="1" s="1"/>
  <c r="GM122" i="1" s="1"/>
  <c r="GN122" i="1" s="1"/>
  <c r="BZ132" i="1"/>
  <c r="CI132" i="1" s="1"/>
  <c r="P118" i="1"/>
  <c r="P167" i="1"/>
  <c r="AB166" i="1"/>
  <c r="AO115" i="1"/>
  <c r="F136" i="1"/>
  <c r="CY124" i="1"/>
  <c r="X124" i="1" s="1"/>
  <c r="GM124" i="1" s="1"/>
  <c r="GN124" i="1" s="1"/>
  <c r="CZ124" i="1"/>
  <c r="Y124" i="1" s="1"/>
  <c r="S120" i="1"/>
  <c r="W167" i="1"/>
  <c r="AB128" i="1"/>
  <c r="S126" i="1"/>
  <c r="GX123" i="1"/>
  <c r="V123" i="1"/>
  <c r="R120" i="1"/>
  <c r="CD132" i="1"/>
  <c r="AB81" i="1"/>
  <c r="I224" i="1"/>
  <c r="S224" i="1" s="1"/>
  <c r="I221" i="1"/>
  <c r="P221" i="1" s="1"/>
  <c r="CU172" i="3"/>
  <c r="CV172" i="3"/>
  <c r="U216" i="1" s="1"/>
  <c r="G548" i="7" s="1"/>
  <c r="CX172" i="3"/>
  <c r="I167" i="1"/>
  <c r="W130" i="1"/>
  <c r="CU139" i="3"/>
  <c r="CW141" i="3"/>
  <c r="CX141" i="3"/>
  <c r="I128" i="1"/>
  <c r="GX128" i="1" s="1"/>
  <c r="R126" i="1"/>
  <c r="AB125" i="1"/>
  <c r="Q120" i="1"/>
  <c r="V71" i="1"/>
  <c r="S171" i="1"/>
  <c r="CM115" i="1"/>
  <c r="BD132" i="1"/>
  <c r="V130" i="1"/>
  <c r="R128" i="1"/>
  <c r="Q126" i="1"/>
  <c r="P120" i="1"/>
  <c r="CL26" i="1"/>
  <c r="BC83" i="1"/>
  <c r="T73" i="1"/>
  <c r="Q128" i="1"/>
  <c r="CP126" i="1"/>
  <c r="O126" i="1" s="1"/>
  <c r="CY121" i="1"/>
  <c r="X121" i="1" s="1"/>
  <c r="CZ121" i="1"/>
  <c r="Y121" i="1" s="1"/>
  <c r="P76" i="1"/>
  <c r="Q76" i="1"/>
  <c r="T76" i="1"/>
  <c r="V76" i="1"/>
  <c r="W76" i="1"/>
  <c r="BZ26" i="1"/>
  <c r="F187" i="1"/>
  <c r="BD178" i="1"/>
  <c r="S168" i="1"/>
  <c r="GX126" i="1"/>
  <c r="W126" i="1"/>
  <c r="GX120" i="1"/>
  <c r="CJ132" i="1" s="1"/>
  <c r="V120" i="1"/>
  <c r="R78" i="1"/>
  <c r="R76" i="1"/>
  <c r="CY125" i="1"/>
  <c r="X125" i="1" s="1"/>
  <c r="CZ125" i="1"/>
  <c r="Y125" i="1" s="1"/>
  <c r="AB122" i="1"/>
  <c r="CX181" i="3"/>
  <c r="CX182" i="3"/>
  <c r="CX177" i="3"/>
  <c r="CX176" i="3"/>
  <c r="CX179" i="3"/>
  <c r="CX174" i="3"/>
  <c r="CU173" i="3"/>
  <c r="P223" i="1" s="1"/>
  <c r="W172" i="1"/>
  <c r="CP125" i="1"/>
  <c r="O125" i="1" s="1"/>
  <c r="U118" i="1"/>
  <c r="AB118" i="1"/>
  <c r="GX78" i="1"/>
  <c r="T78" i="1"/>
  <c r="U78" i="1"/>
  <c r="S73" i="1"/>
  <c r="W73" i="1"/>
  <c r="F92" i="1"/>
  <c r="V73" i="1"/>
  <c r="AB72" i="1"/>
  <c r="GX70" i="1"/>
  <c r="S66" i="1"/>
  <c r="CP66" i="1" s="1"/>
  <c r="O66" i="1" s="1"/>
  <c r="Q61" i="1"/>
  <c r="T61" i="1"/>
  <c r="S59" i="1"/>
  <c r="CY54" i="1"/>
  <c r="X54" i="1" s="1"/>
  <c r="CU122" i="3"/>
  <c r="CX123" i="3"/>
  <c r="CX124" i="3"/>
  <c r="CX128" i="3"/>
  <c r="CX127" i="3"/>
  <c r="CX129" i="3"/>
  <c r="BX115" i="1"/>
  <c r="S78" i="1"/>
  <c r="S76" i="1"/>
  <c r="CY51" i="1"/>
  <c r="X51" i="1" s="1"/>
  <c r="GM51" i="1" s="1"/>
  <c r="GO51" i="1" s="1"/>
  <c r="CZ51" i="1"/>
  <c r="Y51" i="1" s="1"/>
  <c r="P61" i="1"/>
  <c r="W71" i="1"/>
  <c r="P60" i="1"/>
  <c r="GX58" i="1"/>
  <c r="Q54" i="1"/>
  <c r="AB77" i="1"/>
  <c r="U73" i="1"/>
  <c r="T71" i="1"/>
  <c r="AB65" i="1"/>
  <c r="T62" i="1"/>
  <c r="S57" i="1"/>
  <c r="AB56" i="1"/>
  <c r="CP54" i="1"/>
  <c r="O54" i="1" s="1"/>
  <c r="GM54" i="1" s="1"/>
  <c r="GO54" i="1" s="1"/>
  <c r="CY49" i="1"/>
  <c r="X49" i="1" s="1"/>
  <c r="CZ49" i="1"/>
  <c r="Y49" i="1" s="1"/>
  <c r="CW89" i="3"/>
  <c r="CX91" i="3"/>
  <c r="CV86" i="3"/>
  <c r="U70" i="1" s="1"/>
  <c r="G239" i="7" s="1"/>
  <c r="CX89" i="3"/>
  <c r="CX92" i="3"/>
  <c r="CX86" i="3"/>
  <c r="CX93" i="3"/>
  <c r="CU86" i="3"/>
  <c r="P72" i="1" s="1"/>
  <c r="I71" i="1"/>
  <c r="I74" i="1"/>
  <c r="S74" i="1" s="1"/>
  <c r="W61" i="1"/>
  <c r="R57" i="1"/>
  <c r="CY53" i="1"/>
  <c r="X53" i="1" s="1"/>
  <c r="CZ53" i="1"/>
  <c r="Y53" i="1" s="1"/>
  <c r="AB80" i="1"/>
  <c r="R73" i="1"/>
  <c r="R71" i="1"/>
  <c r="Q69" i="1"/>
  <c r="V61" i="1"/>
  <c r="CU64" i="3"/>
  <c r="CX67" i="3"/>
  <c r="CX68" i="3"/>
  <c r="CX69" i="3"/>
  <c r="CX70" i="3"/>
  <c r="I59" i="1"/>
  <c r="GX59" i="1" s="1"/>
  <c r="I62" i="1"/>
  <c r="W62" i="1" s="1"/>
  <c r="I60" i="1"/>
  <c r="U60" i="1" s="1"/>
  <c r="Q57" i="1"/>
  <c r="CP57" i="1" s="1"/>
  <c r="O57" i="1" s="1"/>
  <c r="V54" i="1"/>
  <c r="CP53" i="1"/>
  <c r="O53" i="1" s="1"/>
  <c r="GX73" i="1"/>
  <c r="Q71" i="1"/>
  <c r="CP69" i="1"/>
  <c r="O69" i="1" s="1"/>
  <c r="GM69" i="1" s="1"/>
  <c r="GO69" i="1" s="1"/>
  <c r="T60" i="1"/>
  <c r="W78" i="1"/>
  <c r="P73" i="1"/>
  <c r="CY56" i="1"/>
  <c r="X56" i="1" s="1"/>
  <c r="CZ56" i="1"/>
  <c r="Y56" i="1" s="1"/>
  <c r="CW144" i="3"/>
  <c r="CX144" i="3"/>
  <c r="CU142" i="3"/>
  <c r="CV142" i="3"/>
  <c r="U129" i="1" s="1"/>
  <c r="G392" i="7" s="1"/>
  <c r="BD83" i="1"/>
  <c r="V78" i="1"/>
  <c r="CY77" i="1"/>
  <c r="X77" i="1" s="1"/>
  <c r="GM77" i="1" s="1"/>
  <c r="GO77" i="1" s="1"/>
  <c r="CZ77" i="1"/>
  <c r="Y77" i="1" s="1"/>
  <c r="CY68" i="1"/>
  <c r="X68" i="1" s="1"/>
  <c r="CZ68" i="1"/>
  <c r="Y68" i="1" s="1"/>
  <c r="CY64" i="1"/>
  <c r="X64" i="1" s="1"/>
  <c r="GM64" i="1" s="1"/>
  <c r="GO64" i="1" s="1"/>
  <c r="CZ64" i="1"/>
  <c r="Y64" i="1" s="1"/>
  <c r="GX61" i="1"/>
  <c r="V60" i="1"/>
  <c r="GX57" i="1"/>
  <c r="V57" i="1"/>
  <c r="CP56" i="1"/>
  <c r="O56" i="1" s="1"/>
  <c r="CZ46" i="1"/>
  <c r="Y46" i="1" s="1"/>
  <c r="CY46" i="1"/>
  <c r="X46" i="1" s="1"/>
  <c r="CP45" i="1"/>
  <c r="O45" i="1" s="1"/>
  <c r="CU111" i="3"/>
  <c r="P81" i="1" s="1"/>
  <c r="CX117" i="3"/>
  <c r="CX114" i="3"/>
  <c r="CU112" i="3"/>
  <c r="CX113" i="3"/>
  <c r="CX112" i="3"/>
  <c r="CV112" i="3"/>
  <c r="CX111" i="3"/>
  <c r="CU113" i="3"/>
  <c r="I80" i="1"/>
  <c r="T80" i="1" s="1"/>
  <c r="GM68" i="1"/>
  <c r="GO68" i="1" s="1"/>
  <c r="CY67" i="1"/>
  <c r="X67" i="1" s="1"/>
  <c r="GM67" i="1" s="1"/>
  <c r="GO67" i="1" s="1"/>
  <c r="CZ67" i="1"/>
  <c r="Y67" i="1" s="1"/>
  <c r="R61" i="1"/>
  <c r="AB60" i="1"/>
  <c r="T59" i="1"/>
  <c r="Q47" i="1"/>
  <c r="W46" i="1"/>
  <c r="CP31" i="1"/>
  <c r="O31" i="1" s="1"/>
  <c r="CP29" i="1"/>
  <c r="O29" i="1" s="1"/>
  <c r="CX175" i="3"/>
  <c r="T45" i="1"/>
  <c r="CX186" i="3"/>
  <c r="CW148" i="3"/>
  <c r="AB48" i="1"/>
  <c r="CY41" i="1"/>
  <c r="X41" i="1" s="1"/>
  <c r="CZ41" i="1"/>
  <c r="Y41" i="1" s="1"/>
  <c r="CU74" i="3"/>
  <c r="P65" i="1" s="1"/>
  <c r="CV74" i="3"/>
  <c r="U63" i="1" s="1"/>
  <c r="G218" i="7" s="1"/>
  <c r="CX83" i="3"/>
  <c r="CX75" i="3"/>
  <c r="CX74" i="3"/>
  <c r="CX81" i="3"/>
  <c r="CW76" i="3"/>
  <c r="CX79" i="3"/>
  <c r="CX78" i="3"/>
  <c r="CX85" i="3"/>
  <c r="CX84" i="3"/>
  <c r="U45" i="1"/>
  <c r="AB45" i="1"/>
  <c r="AB38" i="1"/>
  <c r="AB37" i="1"/>
  <c r="P34" i="1"/>
  <c r="CW238" i="3"/>
  <c r="CP46" i="1"/>
  <c r="O46" i="1" s="1"/>
  <c r="CW207" i="3"/>
  <c r="CW57" i="3"/>
  <c r="CX57" i="3"/>
  <c r="CX58" i="3"/>
  <c r="CX59" i="3"/>
  <c r="CU54" i="3"/>
  <c r="P55" i="1" s="1"/>
  <c r="CX55" i="3"/>
  <c r="CX62" i="3"/>
  <c r="CV54" i="3"/>
  <c r="U52" i="1" s="1"/>
  <c r="G180" i="7" s="1"/>
  <c r="CX63" i="3"/>
  <c r="W50" i="1"/>
  <c r="GX46" i="1"/>
  <c r="AB39" i="1"/>
  <c r="S37" i="1"/>
  <c r="CX236" i="3"/>
  <c r="U42" i="1"/>
  <c r="V42" i="1"/>
  <c r="P42" i="1"/>
  <c r="GX42" i="1"/>
  <c r="T42" i="1"/>
  <c r="CP41" i="1"/>
  <c r="O41" i="1" s="1"/>
  <c r="GM41" i="1" s="1"/>
  <c r="GO41" i="1" s="1"/>
  <c r="CX214" i="3"/>
  <c r="CY45" i="1"/>
  <c r="X45" i="1" s="1"/>
  <c r="CZ45" i="1"/>
  <c r="Y45" i="1" s="1"/>
  <c r="CY39" i="1"/>
  <c r="X39" i="1" s="1"/>
  <c r="CZ39" i="1"/>
  <c r="Y39" i="1" s="1"/>
  <c r="CX241" i="3"/>
  <c r="CX232" i="3"/>
  <c r="DJ133" i="3"/>
  <c r="CP39" i="1"/>
  <c r="O39" i="1" s="1"/>
  <c r="CY29" i="1"/>
  <c r="X29" i="1" s="1"/>
  <c r="CZ29" i="1"/>
  <c r="Y29" i="1" s="1"/>
  <c r="CX109" i="3"/>
  <c r="CX97" i="3"/>
  <c r="CX98" i="3"/>
  <c r="CU94" i="3"/>
  <c r="P78" i="1" s="1"/>
  <c r="CX104" i="3"/>
  <c r="CX110" i="3"/>
  <c r="CX102" i="3"/>
  <c r="CV94" i="3"/>
  <c r="U75" i="1" s="1"/>
  <c r="G257" i="7" s="1"/>
  <c r="CX101" i="3"/>
  <c r="CX100" i="3"/>
  <c r="CX94" i="3"/>
  <c r="CX103" i="3"/>
  <c r="CW95" i="3"/>
  <c r="V75" i="1" s="1"/>
  <c r="G260" i="7" s="1"/>
  <c r="CZ48" i="1"/>
  <c r="Y48" i="1" s="1"/>
  <c r="GM48" i="1" s="1"/>
  <c r="GO48" i="1" s="1"/>
  <c r="S47" i="1"/>
  <c r="P36" i="1"/>
  <c r="CU24" i="3"/>
  <c r="CX27" i="3"/>
  <c r="CX28" i="3"/>
  <c r="CX30" i="3"/>
  <c r="CW26" i="3"/>
  <c r="CX25" i="3"/>
  <c r="I37" i="1"/>
  <c r="R37" i="1" s="1"/>
  <c r="W35" i="1"/>
  <c r="CV24" i="3"/>
  <c r="U35" i="1" s="1"/>
  <c r="G115" i="7" s="1"/>
  <c r="CX24" i="3"/>
  <c r="AB33" i="1"/>
  <c r="CY31" i="1"/>
  <c r="X31" i="1" s="1"/>
  <c r="CZ31" i="1"/>
  <c r="Y31" i="1" s="1"/>
  <c r="AB51" i="1"/>
  <c r="CP49" i="1"/>
  <c r="O49" i="1" s="1"/>
  <c r="GM49" i="1" s="1"/>
  <c r="GO49" i="1" s="1"/>
  <c r="R47" i="1"/>
  <c r="CW237" i="3"/>
  <c r="CV226" i="3"/>
  <c r="U246" i="1" s="1"/>
  <c r="G689" i="7" s="1"/>
  <c r="CX216" i="3"/>
  <c r="CX180" i="3"/>
  <c r="CX163" i="3"/>
  <c r="CW159" i="3"/>
  <c r="CX159" i="3"/>
  <c r="CX149" i="3"/>
  <c r="CW149" i="3"/>
  <c r="CW228" i="3"/>
  <c r="CX210" i="3"/>
  <c r="CX152" i="3"/>
  <c r="CX77" i="3"/>
  <c r="CX72" i="3"/>
  <c r="CV31" i="3"/>
  <c r="U38" i="1" s="1"/>
  <c r="G131" i="7" s="1"/>
  <c r="CX31" i="3"/>
  <c r="CX32" i="3"/>
  <c r="CX223" i="3"/>
  <c r="CX204" i="3"/>
  <c r="CV204" i="3"/>
  <c r="U235" i="1" s="1"/>
  <c r="G624" i="7" s="1"/>
  <c r="CX184" i="3"/>
  <c r="CX140" i="3"/>
  <c r="CX120" i="3"/>
  <c r="CU34" i="3"/>
  <c r="CX37" i="3"/>
  <c r="CX38" i="3"/>
  <c r="CX39" i="3"/>
  <c r="CX40" i="3"/>
  <c r="CX41" i="3"/>
  <c r="CV34" i="3"/>
  <c r="U40" i="1" s="1"/>
  <c r="G142" i="7" s="1"/>
  <c r="CX34" i="3"/>
  <c r="CV173" i="3"/>
  <c r="U217" i="1" s="1"/>
  <c r="G557" i="7" s="1"/>
  <c r="CX173" i="3"/>
  <c r="CX156" i="3"/>
  <c r="CW147" i="3"/>
  <c r="CX147" i="3"/>
  <c r="DI133" i="3"/>
  <c r="CX107" i="3"/>
  <c r="CX82" i="3"/>
  <c r="CX22" i="3"/>
  <c r="CX23" i="3"/>
  <c r="CX9" i="3"/>
  <c r="CX21" i="3"/>
  <c r="CU8" i="3"/>
  <c r="CX16" i="3"/>
  <c r="CX17" i="3"/>
  <c r="CX19" i="3"/>
  <c r="CX201" i="3"/>
  <c r="CX192" i="3"/>
  <c r="CX178" i="3"/>
  <c r="DG131" i="3"/>
  <c r="DH131" i="3"/>
  <c r="DI131" i="3"/>
  <c r="DJ131" i="3" s="1"/>
  <c r="CW115" i="3"/>
  <c r="V79" i="1" s="1"/>
  <c r="G290" i="7" s="1"/>
  <c r="CX115" i="3"/>
  <c r="CX105" i="3"/>
  <c r="CX95" i="3"/>
  <c r="CX224" i="3"/>
  <c r="CX219" i="3"/>
  <c r="CX126" i="3"/>
  <c r="CX118" i="3"/>
  <c r="CX47" i="3"/>
  <c r="CX238" i="3"/>
  <c r="CV212" i="3"/>
  <c r="U240" i="1" s="1"/>
  <c r="G647" i="7" s="1"/>
  <c r="CX212" i="3"/>
  <c r="CW206" i="3"/>
  <c r="CX189" i="3"/>
  <c r="DH136" i="3"/>
  <c r="DG136" i="3"/>
  <c r="DI136" i="3"/>
  <c r="DF136" i="3"/>
  <c r="DJ136" i="3" s="1"/>
  <c r="DI132" i="3"/>
  <c r="DH132" i="3"/>
  <c r="DG132" i="3"/>
  <c r="CX237" i="3"/>
  <c r="CX226" i="3"/>
  <c r="CX207" i="3"/>
  <c r="CW175" i="3"/>
  <c r="CX170" i="3"/>
  <c r="CV145" i="3"/>
  <c r="U166" i="1" s="1"/>
  <c r="G438" i="7" s="1"/>
  <c r="CX52" i="3"/>
  <c r="CX53" i="3"/>
  <c r="CU42" i="3"/>
  <c r="P50" i="1" s="1"/>
  <c r="CV42" i="3"/>
  <c r="U44" i="1" s="1"/>
  <c r="G159" i="7" s="1"/>
  <c r="CX42" i="3"/>
  <c r="CX45" i="3"/>
  <c r="CW220" i="3"/>
  <c r="CX202" i="3"/>
  <c r="CX154" i="3"/>
  <c r="CX148" i="3"/>
  <c r="CX139" i="3"/>
  <c r="CV64" i="3"/>
  <c r="U58" i="1" s="1"/>
  <c r="G200" i="7" s="1"/>
  <c r="CU1" i="3"/>
  <c r="CV1" i="3"/>
  <c r="U28" i="1" s="1"/>
  <c r="G56" i="7" s="1"/>
  <c r="CW3" i="3"/>
  <c r="CX3" i="3"/>
  <c r="CX2" i="3"/>
  <c r="CX1" i="3"/>
  <c r="CW214" i="3"/>
  <c r="V240" i="1" s="1"/>
  <c r="G650" i="7" s="1"/>
  <c r="CX208" i="3"/>
  <c r="CX190" i="3"/>
  <c r="CX158" i="3"/>
  <c r="DH133" i="3"/>
  <c r="DF133" i="3"/>
  <c r="CX106" i="3"/>
  <c r="CX50" i="3"/>
  <c r="CX43" i="3"/>
  <c r="CW33" i="3"/>
  <c r="GX36" i="1"/>
  <c r="CU4" i="3"/>
  <c r="CX5" i="3"/>
  <c r="CW6" i="3"/>
  <c r="CX6" i="3"/>
  <c r="CX227" i="3"/>
  <c r="CW221" i="3"/>
  <c r="CX215" i="3"/>
  <c r="CX194" i="3"/>
  <c r="CX99" i="3"/>
  <c r="CU7" i="3"/>
  <c r="CV7" i="3"/>
  <c r="U32" i="1" s="1"/>
  <c r="G78" i="7" s="1"/>
  <c r="CX7" i="3"/>
  <c r="CX234" i="3"/>
  <c r="CX187" i="3"/>
  <c r="CW187" i="3"/>
  <c r="CX143" i="3"/>
  <c r="CX46" i="3"/>
  <c r="CU31" i="3"/>
  <c r="CX161" i="3"/>
  <c r="CV130" i="3"/>
  <c r="U119" i="1" s="1"/>
  <c r="G362" i="7" s="1"/>
  <c r="CX130" i="3"/>
  <c r="CX88" i="3"/>
  <c r="CW88" i="3"/>
  <c r="CX76" i="3"/>
  <c r="CX191" i="3"/>
  <c r="DG137" i="3"/>
  <c r="DF137" i="3"/>
  <c r="DJ137" i="3" s="1"/>
  <c r="DI137" i="3"/>
  <c r="CX121" i="3"/>
  <c r="CX108" i="3"/>
  <c r="CX96" i="3"/>
  <c r="CX80" i="3"/>
  <c r="CX66" i="3"/>
  <c r="CW66" i="3"/>
  <c r="CX44" i="3"/>
  <c r="CW44" i="3"/>
  <c r="DF138" i="3"/>
  <c r="DJ138" i="3" s="1"/>
  <c r="DG138" i="3"/>
  <c r="DI138" i="3"/>
  <c r="CV122" i="3"/>
  <c r="U117" i="1" s="1"/>
  <c r="G341" i="7" s="1"/>
  <c r="CX122" i="3"/>
  <c r="CX35" i="3"/>
  <c r="CX119" i="3"/>
  <c r="CX64" i="3"/>
  <c r="CX12" i="3"/>
  <c r="CX199" i="3"/>
  <c r="CW196" i="3"/>
  <c r="CX167" i="3"/>
  <c r="DI135" i="3"/>
  <c r="DG135" i="3"/>
  <c r="DF135" i="3"/>
  <c r="DJ135" i="3" s="1"/>
  <c r="CX90" i="3"/>
  <c r="CX183" i="3"/>
  <c r="CX168" i="3"/>
  <c r="CV139" i="3"/>
  <c r="U127" i="1" s="1"/>
  <c r="G381" i="7" s="1"/>
  <c r="DH137" i="3"/>
  <c r="CX125" i="3"/>
  <c r="CX71" i="3"/>
  <c r="CX171" i="3"/>
  <c r="CX142" i="3"/>
  <c r="DH138" i="3"/>
  <c r="DH134" i="3"/>
  <c r="CV111" i="3"/>
  <c r="CX87" i="3"/>
  <c r="CX49" i="3"/>
  <c r="CX33" i="3"/>
  <c r="CX18" i="3"/>
  <c r="CX4" i="3"/>
  <c r="CV4" i="3"/>
  <c r="U30" i="1" s="1"/>
  <c r="G67" i="7" s="1"/>
  <c r="CX14" i="3"/>
  <c r="CX10" i="3"/>
  <c r="CX73" i="3"/>
  <c r="CX60" i="3"/>
  <c r="CX15" i="3"/>
  <c r="CX11" i="3"/>
  <c r="CW124" i="3"/>
  <c r="CV113" i="3"/>
  <c r="CX65" i="3"/>
  <c r="CW125" i="3"/>
  <c r="V117" i="1" s="1"/>
  <c r="G344" i="7" s="1"/>
  <c r="CX116" i="3"/>
  <c r="CX61" i="3"/>
  <c r="CW56" i="3"/>
  <c r="CX56" i="3"/>
  <c r="CX51" i="3"/>
  <c r="CX48" i="3"/>
  <c r="CW36" i="3"/>
  <c r="CX36" i="3"/>
  <c r="CX20" i="3"/>
  <c r="CX26" i="3"/>
  <c r="CX13" i="3"/>
  <c r="CV8" i="3"/>
  <c r="U33" i="1" s="1"/>
  <c r="G87" i="7" s="1"/>
  <c r="CX8" i="3"/>
  <c r="CX29" i="3"/>
  <c r="CW9" i="3"/>
  <c r="V33" i="1" s="1"/>
  <c r="G90" i="7" s="1"/>
  <c r="CX54" i="3"/>
  <c r="O36" i="1" l="1"/>
  <c r="GM36" i="1" s="1"/>
  <c r="GO36" i="1" s="1"/>
  <c r="L122" i="7"/>
  <c r="O72" i="1"/>
  <c r="GM72" i="1" s="1"/>
  <c r="GO72" i="1" s="1"/>
  <c r="L246" i="7"/>
  <c r="O223" i="1"/>
  <c r="GM223" i="1" s="1"/>
  <c r="GO223" i="1" s="1"/>
  <c r="L569" i="7"/>
  <c r="O227" i="1"/>
  <c r="GM227" i="1" s="1"/>
  <c r="GO227" i="1" s="1"/>
  <c r="L587" i="7"/>
  <c r="O78" i="1"/>
  <c r="GM78" i="1" s="1"/>
  <c r="GO78" i="1" s="1"/>
  <c r="L278" i="7"/>
  <c r="O81" i="1"/>
  <c r="GM81" i="1" s="1"/>
  <c r="GO81" i="1" s="1"/>
  <c r="L300" i="7"/>
  <c r="O50" i="1"/>
  <c r="GM50" i="1" s="1"/>
  <c r="GO50" i="1" s="1"/>
  <c r="L171" i="7"/>
  <c r="O65" i="1"/>
  <c r="GM65" i="1" s="1"/>
  <c r="GO65" i="1" s="1"/>
  <c r="L227" i="7"/>
  <c r="O61" i="1"/>
  <c r="GM61" i="1" s="1"/>
  <c r="GO61" i="1" s="1"/>
  <c r="L210" i="7"/>
  <c r="O232" i="1"/>
  <c r="GM232" i="1" s="1"/>
  <c r="GO232" i="1" s="1"/>
  <c r="L610" i="7"/>
  <c r="O236" i="1"/>
  <c r="GM236" i="1" s="1"/>
  <c r="GO236" i="1" s="1"/>
  <c r="L630" i="7"/>
  <c r="O42" i="1"/>
  <c r="GM42" i="1" s="1"/>
  <c r="GO42" i="1" s="1"/>
  <c r="L150" i="7"/>
  <c r="O55" i="1"/>
  <c r="GM55" i="1" s="1"/>
  <c r="GO55" i="1" s="1"/>
  <c r="L189" i="7"/>
  <c r="O34" i="1"/>
  <c r="GM34" i="1" s="1"/>
  <c r="GO34" i="1" s="1"/>
  <c r="L107" i="7"/>
  <c r="O213" i="1"/>
  <c r="GM213" i="1" s="1"/>
  <c r="GO213" i="1" s="1"/>
  <c r="L525" i="7"/>
  <c r="L739" i="7"/>
  <c r="L737" i="7"/>
  <c r="L484" i="7"/>
  <c r="L482" i="7" s="1"/>
  <c r="L458" i="7"/>
  <c r="L496" i="7"/>
  <c r="L793" i="7"/>
  <c r="L791" i="7" s="1"/>
  <c r="L802" i="7"/>
  <c r="L529" i="7"/>
  <c r="L746" i="7"/>
  <c r="L734" i="7"/>
  <c r="L844" i="7"/>
  <c r="L298" i="7"/>
  <c r="L658" i="7"/>
  <c r="L846" i="7"/>
  <c r="L660" i="7"/>
  <c r="L320" i="7"/>
  <c r="L770" i="7"/>
  <c r="L768" i="7" s="1"/>
  <c r="L853" i="7"/>
  <c r="L782" i="7"/>
  <c r="K39" i="7"/>
  <c r="L308" i="7"/>
  <c r="L841" i="7"/>
  <c r="L61" i="7"/>
  <c r="L416" i="7"/>
  <c r="L356" i="7"/>
  <c r="L404" i="7"/>
  <c r="L402" i="7" s="1"/>
  <c r="AU83" i="1"/>
  <c r="AQ256" i="1"/>
  <c r="F266" i="1" s="1"/>
  <c r="CG178" i="1"/>
  <c r="CI83" i="1"/>
  <c r="CI26" i="1" s="1"/>
  <c r="CG256" i="1"/>
  <c r="AX256" i="1" s="1"/>
  <c r="BZ210" i="1"/>
  <c r="BA132" i="1"/>
  <c r="CJ115" i="1"/>
  <c r="DI61" i="3"/>
  <c r="DH61" i="3"/>
  <c r="DF61" i="3"/>
  <c r="DJ61" i="3" s="1"/>
  <c r="DG61" i="3"/>
  <c r="DH12" i="3"/>
  <c r="DG12" i="3"/>
  <c r="DI12" i="3"/>
  <c r="DF12" i="3"/>
  <c r="DJ12" i="3" s="1"/>
  <c r="DI116" i="3"/>
  <c r="DG116" i="3"/>
  <c r="DF116" i="3"/>
  <c r="DJ116" i="3" s="1"/>
  <c r="DH116" i="3"/>
  <c r="DG80" i="3"/>
  <c r="DH80" i="3"/>
  <c r="DF80" i="3"/>
  <c r="DJ80" i="3" s="1"/>
  <c r="DI80" i="3"/>
  <c r="DF95" i="3"/>
  <c r="DG95" i="3"/>
  <c r="DJ95" i="3" s="1"/>
  <c r="DI95" i="3"/>
  <c r="DH95" i="3"/>
  <c r="DF173" i="3"/>
  <c r="DH173" i="3"/>
  <c r="DI173" i="3"/>
  <c r="DG173" i="3"/>
  <c r="DF59" i="3"/>
  <c r="DJ59" i="3" s="1"/>
  <c r="DH59" i="3"/>
  <c r="DI59" i="3"/>
  <c r="DG59" i="3"/>
  <c r="DI119" i="3"/>
  <c r="DG119" i="3"/>
  <c r="DH119" i="3"/>
  <c r="DF119" i="3"/>
  <c r="DJ119" i="3" s="1"/>
  <c r="DF96" i="3"/>
  <c r="DJ96" i="3" s="1"/>
  <c r="DH96" i="3"/>
  <c r="DG96" i="3"/>
  <c r="DI96" i="3"/>
  <c r="DI161" i="3"/>
  <c r="DF161" i="3"/>
  <c r="DJ161" i="3" s="1"/>
  <c r="DG161" i="3"/>
  <c r="DH161" i="3"/>
  <c r="DF215" i="3"/>
  <c r="DG215" i="3"/>
  <c r="DJ215" i="3" s="1"/>
  <c r="DI215" i="3"/>
  <c r="DH215" i="3"/>
  <c r="DF105" i="3"/>
  <c r="DJ105" i="3" s="1"/>
  <c r="DI105" i="3"/>
  <c r="DG105" i="3"/>
  <c r="DH105" i="3"/>
  <c r="DG149" i="3"/>
  <c r="DF149" i="3"/>
  <c r="DH149" i="3"/>
  <c r="DI149" i="3"/>
  <c r="DG27" i="3"/>
  <c r="DF27" i="3"/>
  <c r="DJ27" i="3" s="1"/>
  <c r="DH27" i="3"/>
  <c r="DI27" i="3"/>
  <c r="DI102" i="3"/>
  <c r="DH102" i="3"/>
  <c r="DG102" i="3"/>
  <c r="DF102" i="3"/>
  <c r="DJ102" i="3" s="1"/>
  <c r="DF241" i="3"/>
  <c r="DJ241" i="3" s="1"/>
  <c r="DG241" i="3"/>
  <c r="DH241" i="3"/>
  <c r="DI241" i="3"/>
  <c r="DF58" i="3"/>
  <c r="DJ58" i="3" s="1"/>
  <c r="DG58" i="3"/>
  <c r="DH58" i="3"/>
  <c r="DI58" i="3"/>
  <c r="DF113" i="3"/>
  <c r="DH113" i="3"/>
  <c r="DG113" i="3"/>
  <c r="DI113" i="3"/>
  <c r="DJ113" i="3" s="1"/>
  <c r="DF144" i="3"/>
  <c r="DI144" i="3"/>
  <c r="DG144" i="3"/>
  <c r="DH144" i="3"/>
  <c r="GM53" i="1"/>
  <c r="GO53" i="1" s="1"/>
  <c r="R62" i="1"/>
  <c r="P71" i="1"/>
  <c r="CP71" i="1" s="1"/>
  <c r="O71" i="1" s="1"/>
  <c r="S71" i="1"/>
  <c r="U71" i="1"/>
  <c r="GX71" i="1"/>
  <c r="GX60" i="1"/>
  <c r="DG129" i="3"/>
  <c r="DF129" i="3"/>
  <c r="DJ129" i="3" s="1"/>
  <c r="DH129" i="3"/>
  <c r="DI129" i="3"/>
  <c r="AU26" i="1"/>
  <c r="F102" i="1"/>
  <c r="CZ168" i="1"/>
  <c r="Y168" i="1" s="1"/>
  <c r="CY168" i="1"/>
  <c r="X168" i="1" s="1"/>
  <c r="AU132" i="1"/>
  <c r="CD115" i="1"/>
  <c r="CP123" i="1"/>
  <c r="O123" i="1" s="1"/>
  <c r="AT132" i="1"/>
  <c r="CC115" i="1"/>
  <c r="CY170" i="1"/>
  <c r="X170" i="1" s="1"/>
  <c r="CZ170" i="1"/>
  <c r="Y170" i="1" s="1"/>
  <c r="DG205" i="3"/>
  <c r="DF205" i="3"/>
  <c r="DH205" i="3"/>
  <c r="DI205" i="3"/>
  <c r="DJ205" i="3" s="1"/>
  <c r="DG225" i="3"/>
  <c r="DI225" i="3"/>
  <c r="DF225" i="3"/>
  <c r="DJ225" i="3" s="1"/>
  <c r="DH225" i="3"/>
  <c r="BZ164" i="1"/>
  <c r="AQ178" i="1"/>
  <c r="DG239" i="3"/>
  <c r="DH239" i="3"/>
  <c r="DI239" i="3"/>
  <c r="DF239" i="3"/>
  <c r="DJ239" i="3" s="1"/>
  <c r="DG228" i="3"/>
  <c r="DF228" i="3"/>
  <c r="DH228" i="3"/>
  <c r="DI228" i="3"/>
  <c r="V214" i="1"/>
  <c r="P214" i="1"/>
  <c r="S214" i="1"/>
  <c r="W214" i="1"/>
  <c r="T250" i="1"/>
  <c r="GX247" i="1"/>
  <c r="W224" i="1"/>
  <c r="CI210" i="1"/>
  <c r="AZ256" i="1"/>
  <c r="GM233" i="1"/>
  <c r="GO233" i="1" s="1"/>
  <c r="S247" i="1"/>
  <c r="DG49" i="3"/>
  <c r="DF49" i="3"/>
  <c r="DJ49" i="3" s="1"/>
  <c r="DH49" i="3"/>
  <c r="DI49" i="3"/>
  <c r="DF9" i="3"/>
  <c r="DG9" i="3"/>
  <c r="DH9" i="3"/>
  <c r="DI9" i="3"/>
  <c r="DI73" i="3"/>
  <c r="DH73" i="3"/>
  <c r="DF73" i="3"/>
  <c r="DJ73" i="3" s="1"/>
  <c r="DG73" i="3"/>
  <c r="DF29" i="3"/>
  <c r="DJ29" i="3" s="1"/>
  <c r="DH29" i="3"/>
  <c r="DI29" i="3"/>
  <c r="DG29" i="3"/>
  <c r="DG8" i="3"/>
  <c r="DF8" i="3"/>
  <c r="DH8" i="3"/>
  <c r="DI8" i="3"/>
  <c r="DF4" i="3"/>
  <c r="P30" i="1" s="1"/>
  <c r="DG4" i="3"/>
  <c r="DH4" i="3"/>
  <c r="DI4" i="3"/>
  <c r="DF64" i="3"/>
  <c r="DG64" i="3"/>
  <c r="DH64" i="3"/>
  <c r="DI64" i="3"/>
  <c r="DG194" i="3"/>
  <c r="DH194" i="3"/>
  <c r="DF194" i="3"/>
  <c r="DI194" i="3"/>
  <c r="DG18" i="3"/>
  <c r="DH18" i="3"/>
  <c r="DI18" i="3"/>
  <c r="DF18" i="3"/>
  <c r="DJ18" i="3" s="1"/>
  <c r="DG13" i="3"/>
  <c r="DF13" i="3"/>
  <c r="DJ13" i="3" s="1"/>
  <c r="DH13" i="3"/>
  <c r="DI13" i="3"/>
  <c r="DI65" i="3"/>
  <c r="DJ65" i="3" s="1"/>
  <c r="DF65" i="3"/>
  <c r="DG65" i="3"/>
  <c r="DH65" i="3"/>
  <c r="DF33" i="3"/>
  <c r="DG33" i="3"/>
  <c r="DJ33" i="3" s="1"/>
  <c r="DH33" i="3"/>
  <c r="DI33" i="3"/>
  <c r="DF168" i="3"/>
  <c r="DJ168" i="3" s="1"/>
  <c r="DG168" i="3"/>
  <c r="DH168" i="3"/>
  <c r="DI168" i="3"/>
  <c r="DI35" i="3"/>
  <c r="DJ35" i="3" s="1"/>
  <c r="DH35" i="3"/>
  <c r="DF35" i="3"/>
  <c r="DG35" i="3"/>
  <c r="DG108" i="3"/>
  <c r="DF108" i="3"/>
  <c r="DJ108" i="3" s="1"/>
  <c r="DH108" i="3"/>
  <c r="DI108" i="3"/>
  <c r="DG139" i="3"/>
  <c r="DI139" i="3"/>
  <c r="DF139" i="3"/>
  <c r="DH139" i="3"/>
  <c r="DG170" i="3"/>
  <c r="DH170" i="3"/>
  <c r="DF170" i="3"/>
  <c r="DI170" i="3"/>
  <c r="DJ170" i="3" s="1"/>
  <c r="DI189" i="3"/>
  <c r="DF189" i="3"/>
  <c r="DJ189" i="3" s="1"/>
  <c r="DH189" i="3"/>
  <c r="DG189" i="3"/>
  <c r="DI115" i="3"/>
  <c r="DF115" i="3"/>
  <c r="DH115" i="3"/>
  <c r="DG115" i="3"/>
  <c r="DF21" i="3"/>
  <c r="DJ21" i="3" s="1"/>
  <c r="DG21" i="3"/>
  <c r="DH21" i="3"/>
  <c r="DI21" i="3"/>
  <c r="DI34" i="3"/>
  <c r="DH34" i="3"/>
  <c r="DF34" i="3"/>
  <c r="DG34" i="3"/>
  <c r="DH204" i="3"/>
  <c r="DF204" i="3"/>
  <c r="P235" i="1" s="1"/>
  <c r="DG204" i="3"/>
  <c r="DI204" i="3"/>
  <c r="DF159" i="3"/>
  <c r="DH159" i="3"/>
  <c r="DG159" i="3"/>
  <c r="DJ159" i="3" s="1"/>
  <c r="DI159" i="3"/>
  <c r="DG110" i="3"/>
  <c r="DH110" i="3"/>
  <c r="DF110" i="3"/>
  <c r="DJ110" i="3" s="1"/>
  <c r="DI110" i="3"/>
  <c r="DH236" i="3"/>
  <c r="DF236" i="3"/>
  <c r="DG236" i="3"/>
  <c r="DI236" i="3"/>
  <c r="DJ236" i="3" s="1"/>
  <c r="DG57" i="3"/>
  <c r="DF57" i="3"/>
  <c r="DH57" i="3"/>
  <c r="DI57" i="3"/>
  <c r="DG84" i="3"/>
  <c r="DH84" i="3"/>
  <c r="DI84" i="3"/>
  <c r="DF84" i="3"/>
  <c r="DJ84" i="3" s="1"/>
  <c r="CY57" i="1"/>
  <c r="X57" i="1" s="1"/>
  <c r="GM57" i="1" s="1"/>
  <c r="GO57" i="1" s="1"/>
  <c r="CZ57" i="1"/>
  <c r="Y57" i="1" s="1"/>
  <c r="DI127" i="3"/>
  <c r="DF127" i="3"/>
  <c r="DJ127" i="3" s="1"/>
  <c r="DG127" i="3"/>
  <c r="DH127" i="3"/>
  <c r="GM125" i="1"/>
  <c r="GN125" i="1" s="1"/>
  <c r="F203" i="1"/>
  <c r="BD164" i="1"/>
  <c r="BD115" i="1"/>
  <c r="F157" i="1"/>
  <c r="CY120" i="1"/>
  <c r="X120" i="1" s="1"/>
  <c r="CZ120" i="1"/>
  <c r="Y120" i="1" s="1"/>
  <c r="DH211" i="3"/>
  <c r="DI211" i="3"/>
  <c r="DF211" i="3"/>
  <c r="DJ211" i="3" s="1"/>
  <c r="DG211" i="3"/>
  <c r="DG220" i="3"/>
  <c r="DF220" i="3"/>
  <c r="DH220" i="3"/>
  <c r="DI220" i="3"/>
  <c r="DG217" i="3"/>
  <c r="DF217" i="3"/>
  <c r="DJ217" i="3" s="1"/>
  <c r="DH217" i="3"/>
  <c r="DI217" i="3"/>
  <c r="CG164" i="1"/>
  <c r="AX178" i="1"/>
  <c r="DI157" i="3"/>
  <c r="DF157" i="3"/>
  <c r="DH157" i="3"/>
  <c r="DG157" i="3"/>
  <c r="DI235" i="3"/>
  <c r="DF235" i="3"/>
  <c r="DG235" i="3"/>
  <c r="DH235" i="3"/>
  <c r="DF231" i="3"/>
  <c r="DJ231" i="3" s="1"/>
  <c r="DG231" i="3"/>
  <c r="DH231" i="3"/>
  <c r="DI231" i="3"/>
  <c r="DF164" i="3"/>
  <c r="DG164" i="3"/>
  <c r="DH164" i="3"/>
  <c r="DI164" i="3"/>
  <c r="GM249" i="1"/>
  <c r="GN249" i="1" s="1"/>
  <c r="GX250" i="1"/>
  <c r="CD210" i="1"/>
  <c r="AU256" i="1"/>
  <c r="DI148" i="3"/>
  <c r="DF148" i="3"/>
  <c r="DG148" i="3"/>
  <c r="DJ148" i="3" s="1"/>
  <c r="DH148" i="3"/>
  <c r="DI85" i="3"/>
  <c r="DG85" i="3"/>
  <c r="DF85" i="3"/>
  <c r="DJ85" i="3" s="1"/>
  <c r="DH85" i="3"/>
  <c r="DI93" i="3"/>
  <c r="DH93" i="3"/>
  <c r="DF93" i="3"/>
  <c r="DJ93" i="3" s="1"/>
  <c r="DG93" i="3"/>
  <c r="DH128" i="3"/>
  <c r="DF128" i="3"/>
  <c r="DJ128" i="3" s="1"/>
  <c r="DG128" i="3"/>
  <c r="DI128" i="3"/>
  <c r="AZ132" i="1"/>
  <c r="CI115" i="1"/>
  <c r="R172" i="1"/>
  <c r="S172" i="1"/>
  <c r="GX172" i="1"/>
  <c r="V172" i="1"/>
  <c r="DF200" i="3"/>
  <c r="DJ200" i="3" s="1"/>
  <c r="DG200" i="3"/>
  <c r="DH200" i="3"/>
  <c r="DI200" i="3"/>
  <c r="DH206" i="3"/>
  <c r="DI206" i="3"/>
  <c r="DF206" i="3"/>
  <c r="DG206" i="3"/>
  <c r="CZ220" i="1"/>
  <c r="Y220" i="1" s="1"/>
  <c r="CY220" i="1"/>
  <c r="X220" i="1" s="1"/>
  <c r="DH221" i="3"/>
  <c r="DI221" i="3"/>
  <c r="DF221" i="3"/>
  <c r="DG221" i="3"/>
  <c r="DJ221" i="3" s="1"/>
  <c r="CI164" i="1"/>
  <c r="AZ178" i="1"/>
  <c r="DF230" i="3"/>
  <c r="DJ230" i="3" s="1"/>
  <c r="DG230" i="3"/>
  <c r="DH230" i="3"/>
  <c r="DI230" i="3"/>
  <c r="DI165" i="3"/>
  <c r="DG165" i="3"/>
  <c r="DF165" i="3"/>
  <c r="DJ165" i="3" s="1"/>
  <c r="DH165" i="3"/>
  <c r="AP210" i="1"/>
  <c r="F265" i="1"/>
  <c r="AP286" i="1"/>
  <c r="DH158" i="3"/>
  <c r="DF158" i="3"/>
  <c r="DG158" i="3"/>
  <c r="DI158" i="3"/>
  <c r="DJ158" i="3" s="1"/>
  <c r="DG104" i="3"/>
  <c r="DI104" i="3"/>
  <c r="DF104" i="3"/>
  <c r="DJ104" i="3" s="1"/>
  <c r="DH104" i="3"/>
  <c r="DI87" i="3"/>
  <c r="DJ87" i="3" s="1"/>
  <c r="DF87" i="3"/>
  <c r="DG87" i="3"/>
  <c r="DH87" i="3"/>
  <c r="DG6" i="3"/>
  <c r="DJ6" i="3" s="1"/>
  <c r="DF6" i="3"/>
  <c r="DI6" i="3"/>
  <c r="DH6" i="3"/>
  <c r="DH190" i="3"/>
  <c r="DF190" i="3"/>
  <c r="DJ190" i="3" s="1"/>
  <c r="DI190" i="3"/>
  <c r="DG190" i="3"/>
  <c r="DG154" i="3"/>
  <c r="DH154" i="3"/>
  <c r="DF154" i="3"/>
  <c r="DJ154" i="3" s="1"/>
  <c r="DI154" i="3"/>
  <c r="DF207" i="3"/>
  <c r="DG207" i="3"/>
  <c r="DI207" i="3"/>
  <c r="DH207" i="3"/>
  <c r="DH212" i="3"/>
  <c r="DF212" i="3"/>
  <c r="DG212" i="3"/>
  <c r="DI212" i="3"/>
  <c r="DI23" i="3"/>
  <c r="DF23" i="3"/>
  <c r="DJ23" i="3" s="1"/>
  <c r="DG23" i="3"/>
  <c r="DH23" i="3"/>
  <c r="DF41" i="3"/>
  <c r="DJ41" i="3" s="1"/>
  <c r="DH41" i="3"/>
  <c r="DG41" i="3"/>
  <c r="DI41" i="3"/>
  <c r="DG32" i="3"/>
  <c r="DF32" i="3"/>
  <c r="DH32" i="3"/>
  <c r="DI32" i="3"/>
  <c r="DJ32" i="3" s="1"/>
  <c r="DF163" i="3"/>
  <c r="DH163" i="3"/>
  <c r="DG163" i="3"/>
  <c r="DI163" i="3"/>
  <c r="DJ163" i="3" s="1"/>
  <c r="W37" i="1"/>
  <c r="DI78" i="3"/>
  <c r="DG78" i="3"/>
  <c r="DH78" i="3"/>
  <c r="DF78" i="3"/>
  <c r="DJ78" i="3" s="1"/>
  <c r="DH117" i="3"/>
  <c r="DI117" i="3"/>
  <c r="DF117" i="3"/>
  <c r="DJ117" i="3" s="1"/>
  <c r="DG117" i="3"/>
  <c r="Q60" i="1"/>
  <c r="R60" i="1"/>
  <c r="W60" i="1"/>
  <c r="DF86" i="3"/>
  <c r="DI86" i="3"/>
  <c r="DG86" i="3"/>
  <c r="DH86" i="3"/>
  <c r="R74" i="1"/>
  <c r="CY74" i="1" s="1"/>
  <c r="X74" i="1" s="1"/>
  <c r="DH124" i="3"/>
  <c r="DI124" i="3"/>
  <c r="DF124" i="3"/>
  <c r="DG124" i="3"/>
  <c r="CZ171" i="1"/>
  <c r="Y171" i="1" s="1"/>
  <c r="CY171" i="1"/>
  <c r="X171" i="1" s="1"/>
  <c r="Q167" i="1"/>
  <c r="U167" i="1"/>
  <c r="AH178" i="1" s="1"/>
  <c r="GM170" i="1"/>
  <c r="GN170" i="1" s="1"/>
  <c r="S169" i="1"/>
  <c r="GX169" i="1"/>
  <c r="R169" i="1"/>
  <c r="DH169" i="3"/>
  <c r="DI169" i="3"/>
  <c r="DF169" i="3"/>
  <c r="DG169" i="3"/>
  <c r="V80" i="1"/>
  <c r="DG209" i="3"/>
  <c r="DF209" i="3"/>
  <c r="DJ209" i="3" s="1"/>
  <c r="DH209" i="3"/>
  <c r="DI209" i="3"/>
  <c r="DG222" i="3"/>
  <c r="DH222" i="3"/>
  <c r="DF222" i="3"/>
  <c r="DJ222" i="3" s="1"/>
  <c r="DI222" i="3"/>
  <c r="DG213" i="3"/>
  <c r="DI213" i="3"/>
  <c r="DJ213" i="3" s="1"/>
  <c r="DF213" i="3"/>
  <c r="DH213" i="3"/>
  <c r="CP234" i="1"/>
  <c r="O234" i="1" s="1"/>
  <c r="GM234" i="1" s="1"/>
  <c r="GO234" i="1" s="1"/>
  <c r="CP219" i="1"/>
  <c r="O219" i="1" s="1"/>
  <c r="DI229" i="3"/>
  <c r="DF229" i="3"/>
  <c r="DG229" i="3"/>
  <c r="DJ229" i="3" s="1"/>
  <c r="DH229" i="3"/>
  <c r="BB22" i="1"/>
  <c r="BB316" i="1"/>
  <c r="F299" i="1"/>
  <c r="DH166" i="3"/>
  <c r="DG166" i="3"/>
  <c r="DI166" i="3"/>
  <c r="DF166" i="3"/>
  <c r="DJ166" i="3" s="1"/>
  <c r="CP237" i="1"/>
  <c r="O237" i="1" s="1"/>
  <c r="P247" i="1"/>
  <c r="DH36" i="3"/>
  <c r="DG36" i="3"/>
  <c r="DI36" i="3"/>
  <c r="DF36" i="3"/>
  <c r="DF208" i="3"/>
  <c r="DJ208" i="3" s="1"/>
  <c r="DH208" i="3"/>
  <c r="DG208" i="3"/>
  <c r="DI208" i="3"/>
  <c r="DI202" i="3"/>
  <c r="DG202" i="3"/>
  <c r="DH202" i="3"/>
  <c r="DF202" i="3"/>
  <c r="DJ202" i="3" s="1"/>
  <c r="DG226" i="3"/>
  <c r="Q246" i="1" s="1"/>
  <c r="DH226" i="3"/>
  <c r="DF226" i="3"/>
  <c r="P246" i="1" s="1"/>
  <c r="DI226" i="3"/>
  <c r="DF22" i="3"/>
  <c r="DJ22" i="3" s="1"/>
  <c r="DG22" i="3"/>
  <c r="DH22" i="3"/>
  <c r="DI22" i="3"/>
  <c r="DG40" i="3"/>
  <c r="DH40" i="3"/>
  <c r="DF40" i="3"/>
  <c r="DJ40" i="3" s="1"/>
  <c r="DI40" i="3"/>
  <c r="DH31" i="3"/>
  <c r="R38" i="1" s="1"/>
  <c r="DF31" i="3"/>
  <c r="DG31" i="3"/>
  <c r="Q38" i="1" s="1"/>
  <c r="DI31" i="3"/>
  <c r="DF180" i="3"/>
  <c r="DJ180" i="3" s="1"/>
  <c r="DH180" i="3"/>
  <c r="DG180" i="3"/>
  <c r="DI180" i="3"/>
  <c r="DF24" i="3"/>
  <c r="DH24" i="3"/>
  <c r="DI24" i="3"/>
  <c r="DG24" i="3"/>
  <c r="CY47" i="1"/>
  <c r="X47" i="1" s="1"/>
  <c r="CZ47" i="1"/>
  <c r="Y47" i="1" s="1"/>
  <c r="DF98" i="3"/>
  <c r="DJ98" i="3" s="1"/>
  <c r="DH98" i="3"/>
  <c r="DI98" i="3"/>
  <c r="DG98" i="3"/>
  <c r="T37" i="1"/>
  <c r="AG83" i="1" s="1"/>
  <c r="DH79" i="3"/>
  <c r="DI79" i="3"/>
  <c r="DF79" i="3"/>
  <c r="DJ79" i="3" s="1"/>
  <c r="DG79" i="3"/>
  <c r="DG186" i="3"/>
  <c r="DH186" i="3"/>
  <c r="DI186" i="3"/>
  <c r="DJ186" i="3" s="1"/>
  <c r="DF186" i="3"/>
  <c r="CP73" i="1"/>
  <c r="O73" i="1" s="1"/>
  <c r="P62" i="1"/>
  <c r="U62" i="1"/>
  <c r="DH92" i="3"/>
  <c r="DI92" i="3"/>
  <c r="DF92" i="3"/>
  <c r="DJ92" i="3" s="1"/>
  <c r="DG92" i="3"/>
  <c r="Q59" i="1"/>
  <c r="DF123" i="3"/>
  <c r="DG123" i="3"/>
  <c r="DH123" i="3"/>
  <c r="DI123" i="3"/>
  <c r="DJ123" i="3" s="1"/>
  <c r="DG174" i="3"/>
  <c r="DH174" i="3"/>
  <c r="DF174" i="3"/>
  <c r="DI174" i="3"/>
  <c r="DJ174" i="3" s="1"/>
  <c r="Q169" i="1"/>
  <c r="CY126" i="1"/>
  <c r="X126" i="1" s="1"/>
  <c r="GM126" i="1" s="1"/>
  <c r="GN126" i="1" s="1"/>
  <c r="CZ126" i="1"/>
  <c r="Y126" i="1" s="1"/>
  <c r="DH153" i="3"/>
  <c r="DI153" i="3"/>
  <c r="DG153" i="3"/>
  <c r="DF153" i="3"/>
  <c r="DJ153" i="3" s="1"/>
  <c r="CG26" i="1"/>
  <c r="AX83" i="1"/>
  <c r="DG193" i="3"/>
  <c r="DH193" i="3"/>
  <c r="DF193" i="3"/>
  <c r="DJ193" i="3" s="1"/>
  <c r="DI193" i="3"/>
  <c r="P172" i="1"/>
  <c r="Q172" i="1"/>
  <c r="R167" i="1"/>
  <c r="T224" i="1"/>
  <c r="W247" i="1"/>
  <c r="V250" i="1"/>
  <c r="DI227" i="3"/>
  <c r="DJ227" i="3" s="1"/>
  <c r="DF227" i="3"/>
  <c r="DG227" i="3"/>
  <c r="DH227" i="3"/>
  <c r="DF20" i="3"/>
  <c r="DJ20" i="3" s="1"/>
  <c r="DG20" i="3"/>
  <c r="DH20" i="3"/>
  <c r="DI20" i="3"/>
  <c r="DG90" i="3"/>
  <c r="DH90" i="3"/>
  <c r="DF90" i="3"/>
  <c r="DJ90" i="3" s="1"/>
  <c r="DI90" i="3"/>
  <c r="DG143" i="3"/>
  <c r="DF143" i="3"/>
  <c r="DH143" i="3"/>
  <c r="DI143" i="3"/>
  <c r="DJ143" i="3" s="1"/>
  <c r="DI11" i="3"/>
  <c r="DG11" i="3"/>
  <c r="DH11" i="3"/>
  <c r="DF11" i="3"/>
  <c r="DJ11" i="3" s="1"/>
  <c r="DF187" i="3"/>
  <c r="DH187" i="3"/>
  <c r="DG187" i="3"/>
  <c r="DJ187" i="3" s="1"/>
  <c r="DI187" i="3"/>
  <c r="DI5" i="3"/>
  <c r="DJ5" i="3" s="1"/>
  <c r="DF5" i="3"/>
  <c r="DG5" i="3"/>
  <c r="DH5" i="3"/>
  <c r="DH238" i="3"/>
  <c r="DI238" i="3"/>
  <c r="DF238" i="3"/>
  <c r="DG238" i="3"/>
  <c r="DF82" i="3"/>
  <c r="DJ82" i="3" s="1"/>
  <c r="DG82" i="3"/>
  <c r="DI82" i="3"/>
  <c r="DH82" i="3"/>
  <c r="DH39" i="3"/>
  <c r="DG39" i="3"/>
  <c r="DF39" i="3"/>
  <c r="DJ39" i="3" s="1"/>
  <c r="DI39" i="3"/>
  <c r="DG97" i="3"/>
  <c r="DF97" i="3"/>
  <c r="DJ97" i="3" s="1"/>
  <c r="DH97" i="3"/>
  <c r="DI97" i="3"/>
  <c r="DH214" i="3"/>
  <c r="DI214" i="3"/>
  <c r="DF214" i="3"/>
  <c r="DG214" i="3"/>
  <c r="GM45" i="1"/>
  <c r="GO45" i="1" s="1"/>
  <c r="P59" i="1"/>
  <c r="U59" i="1"/>
  <c r="DI89" i="3"/>
  <c r="DF89" i="3"/>
  <c r="DG89" i="3"/>
  <c r="DJ89" i="3" s="1"/>
  <c r="DH89" i="3"/>
  <c r="CZ73" i="1"/>
  <c r="Y73" i="1" s="1"/>
  <c r="CY73" i="1"/>
  <c r="X73" i="1" s="1"/>
  <c r="DG179" i="3"/>
  <c r="DF179" i="3"/>
  <c r="DJ179" i="3" s="1"/>
  <c r="DH179" i="3"/>
  <c r="DI179" i="3"/>
  <c r="S80" i="1"/>
  <c r="DI172" i="3"/>
  <c r="DG172" i="3"/>
  <c r="Q216" i="1" s="1"/>
  <c r="DH172" i="3"/>
  <c r="R216" i="1" s="1"/>
  <c r="DF172" i="3"/>
  <c r="P216" i="1" s="1"/>
  <c r="DG145" i="3"/>
  <c r="DH145" i="3"/>
  <c r="DI145" i="3"/>
  <c r="DF145" i="3"/>
  <c r="AO26" i="1"/>
  <c r="F87" i="1"/>
  <c r="AO286" i="1"/>
  <c r="DH185" i="3"/>
  <c r="DI185" i="3"/>
  <c r="DF185" i="3"/>
  <c r="DG185" i="3"/>
  <c r="Q225" i="1" s="1"/>
  <c r="CC164" i="1"/>
  <c r="AT178" i="1"/>
  <c r="CY218" i="1"/>
  <c r="X218" i="1" s="1"/>
  <c r="W128" i="1"/>
  <c r="AJ132" i="1" s="1"/>
  <c r="DF233" i="3"/>
  <c r="DJ233" i="3" s="1"/>
  <c r="DG233" i="3"/>
  <c r="DH233" i="3"/>
  <c r="DI233" i="3"/>
  <c r="DF162" i="3"/>
  <c r="DG162" i="3"/>
  <c r="DI162" i="3"/>
  <c r="DH162" i="3"/>
  <c r="CP218" i="1"/>
  <c r="O218" i="1" s="1"/>
  <c r="GM218" i="1" s="1"/>
  <c r="GO218" i="1" s="1"/>
  <c r="DG121" i="3"/>
  <c r="DH121" i="3"/>
  <c r="DF121" i="3"/>
  <c r="DJ121" i="3" s="1"/>
  <c r="DI121" i="3"/>
  <c r="DF223" i="3"/>
  <c r="DJ223" i="3" s="1"/>
  <c r="DG223" i="3"/>
  <c r="DI223" i="3"/>
  <c r="DH223" i="3"/>
  <c r="CY37" i="1"/>
  <c r="X37" i="1" s="1"/>
  <c r="CZ37" i="1"/>
  <c r="Y37" i="1" s="1"/>
  <c r="DG114" i="3"/>
  <c r="DH114" i="3"/>
  <c r="DI114" i="3"/>
  <c r="DJ114" i="3" s="1"/>
  <c r="DF114" i="3"/>
  <c r="U79" i="1"/>
  <c r="G285" i="7" s="1"/>
  <c r="DI15" i="3"/>
  <c r="DG15" i="3"/>
  <c r="DH15" i="3"/>
  <c r="DF15" i="3"/>
  <c r="DJ15" i="3" s="1"/>
  <c r="DF237" i="3"/>
  <c r="DI237" i="3"/>
  <c r="DG237" i="3"/>
  <c r="DJ237" i="3" s="1"/>
  <c r="DH237" i="3"/>
  <c r="DF216" i="3"/>
  <c r="DJ216" i="3" s="1"/>
  <c r="DH216" i="3"/>
  <c r="DG216" i="3"/>
  <c r="DI216" i="3"/>
  <c r="GM46" i="1"/>
  <c r="GO46" i="1" s="1"/>
  <c r="DH48" i="3"/>
  <c r="DF48" i="3"/>
  <c r="DJ48" i="3" s="1"/>
  <c r="DG48" i="3"/>
  <c r="DI48" i="3"/>
  <c r="DF60" i="3"/>
  <c r="DJ60" i="3" s="1"/>
  <c r="DH60" i="3"/>
  <c r="DI60" i="3"/>
  <c r="DG60" i="3"/>
  <c r="DG191" i="3"/>
  <c r="DF191" i="3"/>
  <c r="DJ191" i="3" s="1"/>
  <c r="DH191" i="3"/>
  <c r="DI191" i="3"/>
  <c r="DF234" i="3"/>
  <c r="DJ234" i="3" s="1"/>
  <c r="DG234" i="3"/>
  <c r="DH234" i="3"/>
  <c r="DI234" i="3"/>
  <c r="DI1" i="3"/>
  <c r="DG1" i="3"/>
  <c r="DH1" i="3"/>
  <c r="DF1" i="3"/>
  <c r="DF45" i="3"/>
  <c r="DJ45" i="3" s="1"/>
  <c r="DG45" i="3"/>
  <c r="DH45" i="3"/>
  <c r="DI45" i="3"/>
  <c r="DJ132" i="3"/>
  <c r="DI47" i="3"/>
  <c r="DF47" i="3"/>
  <c r="DJ47" i="3" s="1"/>
  <c r="DG47" i="3"/>
  <c r="DH47" i="3"/>
  <c r="DF178" i="3"/>
  <c r="DJ178" i="3" s="1"/>
  <c r="DH178" i="3"/>
  <c r="DI178" i="3"/>
  <c r="DG178" i="3"/>
  <c r="DH107" i="3"/>
  <c r="DF107" i="3"/>
  <c r="DJ107" i="3" s="1"/>
  <c r="DI107" i="3"/>
  <c r="DG107" i="3"/>
  <c r="DI38" i="3"/>
  <c r="DG38" i="3"/>
  <c r="DF38" i="3"/>
  <c r="DJ38" i="3" s="1"/>
  <c r="DH38" i="3"/>
  <c r="DI72" i="3"/>
  <c r="DH72" i="3"/>
  <c r="DG72" i="3"/>
  <c r="DF72" i="3"/>
  <c r="DJ72" i="3" s="1"/>
  <c r="DF109" i="3"/>
  <c r="DJ109" i="3" s="1"/>
  <c r="DH109" i="3"/>
  <c r="DI109" i="3"/>
  <c r="DG109" i="3"/>
  <c r="DG63" i="3"/>
  <c r="DH63" i="3"/>
  <c r="DI63" i="3"/>
  <c r="DF63" i="3"/>
  <c r="DJ63" i="3" s="1"/>
  <c r="DF81" i="3"/>
  <c r="DJ81" i="3" s="1"/>
  <c r="DG81" i="3"/>
  <c r="DI81" i="3"/>
  <c r="DH81" i="3"/>
  <c r="DH175" i="3"/>
  <c r="DI175" i="3"/>
  <c r="DG175" i="3"/>
  <c r="DJ175" i="3" s="1"/>
  <c r="DF175" i="3"/>
  <c r="W74" i="1"/>
  <c r="DF70" i="3"/>
  <c r="DJ70" i="3" s="1"/>
  <c r="DH70" i="3"/>
  <c r="DG70" i="3"/>
  <c r="DI70" i="3"/>
  <c r="T74" i="1"/>
  <c r="DG176" i="3"/>
  <c r="DH176" i="3"/>
  <c r="DF176" i="3"/>
  <c r="DJ176" i="3" s="1"/>
  <c r="DI176" i="3"/>
  <c r="BC26" i="1"/>
  <c r="F99" i="1"/>
  <c r="BC286" i="1"/>
  <c r="U80" i="1"/>
  <c r="T128" i="1"/>
  <c r="AG132" i="1" s="1"/>
  <c r="DG151" i="3"/>
  <c r="DH151" i="3"/>
  <c r="DI151" i="3"/>
  <c r="DF151" i="3"/>
  <c r="DJ151" i="3" s="1"/>
  <c r="DF195" i="3"/>
  <c r="DG195" i="3"/>
  <c r="DI195" i="3"/>
  <c r="DJ195" i="3" s="1"/>
  <c r="DH195" i="3"/>
  <c r="DF188" i="3"/>
  <c r="DH188" i="3"/>
  <c r="DG188" i="3"/>
  <c r="DJ188" i="3" s="1"/>
  <c r="DI188" i="3"/>
  <c r="T167" i="1"/>
  <c r="CP168" i="1"/>
  <c r="O168" i="1" s="1"/>
  <c r="GM168" i="1" s="1"/>
  <c r="GN168" i="1" s="1"/>
  <c r="CP171" i="1"/>
  <c r="O171" i="1" s="1"/>
  <c r="W250" i="1"/>
  <c r="Q214" i="1"/>
  <c r="AQ210" i="1"/>
  <c r="DF76" i="3"/>
  <c r="DG76" i="3"/>
  <c r="DH76" i="3"/>
  <c r="DI76" i="3"/>
  <c r="DI7" i="3"/>
  <c r="DG7" i="3"/>
  <c r="Q32" i="1" s="1"/>
  <c r="DH7" i="3"/>
  <c r="R32" i="1" s="1"/>
  <c r="DF7" i="3"/>
  <c r="P32" i="1" s="1"/>
  <c r="DH2" i="3"/>
  <c r="DI2" i="3"/>
  <c r="DJ2" i="3" s="1"/>
  <c r="DF2" i="3"/>
  <c r="DG2" i="3"/>
  <c r="DG118" i="3"/>
  <c r="DI118" i="3"/>
  <c r="DF118" i="3"/>
  <c r="DJ118" i="3" s="1"/>
  <c r="DH118" i="3"/>
  <c r="DH103" i="3"/>
  <c r="DI103" i="3"/>
  <c r="DF103" i="3"/>
  <c r="DJ103" i="3" s="1"/>
  <c r="DG103" i="3"/>
  <c r="DI74" i="3"/>
  <c r="DF74" i="3"/>
  <c r="DG74" i="3"/>
  <c r="DH74" i="3"/>
  <c r="DF177" i="3"/>
  <c r="DJ177" i="3" s="1"/>
  <c r="DG177" i="3"/>
  <c r="DI177" i="3"/>
  <c r="DH177" i="3"/>
  <c r="CP167" i="1"/>
  <c r="O167" i="1" s="1"/>
  <c r="DF155" i="3"/>
  <c r="DJ155" i="3" s="1"/>
  <c r="DG155" i="3"/>
  <c r="DI155" i="3"/>
  <c r="DH155" i="3"/>
  <c r="DG196" i="3"/>
  <c r="DJ196" i="3" s="1"/>
  <c r="DI196" i="3"/>
  <c r="DF196" i="3"/>
  <c r="DH196" i="3"/>
  <c r="CY118" i="1"/>
  <c r="X118" i="1" s="1"/>
  <c r="CZ118" i="1"/>
  <c r="Y118" i="1" s="1"/>
  <c r="CZ228" i="1"/>
  <c r="Y228" i="1" s="1"/>
  <c r="CY228" i="1"/>
  <c r="X228" i="1" s="1"/>
  <c r="CZ219" i="1"/>
  <c r="Y219" i="1" s="1"/>
  <c r="CY219" i="1"/>
  <c r="X219" i="1" s="1"/>
  <c r="CP220" i="1"/>
  <c r="O220" i="1" s="1"/>
  <c r="GM220" i="1" s="1"/>
  <c r="GO220" i="1" s="1"/>
  <c r="F197" i="1"/>
  <c r="AU164" i="1"/>
  <c r="CP228" i="1"/>
  <c r="O228" i="1" s="1"/>
  <c r="DG183" i="3"/>
  <c r="DF183" i="3"/>
  <c r="DJ183" i="3" s="1"/>
  <c r="DH183" i="3"/>
  <c r="DI183" i="3"/>
  <c r="DG142" i="3"/>
  <c r="DH142" i="3"/>
  <c r="R129" i="1" s="1"/>
  <c r="DI142" i="3"/>
  <c r="DF142" i="3"/>
  <c r="P129" i="1" s="1"/>
  <c r="DI42" i="3"/>
  <c r="DF42" i="3"/>
  <c r="P44" i="1" s="1"/>
  <c r="DG42" i="3"/>
  <c r="DH42" i="3"/>
  <c r="DF192" i="3"/>
  <c r="DJ192" i="3" s="1"/>
  <c r="DH192" i="3"/>
  <c r="DI192" i="3"/>
  <c r="DG192" i="3"/>
  <c r="DG37" i="3"/>
  <c r="DF37" i="3"/>
  <c r="DJ37" i="3" s="1"/>
  <c r="DH37" i="3"/>
  <c r="DI37" i="3"/>
  <c r="DI77" i="3"/>
  <c r="DF77" i="3"/>
  <c r="DJ77" i="3" s="1"/>
  <c r="DH77" i="3"/>
  <c r="DG77" i="3"/>
  <c r="P37" i="1"/>
  <c r="Q37" i="1"/>
  <c r="GM29" i="1"/>
  <c r="GN29" i="1" s="1"/>
  <c r="W80" i="1"/>
  <c r="GX80" i="1"/>
  <c r="P80" i="1"/>
  <c r="DF69" i="3"/>
  <c r="DJ69" i="3" s="1"/>
  <c r="DG69" i="3"/>
  <c r="DI69" i="3"/>
  <c r="DH69" i="3"/>
  <c r="DI91" i="3"/>
  <c r="DG91" i="3"/>
  <c r="DH91" i="3"/>
  <c r="DF91" i="3"/>
  <c r="DJ91" i="3" s="1"/>
  <c r="CY59" i="1"/>
  <c r="X59" i="1" s="1"/>
  <c r="Q80" i="1"/>
  <c r="DI54" i="3"/>
  <c r="DH54" i="3"/>
  <c r="DF54" i="3"/>
  <c r="DG54" i="3"/>
  <c r="DI56" i="3"/>
  <c r="DG56" i="3"/>
  <c r="DF56" i="3"/>
  <c r="DH56" i="3"/>
  <c r="DI10" i="3"/>
  <c r="DF10" i="3"/>
  <c r="DJ10" i="3" s="1"/>
  <c r="DH10" i="3"/>
  <c r="DG10" i="3"/>
  <c r="DF171" i="3"/>
  <c r="DH171" i="3"/>
  <c r="DG171" i="3"/>
  <c r="DJ171" i="3" s="1"/>
  <c r="DI171" i="3"/>
  <c r="DG44" i="3"/>
  <c r="DJ44" i="3" s="1"/>
  <c r="DH44" i="3"/>
  <c r="DI44" i="3"/>
  <c r="DF44" i="3"/>
  <c r="DF3" i="3"/>
  <c r="DG3" i="3"/>
  <c r="DJ3" i="3" s="1"/>
  <c r="DH3" i="3"/>
  <c r="DI3" i="3"/>
  <c r="DF126" i="3"/>
  <c r="DJ126" i="3" s="1"/>
  <c r="DG126" i="3"/>
  <c r="DI126" i="3"/>
  <c r="DH126" i="3"/>
  <c r="DI201" i="3"/>
  <c r="DF201" i="3"/>
  <c r="DJ201" i="3" s="1"/>
  <c r="DG201" i="3"/>
  <c r="DH201" i="3"/>
  <c r="DG147" i="3"/>
  <c r="DH147" i="3"/>
  <c r="DI147" i="3"/>
  <c r="DF147" i="3"/>
  <c r="DI152" i="3"/>
  <c r="DF152" i="3"/>
  <c r="DJ152" i="3" s="1"/>
  <c r="DG152" i="3"/>
  <c r="DH152" i="3"/>
  <c r="V37" i="1"/>
  <c r="AI83" i="1" s="1"/>
  <c r="DI25" i="3"/>
  <c r="DJ25" i="3" s="1"/>
  <c r="DH25" i="3"/>
  <c r="DF25" i="3"/>
  <c r="DG25" i="3"/>
  <c r="DF94" i="3"/>
  <c r="DG94" i="3"/>
  <c r="DH94" i="3"/>
  <c r="DI94" i="3"/>
  <c r="DH62" i="3"/>
  <c r="DI62" i="3"/>
  <c r="DF62" i="3"/>
  <c r="DJ62" i="3" s="1"/>
  <c r="DG62" i="3"/>
  <c r="DH75" i="3"/>
  <c r="DF75" i="3"/>
  <c r="DI75" i="3"/>
  <c r="DJ75" i="3" s="1"/>
  <c r="DG75" i="3"/>
  <c r="GM31" i="1"/>
  <c r="GN31" i="1" s="1"/>
  <c r="GM56" i="1"/>
  <c r="GO56" i="1" s="1"/>
  <c r="Q62" i="1"/>
  <c r="DF68" i="3"/>
  <c r="DJ68" i="3" s="1"/>
  <c r="DG68" i="3"/>
  <c r="DI68" i="3"/>
  <c r="DH68" i="3"/>
  <c r="R59" i="1"/>
  <c r="CZ59" i="1" s="1"/>
  <c r="Y59" i="1" s="1"/>
  <c r="S60" i="1"/>
  <c r="DH182" i="3"/>
  <c r="DI182" i="3"/>
  <c r="DF182" i="3"/>
  <c r="DJ182" i="3" s="1"/>
  <c r="DG182" i="3"/>
  <c r="U221" i="1"/>
  <c r="W221" i="1"/>
  <c r="AJ256" i="1" s="1"/>
  <c r="R221" i="1"/>
  <c r="CP221" i="1" s="1"/>
  <c r="O221" i="1" s="1"/>
  <c r="GM221" i="1" s="1"/>
  <c r="GO221" i="1" s="1"/>
  <c r="V221" i="1"/>
  <c r="GX167" i="1"/>
  <c r="CJ178" i="1" s="1"/>
  <c r="V62" i="1"/>
  <c r="DF146" i="3"/>
  <c r="DG146" i="3"/>
  <c r="DI146" i="3"/>
  <c r="DJ146" i="3" s="1"/>
  <c r="DH146" i="3"/>
  <c r="DI197" i="3"/>
  <c r="DG197" i="3"/>
  <c r="DJ197" i="3" s="1"/>
  <c r="DH197" i="3"/>
  <c r="DF197" i="3"/>
  <c r="CY123" i="1"/>
  <c r="X123" i="1" s="1"/>
  <c r="CZ123" i="1"/>
  <c r="Y123" i="1" s="1"/>
  <c r="P169" i="1"/>
  <c r="CP169" i="1" s="1"/>
  <c r="O169" i="1" s="1"/>
  <c r="S128" i="1"/>
  <c r="CP222" i="1"/>
  <c r="O222" i="1" s="1"/>
  <c r="GM222" i="1" s="1"/>
  <c r="GO222" i="1" s="1"/>
  <c r="F260" i="1"/>
  <c r="AO210" i="1"/>
  <c r="P176" i="1"/>
  <c r="S176" i="1"/>
  <c r="V176" i="1"/>
  <c r="GM243" i="1"/>
  <c r="GN243" i="1" s="1"/>
  <c r="GM229" i="1"/>
  <c r="GO229" i="1" s="1"/>
  <c r="GX221" i="1"/>
  <c r="DG167" i="3"/>
  <c r="DI167" i="3"/>
  <c r="DF167" i="3"/>
  <c r="DJ167" i="3" s="1"/>
  <c r="DH167" i="3"/>
  <c r="DF14" i="3"/>
  <c r="DJ14" i="3" s="1"/>
  <c r="DI14" i="3"/>
  <c r="DG14" i="3"/>
  <c r="DH14" i="3"/>
  <c r="DI71" i="3"/>
  <c r="DF71" i="3"/>
  <c r="DJ71" i="3" s="1"/>
  <c r="DH71" i="3"/>
  <c r="DG71" i="3"/>
  <c r="DG199" i="3"/>
  <c r="DI199" i="3"/>
  <c r="DF199" i="3"/>
  <c r="DJ199" i="3" s="1"/>
  <c r="DH199" i="3"/>
  <c r="DG88" i="3"/>
  <c r="DF88" i="3"/>
  <c r="DH88" i="3"/>
  <c r="DI88" i="3"/>
  <c r="DH43" i="3"/>
  <c r="DI43" i="3"/>
  <c r="DJ43" i="3" s="1"/>
  <c r="DG43" i="3"/>
  <c r="DF43" i="3"/>
  <c r="DI219" i="3"/>
  <c r="DJ219" i="3" s="1"/>
  <c r="DF219" i="3"/>
  <c r="DG219" i="3"/>
  <c r="DH219" i="3"/>
  <c r="DF19" i="3"/>
  <c r="DJ19" i="3" s="1"/>
  <c r="DG19" i="3"/>
  <c r="DH19" i="3"/>
  <c r="DI19" i="3"/>
  <c r="DH120" i="3"/>
  <c r="DG120" i="3"/>
  <c r="DF120" i="3"/>
  <c r="DJ120" i="3" s="1"/>
  <c r="DI120" i="3"/>
  <c r="DF210" i="3"/>
  <c r="DJ210" i="3" s="1"/>
  <c r="DI210" i="3"/>
  <c r="DG210" i="3"/>
  <c r="DH210" i="3"/>
  <c r="GX37" i="1"/>
  <c r="DI100" i="3"/>
  <c r="DG100" i="3"/>
  <c r="DF100" i="3"/>
  <c r="DJ100" i="3" s="1"/>
  <c r="DH100" i="3"/>
  <c r="GM39" i="1"/>
  <c r="GN39" i="1" s="1"/>
  <c r="DI55" i="3"/>
  <c r="DJ55" i="3" s="1"/>
  <c r="DH55" i="3"/>
  <c r="DF55" i="3"/>
  <c r="DG55" i="3"/>
  <c r="U37" i="1"/>
  <c r="DF83" i="3"/>
  <c r="DJ83" i="3" s="1"/>
  <c r="DH83" i="3"/>
  <c r="DG83" i="3"/>
  <c r="DI83" i="3"/>
  <c r="DH111" i="3"/>
  <c r="R79" i="1" s="1"/>
  <c r="DI111" i="3"/>
  <c r="DG111" i="3"/>
  <c r="DF111" i="3"/>
  <c r="BD26" i="1"/>
  <c r="F108" i="1"/>
  <c r="BD286" i="1"/>
  <c r="DF67" i="3"/>
  <c r="DJ67" i="3" s="1"/>
  <c r="DG67" i="3"/>
  <c r="DH67" i="3"/>
  <c r="DI67" i="3"/>
  <c r="W59" i="1"/>
  <c r="AJ83" i="1" s="1"/>
  <c r="CZ76" i="1"/>
  <c r="Y76" i="1" s="1"/>
  <c r="CY76" i="1"/>
  <c r="X76" i="1" s="1"/>
  <c r="DI181" i="3"/>
  <c r="DH181" i="3"/>
  <c r="DF181" i="3"/>
  <c r="DJ181" i="3" s="1"/>
  <c r="DG181" i="3"/>
  <c r="CP120" i="1"/>
  <c r="O120" i="1" s="1"/>
  <c r="GM120" i="1" s="1"/>
  <c r="GN120" i="1" s="1"/>
  <c r="U224" i="1"/>
  <c r="AH256" i="1" s="1"/>
  <c r="P224" i="1"/>
  <c r="CP224" i="1" s="1"/>
  <c r="O224" i="1" s="1"/>
  <c r="R224" i="1"/>
  <c r="CZ224" i="1" s="1"/>
  <c r="Y224" i="1" s="1"/>
  <c r="GX224" i="1"/>
  <c r="GX62" i="1"/>
  <c r="CP118" i="1"/>
  <c r="O118" i="1" s="1"/>
  <c r="GM118" i="1" s="1"/>
  <c r="GN118" i="1" s="1"/>
  <c r="DH198" i="3"/>
  <c r="DG198" i="3"/>
  <c r="DF198" i="3"/>
  <c r="DJ198" i="3" s="1"/>
  <c r="DI198" i="3"/>
  <c r="CZ175" i="1"/>
  <c r="Y175" i="1" s="1"/>
  <c r="P175" i="1"/>
  <c r="CP175" i="1" s="1"/>
  <c r="O175" i="1" s="1"/>
  <c r="R175" i="1"/>
  <c r="CY175" i="1" s="1"/>
  <c r="X175" i="1" s="1"/>
  <c r="W175" i="1"/>
  <c r="AJ178" i="1" s="1"/>
  <c r="Q175" i="1"/>
  <c r="U175" i="1"/>
  <c r="BD210" i="1"/>
  <c r="F281" i="1"/>
  <c r="S248" i="1"/>
  <c r="P248" i="1"/>
  <c r="R248" i="1"/>
  <c r="Q248" i="1"/>
  <c r="CZ250" i="1"/>
  <c r="Y250" i="1" s="1"/>
  <c r="U172" i="1"/>
  <c r="V248" i="1"/>
  <c r="CZ237" i="1"/>
  <c r="Y237" i="1" s="1"/>
  <c r="DF122" i="3"/>
  <c r="P117" i="1" s="1"/>
  <c r="DG122" i="3"/>
  <c r="Q117" i="1" s="1"/>
  <c r="DH122" i="3"/>
  <c r="R117" i="1" s="1"/>
  <c r="DI122" i="3"/>
  <c r="DF51" i="3"/>
  <c r="DJ51" i="3" s="1"/>
  <c r="DG51" i="3"/>
  <c r="DH51" i="3"/>
  <c r="DI51" i="3"/>
  <c r="DG125" i="3"/>
  <c r="DJ125" i="3" s="1"/>
  <c r="DH125" i="3"/>
  <c r="DF125" i="3"/>
  <c r="DI125" i="3"/>
  <c r="DG66" i="3"/>
  <c r="DJ66" i="3" s="1"/>
  <c r="DF66" i="3"/>
  <c r="DH66" i="3"/>
  <c r="DI66" i="3"/>
  <c r="DF130" i="3"/>
  <c r="P119" i="1" s="1"/>
  <c r="DH130" i="3"/>
  <c r="R119" i="1" s="1"/>
  <c r="DG130" i="3"/>
  <c r="Q119" i="1" s="1"/>
  <c r="DI130" i="3"/>
  <c r="DF99" i="3"/>
  <c r="DJ99" i="3" s="1"/>
  <c r="DG99" i="3"/>
  <c r="DH99" i="3"/>
  <c r="DI99" i="3"/>
  <c r="DF50" i="3"/>
  <c r="DJ50" i="3" s="1"/>
  <c r="DG50" i="3"/>
  <c r="DH50" i="3"/>
  <c r="DI50" i="3"/>
  <c r="DF53" i="3"/>
  <c r="DJ53" i="3" s="1"/>
  <c r="DG53" i="3"/>
  <c r="DH53" i="3"/>
  <c r="DI53" i="3"/>
  <c r="DF224" i="3"/>
  <c r="DJ224" i="3" s="1"/>
  <c r="DH224" i="3"/>
  <c r="DG224" i="3"/>
  <c r="DI224" i="3"/>
  <c r="DH17" i="3"/>
  <c r="DI17" i="3"/>
  <c r="DF17" i="3"/>
  <c r="DJ17" i="3" s="1"/>
  <c r="DG17" i="3"/>
  <c r="DF156" i="3"/>
  <c r="DJ156" i="3" s="1"/>
  <c r="DH156" i="3"/>
  <c r="DI156" i="3"/>
  <c r="DG156" i="3"/>
  <c r="DF140" i="3"/>
  <c r="DH140" i="3"/>
  <c r="DI140" i="3"/>
  <c r="DJ140" i="3" s="1"/>
  <c r="DG140" i="3"/>
  <c r="DI30" i="3"/>
  <c r="DH30" i="3"/>
  <c r="DG30" i="3"/>
  <c r="DF30" i="3"/>
  <c r="DJ30" i="3" s="1"/>
  <c r="DH101" i="3"/>
  <c r="DF101" i="3"/>
  <c r="DJ101" i="3" s="1"/>
  <c r="DI101" i="3"/>
  <c r="DG101" i="3"/>
  <c r="CP47" i="1"/>
  <c r="O47" i="1" s="1"/>
  <c r="GM47" i="1" s="1"/>
  <c r="GO47" i="1" s="1"/>
  <c r="S62" i="1"/>
  <c r="Q74" i="1"/>
  <c r="GX74" i="1"/>
  <c r="CJ83" i="1" s="1"/>
  <c r="CP76" i="1"/>
  <c r="O76" i="1" s="1"/>
  <c r="GM76" i="1" s="1"/>
  <c r="GO76" i="1" s="1"/>
  <c r="P128" i="1"/>
  <c r="CP128" i="1" s="1"/>
  <c r="O128" i="1" s="1"/>
  <c r="U128" i="1"/>
  <c r="AH132" i="1" s="1"/>
  <c r="V59" i="1"/>
  <c r="BZ115" i="1"/>
  <c r="AQ132" i="1"/>
  <c r="CG132" i="1"/>
  <c r="DF150" i="3"/>
  <c r="DJ150" i="3" s="1"/>
  <c r="DH150" i="3"/>
  <c r="DI150" i="3"/>
  <c r="DG150" i="3"/>
  <c r="V167" i="1"/>
  <c r="CZ221" i="1"/>
  <c r="Y221" i="1" s="1"/>
  <c r="CY221" i="1"/>
  <c r="X221" i="1" s="1"/>
  <c r="DG218" i="3"/>
  <c r="DH218" i="3"/>
  <c r="R242" i="1" s="1"/>
  <c r="DF218" i="3"/>
  <c r="P242" i="1" s="1"/>
  <c r="DI218" i="3"/>
  <c r="DG160" i="3"/>
  <c r="DF160" i="3"/>
  <c r="DJ160" i="3" s="1"/>
  <c r="DH160" i="3"/>
  <c r="DI160" i="3"/>
  <c r="T169" i="1"/>
  <c r="R250" i="1"/>
  <c r="CY250" i="1" s="1"/>
  <c r="X250" i="1" s="1"/>
  <c r="U250" i="1"/>
  <c r="F272" i="1"/>
  <c r="BC210" i="1"/>
  <c r="V224" i="1"/>
  <c r="P250" i="1"/>
  <c r="DH26" i="3"/>
  <c r="DG26" i="3"/>
  <c r="DF26" i="3"/>
  <c r="DI26" i="3"/>
  <c r="DF46" i="3"/>
  <c r="DJ46" i="3" s="1"/>
  <c r="DG46" i="3"/>
  <c r="DH46" i="3"/>
  <c r="DI46" i="3"/>
  <c r="DH106" i="3"/>
  <c r="DF106" i="3"/>
  <c r="DJ106" i="3" s="1"/>
  <c r="DG106" i="3"/>
  <c r="DI106" i="3"/>
  <c r="DF52" i="3"/>
  <c r="DJ52" i="3" s="1"/>
  <c r="DG52" i="3"/>
  <c r="DH52" i="3"/>
  <c r="DI52" i="3"/>
  <c r="DI16" i="3"/>
  <c r="DG16" i="3"/>
  <c r="DH16" i="3"/>
  <c r="DF16" i="3"/>
  <c r="DJ16" i="3" s="1"/>
  <c r="DF184" i="3"/>
  <c r="DJ184" i="3" s="1"/>
  <c r="DH184" i="3"/>
  <c r="DI184" i="3"/>
  <c r="DG184" i="3"/>
  <c r="DF28" i="3"/>
  <c r="DJ28" i="3" s="1"/>
  <c r="DH28" i="3"/>
  <c r="DI28" i="3"/>
  <c r="DG28" i="3"/>
  <c r="DF232" i="3"/>
  <c r="DJ232" i="3" s="1"/>
  <c r="DG232" i="3"/>
  <c r="DH232" i="3"/>
  <c r="DI232" i="3"/>
  <c r="DG112" i="3"/>
  <c r="DF112" i="3"/>
  <c r="DH112" i="3"/>
  <c r="DI112" i="3"/>
  <c r="DJ112" i="3" s="1"/>
  <c r="P74" i="1"/>
  <c r="CP74" i="1" s="1"/>
  <c r="O74" i="1" s="1"/>
  <c r="U74" i="1"/>
  <c r="V74" i="1"/>
  <c r="CP60" i="1"/>
  <c r="O60" i="1" s="1"/>
  <c r="CY66" i="1"/>
  <c r="X66" i="1" s="1"/>
  <c r="GM66" i="1" s="1"/>
  <c r="GO66" i="1" s="1"/>
  <c r="CZ66" i="1"/>
  <c r="Y66" i="1" s="1"/>
  <c r="R80" i="1"/>
  <c r="DH141" i="3"/>
  <c r="DG141" i="3"/>
  <c r="DI141" i="3"/>
  <c r="DF141" i="3"/>
  <c r="CY167" i="1"/>
  <c r="X167" i="1" s="1"/>
  <c r="CZ167" i="1"/>
  <c r="Y167" i="1" s="1"/>
  <c r="DG203" i="3"/>
  <c r="DH203" i="3"/>
  <c r="DF203" i="3"/>
  <c r="DJ203" i="3" s="1"/>
  <c r="DI203" i="3"/>
  <c r="CJ256" i="1"/>
  <c r="AO164" i="1"/>
  <c r="F182" i="1"/>
  <c r="V128" i="1"/>
  <c r="AI132" i="1" s="1"/>
  <c r="DF240" i="3"/>
  <c r="DJ240" i="3" s="1"/>
  <c r="DG240" i="3"/>
  <c r="DH240" i="3"/>
  <c r="DI240" i="3"/>
  <c r="GM231" i="1"/>
  <c r="GO231" i="1" s="1"/>
  <c r="R247" i="1"/>
  <c r="U247" i="1"/>
  <c r="V247" i="1"/>
  <c r="T247" i="1"/>
  <c r="AG256" i="1" s="1"/>
  <c r="GM239" i="1"/>
  <c r="GO239" i="1" s="1"/>
  <c r="CY254" i="1"/>
  <c r="X254" i="1" s="1"/>
  <c r="GM254" i="1" s="1"/>
  <c r="GN254" i="1" s="1"/>
  <c r="CZ254" i="1"/>
  <c r="Y254" i="1" s="1"/>
  <c r="AW610" i="7" l="1"/>
  <c r="AN610" i="7"/>
  <c r="AW227" i="7"/>
  <c r="AN227" i="7"/>
  <c r="AW300" i="7"/>
  <c r="AN300" i="7"/>
  <c r="AW587" i="7"/>
  <c r="AN587" i="7"/>
  <c r="AW246" i="7"/>
  <c r="AN246" i="7"/>
  <c r="AW525" i="7"/>
  <c r="L743" i="7" s="1"/>
  <c r="L741" i="7" s="1"/>
  <c r="AN525" i="7"/>
  <c r="AN189" i="7"/>
  <c r="AW189" i="7"/>
  <c r="AN630" i="7"/>
  <c r="AW630" i="7"/>
  <c r="AW210" i="7"/>
  <c r="AN210" i="7"/>
  <c r="AW171" i="7"/>
  <c r="AN171" i="7"/>
  <c r="AN278" i="7"/>
  <c r="AW278" i="7"/>
  <c r="AN569" i="7"/>
  <c r="AW569" i="7"/>
  <c r="AN122" i="7"/>
  <c r="AW122" i="7"/>
  <c r="AN107" i="7"/>
  <c r="AW107" i="7"/>
  <c r="AW150" i="7"/>
  <c r="AN150" i="7"/>
  <c r="L842" i="7"/>
  <c r="L735" i="7"/>
  <c r="CG210" i="1"/>
  <c r="AH83" i="1"/>
  <c r="AH26" i="1" s="1"/>
  <c r="AZ83" i="1"/>
  <c r="F94" i="1" s="1"/>
  <c r="AJ26" i="1"/>
  <c r="W83" i="1"/>
  <c r="U178" i="1"/>
  <c r="AH164" i="1"/>
  <c r="AH115" i="1"/>
  <c r="U132" i="1"/>
  <c r="AI115" i="1"/>
  <c r="V132" i="1"/>
  <c r="CJ26" i="1"/>
  <c r="BA83" i="1"/>
  <c r="AJ164" i="1"/>
  <c r="W178" i="1"/>
  <c r="AI26" i="1"/>
  <c r="V83" i="1"/>
  <c r="AH210" i="1"/>
  <c r="U256" i="1"/>
  <c r="AJ210" i="1"/>
  <c r="W256" i="1"/>
  <c r="AG210" i="1"/>
  <c r="T256" i="1"/>
  <c r="DJ218" i="3"/>
  <c r="S242" i="1"/>
  <c r="Q242" i="1"/>
  <c r="CP242" i="1" s="1"/>
  <c r="O242" i="1" s="1"/>
  <c r="DJ122" i="3"/>
  <c r="S117" i="1"/>
  <c r="CY248" i="1"/>
  <c r="X248" i="1" s="1"/>
  <c r="CZ248" i="1"/>
  <c r="Y248" i="1" s="1"/>
  <c r="Q79" i="1"/>
  <c r="R75" i="1"/>
  <c r="GM167" i="1"/>
  <c r="GN167" i="1" s="1"/>
  <c r="R28" i="1"/>
  <c r="R166" i="1"/>
  <c r="DJ238" i="3"/>
  <c r="R35" i="1"/>
  <c r="GM237" i="1"/>
  <c r="GO237" i="1" s="1"/>
  <c r="GM219" i="1"/>
  <c r="GO219" i="1" s="1"/>
  <c r="Q70" i="1"/>
  <c r="AZ115" i="1"/>
  <c r="F143" i="1"/>
  <c r="DJ164" i="3"/>
  <c r="P174" i="1"/>
  <c r="DJ57" i="3"/>
  <c r="R230" i="1"/>
  <c r="P33" i="1"/>
  <c r="DJ9" i="3"/>
  <c r="DJ141" i="3"/>
  <c r="AE132" i="1"/>
  <c r="DJ111" i="3"/>
  <c r="S79" i="1"/>
  <c r="Q75" i="1"/>
  <c r="Q129" i="1"/>
  <c r="DJ7" i="3"/>
  <c r="S32" i="1"/>
  <c r="CP32" i="1" s="1"/>
  <c r="O32" i="1" s="1"/>
  <c r="AG178" i="1"/>
  <c r="Q28" i="1"/>
  <c r="AT164" i="1"/>
  <c r="F196" i="1"/>
  <c r="Q166" i="1"/>
  <c r="CP172" i="1"/>
  <c r="O172" i="1" s="1"/>
  <c r="GM172" i="1" s="1"/>
  <c r="GN172" i="1" s="1"/>
  <c r="P35" i="1"/>
  <c r="DJ86" i="3"/>
  <c r="S70" i="1"/>
  <c r="DJ207" i="3"/>
  <c r="DJ157" i="3"/>
  <c r="S174" i="1"/>
  <c r="DJ204" i="3"/>
  <c r="S235" i="1"/>
  <c r="DJ115" i="3"/>
  <c r="R127" i="1"/>
  <c r="Q230" i="1"/>
  <c r="Q33" i="1"/>
  <c r="AQ164" i="1"/>
  <c r="F188" i="1"/>
  <c r="DJ149" i="3"/>
  <c r="AG115" i="1"/>
  <c r="T132" i="1"/>
  <c r="DJ1" i="3"/>
  <c r="S28" i="1"/>
  <c r="P70" i="1"/>
  <c r="F185" i="1"/>
  <c r="AX164" i="1"/>
  <c r="Q235" i="1"/>
  <c r="P127" i="1"/>
  <c r="AC132" i="1" s="1"/>
  <c r="DJ64" i="3"/>
  <c r="S58" i="1"/>
  <c r="CY214" i="1"/>
  <c r="X214" i="1" s="1"/>
  <c r="CZ214" i="1"/>
  <c r="Y214" i="1" s="1"/>
  <c r="F150" i="1"/>
  <c r="AT115" i="1"/>
  <c r="CP117" i="1"/>
  <c r="O117" i="1" s="1"/>
  <c r="CY176" i="1"/>
  <c r="X176" i="1" s="1"/>
  <c r="CZ176" i="1"/>
  <c r="Y176" i="1" s="1"/>
  <c r="R212" i="1"/>
  <c r="AG26" i="1"/>
  <c r="T83" i="1"/>
  <c r="AP22" i="1"/>
  <c r="F295" i="1"/>
  <c r="G16" i="2" s="1"/>
  <c r="AP316" i="1"/>
  <c r="F189" i="1"/>
  <c r="AZ164" i="1"/>
  <c r="DJ139" i="3"/>
  <c r="S127" i="1"/>
  <c r="R58" i="1"/>
  <c r="CP214" i="1"/>
  <c r="O214" i="1" s="1"/>
  <c r="GM214" i="1" s="1"/>
  <c r="GO214" i="1" s="1"/>
  <c r="GM123" i="1"/>
  <c r="GN123" i="1" s="1"/>
  <c r="Q217" i="1"/>
  <c r="P75" i="1"/>
  <c r="CP176" i="1"/>
  <c r="O176" i="1" s="1"/>
  <c r="CP37" i="1"/>
  <c r="O37" i="1" s="1"/>
  <c r="GM37" i="1" s="1"/>
  <c r="GO37" i="1" s="1"/>
  <c r="DJ76" i="3"/>
  <c r="BC22" i="1"/>
  <c r="BC316" i="1"/>
  <c r="F302" i="1"/>
  <c r="DJ162" i="3"/>
  <c r="S212" i="1"/>
  <c r="P225" i="1"/>
  <c r="Q215" i="1"/>
  <c r="AZ26" i="1"/>
  <c r="AZ286" i="1"/>
  <c r="R235" i="1"/>
  <c r="Q127" i="1"/>
  <c r="AD132" i="1" s="1"/>
  <c r="Q58" i="1"/>
  <c r="AI256" i="1"/>
  <c r="DJ173" i="3"/>
  <c r="S217" i="1"/>
  <c r="AI178" i="1"/>
  <c r="CJ210" i="1"/>
  <c r="BA256" i="1"/>
  <c r="CY62" i="1"/>
  <c r="X62" i="1" s="1"/>
  <c r="CZ62" i="1"/>
  <c r="Y62" i="1" s="1"/>
  <c r="DJ88" i="3"/>
  <c r="R44" i="1"/>
  <c r="Q212" i="1"/>
  <c r="DJ185" i="3"/>
  <c r="S225" i="1"/>
  <c r="DJ172" i="3"/>
  <c r="S216" i="1"/>
  <c r="CP216" i="1" s="1"/>
  <c r="O216" i="1" s="1"/>
  <c r="CP62" i="1"/>
  <c r="O62" i="1" s="1"/>
  <c r="GM62" i="1" s="1"/>
  <c r="GO62" i="1" s="1"/>
  <c r="P215" i="1"/>
  <c r="Q40" i="1"/>
  <c r="P58" i="1"/>
  <c r="AU115" i="1"/>
  <c r="F151" i="1"/>
  <c r="R217" i="1"/>
  <c r="CY224" i="1"/>
  <c r="X224" i="1" s="1"/>
  <c r="GM224" i="1" s="1"/>
  <c r="GO224" i="1" s="1"/>
  <c r="DJ147" i="3"/>
  <c r="CZ60" i="1"/>
  <c r="Y60" i="1" s="1"/>
  <c r="CY60" i="1"/>
  <c r="X60" i="1" s="1"/>
  <c r="GM60" i="1" s="1"/>
  <c r="GO60" i="1" s="1"/>
  <c r="DJ56" i="3"/>
  <c r="Q44" i="1"/>
  <c r="GM228" i="1"/>
  <c r="GO228" i="1" s="1"/>
  <c r="R63" i="1"/>
  <c r="P212" i="1"/>
  <c r="R225" i="1"/>
  <c r="CY80" i="1"/>
  <c r="X80" i="1" s="1"/>
  <c r="CZ80" i="1"/>
  <c r="Y80" i="1" s="1"/>
  <c r="CP59" i="1"/>
  <c r="O59" i="1" s="1"/>
  <c r="GM59" i="1" s="1"/>
  <c r="GO59" i="1" s="1"/>
  <c r="AX26" i="1"/>
  <c r="F90" i="1"/>
  <c r="GM73" i="1"/>
  <c r="GO73" i="1" s="1"/>
  <c r="DJ31" i="3"/>
  <c r="S38" i="1"/>
  <c r="DJ226" i="3"/>
  <c r="S246" i="1"/>
  <c r="BB18" i="1"/>
  <c r="F329" i="1"/>
  <c r="DJ169" i="3"/>
  <c r="S215" i="1"/>
  <c r="DJ124" i="3"/>
  <c r="F275" i="1"/>
  <c r="AU210" i="1"/>
  <c r="R251" i="1"/>
  <c r="P40" i="1"/>
  <c r="DJ4" i="3"/>
  <c r="S30" i="1"/>
  <c r="CY247" i="1"/>
  <c r="X247" i="1" s="1"/>
  <c r="CZ247" i="1"/>
  <c r="Y247" i="1" s="1"/>
  <c r="CY71" i="1"/>
  <c r="X71" i="1" s="1"/>
  <c r="CZ71" i="1"/>
  <c r="Y71" i="1" s="1"/>
  <c r="P217" i="1"/>
  <c r="GM175" i="1"/>
  <c r="GN175" i="1" s="1"/>
  <c r="AO22" i="1"/>
  <c r="AO316" i="1"/>
  <c r="F290" i="1"/>
  <c r="R215" i="1"/>
  <c r="DJ212" i="3"/>
  <c r="S240" i="1"/>
  <c r="Q251" i="1"/>
  <c r="R40" i="1"/>
  <c r="R30" i="1"/>
  <c r="GM71" i="1"/>
  <c r="GO71" i="1" s="1"/>
  <c r="Q63" i="1"/>
  <c r="DJ26" i="3"/>
  <c r="CG115" i="1"/>
  <c r="AX132" i="1"/>
  <c r="AX286" i="1" s="1"/>
  <c r="DJ130" i="3"/>
  <c r="S119" i="1"/>
  <c r="CP119" i="1" s="1"/>
  <c r="O119" i="1" s="1"/>
  <c r="BD22" i="1"/>
  <c r="F311" i="1"/>
  <c r="BD316" i="1"/>
  <c r="CY128" i="1"/>
  <c r="X128" i="1" s="1"/>
  <c r="GM128" i="1" s="1"/>
  <c r="GN128" i="1" s="1"/>
  <c r="CZ128" i="1"/>
  <c r="Y128" i="1" s="1"/>
  <c r="Q52" i="1"/>
  <c r="DJ42" i="3"/>
  <c r="S44" i="1"/>
  <c r="P63" i="1"/>
  <c r="DJ214" i="3"/>
  <c r="P38" i="1"/>
  <c r="R246" i="1"/>
  <c r="DJ36" i="3"/>
  <c r="Q240" i="1"/>
  <c r="P251" i="1"/>
  <c r="DJ34" i="3"/>
  <c r="S40" i="1"/>
  <c r="Q30" i="1"/>
  <c r="AZ210" i="1"/>
  <c r="F267" i="1"/>
  <c r="DJ228" i="3"/>
  <c r="AU286" i="1"/>
  <c r="CZ74" i="1"/>
  <c r="Y74" i="1" s="1"/>
  <c r="F142" i="1"/>
  <c r="AQ115" i="1"/>
  <c r="AQ286" i="1"/>
  <c r="CJ164" i="1"/>
  <c r="BA178" i="1"/>
  <c r="P52" i="1"/>
  <c r="DJ74" i="3"/>
  <c r="S63" i="1"/>
  <c r="P240" i="1"/>
  <c r="CY172" i="1"/>
  <c r="X172" i="1" s="1"/>
  <c r="CZ172" i="1"/>
  <c r="Y172" i="1" s="1"/>
  <c r="DJ235" i="3"/>
  <c r="S251" i="1"/>
  <c r="GM74" i="1"/>
  <c r="GO74" i="1" s="1"/>
  <c r="GM169" i="1"/>
  <c r="GN169" i="1" s="1"/>
  <c r="CP250" i="1"/>
  <c r="O250" i="1" s="1"/>
  <c r="GM250" i="1" s="1"/>
  <c r="GN250" i="1" s="1"/>
  <c r="R52" i="1"/>
  <c r="P166" i="1"/>
  <c r="Q35" i="1"/>
  <c r="CY169" i="1"/>
  <c r="X169" i="1" s="1"/>
  <c r="CZ169" i="1"/>
  <c r="Y169" i="1" s="1"/>
  <c r="R240" i="1"/>
  <c r="Q174" i="1"/>
  <c r="DJ194" i="3"/>
  <c r="S230" i="1"/>
  <c r="DJ8" i="3"/>
  <c r="S33" i="1"/>
  <c r="CP248" i="1"/>
  <c r="O248" i="1" s="1"/>
  <c r="GM248" i="1" s="1"/>
  <c r="GN248" i="1" s="1"/>
  <c r="P79" i="1"/>
  <c r="CP79" i="1" s="1"/>
  <c r="O79" i="1" s="1"/>
  <c r="DJ94" i="3"/>
  <c r="S75" i="1"/>
  <c r="DJ54" i="3"/>
  <c r="S52" i="1"/>
  <c r="CP80" i="1"/>
  <c r="O80" i="1" s="1"/>
  <c r="GM80" i="1" s="1"/>
  <c r="GO80" i="1" s="1"/>
  <c r="DJ142" i="3"/>
  <c r="S129" i="1"/>
  <c r="GM171" i="1"/>
  <c r="GN171" i="1" s="1"/>
  <c r="P28" i="1"/>
  <c r="AX210" i="1"/>
  <c r="F263" i="1"/>
  <c r="W132" i="1"/>
  <c r="AJ115" i="1"/>
  <c r="DJ145" i="3"/>
  <c r="S166" i="1"/>
  <c r="DJ24" i="3"/>
  <c r="S35" i="1"/>
  <c r="CP247" i="1"/>
  <c r="O247" i="1" s="1"/>
  <c r="R70" i="1"/>
  <c r="DJ206" i="3"/>
  <c r="R174" i="1"/>
  <c r="DJ220" i="3"/>
  <c r="P230" i="1"/>
  <c r="R33" i="1"/>
  <c r="DJ144" i="3"/>
  <c r="BA115" i="1"/>
  <c r="F152" i="1"/>
  <c r="L732" i="7" l="1"/>
  <c r="L317" i="7"/>
  <c r="L315" i="7" s="1"/>
  <c r="L306" i="7" s="1"/>
  <c r="L799" i="7"/>
  <c r="L797" i="7" s="1"/>
  <c r="L788" i="7" s="1"/>
  <c r="L850" i="7"/>
  <c r="L848" i="7" s="1"/>
  <c r="L839" i="7" s="1"/>
  <c r="CP235" i="1"/>
  <c r="O235" i="1" s="1"/>
  <c r="U83" i="1"/>
  <c r="U26" i="1" s="1"/>
  <c r="CP44" i="1"/>
  <c r="O44" i="1" s="1"/>
  <c r="AE256" i="1"/>
  <c r="CP63" i="1"/>
  <c r="O63" i="1" s="1"/>
  <c r="CP240" i="1"/>
  <c r="O240" i="1" s="1"/>
  <c r="CP230" i="1"/>
  <c r="O230" i="1" s="1"/>
  <c r="CP30" i="1"/>
  <c r="O30" i="1" s="1"/>
  <c r="CP52" i="1"/>
  <c r="O52" i="1" s="1"/>
  <c r="CP246" i="1"/>
  <c r="O246" i="1" s="1"/>
  <c r="CP38" i="1"/>
  <c r="O38" i="1" s="1"/>
  <c r="Q132" i="1"/>
  <c r="AD115" i="1"/>
  <c r="CP28" i="1"/>
  <c r="O28" i="1" s="1"/>
  <c r="AC83" i="1"/>
  <c r="CY33" i="1"/>
  <c r="X33" i="1" s="1"/>
  <c r="AZ111" i="7" s="1"/>
  <c r="CZ33" i="1"/>
  <c r="Y33" i="1" s="1"/>
  <c r="BA111" i="7" s="1"/>
  <c r="L110" i="7" s="1"/>
  <c r="CZ127" i="1"/>
  <c r="Y127" i="1" s="1"/>
  <c r="BA389" i="7" s="1"/>
  <c r="L388" i="7" s="1"/>
  <c r="CY127" i="1"/>
  <c r="X127" i="1" s="1"/>
  <c r="AZ389" i="7" s="1"/>
  <c r="L387" i="7" s="1"/>
  <c r="CY242" i="1"/>
  <c r="X242" i="1" s="1"/>
  <c r="AZ685" i="7" s="1"/>
  <c r="L683" i="7" s="1"/>
  <c r="CZ242" i="1"/>
  <c r="Y242" i="1" s="1"/>
  <c r="BA685" i="7" s="1"/>
  <c r="L684" i="7" s="1"/>
  <c r="F202" i="1"/>
  <c r="W164" i="1"/>
  <c r="AO18" i="1"/>
  <c r="F320" i="1"/>
  <c r="CY40" i="1"/>
  <c r="X40" i="1" s="1"/>
  <c r="AZ156" i="7" s="1"/>
  <c r="L154" i="7" s="1"/>
  <c r="CZ40" i="1"/>
  <c r="Y40" i="1" s="1"/>
  <c r="BA156" i="7" s="1"/>
  <c r="L155" i="7" s="1"/>
  <c r="CP217" i="1"/>
  <c r="O217" i="1" s="1"/>
  <c r="CY215" i="1"/>
  <c r="X215" i="1" s="1"/>
  <c r="AZ545" i="7" s="1"/>
  <c r="L543" i="7" s="1"/>
  <c r="CZ215" i="1"/>
  <c r="Y215" i="1" s="1"/>
  <c r="BA545" i="7" s="1"/>
  <c r="L544" i="7" s="1"/>
  <c r="CY225" i="1"/>
  <c r="X225" i="1" s="1"/>
  <c r="AZ597" i="7" s="1"/>
  <c r="L595" i="7" s="1"/>
  <c r="CZ225" i="1"/>
  <c r="Y225" i="1" s="1"/>
  <c r="BA597" i="7" s="1"/>
  <c r="L596" i="7" s="1"/>
  <c r="AI210" i="1"/>
  <c r="V256" i="1"/>
  <c r="BC18" i="1"/>
  <c r="F332" i="1"/>
  <c r="CF132" i="1"/>
  <c r="P132" i="1"/>
  <c r="AC115" i="1"/>
  <c r="CH132" i="1"/>
  <c r="CE132" i="1"/>
  <c r="CP70" i="1"/>
  <c r="O70" i="1" s="1"/>
  <c r="CY230" i="1"/>
  <c r="X230" i="1" s="1"/>
  <c r="AZ620" i="7" s="1"/>
  <c r="L618" i="7" s="1"/>
  <c r="CZ230" i="1"/>
  <c r="Y230" i="1" s="1"/>
  <c r="BA620" i="7" s="1"/>
  <c r="L619" i="7" s="1"/>
  <c r="BA164" i="1"/>
  <c r="F198" i="1"/>
  <c r="CZ235" i="1"/>
  <c r="Y235" i="1" s="1"/>
  <c r="BA641" i="7" s="1"/>
  <c r="L640" i="7" s="1"/>
  <c r="CY235" i="1"/>
  <c r="X235" i="1" s="1"/>
  <c r="AD83" i="1"/>
  <c r="CP33" i="1"/>
  <c r="O33" i="1" s="1"/>
  <c r="AE178" i="1"/>
  <c r="T210" i="1"/>
  <c r="F277" i="1"/>
  <c r="BA26" i="1"/>
  <c r="F103" i="1"/>
  <c r="BA286" i="1"/>
  <c r="AI164" i="1"/>
  <c r="V178" i="1"/>
  <c r="CY129" i="1"/>
  <c r="X129" i="1" s="1"/>
  <c r="AZ400" i="7" s="1"/>
  <c r="L398" i="7" s="1"/>
  <c r="CZ129" i="1"/>
  <c r="Y129" i="1" s="1"/>
  <c r="BA400" i="7" s="1"/>
  <c r="L399" i="7" s="1"/>
  <c r="GM247" i="1"/>
  <c r="GN247" i="1" s="1"/>
  <c r="CP251" i="1"/>
  <c r="O251" i="1" s="1"/>
  <c r="BD18" i="1"/>
  <c r="F341" i="1"/>
  <c r="AD256" i="1"/>
  <c r="CY28" i="1"/>
  <c r="X28" i="1" s="1"/>
  <c r="AZ64" i="7" s="1"/>
  <c r="CZ28" i="1"/>
  <c r="Y28" i="1" s="1"/>
  <c r="BA64" i="7" s="1"/>
  <c r="AF83" i="1"/>
  <c r="AG164" i="1"/>
  <c r="T178" i="1"/>
  <c r="T286" i="1" s="1"/>
  <c r="AE83" i="1"/>
  <c r="AX22" i="1"/>
  <c r="AX316" i="1"/>
  <c r="F293" i="1"/>
  <c r="CY32" i="1"/>
  <c r="X32" i="1" s="1"/>
  <c r="AZ84" i="7" s="1"/>
  <c r="L82" i="7" s="1"/>
  <c r="CZ32" i="1"/>
  <c r="Y32" i="1" s="1"/>
  <c r="BA84" i="7" s="1"/>
  <c r="L83" i="7" s="1"/>
  <c r="W210" i="1"/>
  <c r="F280" i="1"/>
  <c r="V115" i="1"/>
  <c r="F155" i="1"/>
  <c r="G431" i="7" s="1"/>
  <c r="CY52" i="1"/>
  <c r="X52" i="1" s="1"/>
  <c r="AZ197" i="7" s="1"/>
  <c r="L195" i="7" s="1"/>
  <c r="CZ52" i="1"/>
  <c r="Y52" i="1" s="1"/>
  <c r="BA197" i="7" s="1"/>
  <c r="L196" i="7" s="1"/>
  <c r="CZ240" i="1"/>
  <c r="Y240" i="1" s="1"/>
  <c r="BA663" i="7" s="1"/>
  <c r="L662" i="7" s="1"/>
  <c r="CY240" i="1"/>
  <c r="X240" i="1" s="1"/>
  <c r="AZ663" i="7" s="1"/>
  <c r="L661" i="7" s="1"/>
  <c r="CY246" i="1"/>
  <c r="X246" i="1" s="1"/>
  <c r="AZ709" i="7" s="1"/>
  <c r="L707" i="7" s="1"/>
  <c r="CZ246" i="1"/>
  <c r="Y246" i="1" s="1"/>
  <c r="BA709" i="7" s="1"/>
  <c r="L708" i="7" s="1"/>
  <c r="CP212" i="1"/>
  <c r="O212" i="1" s="1"/>
  <c r="AC256" i="1"/>
  <c r="AZ22" i="1"/>
  <c r="AZ316" i="1"/>
  <c r="F297" i="1"/>
  <c r="GM176" i="1"/>
  <c r="GN176" i="1" s="1"/>
  <c r="AP18" i="1"/>
  <c r="F325" i="1"/>
  <c r="T115" i="1"/>
  <c r="F153" i="1"/>
  <c r="CP174" i="1"/>
  <c r="O174" i="1" s="1"/>
  <c r="CY166" i="1"/>
  <c r="X166" i="1" s="1"/>
  <c r="CZ166" i="1"/>
  <c r="Y166" i="1" s="1"/>
  <c r="BA461" i="7" s="1"/>
  <c r="AF178" i="1"/>
  <c r="CY251" i="1"/>
  <c r="X251" i="1" s="1"/>
  <c r="AZ730" i="7" s="1"/>
  <c r="L728" i="7" s="1"/>
  <c r="CZ251" i="1"/>
  <c r="Y251" i="1" s="1"/>
  <c r="BA730" i="7" s="1"/>
  <c r="L729" i="7" s="1"/>
  <c r="CY119" i="1"/>
  <c r="X119" i="1" s="1"/>
  <c r="AZ378" i="7" s="1"/>
  <c r="L376" i="7" s="1"/>
  <c r="CZ119" i="1"/>
  <c r="Y119" i="1" s="1"/>
  <c r="BA378" i="7" s="1"/>
  <c r="L377" i="7" s="1"/>
  <c r="CY30" i="1"/>
  <c r="X30" i="1" s="1"/>
  <c r="AZ75" i="7" s="1"/>
  <c r="L73" i="7" s="1"/>
  <c r="CZ30" i="1"/>
  <c r="Y30" i="1" s="1"/>
  <c r="BA75" i="7" s="1"/>
  <c r="L74" i="7" s="1"/>
  <c r="CP75" i="1"/>
  <c r="O75" i="1" s="1"/>
  <c r="U286" i="1"/>
  <c r="F154" i="1"/>
  <c r="G430" i="7" s="1"/>
  <c r="U115" i="1"/>
  <c r="AQ22" i="1"/>
  <c r="F296" i="1"/>
  <c r="AQ316" i="1"/>
  <c r="CY38" i="1"/>
  <c r="X38" i="1" s="1"/>
  <c r="AZ139" i="7" s="1"/>
  <c r="L137" i="7" s="1"/>
  <c r="CZ38" i="1"/>
  <c r="Y38" i="1" s="1"/>
  <c r="BA139" i="7" s="1"/>
  <c r="L138" i="7" s="1"/>
  <c r="CP58" i="1"/>
  <c r="O58" i="1" s="1"/>
  <c r="CZ58" i="1"/>
  <c r="Y58" i="1" s="1"/>
  <c r="BA216" i="7" s="1"/>
  <c r="L215" i="7" s="1"/>
  <c r="CY58" i="1"/>
  <c r="X58" i="1" s="1"/>
  <c r="AZ216" i="7" s="1"/>
  <c r="L214" i="7" s="1"/>
  <c r="CZ70" i="1"/>
  <c r="Y70" i="1" s="1"/>
  <c r="BA254" i="7" s="1"/>
  <c r="L253" i="7" s="1"/>
  <c r="CY70" i="1"/>
  <c r="X70" i="1" s="1"/>
  <c r="AZ254" i="7" s="1"/>
  <c r="L252" i="7" s="1"/>
  <c r="CZ174" i="1"/>
  <c r="Y174" i="1" s="1"/>
  <c r="BA480" i="7" s="1"/>
  <c r="L479" i="7" s="1"/>
  <c r="CY174" i="1"/>
  <c r="X174" i="1" s="1"/>
  <c r="AZ480" i="7" s="1"/>
  <c r="L478" i="7" s="1"/>
  <c r="CZ75" i="1"/>
  <c r="Y75" i="1" s="1"/>
  <c r="BA282" i="7" s="1"/>
  <c r="L281" i="7" s="1"/>
  <c r="CY75" i="1"/>
  <c r="X75" i="1" s="1"/>
  <c r="AZ282" i="7" s="1"/>
  <c r="L280" i="7" s="1"/>
  <c r="AU22" i="1"/>
  <c r="AU316" i="1"/>
  <c r="F305" i="1"/>
  <c r="C44" i="7" s="1"/>
  <c r="F139" i="1"/>
  <c r="AX115" i="1"/>
  <c r="CP40" i="1"/>
  <c r="O40" i="1" s="1"/>
  <c r="F276" i="1"/>
  <c r="BA210" i="1"/>
  <c r="T26" i="1"/>
  <c r="F104" i="1"/>
  <c r="CZ79" i="1"/>
  <c r="Y79" i="1" s="1"/>
  <c r="BA304" i="7" s="1"/>
  <c r="L303" i="7" s="1"/>
  <c r="CY79" i="1"/>
  <c r="X79" i="1" s="1"/>
  <c r="AZ304" i="7" s="1"/>
  <c r="L302" i="7" s="1"/>
  <c r="U210" i="1"/>
  <c r="F278" i="1"/>
  <c r="G760" i="7" s="1"/>
  <c r="CY44" i="1"/>
  <c r="X44" i="1" s="1"/>
  <c r="CZ44" i="1"/>
  <c r="Y44" i="1" s="1"/>
  <c r="BA177" i="7" s="1"/>
  <c r="L176" i="7" s="1"/>
  <c r="CY35" i="1"/>
  <c r="X35" i="1" s="1"/>
  <c r="AZ128" i="7" s="1"/>
  <c r="CZ35" i="1"/>
  <c r="Y35" i="1" s="1"/>
  <c r="BA128" i="7" s="1"/>
  <c r="F156" i="1"/>
  <c r="W115" i="1"/>
  <c r="CP166" i="1"/>
  <c r="O166" i="1" s="1"/>
  <c r="AC178" i="1"/>
  <c r="CP215" i="1"/>
  <c r="O215" i="1" s="1"/>
  <c r="CP225" i="1"/>
  <c r="O225" i="1" s="1"/>
  <c r="CP127" i="1"/>
  <c r="O127" i="1" s="1"/>
  <c r="CP35" i="1"/>
  <c r="O35" i="1" s="1"/>
  <c r="CY117" i="1"/>
  <c r="X117" i="1" s="1"/>
  <c r="AZ359" i="7" s="1"/>
  <c r="CZ117" i="1"/>
  <c r="Y117" i="1" s="1"/>
  <c r="BA359" i="7" s="1"/>
  <c r="AF132" i="1"/>
  <c r="U164" i="1"/>
  <c r="F200" i="1"/>
  <c r="G510" i="7" s="1"/>
  <c r="CY212" i="1"/>
  <c r="X212" i="1" s="1"/>
  <c r="AZ532" i="7" s="1"/>
  <c r="CZ212" i="1"/>
  <c r="Y212" i="1" s="1"/>
  <c r="BA532" i="7" s="1"/>
  <c r="AF256" i="1"/>
  <c r="AE210" i="1"/>
  <c r="R256" i="1"/>
  <c r="AE115" i="1"/>
  <c r="R132" i="1"/>
  <c r="V26" i="1"/>
  <c r="F106" i="1"/>
  <c r="G335" i="7" s="1"/>
  <c r="W26" i="1"/>
  <c r="F107" i="1"/>
  <c r="W286" i="1"/>
  <c r="GM119" i="1"/>
  <c r="GN119" i="1" s="1"/>
  <c r="CP129" i="1"/>
  <c r="O129" i="1" s="1"/>
  <c r="GM129" i="1" s="1"/>
  <c r="GN129" i="1" s="1"/>
  <c r="CY63" i="1"/>
  <c r="X63" i="1" s="1"/>
  <c r="AZ236" i="7" s="1"/>
  <c r="L234" i="7" s="1"/>
  <c r="CZ63" i="1"/>
  <c r="Y63" i="1" s="1"/>
  <c r="BA236" i="7" s="1"/>
  <c r="L235" i="7" s="1"/>
  <c r="CY216" i="1"/>
  <c r="X216" i="1" s="1"/>
  <c r="CZ216" i="1"/>
  <c r="Y216" i="1" s="1"/>
  <c r="BA554" i="7" s="1"/>
  <c r="L553" i="7" s="1"/>
  <c r="CZ217" i="1"/>
  <c r="Y217" i="1" s="1"/>
  <c r="BA575" i="7" s="1"/>
  <c r="L574" i="7" s="1"/>
  <c r="CY217" i="1"/>
  <c r="X217" i="1" s="1"/>
  <c r="AZ575" i="7" s="1"/>
  <c r="L573" i="7" s="1"/>
  <c r="AD178" i="1"/>
  <c r="GM216" i="1" l="1"/>
  <c r="GN216" i="1" s="1"/>
  <c r="AZ554" i="7"/>
  <c r="L552" i="7" s="1"/>
  <c r="L418" i="7"/>
  <c r="L358" i="7"/>
  <c r="AN282" i="7"/>
  <c r="K282" i="7"/>
  <c r="I282" i="7" s="1"/>
  <c r="L531" i="7"/>
  <c r="L748" i="7"/>
  <c r="L126" i="7"/>
  <c r="AN378" i="7"/>
  <c r="K378" i="7"/>
  <c r="I378" i="7" s="1"/>
  <c r="L498" i="7"/>
  <c r="L460" i="7"/>
  <c r="K84" i="7"/>
  <c r="I84" i="7" s="1"/>
  <c r="AN84" i="7"/>
  <c r="L63" i="7"/>
  <c r="L855" i="7"/>
  <c r="L784" i="7"/>
  <c r="L322" i="7"/>
  <c r="AN400" i="7"/>
  <c r="K400" i="7"/>
  <c r="I400" i="7" s="1"/>
  <c r="K620" i="7"/>
  <c r="I620" i="7" s="1"/>
  <c r="AN620" i="7"/>
  <c r="K597" i="7"/>
  <c r="I597" i="7" s="1"/>
  <c r="AN597" i="7"/>
  <c r="AN389" i="7"/>
  <c r="K389" i="7"/>
  <c r="I389" i="7" s="1"/>
  <c r="K254" i="7"/>
  <c r="I254" i="7" s="1"/>
  <c r="AN254" i="7"/>
  <c r="L62" i="7"/>
  <c r="K156" i="7"/>
  <c r="I156" i="7" s="1"/>
  <c r="AN156" i="7"/>
  <c r="AN575" i="7"/>
  <c r="K575" i="7"/>
  <c r="I575" i="7" s="1"/>
  <c r="L357" i="7"/>
  <c r="AN359" i="7" s="1"/>
  <c r="L417" i="7"/>
  <c r="L426" i="7" s="1"/>
  <c r="GM44" i="1"/>
  <c r="GO44" i="1" s="1"/>
  <c r="AZ177" i="7"/>
  <c r="L175" i="7" s="1"/>
  <c r="F105" i="1"/>
  <c r="G334" i="7" s="1"/>
  <c r="AN75" i="7"/>
  <c r="K75" i="7"/>
  <c r="I75" i="7" s="1"/>
  <c r="AN730" i="7"/>
  <c r="K730" i="7"/>
  <c r="I730" i="7" s="1"/>
  <c r="AN709" i="7"/>
  <c r="K709" i="7"/>
  <c r="I709" i="7" s="1"/>
  <c r="K197" i="7"/>
  <c r="I197" i="7" s="1"/>
  <c r="AN197" i="7"/>
  <c r="K545" i="7"/>
  <c r="I545" i="7" s="1"/>
  <c r="AN545" i="7"/>
  <c r="L530" i="7"/>
  <c r="AN304" i="7"/>
  <c r="K304" i="7"/>
  <c r="I304" i="7" s="1"/>
  <c r="AK178" i="1"/>
  <c r="AZ461" i="7"/>
  <c r="K236" i="7"/>
  <c r="I236" i="7" s="1"/>
  <c r="AN236" i="7"/>
  <c r="L804" i="7"/>
  <c r="L127" i="7"/>
  <c r="GM40" i="1"/>
  <c r="GO40" i="1" s="1"/>
  <c r="AN480" i="7"/>
  <c r="K480" i="7"/>
  <c r="I480" i="7" s="1"/>
  <c r="K216" i="7"/>
  <c r="I216" i="7" s="1"/>
  <c r="AN216" i="7"/>
  <c r="AN139" i="7"/>
  <c r="K139" i="7"/>
  <c r="I139" i="7" s="1"/>
  <c r="K663" i="7"/>
  <c r="I663" i="7" s="1"/>
  <c r="AN663" i="7"/>
  <c r="GM235" i="1"/>
  <c r="GO235" i="1" s="1"/>
  <c r="AZ641" i="7"/>
  <c r="L639" i="7" s="1"/>
  <c r="AN685" i="7"/>
  <c r="K685" i="7"/>
  <c r="I685" i="7" s="1"/>
  <c r="L109" i="7"/>
  <c r="L803" i="7"/>
  <c r="L786" i="7" s="1"/>
  <c r="AL132" i="1"/>
  <c r="AL115" i="1" s="1"/>
  <c r="GM38" i="1"/>
  <c r="GN38" i="1" s="1"/>
  <c r="GM127" i="1"/>
  <c r="GN127" i="1" s="1"/>
  <c r="GM79" i="1"/>
  <c r="GO79" i="1" s="1"/>
  <c r="GM63" i="1"/>
  <c r="GO63" i="1" s="1"/>
  <c r="GM246" i="1"/>
  <c r="GN246" i="1" s="1"/>
  <c r="AL178" i="1"/>
  <c r="AL164" i="1" s="1"/>
  <c r="GM32" i="1"/>
  <c r="GN32" i="1" s="1"/>
  <c r="GM240" i="1"/>
  <c r="GN240" i="1" s="1"/>
  <c r="AK132" i="1"/>
  <c r="X132" i="1" s="1"/>
  <c r="GM30" i="1"/>
  <c r="GN30" i="1" s="1"/>
  <c r="GM52" i="1"/>
  <c r="GO52" i="1" s="1"/>
  <c r="GM174" i="1"/>
  <c r="GN174" i="1" s="1"/>
  <c r="GM242" i="1"/>
  <c r="GN242" i="1" s="1"/>
  <c r="GM215" i="1"/>
  <c r="GN215" i="1" s="1"/>
  <c r="GM230" i="1"/>
  <c r="GO230" i="1" s="1"/>
  <c r="T22" i="1"/>
  <c r="T316" i="1"/>
  <c r="F307" i="1"/>
  <c r="AK115" i="1"/>
  <c r="GM58" i="1"/>
  <c r="GO58" i="1" s="1"/>
  <c r="AX18" i="1"/>
  <c r="F323" i="1"/>
  <c r="AD26" i="1"/>
  <c r="Q83" i="1"/>
  <c r="CE115" i="1"/>
  <c r="AV132" i="1"/>
  <c r="U22" i="1"/>
  <c r="F308" i="1"/>
  <c r="U316" i="1"/>
  <c r="R210" i="1"/>
  <c r="F270" i="1"/>
  <c r="GM225" i="1"/>
  <c r="GO225" i="1" s="1"/>
  <c r="H16" i="2"/>
  <c r="GM75" i="1"/>
  <c r="GO75" i="1" s="1"/>
  <c r="CH115" i="1"/>
  <c r="AY132" i="1"/>
  <c r="GM217" i="1"/>
  <c r="GO217" i="1" s="1"/>
  <c r="AU18" i="1"/>
  <c r="F335" i="1"/>
  <c r="AE26" i="1"/>
  <c r="R83" i="1"/>
  <c r="Y132" i="1"/>
  <c r="AL256" i="1"/>
  <c r="AK256" i="1"/>
  <c r="AF26" i="1"/>
  <c r="S83" i="1"/>
  <c r="BA22" i="1"/>
  <c r="F306" i="1"/>
  <c r="BA316" i="1"/>
  <c r="GM117" i="1"/>
  <c r="AC26" i="1"/>
  <c r="CE83" i="1"/>
  <c r="CH83" i="1"/>
  <c r="P83" i="1"/>
  <c r="CF83" i="1"/>
  <c r="AQ18" i="1"/>
  <c r="F326" i="1"/>
  <c r="CF115" i="1"/>
  <c r="AW132" i="1"/>
  <c r="GM28" i="1"/>
  <c r="AB83" i="1"/>
  <c r="GM166" i="1"/>
  <c r="AB178" i="1"/>
  <c r="AL83" i="1"/>
  <c r="T164" i="1"/>
  <c r="F199" i="1"/>
  <c r="V164" i="1"/>
  <c r="F201" i="1"/>
  <c r="G511" i="7" s="1"/>
  <c r="F135" i="1"/>
  <c r="P115" i="1"/>
  <c r="P178" i="1"/>
  <c r="AC164" i="1"/>
  <c r="CE178" i="1"/>
  <c r="CF178" i="1"/>
  <c r="CH178" i="1"/>
  <c r="AB132" i="1"/>
  <c r="W22" i="1"/>
  <c r="W316" i="1"/>
  <c r="F310" i="1"/>
  <c r="AZ18" i="1"/>
  <c r="F327" i="1"/>
  <c r="AK83" i="1"/>
  <c r="V210" i="1"/>
  <c r="F279" i="1"/>
  <c r="G761" i="7" s="1"/>
  <c r="AF210" i="1"/>
  <c r="S256" i="1"/>
  <c r="AD164" i="1"/>
  <c r="Q178" i="1"/>
  <c r="V286" i="1"/>
  <c r="AF115" i="1"/>
  <c r="S132" i="1"/>
  <c r="AF164" i="1"/>
  <c r="S178" i="1"/>
  <c r="AD210" i="1"/>
  <c r="Q256" i="1"/>
  <c r="AC210" i="1"/>
  <c r="CH256" i="1"/>
  <c r="CE256" i="1"/>
  <c r="CF256" i="1"/>
  <c r="P256" i="1"/>
  <c r="AK164" i="1"/>
  <c r="X178" i="1"/>
  <c r="GM212" i="1"/>
  <c r="AB256" i="1"/>
  <c r="AE164" i="1"/>
  <c r="R178" i="1"/>
  <c r="F144" i="1"/>
  <c r="Q115" i="1"/>
  <c r="R115" i="1"/>
  <c r="F146" i="1"/>
  <c r="GM35" i="1"/>
  <c r="GO35" i="1" s="1"/>
  <c r="GM251" i="1"/>
  <c r="GN251" i="1" s="1"/>
  <c r="GM33" i="1"/>
  <c r="GO33" i="1" s="1"/>
  <c r="GM70" i="1"/>
  <c r="GO70" i="1" s="1"/>
  <c r="Y178" i="1" l="1"/>
  <c r="L497" i="7"/>
  <c r="L506" i="7" s="1"/>
  <c r="L459" i="7"/>
  <c r="L747" i="7"/>
  <c r="L756" i="7" s="1"/>
  <c r="L783" i="7"/>
  <c r="L766" i="7" s="1"/>
  <c r="L837" i="7" s="1"/>
  <c r="K359" i="7"/>
  <c r="I359" i="7" s="1"/>
  <c r="AN641" i="7"/>
  <c r="K641" i="7"/>
  <c r="I641" i="7" s="1"/>
  <c r="AN532" i="7"/>
  <c r="K532" i="7"/>
  <c r="I532" i="7" s="1"/>
  <c r="AN64" i="7"/>
  <c r="K64" i="7"/>
  <c r="I64" i="7" s="1"/>
  <c r="K111" i="7"/>
  <c r="I111" i="7" s="1"/>
  <c r="AN111" i="7"/>
  <c r="K177" i="7"/>
  <c r="I177" i="7" s="1"/>
  <c r="AN177" i="7"/>
  <c r="K128" i="7"/>
  <c r="I128" i="7" s="1"/>
  <c r="AN128" i="7"/>
  <c r="AN554" i="7"/>
  <c r="K554" i="7"/>
  <c r="I554" i="7" s="1"/>
  <c r="K41" i="7"/>
  <c r="G864" i="7"/>
  <c r="L854" i="7"/>
  <c r="L321" i="7"/>
  <c r="L330" i="7" s="1"/>
  <c r="CB256" i="1"/>
  <c r="CB210" i="1" s="1"/>
  <c r="CC83" i="1"/>
  <c r="CC26" i="1" s="1"/>
  <c r="AK26" i="1"/>
  <c r="X83" i="1"/>
  <c r="S26" i="1"/>
  <c r="F98" i="1"/>
  <c r="S286" i="1"/>
  <c r="AY115" i="1"/>
  <c r="F140" i="1"/>
  <c r="Q26" i="1"/>
  <c r="F95" i="1"/>
  <c r="Q286" i="1"/>
  <c r="S164" i="1"/>
  <c r="F193" i="1"/>
  <c r="AK210" i="1"/>
  <c r="X256" i="1"/>
  <c r="AL210" i="1"/>
  <c r="Y256" i="1"/>
  <c r="R164" i="1"/>
  <c r="F192" i="1"/>
  <c r="X164" i="1"/>
  <c r="F204" i="1"/>
  <c r="W18" i="1"/>
  <c r="F340" i="1"/>
  <c r="P26" i="1"/>
  <c r="F86" i="1"/>
  <c r="P286" i="1"/>
  <c r="V22" i="1"/>
  <c r="V316" i="1"/>
  <c r="F309" i="1"/>
  <c r="CH26" i="1"/>
  <c r="AY83" i="1"/>
  <c r="Y115" i="1"/>
  <c r="F159" i="1"/>
  <c r="F158" i="1"/>
  <c r="X115" i="1"/>
  <c r="AL26" i="1"/>
  <c r="Y83" i="1"/>
  <c r="CE26" i="1"/>
  <c r="AV83" i="1"/>
  <c r="R26" i="1"/>
  <c r="F97" i="1"/>
  <c r="R286" i="1"/>
  <c r="AB210" i="1"/>
  <c r="O256" i="1"/>
  <c r="CA256" i="1"/>
  <c r="GO212" i="1"/>
  <c r="CC256" i="1" s="1"/>
  <c r="CF210" i="1"/>
  <c r="AW256" i="1"/>
  <c r="AB164" i="1"/>
  <c r="O178" i="1"/>
  <c r="U18" i="1"/>
  <c r="F338" i="1"/>
  <c r="AB115" i="1"/>
  <c r="O132" i="1"/>
  <c r="CH164" i="1"/>
  <c r="AY178" i="1"/>
  <c r="AV256" i="1"/>
  <c r="CE210" i="1"/>
  <c r="S210" i="1"/>
  <c r="F271" i="1"/>
  <c r="CF164" i="1"/>
  <c r="AW178" i="1"/>
  <c r="CA178" i="1"/>
  <c r="GN166" i="1"/>
  <c r="CB178" i="1" s="1"/>
  <c r="GN117" i="1"/>
  <c r="CB132" i="1" s="1"/>
  <c r="CA132" i="1"/>
  <c r="Y164" i="1"/>
  <c r="F205" i="1"/>
  <c r="AB26" i="1"/>
  <c r="O83" i="1"/>
  <c r="BA18" i="1"/>
  <c r="F336" i="1"/>
  <c r="S115" i="1"/>
  <c r="F147" i="1"/>
  <c r="CF26" i="1"/>
  <c r="AW83" i="1"/>
  <c r="AV115" i="1"/>
  <c r="F137" i="1"/>
  <c r="T18" i="1"/>
  <c r="F337" i="1"/>
  <c r="P210" i="1"/>
  <c r="F259" i="1"/>
  <c r="Q164" i="1"/>
  <c r="F190" i="1"/>
  <c r="CH210" i="1"/>
  <c r="AY256" i="1"/>
  <c r="AV178" i="1"/>
  <c r="CE164" i="1"/>
  <c r="GN28" i="1"/>
  <c r="CB83" i="1" s="1"/>
  <c r="CA83" i="1"/>
  <c r="Q210" i="1"/>
  <c r="F268" i="1"/>
  <c r="F181" i="1"/>
  <c r="P164" i="1"/>
  <c r="F138" i="1"/>
  <c r="AW115" i="1"/>
  <c r="AN461" i="7" l="1"/>
  <c r="K461" i="7"/>
  <c r="I461" i="7" s="1"/>
  <c r="K42" i="7"/>
  <c r="G865" i="7"/>
  <c r="L866" i="7"/>
  <c r="L867" i="7" s="1"/>
  <c r="AS256" i="1"/>
  <c r="AS210" i="1" s="1"/>
  <c r="AT83" i="1"/>
  <c r="AT26" i="1" s="1"/>
  <c r="CA210" i="1"/>
  <c r="AR256" i="1"/>
  <c r="Q22" i="1"/>
  <c r="Q316" i="1"/>
  <c r="F298" i="1"/>
  <c r="AY164" i="1"/>
  <c r="F186" i="1"/>
  <c r="O210" i="1"/>
  <c r="F258" i="1"/>
  <c r="AY26" i="1"/>
  <c r="F91" i="1"/>
  <c r="AY286" i="1"/>
  <c r="CA115" i="1"/>
  <c r="AR132" i="1"/>
  <c r="O115" i="1"/>
  <c r="F134" i="1"/>
  <c r="R22" i="1"/>
  <c r="F300" i="1"/>
  <c r="R316" i="1"/>
  <c r="CA26" i="1"/>
  <c r="AR83" i="1"/>
  <c r="CB164" i="1"/>
  <c r="AS178" i="1"/>
  <c r="V18" i="1"/>
  <c r="F339" i="1"/>
  <c r="S22" i="1"/>
  <c r="S316" i="1"/>
  <c r="F301" i="1"/>
  <c r="CB115" i="1"/>
  <c r="AS132" i="1"/>
  <c r="AV164" i="1"/>
  <c r="F183" i="1"/>
  <c r="CA164" i="1"/>
  <c r="AR178" i="1"/>
  <c r="AY210" i="1"/>
  <c r="F264" i="1"/>
  <c r="AW164" i="1"/>
  <c r="F184" i="1"/>
  <c r="O164" i="1"/>
  <c r="F180" i="1"/>
  <c r="CB26" i="1"/>
  <c r="AS83" i="1"/>
  <c r="AW26" i="1"/>
  <c r="F89" i="1"/>
  <c r="AW286" i="1"/>
  <c r="AV26" i="1"/>
  <c r="F88" i="1"/>
  <c r="AV286" i="1"/>
  <c r="Y210" i="1"/>
  <c r="F283" i="1"/>
  <c r="Y26" i="1"/>
  <c r="F110" i="1"/>
  <c r="Y286" i="1"/>
  <c r="X210" i="1"/>
  <c r="F282" i="1"/>
  <c r="X26" i="1"/>
  <c r="F109" i="1"/>
  <c r="X286" i="1"/>
  <c r="AV210" i="1"/>
  <c r="F261" i="1"/>
  <c r="F262" i="1"/>
  <c r="AW210" i="1"/>
  <c r="P22" i="1"/>
  <c r="F289" i="1"/>
  <c r="P316" i="1"/>
  <c r="O26" i="1"/>
  <c r="F85" i="1"/>
  <c r="O286" i="1"/>
  <c r="CC210" i="1"/>
  <c r="AT256" i="1"/>
  <c r="AT286" i="1" s="1"/>
  <c r="F273" i="1" l="1"/>
  <c r="F101" i="1"/>
  <c r="AT22" i="1"/>
  <c r="AT316" i="1"/>
  <c r="F304" i="1"/>
  <c r="AY22" i="1"/>
  <c r="AY316" i="1"/>
  <c r="F294" i="1"/>
  <c r="AS164" i="1"/>
  <c r="F195" i="1"/>
  <c r="AR164" i="1"/>
  <c r="F206" i="1"/>
  <c r="R18" i="1"/>
  <c r="F330" i="1"/>
  <c r="AW22" i="1"/>
  <c r="AW316" i="1"/>
  <c r="F292" i="1"/>
  <c r="AR26" i="1"/>
  <c r="F111" i="1"/>
  <c r="AR286" i="1"/>
  <c r="P18" i="1"/>
  <c r="F319" i="1"/>
  <c r="AS26" i="1"/>
  <c r="F100" i="1"/>
  <c r="AS286" i="1"/>
  <c r="Y22" i="1"/>
  <c r="F313" i="1"/>
  <c r="Y316" i="1"/>
  <c r="AS115" i="1"/>
  <c r="F149" i="1"/>
  <c r="J16" i="2"/>
  <c r="Q18" i="1"/>
  <c r="F328" i="1"/>
  <c r="AT210" i="1"/>
  <c r="F274" i="1"/>
  <c r="AV22" i="1"/>
  <c r="F291" i="1"/>
  <c r="AV316" i="1"/>
  <c r="S18" i="1"/>
  <c r="F331" i="1"/>
  <c r="AR115" i="1"/>
  <c r="F160" i="1"/>
  <c r="AR210" i="1"/>
  <c r="F284" i="1"/>
  <c r="O22" i="1"/>
  <c r="F288" i="1"/>
  <c r="O316" i="1"/>
  <c r="X22" i="1"/>
  <c r="F312" i="1"/>
  <c r="X316" i="1"/>
  <c r="F16" i="2" l="1"/>
  <c r="C42" i="7"/>
  <c r="AS22" i="1"/>
  <c r="F303" i="1"/>
  <c r="AS316" i="1"/>
  <c r="AY18" i="1"/>
  <c r="F324" i="1"/>
  <c r="AV18" i="1"/>
  <c r="F321" i="1"/>
  <c r="AR22" i="1"/>
  <c r="AR316" i="1"/>
  <c r="F314" i="1"/>
  <c r="X18" i="1"/>
  <c r="F342" i="1"/>
  <c r="AW18" i="1"/>
  <c r="F322" i="1"/>
  <c r="AT18" i="1"/>
  <c r="F334" i="1"/>
  <c r="O18" i="1"/>
  <c r="F318" i="1"/>
  <c r="Y18" i="1"/>
  <c r="F343" i="1"/>
  <c r="E16" i="2" l="1"/>
  <c r="I16" i="2" s="1"/>
  <c r="N16" i="2" s="1"/>
  <c r="C41" i="7"/>
  <c r="C38" i="7" s="1"/>
  <c r="AR18" i="1"/>
  <c r="F344" i="1"/>
  <c r="AS18" i="1"/>
  <c r="F333" i="1"/>
  <c r="F345" i="1" l="1"/>
  <c r="F346" i="1" s="1"/>
</calcChain>
</file>

<file path=xl/sharedStrings.xml><?xml version="1.0" encoding="utf-8"?>
<sst xmlns="http://schemas.openxmlformats.org/spreadsheetml/2006/main" count="11990" uniqueCount="1009">
  <si>
    <t>Smeta.RU  (495) 974-1589</t>
  </si>
  <si>
    <t>_PS_</t>
  </si>
  <si>
    <t>Smeta.RU</t>
  </si>
  <si>
    <t/>
  </si>
  <si>
    <t>Новый объект_(Копия)_(Копия)</t>
  </si>
  <si>
    <t>Строгановка Аудитория № 1009, 311, 239 ИСПРАВЛЕННАЯ по замечаниям Кости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</si>
  <si>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</si>
  <si>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</si>
  <si>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</si>
  <si>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</si>
  <si>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</si>
  <si>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Капитальный ремонт жилых и общественных зданий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</si>
  <si>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</si>
  <si>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</si>
  <si>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</si>
  <si>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Новый раздел</t>
  </si>
  <si>
    <t>Электромонтажные работы</t>
  </si>
  <si>
    <t>1</t>
  </si>
  <si>
    <t>67-01-004-03</t>
  </si>
  <si>
    <t>Демонтаж: светильников с лампами накаливания</t>
  </si>
  <si>
    <t>100 ШТ</t>
  </si>
  <si>
    <t>ГЭСНр-2022, 67-01-004-03, приказ Минстроя России от 18.05.2022 г. № 378/пр</t>
  </si>
  <si>
    <t>Ремонтно-строительные работы</t>
  </si>
  <si>
    <t>рФЕР-67</t>
  </si>
  <si>
    <t>Пр/812-101.0-1</t>
  </si>
  <si>
    <t>Пр/774-101.0</t>
  </si>
  <si>
    <t>1,1</t>
  </si>
  <si>
    <t>91.06.06-048</t>
  </si>
  <si>
    <t>Подъемники одномачтовые, грузоподъемность до 500 кг, высота подъема 45 м</t>
  </si>
  <si>
    <t>маш.-ч</t>
  </si>
  <si>
    <t>ФСЭМ-2022, 91.06.06-048, приказ Минстроя России от 18.05.2022 г. № 378/пр</t>
  </si>
  <si>
    <t>2</t>
  </si>
  <si>
    <t>67-01-004-05</t>
  </si>
  <si>
    <t>Демонтаж: светильников для люминесцентных ламп</t>
  </si>
  <si>
    <t>ГЭСНр-2022, 67-01-004-05, приказ Минстроя России от 18.05.2022 г. № 378/пр</t>
  </si>
  <si>
    <t>2,1</t>
  </si>
  <si>
    <t>3</t>
  </si>
  <si>
    <t>67-01-004-01</t>
  </si>
  <si>
    <t>Демонтаж: выключателей, розеток</t>
  </si>
  <si>
    <t>ГЭСНр-2022, 67-01-004-01, приказ Минстроя России от 18.05.2022 г. № 378/пр</t>
  </si>
  <si>
    <t>4</t>
  </si>
  <si>
    <t>м08-03-545-01</t>
  </si>
  <si>
    <t>Коробка (ящик) с зажимами для кабелей и проводов сечением до 6 мм2, устанавливаемая на конструкции на стене или колонне, количество зажимов: до 10 (Демонтаж распаячных коробок 100х100)</t>
  </si>
  <si>
    <t>ШТ</t>
  </si>
  <si>
    <t>ГЭСНм-2022, м08-03-545-01, приказ Минстроя России от 18.05.2022 г. № 378/пр</t>
  </si>
  <si>
    <t>Поправка: 571/пр_2022_п.84_т.3_стр.4_стб.3
Наименование: Демонтаж оборудования, не пригодного для дальнейшего использования (предназначено в лом), без разборки и резки
Поправка: 
Наименование:
Поправка: 
Наименование:</t>
  </si>
  <si>
    <t>*0</t>
  </si>
  <si>
    <t>*0,3</t>
  </si>
  <si>
    <t>Монтажные работы</t>
  </si>
  <si>
    <t>Электротехнические установки: на других объектах</t>
  </si>
  <si>
    <t>мФЕР-08</t>
  </si>
  <si>
    <t>Поправка: 571/пр_2022_п.84_т.3_стр.4_стб.3
Поправка:
Поправка:</t>
  </si>
  <si>
    <t>Пр/812-049.3-1</t>
  </si>
  <si>
    <t>Пр/774-049.3</t>
  </si>
  <si>
    <t>4,1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</si>
  <si>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</si>
  <si>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</si>
  <si>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</si>
  <si>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5</t>
  </si>
  <si>
    <t>м08-02-390-01</t>
  </si>
  <si>
    <t>Короба пластмассовые: шириной до 40 мм (Демонтаж кабельного канала 20х10мм)</t>
  </si>
  <si>
    <t>100 м</t>
  </si>
  <si>
    <t>ГЭСНм-2022, м08-02-390-01, приказ Минстроя России от 18.05.2022 г. № 378/пр</t>
  </si>
  <si>
    <t>Поправка: 571/пр_2022_п.84_т.3_стр.4_стб.3
Наименование: Демонтаж оборудования, не пригодного для дальнейшего использования (предназначено в лом), без разборки и резки</t>
  </si>
  <si>
    <t>Поправка: 571/пр_2022_п.84_т.3_стр.4_стб.3</t>
  </si>
  <si>
    <t>5,1</t>
  </si>
  <si>
    <t>Поправка: 571/пр_2022_п.84_т.3_стр.4_стб.3_x000D_
Наименование: Демонтаж оборудования, не пригодного для дальнейшего использования (предназначено в лом), без разборки и резки</t>
  </si>
  <si>
    <t>5,2</t>
  </si>
  <si>
    <t>6</t>
  </si>
  <si>
    <t>67-01-003-01</t>
  </si>
  <si>
    <t>Демонтаж кабеля</t>
  </si>
  <si>
    <t>ГЭСНр-2022, 67-01-003-01, приказ Минстроя России от 18.05.2022 г. № 378/пр</t>
  </si>
  <si>
    <t>6,1</t>
  </si>
  <si>
    <t>7</t>
  </si>
  <si>
    <t>Короба пластмассовые: шириной до 40 мм (Монтаж кабель-канала 25х25)</t>
  </si>
  <si>
    <t>7,1</t>
  </si>
  <si>
    <t>20.2.05.04-0057</t>
  </si>
  <si>
    <t>Короб кабельный (кабель-канал) ПВХ с крышкой, размеры 25х25 мм</t>
  </si>
  <si>
    <t>ФСБЦ-2022 доп.14, 20.2.05.04-0057, приказ Минстроя России от 19.05.2025 г. № 299/пр</t>
  </si>
  <si>
    <t>7,2</t>
  </si>
  <si>
    <t>7,3</t>
  </si>
  <si>
    <t>8</t>
  </si>
  <si>
    <t>м08-02-390-03</t>
  </si>
  <si>
    <t>Короба пластмассовые: шириной до 120 мм (Монтаж кабель-канала 80х50)</t>
  </si>
  <si>
    <t>ГЭСНм-2022, м08-02-390-03, приказ Минстроя России от 18.05.2022 г. № 378/пр</t>
  </si>
  <si>
    <t>8,1</t>
  </si>
  <si>
    <t>20.2.05.04-0069</t>
  </si>
  <si>
    <t>Короб кабельный (кабель-канал) ПВХ с крышкой, размеры 80х40 мм</t>
  </si>
  <si>
    <t>ФСБЦ-2022 доп.14, 20.2.05.04-0069, приказ Минстроя России от 19.05.2025 г. № 299/пр</t>
  </si>
  <si>
    <t>8,2</t>
  </si>
  <si>
    <t>20.2.05.03-0007</t>
  </si>
  <si>
    <t>Заглушки для коробов, размеры 80х50 мм</t>
  </si>
  <si>
    <t>ФСБЦ-2022, 20.2.05.03-0007, приказ Минстроя России от 18.05.2022 г. № 378/пр</t>
  </si>
  <si>
    <t>8,3</t>
  </si>
  <si>
    <t>20.2.05.09-1096</t>
  </si>
  <si>
    <t>Угол внутренний для кабель-канала, размеры 80х40 мм</t>
  </si>
  <si>
    <t>ФСБЦ-2022 доп.7, 20.2.05.09-1096, приказ Минстроя России от 02.08.2023 г. № 551/пр</t>
  </si>
  <si>
    <t>8,4</t>
  </si>
  <si>
    <t>20.2.05.09-0017</t>
  </si>
  <si>
    <t>Углы внешние изменяемые для кабель-канала, размеры 80х50 мм</t>
  </si>
  <si>
    <t>ФСБЦ-2022, 20.2.05.09-0017, приказ Минстроя России от 18.05.2022 г. № 378/пр</t>
  </si>
  <si>
    <t>8,5</t>
  </si>
  <si>
    <t>20.2.05.09-0067</t>
  </si>
  <si>
    <t>Углы плоские для кабель-канала, размеры 90х40 мм</t>
  </si>
  <si>
    <t>ФСБЦ-2022, 20.2.05.09-0067, приказ Минстроя России от 18.05.2022 г. № 378/пр</t>
  </si>
  <si>
    <t>8,6</t>
  </si>
  <si>
    <t>8,7</t>
  </si>
  <si>
    <t>9</t>
  </si>
  <si>
    <t>м08-02-399-01</t>
  </si>
  <si>
    <t>Провод в коробах, сечением: до 6 мм2</t>
  </si>
  <si>
    <t>ГЭСНм-2022, м08-02-399-01, приказ Минстроя России от 18.05.2022 г. № 378/пр</t>
  </si>
  <si>
    <t>9,1</t>
  </si>
  <si>
    <t>21.1.06.09-0151</t>
  </si>
  <si>
    <t>Кабель силовой с медными жилами ВВГнг(A)-LS 3х1,5ок(N, PE)-660</t>
  </si>
  <si>
    <t>1000 м</t>
  </si>
  <si>
    <t>ФСБЦ-2022, 21.1.06.09-0151, приказ Минстроя России от 18.05.2022 г. № 378/пр</t>
  </si>
  <si>
    <t>1000 М</t>
  </si>
  <si>
    <t>9,2</t>
  </si>
  <si>
    <t>21.1.06.09-0152</t>
  </si>
  <si>
    <t>Кабель силовой с медными жилами ВВГнг(A)-LS 3х2,5ок(N, PE)-660</t>
  </si>
  <si>
    <t>ФСБЦ-2022, 21.1.06.09-0152, приказ Минстроя России от 18.05.2022 г. № 378/пр</t>
  </si>
  <si>
    <t>9,3</t>
  </si>
  <si>
    <t>9,4</t>
  </si>
  <si>
    <t>91.05.05-015</t>
  </si>
  <si>
    <t>Краны на автомобильном ходу, грузоподъемность 16 т</t>
  </si>
  <si>
    <t>ФСЭМ-2022, 91.05.05-015, приказ Минстроя России от 18.05.2022 г. № 378/пр</t>
  </si>
  <si>
    <t>9,5</t>
  </si>
  <si>
    <t>91.14.02-001</t>
  </si>
  <si>
    <t>Автомобили бортовые, грузоподъемность до 5 т</t>
  </si>
  <si>
    <t>ФСЭМ-2022 доп.7, 91.14.02-001, приказ Минстроя России от 02.08.2023 г. № 551/пр</t>
  </si>
  <si>
    <t>10</t>
  </si>
  <si>
    <t>м08-03-591-09</t>
  </si>
  <si>
    <t>Розетка штепсельная: утопленного типа при скрытой проводке</t>
  </si>
  <si>
    <t>ГЭСНм-2022 доп.7, м08-03-591-09, приказ Минстроя России от 02.08.2023 г. № 551/пр</t>
  </si>
  <si>
    <t>10,1</t>
  </si>
  <si>
    <t>20.4.03.06-1034</t>
  </si>
  <si>
    <t>Розетка скрытого монтажа, одноместная, с заземляющим контактом, без защитной шторки, 16 А, цвет белый, IP20</t>
  </si>
  <si>
    <t>ФСБЦ-2022, 20.4.03.06-1034, приказ Минстроя России от 18.05.2022 г. № 378/пр</t>
  </si>
  <si>
    <t>10,2</t>
  </si>
  <si>
    <t>20.4.03.06-0002</t>
  </si>
  <si>
    <t>Розетки РС16-126 Б IP44 для скрытой проводки с заземляющими контактами (Применительно. Розетка для скрытой установки INRIOR DB-03-90, в пол, в столешницу, влагозащитная IP 55, на 4 EURO розетки, возможна устанока информационных портов или USB)</t>
  </si>
  <si>
    <t>ФСБЦ-2022, 20.4.03.06-0002, приказ Минстроя России от 18.05.2022 г. № 378/пр</t>
  </si>
  <si>
    <t>10,3</t>
  </si>
  <si>
    <t>10,4</t>
  </si>
  <si>
    <t>11</t>
  </si>
  <si>
    <t>м10-06-034-12</t>
  </si>
  <si>
    <t>Коробка распределительная настенная на кабеле с пластмассовой оболочкой</t>
  </si>
  <si>
    <t>коробка</t>
  </si>
  <si>
    <t>ГЭСНм-2022 доп.17, м10-06-034-12, приказ Минстроя России от 17.02.2026 г. № 91/пр</t>
  </si>
  <si>
    <t>Оборудование связи: прокладка и монтаж сетей связи</t>
  </si>
  <si>
    <t>мФЕР-10</t>
  </si>
  <si>
    <t>Пр/812-051.1-1</t>
  </si>
  <si>
    <t>Пр/774-051.1</t>
  </si>
  <si>
    <t>11,1</t>
  </si>
  <si>
    <t>20.5.02.04-0001</t>
  </si>
  <si>
    <t>Коробка ответвительная, размеры 100х100х50 мм</t>
  </si>
  <si>
    <t>ФСБЦ-2022, 20.5.02.04-0001, приказ Минстроя России от 18.05.2022 г. № 378/пр</t>
  </si>
  <si>
    <t>11,2</t>
  </si>
  <si>
    <t>11,3</t>
  </si>
  <si>
    <t>91.11.01-012</t>
  </si>
  <si>
    <t>Машины монтажные для выполнения работ при прокладке и монтаже кабеля на базе автомобиля</t>
  </si>
  <si>
    <t>ФСЭМ-2022, 91.11.01-012, приказ Минстроя России от 18.05.2022 г. № 378/пр</t>
  </si>
  <si>
    <t>11,4</t>
  </si>
  <si>
    <t>01.3.01.01-0001</t>
  </si>
  <si>
    <t>Бензин авиационный Б-70</t>
  </si>
  <si>
    <t>т</t>
  </si>
  <si>
    <t>ФСБЦ-2022 доп.6, 01.3.01.01-0001, приказ Минстроя России от 11.05.2023 г. № 335/пр</t>
  </si>
  <si>
    <t>11,5</t>
  </si>
  <si>
    <t>01.3.02.09-0022</t>
  </si>
  <si>
    <t>Пропан-бутан смесь техническая</t>
  </si>
  <si>
    <t>кг</t>
  </si>
  <si>
    <t>ФСБЦ-2022 доп.3, 01.3.02.09-0022, приказ Минстроя России от 26.10.2022 г. № 905/пр</t>
  </si>
  <si>
    <t>11,6</t>
  </si>
  <si>
    <t>01.3.05.17-0002</t>
  </si>
  <si>
    <t>Канифоль сосновая</t>
  </si>
  <si>
    <t>ФСБЦ-2022, 01.3.05.17-0002, приказ Минстроя России от 18.05.2022 г. № 378/пр</t>
  </si>
  <si>
    <t>12</t>
  </si>
  <si>
    <t>м08-03-591-02</t>
  </si>
  <si>
    <t>Выключатель: одноклавишный утопленного типа при скрытой проводке</t>
  </si>
  <si>
    <t>ГЭСНм-2022 доп.7, м08-03-591-02, приказ Минстроя России от 02.08.2023 г. № 551/пр</t>
  </si>
  <si>
    <t>12,1</t>
  </si>
  <si>
    <t>20.4.01.02-1023</t>
  </si>
  <si>
    <t>Выключатель скрытого монтажа, одноклавишный, 10 А, цвет белый, IP20</t>
  </si>
  <si>
    <t>ФСБЦ-2022, 20.4.01.02-1023, приказ Минстроя России от 18.05.2022 г. № 378/пр</t>
  </si>
  <si>
    <t>12,2</t>
  </si>
  <si>
    <t>12,3</t>
  </si>
  <si>
    <t>12,4</t>
  </si>
  <si>
    <t>13</t>
  </si>
  <si>
    <t>м08-03-526-01</t>
  </si>
  <si>
    <t>Автомат одно-, двух-, трехполюсный, устанавливаемый на конструкции: на стене или колонне, на ток до 25 А</t>
  </si>
  <si>
    <t>ГЭСНм-2022, м08-03-526-01, приказ Минстроя России от 18.05.2022 г. № 378/пр</t>
  </si>
  <si>
    <t>13,1</t>
  </si>
  <si>
    <t>62.1.01.09-1026</t>
  </si>
  <si>
    <t>Выключатель автоматический трехполюсный, 10 А</t>
  </si>
  <si>
    <t>ФСБЦ-2022, 62.1.01.09-1026, приказ Минстроя России от 18.05.2022 г. № 378/пр</t>
  </si>
  <si>
    <t>13,2</t>
  </si>
  <si>
    <t>62.1.01.09-1328</t>
  </si>
  <si>
    <t>Выключатель автоматический 4P, 16 А, 6 кА, характеристика D</t>
  </si>
  <si>
    <t>ФСБЦ-2022, 62.1.01.09-1328, приказ Минстроя России от 18.05.2022 г. № 378/пр</t>
  </si>
  <si>
    <t>13,3</t>
  </si>
  <si>
    <t>14</t>
  </si>
  <si>
    <t>м08-03-609-02</t>
  </si>
  <si>
    <t>Светильник светодиодный накладной и подвесной линейный с креплением на: бетонное основание (стена, потолок)</t>
  </si>
  <si>
    <t>ГЭСНм-2022 доп.12, м08-03-609-02, приказ Минстроя России от 07.11.2024 г. № 747/пр</t>
  </si>
  <si>
    <t>14,1</t>
  </si>
  <si>
    <t>20.3.03.07-0011</t>
  </si>
  <si>
    <t>ФСБЦ-2022 доп.14, 20.3.03.07-0011, приказ Минстроя России от 19.05.2025 г. № 299/пр</t>
  </si>
  <si>
    <t>14,2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</si>
  <si>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</si>
  <si>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</si>
  <si>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</si>
  <si>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</si>
  <si>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</si>
  <si>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</si>
  <si>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</si>
  <si>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</si>
  <si>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</si>
  <si>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</si>
  <si>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</si>
  <si>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</si>
  <si>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</si>
  <si>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</si>
  <si>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</si>
  <si>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</si>
  <si>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</si>
  <si>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</si>
  <si>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</si>
  <si>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</si>
  <si>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</si>
  <si>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</si>
  <si>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</si>
  <si>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</si>
  <si>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</si>
  <si>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</si>
  <si>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</si>
  <si>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</si>
  <si>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</si>
  <si>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</si>
  <si>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</si>
  <si>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</si>
  <si>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</si>
  <si>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</si>
  <si>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</si>
  <si>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</si>
  <si>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</si>
  <si>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</si>
  <si>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</si>
  <si>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</si>
  <si>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</si>
  <si>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</si>
  <si>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</si>
  <si>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</si>
  <si>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</si>
  <si>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</si>
  <si>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</si>
  <si>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</si>
  <si>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</si>
  <si>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</si>
  <si>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</si>
  <si>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</si>
  <si>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</si>
  <si>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</si>
  <si>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Вентиляция</t>
  </si>
  <si>
    <t>15</t>
  </si>
  <si>
    <t>20-02-002-01</t>
  </si>
  <si>
    <t>Установка решеток жалюзийных площадью в свету: до 0,5 м2 (Демонтаж вентиляционных решеток 450х450 мм)</t>
  </si>
  <si>
    <t>ГЭСН-2022, 20-02-002-01, приказ Минстроя России от 18.05.2022 г. № 378/пр</t>
  </si>
  <si>
    <t>*1,25)*0,7</t>
  </si>
  <si>
    <t>*1,15)*0,7</t>
  </si>
  <si>
    <t>*0,85</t>
  </si>
  <si>
    <t>Общестроительные работы</t>
  </si>
  <si>
    <t>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</si>
  <si>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>Вентиляция и кондиционирование</t>
  </si>
  <si>
    <t>ФЕР-20</t>
  </si>
  <si>
    <t>Поправка: 421/пр_2020_п.58_пп.б
Поправка: 571/пр_2022_п.83_т.2_стр.4_стб.3</t>
  </si>
  <si>
    <t>Пр/812-016.0-1</t>
  </si>
  <si>
    <t>Пр/774-016.0</t>
  </si>
  <si>
    <t>15,1</t>
  </si>
  <si>
    <t>16</t>
  </si>
  <si>
    <t>20-02-012-01</t>
  </si>
  <si>
    <t>Установка дефлекторов диаметром патрубка: 280 мм (300 мм) (Демонтаж воздухоприемников 300х300 мм)</t>
  </si>
  <si>
    <t>ГЭСН-2022, 20-02-012-01, приказ Минстроя России от 18.05.2022 г. № 378/пр</t>
  </si>
  <si>
    <t>*0,4)*1,25</t>
  </si>
  <si>
    <t>*0,4)*1,15</t>
  </si>
  <si>
    <t>Поправка: 571/пр_2022_п.83_т.2_стр.3_стб.3
Поправка: 421/пр_2020_п.58_пп.б</t>
  </si>
  <si>
    <t>16,1</t>
  </si>
  <si>
    <t>18.4.01.02</t>
  </si>
  <si>
    <t>Растяжки с талрепами</t>
  </si>
  <si>
    <t>16,2</t>
  </si>
  <si>
    <t>19.1.04.02</t>
  </si>
  <si>
    <t>Дефлекторы</t>
  </si>
  <si>
    <t>16,3</t>
  </si>
  <si>
    <t>91.06.03-047</t>
  </si>
  <si>
    <t>Лебедки ручные и рычажные тяговым усилием 31,39 кН (3,2 т)</t>
  </si>
  <si>
    <t>ФСЭМ-2022, 91.06.03-047, приказ Минстроя России от 18.05.2022 г. № 378/пр</t>
  </si>
  <si>
    <t>16,4</t>
  </si>
  <si>
    <t>16,5</t>
  </si>
  <si>
    <t>01.1.01.09-0026</t>
  </si>
  <si>
    <t>Шнур асбестовый общего назначения ШАОН, диаметр 8-10 мм</t>
  </si>
  <si>
    <t>ФСБЦ-2022 доп.15, 01.1.01.09-0026, приказ Минстроя России от 14.08.2025 г. № 490/пр</t>
  </si>
  <si>
    <t>16,6</t>
  </si>
  <si>
    <t>01.7.15.03-0042</t>
  </si>
  <si>
    <t>Болты с гайками и шайбами строительные</t>
  </si>
  <si>
    <t>ФСБЦ-2022, 01.7.15.03-0042, приказ Минстроя России от 18.05.2022 г. № 378/пр</t>
  </si>
  <si>
    <t>16,7</t>
  </si>
  <si>
    <t>01.7.19.04-0031</t>
  </si>
  <si>
    <t>Прокладки резиновые (пластина техническая прессованная)</t>
  </si>
  <si>
    <t>ФСБЦ-2022, 01.7.19.04-0031, приказ Минстроя России от 18.05.2022 г. № 378/пр</t>
  </si>
  <si>
    <t>17</t>
  </si>
  <si>
    <t>65-03-003-06</t>
  </si>
  <si>
    <t>Разборка воздуховодов из листовой стали толщиной: 1-2 мм диаметром/периметром до 165 мм /540 мм</t>
  </si>
  <si>
    <t>100 м2</t>
  </si>
  <si>
    <t>ГЭСНр-2022, 65-03-003-06, приказ Минстроя России от 18.05.2022 г. № 378/пр</t>
  </si>
  <si>
    <t>Внутренние санитарно-технические работы</t>
  </si>
  <si>
    <t>Внутренние санитарнотехнические работы: демонтаж и разборка</t>
  </si>
  <si>
    <t>рФЕР-65</t>
  </si>
  <si>
    <t>Пр/812-099.1-1</t>
  </si>
  <si>
    <t>Пр/774-099.1</t>
  </si>
  <si>
    <t>17,1</t>
  </si>
  <si>
    <t>18</t>
  </si>
  <si>
    <t>65-03-003-07</t>
  </si>
  <si>
    <t>Разборка воздуховодов из листовой стали толщиной: 1-2 мм диаметром/периметром до 320 мм /1000 мм</t>
  </si>
  <si>
    <t>ГЭСНр-2022, 65-03-003-07, приказ Минстроя России от 18.05.2022 г. № 378/пр</t>
  </si>
  <si>
    <t>18,1</t>
  </si>
  <si>
    <t>Аудитория № 311</t>
  </si>
  <si>
    <t>19</t>
  </si>
  <si>
    <t>10-01-039-02</t>
  </si>
  <si>
    <t>Установка блоков в наружных и внутренних дверных проемах: в каменных стенах, площадь проема более 3 м2</t>
  </si>
  <si>
    <t>ГЭСН-2022 доп.11, 10-01-039-02, приказ Минстроя России от 09.08.2024 г. № 524/пр</t>
  </si>
  <si>
    <t>*(0,2+1)*1,25</t>
  </si>
  <si>
    <t>*(0,2+1)*1,15</t>
  </si>
  <si>
    <t>Деревянные конструкции</t>
  </si>
  <si>
    <t>ФЕР-10</t>
  </si>
  <si>
    <t>Поправка: 421/пр_2020_прил.10_т.5_п.1.1_гр.3
Поправка: 421/пр_2020_п.58_пп.б</t>
  </si>
  <si>
    <t>Пр/812-010.0-1</t>
  </si>
  <si>
    <t>Пр/774-010.0</t>
  </si>
  <si>
    <t>19,1</t>
  </si>
  <si>
    <t>01.7.04.07</t>
  </si>
  <si>
    <t>Скобяные изделия</t>
  </si>
  <si>
    <t>КОМПЛ</t>
  </si>
  <si>
    <t>19,2</t>
  </si>
  <si>
    <t>01.7.15.07</t>
  </si>
  <si>
    <t>Крепёжные изделия</t>
  </si>
  <si>
    <t>19,3</t>
  </si>
  <si>
    <t>11.2.02.01</t>
  </si>
  <si>
    <t>Блоки дверные</t>
  </si>
  <si>
    <t>19,4</t>
  </si>
  <si>
    <t>91.05.01-017</t>
  </si>
  <si>
    <t>Краны башенные, грузоподъемность 8 т</t>
  </si>
  <si>
    <t>ФСЭМ-2022 доп.3, 91.05.01-017, приказ Минстроя России от 26.10.2022 г. № 905/пр</t>
  </si>
  <si>
    <t>19,5</t>
  </si>
  <si>
    <t>19,6</t>
  </si>
  <si>
    <t>20</t>
  </si>
  <si>
    <t>ТЦ_11.2.02.01_50_5001057175_22.04.2026_01_1.1</t>
  </si>
  <si>
    <t>Двухстворчатая дверь с дверным блоком Размер 1.30/2,5 с установкой</t>
  </si>
  <si>
    <t>Материалы, отсутствующие в СНБ (Строительные)</t>
  </si>
  <si>
    <t>МР КА Строительные</t>
  </si>
  <si>
    <t>21</t>
  </si>
  <si>
    <t>10-01-060-01</t>
  </si>
  <si>
    <t>Установка и крепление наличников</t>
  </si>
  <si>
    <t>ГЭСН-2022, 10-01-060-01, приказ Минстроя России от 18.05.2022 г. № 378/пр</t>
  </si>
  <si>
    <t>21,1</t>
  </si>
  <si>
    <t>11.1.01.10-0064</t>
  </si>
  <si>
    <t>Наличник гладкий из древесины твердолиственных пород, сечение 70х15 мм</t>
  </si>
  <si>
    <t>м</t>
  </si>
  <si>
    <t>ФСБЦ-2022, 11.1.01.10-0064, приказ Минстроя России от 18.05.2022 г. № 378/пр</t>
  </si>
  <si>
    <t>21,2</t>
  </si>
  <si>
    <t>Аудитория № 239</t>
  </si>
  <si>
    <t>22</t>
  </si>
  <si>
    <t>Короба пластмассовые: шириной до 120 мм (Демонтаж кабельного канала 40х120 мм)</t>
  </si>
  <si>
    <t>Поправка: 571/пр_2022_п.84_т.3_стр.4_стб.3
Наименование: Демонтаж оборудования, не пригодного для дальнейшего использования (предназначено в лом), без разборки и резки
Поправка: 
Наименование:
Поправка: 
Наименование:
Поправка: 
Наименование:</t>
  </si>
  <si>
    <t>Поправка: 571/пр_2022_п.84_т.3_стр.4_стб.3
Поправка:
Поправка:
Поправка:</t>
  </si>
  <si>
    <t>22,1</t>
  </si>
  <si>
    <t>22,2</t>
  </si>
  <si>
    <t>23</t>
  </si>
  <si>
    <t>24</t>
  </si>
  <si>
    <t>25</t>
  </si>
  <si>
    <t>Короба пластмассовые: шириной до 120 мм (Монтаж кабельного канала 40х120 мм)</t>
  </si>
  <si>
    <t>25,1</t>
  </si>
  <si>
    <t>20.2.05.04-0094</t>
  </si>
  <si>
    <t>Короб кабельный (кабель-канал) ПВХ с крышкой, с направляющими, размеры 120х60 мм (применительно 40х120 мм)</t>
  </si>
  <si>
    <t>ФСБЦ-2022 доп.14, 20.2.05.04-0094, приказ Минстроя России от 19.05.2025 г. № 299/пр</t>
  </si>
  <si>
    <t>25,2</t>
  </si>
  <si>
    <t>20.2.05.03-0011</t>
  </si>
  <si>
    <t>Заглушки для коробов, размеры 130х60 мм (применительно 40х120 мм)</t>
  </si>
  <si>
    <t>ФСБЦ-2022, 20.2.05.03-0011, приказ Минстроя России от 18.05.2022 г. № 378/пр</t>
  </si>
  <si>
    <t>25,3</t>
  </si>
  <si>
    <t>20.2.05.09-1088</t>
  </si>
  <si>
    <t>Угол внутренний для кабель-канала, размеры 100х60 мм (применительно 40х120 мм)</t>
  </si>
  <si>
    <t>ФСБЦ-2022 доп.7, 20.2.05.09-1088, приказ Минстроя России от 02.08.2023 г. № 551/пр</t>
  </si>
  <si>
    <t>25,4</t>
  </si>
  <si>
    <t>25,5</t>
  </si>
  <si>
    <t>20.2.05.09-1016</t>
  </si>
  <si>
    <t>Углы плоские для кабель-канала, размеры 100х40 мм</t>
  </si>
  <si>
    <t>ФСБЦ-2022, 20.2.05.09-1016, приказ Минстроя России от 18.05.2022 г. № 378/пр</t>
  </si>
  <si>
    <t>25,6</t>
  </si>
  <si>
    <t>25,7</t>
  </si>
  <si>
    <t>26</t>
  </si>
  <si>
    <t>*(0,2+1)</t>
  </si>
  <si>
    <t>Поправка: 421/пр_2020_прил.10_т.5_п.1.1_гр.3</t>
  </si>
  <si>
    <t>26,1</t>
  </si>
  <si>
    <t>26,2</t>
  </si>
  <si>
    <t>26,3</t>
  </si>
  <si>
    <t>26,4</t>
  </si>
  <si>
    <t>27</t>
  </si>
  <si>
    <t>27,1</t>
  </si>
  <si>
    <t>Розетка скрытого монтажа, одноместная, с заземляющим контактом, без защитной шторки, 16 А, цвет белый, IP20 (применительно. серый)</t>
  </si>
  <si>
    <t>27,2</t>
  </si>
  <si>
    <t>27,3</t>
  </si>
  <si>
    <t>27,4</t>
  </si>
  <si>
    <t>28</t>
  </si>
  <si>
    <t>28,1</t>
  </si>
  <si>
    <t>28,2</t>
  </si>
  <si>
    <t>28,3</t>
  </si>
  <si>
    <t>28,4</t>
  </si>
  <si>
    <t>29</t>
  </si>
  <si>
    <t>15-04-006-04</t>
  </si>
  <si>
    <t>Покрытие поверхностей грунтовкой глубокого проникновения: за 2 раза стен (огрунтовка кабель-канала 120*40 l=30 м)</t>
  </si>
  <si>
    <t>ГЭСН-2022, 15-04-006-04, приказ Минстроя России от 18.05.2022 г. № 378/пр</t>
  </si>
  <si>
    <t>Отделочные работы</t>
  </si>
  <si>
    <t>ФЕР-15</t>
  </si>
  <si>
    <t>Пр/812-015.0-1</t>
  </si>
  <si>
    <t>Пр/774-015.0</t>
  </si>
  <si>
    <t>29,1</t>
  </si>
  <si>
    <t>14.3.01.01-0001</t>
  </si>
  <si>
    <t>Грунтовка адгезионная для обработки плотных, гладких, слабо- и не впитывающих влагу оснований</t>
  </si>
  <si>
    <t>ФСБЦ-2022, 14.3.01.01-0001, приказ Минстроя России от 18.05.2022 г. № 378/пр</t>
  </si>
  <si>
    <t>30</t>
  </si>
  <si>
    <t>15-04-005-05</t>
  </si>
  <si>
    <t>Окраска поливинилацетатными водоэмульсионными составами улучшенная: по сборным конструкциям стен, подготовленным под окраску (кабель-канала 120*40 l=30 м)</t>
  </si>
  <si>
    <t>ГЭСН-2022, 15-04-005-05, приказ Минстроя России от 18.05.2022 г. № 378/пр</t>
  </si>
  <si>
    <t>30,1</t>
  </si>
  <si>
    <t>14.3.02.01-0392</t>
  </si>
  <si>
    <t>Краска водно-дисперсионная акрилатная ВД-АК-116 (Применительно Краска моющаяся "Tikkurila Euro Power 7")</t>
  </si>
  <si>
    <t>ФСБЦ-2022, 14.3.02.01-0392, приказ Минстроя России от 18.05.2022 г. № 378/пр</t>
  </si>
  <si>
    <t>30,2</t>
  </si>
  <si>
    <t>30,3</t>
  </si>
  <si>
    <t>31</t>
  </si>
  <si>
    <t>15-04-007-01</t>
  </si>
  <si>
    <t>Окраска водно-дисперсионными акриловыми составами улучшенная: по штукатурке стен</t>
  </si>
  <si>
    <t>ГЭСН-2022, 15-04-007-01, приказ Минстроя России от 18.05.2022 г. № 378/пр</t>
  </si>
  <si>
    <t>31,1</t>
  </si>
  <si>
    <t>31,2</t>
  </si>
  <si>
    <t>14.4.01.02-0012</t>
  </si>
  <si>
    <t>Грунтовка укрепляющая, глубокого проникновения, быстросохнущая, паропроницаемая</t>
  </si>
  <si>
    <t>ФСБЦ-2022, 14.4.01.02-0012, приказ Минстроя России от 18.05.2022 г. № 378/пр</t>
  </si>
  <si>
    <t>31,3</t>
  </si>
  <si>
    <t>91.06.06-046</t>
  </si>
  <si>
    <t>Подъемники одномачтовые, грузоподъемность до 500 кг, высота подъема 25 м</t>
  </si>
  <si>
    <t>ФСЭМ-2022, 91.06.06-046, приказ Минстроя России от 18.05.2022 г. № 378/пр</t>
  </si>
  <si>
    <t>31,4</t>
  </si>
  <si>
    <t>32</t>
  </si>
  <si>
    <t>15-01-027-01</t>
  </si>
  <si>
    <t>Затирка швов между плитками ранее облицованных поверхностей с применением сухой смеси</t>
  </si>
  <si>
    <t>ГЭСН-2022 доп.11, 15-01-027-01, приказ Минстроя России от 09.08.2024 г. № 524/пр</t>
  </si>
  <si>
    <t>32,1</t>
  </si>
  <si>
    <t>04.3.02.09-1206</t>
  </si>
  <si>
    <t>Смеси сухие фуговочные на цементной основе и модифицирующих добавок для заполнения широких и узких швов между клинкерным кирпичом и плиткой из натурального, искусственного камня, керамики, бетона и керамогранита, расход 0,4-0,6 кг/м2, цветные</t>
  </si>
  <si>
    <t>ФСБЦ-2022, 04.3.02.09-1206, приказ Минстроя России от 18.05.2022 г. № 378/пр</t>
  </si>
  <si>
    <t>32,2</t>
  </si>
  <si>
    <t>32,3</t>
  </si>
  <si>
    <t>НДС 22%</t>
  </si>
  <si>
    <t>Всего с НДС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</si>
  <si>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</si>
  <si>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</si>
  <si>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</si>
  <si>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</si>
  <si>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</si>
  <si>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</si>
  <si>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</si>
  <si>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</si>
  <si>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</si>
  <si>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</si>
  <si>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</si>
  <si>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</si>
  <si>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</si>
  <si>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</si>
  <si>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</si>
  <si>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</si>
  <si>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</si>
  <si>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</si>
  <si>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</si>
  <si>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</si>
  <si>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</si>
  <si>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</si>
  <si>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</si>
  <si>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</si>
  <si>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</si>
  <si>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</si>
  <si>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</si>
  <si>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</si>
  <si>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</si>
  <si>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</si>
  <si>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</si>
  <si>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</si>
  <si>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</si>
  <si>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</si>
  <si>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</si>
  <si>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</si>
  <si>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</si>
  <si>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</si>
  <si>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</si>
  <si>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</si>
  <si>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</si>
  <si>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</si>
  <si>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</si>
  <si>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</si>
  <si>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</si>
  <si>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</si>
  <si>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</si>
  <si>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</si>
  <si>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</si>
  <si>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</si>
  <si>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</si>
  <si>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</si>
  <si>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</si>
  <si>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</si>
  <si>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</si>
  <si>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</si>
  <si>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</si>
  <si>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</si>
  <si>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</si>
  <si>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</si>
  <si>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</si>
  <si>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</si>
  <si>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</si>
  <si>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</si>
  <si>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</si>
  <si>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</si>
  <si>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</si>
  <si>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Вид цен</t>
  </si>
  <si>
    <t>Москва, КТЦ к ФСНБ-2022, 1 квартал 2026 г</t>
  </si>
  <si>
    <t>Сборник индексов</t>
  </si>
  <si>
    <t>Москва к ФСНБ-2022 ФГИС ЦС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</si>
  <si>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</si>
  <si>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</si>
  <si>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</si>
  <si>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Письмо Департамента экономической политики и развития города Москвы от 27.10.2025 № ДПР-3-23615/25(1)</t>
  </si>
  <si>
    <t>_OBSM_</t>
  </si>
  <si>
    <t>1-100-20</t>
  </si>
  <si>
    <t>Средний разряд работы 2,0</t>
  </si>
  <si>
    <t>чел.-ч.</t>
  </si>
  <si>
    <t>4-100-00</t>
  </si>
  <si>
    <t>Затраты труда машинистов</t>
  </si>
  <si>
    <t>4-100-030</t>
  </si>
  <si>
    <t>1-100-23</t>
  </si>
  <si>
    <t>Средний разряд работы 2,3</t>
  </si>
  <si>
    <t>1-100-38</t>
  </si>
  <si>
    <t>Средний разряд работы 3,8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</si>
  <si>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</si>
  <si>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</si>
  <si>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</si>
  <si>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01.3.01.02-0002</t>
  </si>
  <si>
    <t>ФСБЦ-2022 доп.8, 01.3.01.02-0002, приказ Минстроя России от 14.11.2023 г. № 817/пр</t>
  </si>
  <si>
    <t>Вазелин технический</t>
  </si>
  <si>
    <t>01.7.02.09-0002</t>
  </si>
  <si>
    <t>ФСБЦ-2022, 01.7.02.09-0002, приказ Минстроя России от 18.05.2022 г. № 378/пр</t>
  </si>
  <si>
    <t>Шпагат бумажный, диаметр 2,5 мм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</si>
  <si>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</si>
  <si>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</si>
  <si>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</si>
  <si>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</si>
  <si>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01.7.06.05-0041</t>
  </si>
  <si>
    <t>ФСБЦ-2022, 01.7.06.05-0041, приказ Минстроя России от 18.05.2022 г. № 378/пр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</si>
  <si>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</si>
  <si>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</si>
  <si>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</si>
  <si>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</si>
  <si>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01.7.15.07-0014</t>
  </si>
  <si>
    <t>ФСБЦ-2022, 01.7.15.07-0014, приказ Минстроя России от 18.05.2022 г. № 378/пр</t>
  </si>
  <si>
    <t>Дюбели распорные полипропиленовые</t>
  </si>
  <si>
    <t>01.7.20.04-0005</t>
  </si>
  <si>
    <t>ФСБЦ-2022, 01.7.20.04-0005, приказ Минстроя России от 18.05.2022 г. № 378/пр</t>
  </si>
  <si>
    <t>Нитки швейные армированные</t>
  </si>
  <si>
    <t>07.2.07.04-0007</t>
  </si>
  <si>
    <t>ФСБЦ-2022, 07.2.07.04-0007, приказ Минстроя России от 18.05.2022 г. № 378/пр</t>
  </si>
  <si>
    <t>Конструкции стальные индивидуального изготовления из сортового проката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</si>
  <si>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</si>
  <si>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</si>
  <si>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</si>
  <si>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14.4.03.06-0001</t>
  </si>
  <si>
    <t>ФСБЦ-2022 доп.9, 14.4.03.06-0001, приказ Минстроя России от 16.02.2024 г. № 102/пр</t>
  </si>
  <si>
    <t>Лак электроизоляционный МЛ-92</t>
  </si>
  <si>
    <t>20.1.02.23-0082</t>
  </si>
  <si>
    <t>ФСБЦ-2022, 20.1.02.23-0082, приказ Минстроя России от 18.05.2022 г. № 378/пр</t>
  </si>
  <si>
    <t>Перемычки гибкие, тип ПГС-50</t>
  </si>
  <si>
    <t>10 ШТ</t>
  </si>
  <si>
    <t>25.2.01.01-0001</t>
  </si>
  <si>
    <t>ФСБЦ-2022, 25.2.01.01-0001, приказ Минстроя России от 18.05.2022 г. № 378/пр</t>
  </si>
  <si>
    <t>Бирки-оконцеватели маркировочные А671</t>
  </si>
  <si>
    <t>1-100-39</t>
  </si>
  <si>
    <t>Средний разряд работы 3,9</t>
  </si>
  <si>
    <t>01.7.15.07-0022</t>
  </si>
  <si>
    <t>ФСБЦ-2022, 01.7.15.07-0022, приказ Минстроя России от 18.05.2022 г. № 378/пр</t>
  </si>
  <si>
    <t>Дюбели полиэтиленовые распорные, диаметр 6 мм, длина 40 мм</t>
  </si>
  <si>
    <t>1000 ШТ</t>
  </si>
  <si>
    <t>01.7.15.14-0165</t>
  </si>
  <si>
    <t>ФСБЦ-2022 доп.2, 01.7.15.14-0165, приказ Минстроя России от 26.08.2022 г. № 703/пр</t>
  </si>
  <si>
    <t>Шурупы самонарезающие стальные с полукруглой головкой и прямым шлицем, остроконечные, диаметр 4 мм, длина 40 мм</t>
  </si>
  <si>
    <t>4-100-060</t>
  </si>
  <si>
    <t>4-100-040</t>
  </si>
  <si>
    <t>01.7.06.07-0002</t>
  </si>
  <si>
    <t>ФСБЦ-2022, 01.7.06.07-0002, приказ Минстроя России от 18.05.2022 г. № 378/пр</t>
  </si>
  <si>
    <t>Ленты монтажные из пластмассы для бандажирования проводов, скрепляются пластмассовыми кнопками, ширина 10 мм</t>
  </si>
  <si>
    <t>10 м</t>
  </si>
  <si>
    <t>1-100-42</t>
  </si>
  <si>
    <t>Средний разряд работы 4,2</t>
  </si>
  <si>
    <t>03.1.01.01-0002</t>
  </si>
  <si>
    <t>ФСБЦ-2022, 03.1.01.01-0002, приказ Минстроя России от 18.05.2022 г. № 378/пр</t>
  </si>
  <si>
    <t>Гипс строительный Г-3</t>
  </si>
  <si>
    <t>20.2.02.01-0019</t>
  </si>
  <si>
    <t>ФСБЦ-2022, 20.2.02.01-0019, приказ Минстроя России от 18.05.2022 г. № 378/пр</t>
  </si>
  <si>
    <t>Втулки изолирующие, размеры 65х50х18 мм</t>
  </si>
  <si>
    <t>1-100-40</t>
  </si>
  <si>
    <t>Средний разряд работы 4,0</t>
  </si>
  <si>
    <t>4-100-050</t>
  </si>
  <si>
    <t>01.7.06.03-0023</t>
  </si>
  <si>
    <t>ФСБЦ-2022, 01.7.06.03-0023, приказ Минстроя России от 18.05.2022 г. № 378/пр</t>
  </si>
  <si>
    <t>Ленты полиэтиленовые с липким слоем, прозрачные, ширина 20 мм, толщина 0,08 мм</t>
  </si>
  <si>
    <t>01.7.20.04-0003</t>
  </si>
  <si>
    <t>ФСБЦ-2022, 01.7.20.04-0003, приказ Минстроя России от 18.05.2022 г. № 378/пр</t>
  </si>
  <si>
    <t>Нить мешкозашивочная прошивочная полиэфирная из штапельного лавсана (суровая)</t>
  </si>
  <si>
    <t>10.3.02.03-0011</t>
  </si>
  <si>
    <t>ФСБЦ-2022, 10.3.02.03-0011, приказ Минстроя России от 18.05.2022 г. № 378/пр</t>
  </si>
  <si>
    <t>Припои оловянно-свинцовые бессурьмянистые, марка ПОС30</t>
  </si>
  <si>
    <t>14.4.03.03-0102</t>
  </si>
  <si>
    <t>ФСБЦ-2022 доп.4, 14.4.03.03-0102, приказ Минстроя России от 27.12.2022 г. № 1133/пр</t>
  </si>
  <si>
    <t>Лак битумный БТ-577</t>
  </si>
  <si>
    <t>2-100-01</t>
  </si>
  <si>
    <t>Рабочий 1 разряда</t>
  </si>
  <si>
    <t>чел.-ч</t>
  </si>
  <si>
    <t>2-100-02</t>
  </si>
  <si>
    <t>Рабочий 2 разряда</t>
  </si>
  <si>
    <t>2-100-04</t>
  </si>
  <si>
    <t>Рабочий 4 разряда</t>
  </si>
  <si>
    <t>01.7.15.07-0021</t>
  </si>
  <si>
    <t>ФСБЦ-2022, 01.7.15.07-0021, приказ Минстроя России от 18.05.2022 г. № 378/пр</t>
  </si>
  <si>
    <t>Дюбели полиэтиленовые распорные, диаметр 6 мм, длина 30 мм</t>
  </si>
  <si>
    <t>01.7.15.14-0163</t>
  </si>
  <si>
    <t>ФСБЦ-2022 доп.2, 01.7.15.14-0163, приказ Минстроя России от 26.08.2022 г. № 703/пр</t>
  </si>
  <si>
    <t>Шурупы самонарезающие стальные с полукруглой головкой и прямым шлицем, остроконечные, диаметр 3,5 мм, длина 30-35 мм</t>
  </si>
  <si>
    <t>01.7.17.09-1455</t>
  </si>
  <si>
    <t>ФСБЦ-2022 доп.11, 01.7.17.09-1455, приказ Минстроя России от 09.08.2024 г. № 524/пр</t>
  </si>
  <si>
    <t>Бур с наконечником из твердого сплава, с хвостовиком SDS-plus для ударного сверления отверстий в твердых материалах, общая длина 160 мм, диаметр 6 мм</t>
  </si>
  <si>
    <t>1-100-34</t>
  </si>
  <si>
    <t>Средний разряд работы 3,4</t>
  </si>
  <si>
    <t>04.3.01.09-0014</t>
  </si>
  <si>
    <t>ФСБЦ-2022, 04.3.01.09-0014, приказ Минстроя России от 18.05.2022 г. № 378/пр</t>
  </si>
  <si>
    <t>Раствор готовый кладочный, цементный, М100</t>
  </si>
  <si>
    <t>м3</t>
  </si>
  <si>
    <t>08.4.03.02-0002</t>
  </si>
  <si>
    <t>ФСБЦ-2022, 08.4.03.02-0002, приказ Минстроя России от 18.05.2022 г. № 378/пр</t>
  </si>
  <si>
    <t>Сталь арматурная горячекатаная гладкая, класс A-I, диаметр 6-22 мм</t>
  </si>
  <si>
    <t>1-100-30</t>
  </si>
  <si>
    <t>Средний разряд работы 3,0</t>
  </si>
  <si>
    <t>01.7.14.01-0002</t>
  </si>
  <si>
    <t>ФСБЦ-2022, 01.7.14.01-0002, приказ Минстроя России от 18.05.2022 г. № 378/пр</t>
  </si>
  <si>
    <t>Герметик пенополиуретановый (пена монтажная) универсальный, объем 1000 мл</t>
  </si>
  <si>
    <t>01.7.15.06-0111</t>
  </si>
  <si>
    <t>ФСБЦ-2022, 01.7.15.06-0111, приказ Минстроя России от 18.05.2022 г. № 378/пр</t>
  </si>
  <si>
    <t>Гвозди строительные</t>
  </si>
  <si>
    <t>04.3.01.07-0027</t>
  </si>
  <si>
    <t>ФСБЦ-2022, 04.3.01.07-0027, приказ Минстроя России от 18.05.2022 г. № 378/пр</t>
  </si>
  <si>
    <t>Раствор штукатурный, известковый, М200</t>
  </si>
  <si>
    <t>11.1.03.06-0071</t>
  </si>
  <si>
    <t>ФСБЦ-2022 доп.4, 11.1.03.06-0071, приказ Минстроя России от 27.12.2022 г. № 1133/пр</t>
  </si>
  <si>
    <t>Доска обрезная хвойных пород, естественной влажности, длина 2-6,5 м, ширина 100-250 мм, толщина 25 мм, сорт III</t>
  </si>
  <si>
    <t>1-100-25</t>
  </si>
  <si>
    <t>Средний разряд работы 2,5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</si>
  <si>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</si>
  <si>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</si>
  <si>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</si>
  <si>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01.7.17.11-0011</t>
  </si>
  <si>
    <t>ФСБЦ-2022, 01.7.17.11-0011, приказ Минстроя России от 18.05.2022 г. № 378/пр</t>
  </si>
  <si>
    <t>Шкурка шлифовальная двухслойная с зернистостью 40-25</t>
  </si>
  <si>
    <t>м2</t>
  </si>
  <si>
    <t>14.5.11.01-0001</t>
  </si>
  <si>
    <t>ФСБЦ-2022, 14.5.11.01-0001, приказ Минстроя России от 18.05.2022 г. № 378/пр</t>
  </si>
  <si>
    <t>Шпатлевка клеевая</t>
  </si>
  <si>
    <t>1-100-32</t>
  </si>
  <si>
    <t>Средний разряд работы 3,2</t>
  </si>
  <si>
    <t>14.5.11.02-0101</t>
  </si>
  <si>
    <t>ФСБЦ-2022, 14.5.11.02-0101, приказ Минстроя России от 18.05.2022 г. № 378/пр</t>
  </si>
  <si>
    <t>Шпатлевка водно-дисперсионная</t>
  </si>
  <si>
    <t>1-100-26</t>
  </si>
  <si>
    <t>Средний разряд работы 2,6</t>
  </si>
  <si>
    <t>01.7.03.01-0001</t>
  </si>
  <si>
    <t>ФСБЦ-2022, 01.7.03.01-0001, приказ Минстроя России от 18.05.2022 г. № 378/пр</t>
  </si>
  <si>
    <t>Вода</t>
  </si>
  <si>
    <t>19.2.03.09</t>
  </si>
  <si>
    <t>Решетки жалюзийные</t>
  </si>
  <si>
    <t>11.1.01.10</t>
  </si>
  <si>
    <t>Наличники</t>
  </si>
  <si>
    <t>14.3.01.03</t>
  </si>
  <si>
    <t>Грунтовка</t>
  </si>
  <si>
    <t>14.3.02.01</t>
  </si>
  <si>
    <t>Краска водоэмульсионная</t>
  </si>
  <si>
    <t>Краска акриловая</t>
  </si>
  <si>
    <t>14.4.01.02</t>
  </si>
  <si>
    <t>04.3.02.09</t>
  </si>
  <si>
    <t>Смеси сухие фуговочные</t>
  </si>
  <si>
    <t>571/пр_2022_п.84_т.3_стр.4_стб.3</t>
  </si>
  <si>
    <t>Демонтаж оборудования, не пригодного для дальнейшего использования (предназначено в лом), без разборки и резки</t>
  </si>
  <si>
    <t>Методика применения сметных норм 571/пр (О.П.)</t>
  </si>
  <si>
    <t>*1,20</t>
  </si>
  <si>
    <t>421/пр_2020_прил.10_т.5_п.1.1_гр.3</t>
  </si>
  <si>
    <t>Методика 421/пр (Кап. ремонт)</t>
  </si>
  <si>
    <t>*1,25</t>
  </si>
  <si>
    <t>*1,15</t>
  </si>
  <si>
    <t>421/пр_2020_п.58_пп.б</t>
  </si>
  <si>
    <t>Методика 421/пр (О.П.)</t>
  </si>
  <si>
    <t>Конъюнктурный анализ</t>
  </si>
  <si>
    <t>1.1</t>
  </si>
  <si>
    <t>Двухстворчатая дверь с дверным блоком Размер 1.30/2.5 с установкой</t>
  </si>
  <si>
    <t>ООО "МКЛ-ГРУПП"</t>
  </si>
  <si>
    <t>г.Балашиха</t>
  </si>
  <si>
    <t>5001057175</t>
  </si>
  <si>
    <t>500101001</t>
  </si>
  <si>
    <t>50</t>
  </si>
  <si>
    <t>Россия</t>
  </si>
  <si>
    <t>1.2</t>
  </si>
  <si>
    <t>ТЦ_11.2.02.01_50_5040163603_22.04.2026_01_1.2</t>
  </si>
  <si>
    <t>Дверь Двухстворчатая 2500х1300 с установкой</t>
  </si>
  <si>
    <t>ООО "ГК СТРОЙСНАБ"</t>
  </si>
  <si>
    <t>г.Москва</t>
  </si>
  <si>
    <t>5040163603</t>
  </si>
  <si>
    <t>772101001</t>
  </si>
  <si>
    <t>1.3</t>
  </si>
  <si>
    <t>ТЦ_11.2.02.01_77_9721148761_22.04.2026_01_1.3</t>
  </si>
  <si>
    <t>Дверь 2створки размер 1300х2500 с установкой</t>
  </si>
  <si>
    <t>ООО "МАКСТРОЙ"</t>
  </si>
  <si>
    <t>9721148761</t>
  </si>
  <si>
    <t>77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</si>
  <si>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</si>
  <si>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Светильник светодиодный промышленный, крепление консольное, IP65, УХЛ1, рассеиватель поликарбонат, корпус алюминиевый с порошковой окраской, кривая силы света широкая, световой поток 4200-4600 лм, цветовая температура 3000-5000 К, мощность 25 Вт (Применительно. Светодиодная панель UlP-30120-36W/NW EFFECTIVE Uniel WHITE)</t>
  </si>
  <si>
    <t>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
Поправка: 571/пр_2022_п.83_т.2_стр.4_стб.3
Наименование: Разборка и (или) демонтаж строительных конструкций, систем и сетей инженерно-технического обеспечения, в том числе их элементов: металлических, металлокомпозитных, композитных конструкций</t>
  </si>
  <si>
    <t>Поправка: 571/пр_2022_п.83_т.2_стр.3_стб.3
Наименование: Разборка и (или) демонтаж строительных конструкций, систем и сетей инженерно-технического обеспечения, в том числе их элементов: систем инженерно-технического обеспечения
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</si>
  <si>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
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</si>
  <si>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t>
  </si>
  <si>
    <t>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t>
  </si>
  <si>
    <t>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</si>
  <si>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</si>
  <si>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</si>
  <si>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</si>
  <si>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</si>
  <si>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</si>
  <si>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</si>
  <si>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</si>
  <si>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</si>
  <si>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</si>
  <si>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</si>
  <si>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</si>
  <si>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</si>
  <si>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</si>
  <si>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</si>
  <si>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</si>
  <si>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</si>
  <si>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</si>
  <si>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</si>
  <si>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</si>
  <si>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</si>
  <si>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</si>
  <si>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</si>
  <si>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</si>
  <si>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</si>
  <si>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</si>
  <si>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</si>
  <si>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</si>
  <si>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</si>
  <si>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</si>
  <si>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</si>
  <si>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</si>
  <si>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</si>
  <si>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</si>
  <si>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</si>
  <si>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</si>
  <si>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</si>
  <si>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</si>
  <si>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</si>
  <si>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</si>
  <si>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</si>
  <si>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</si>
  <si>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</si>
  <si>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март 2026 года</t>
  </si>
  <si>
    <t>Раздел: Электромонтажные работы</t>
  </si>
  <si>
    <t>ГЭСНр 67-01-004-03</t>
  </si>
  <si>
    <t>ОТ (ЗТ)</t>
  </si>
  <si>
    <t>Итого прямые затраты</t>
  </si>
  <si>
    <t>Исключен
Подъемники одномачтовые, грузоподъемность до 500 кг, высота подъема 45 м</t>
  </si>
  <si>
    <t>ОТм(ЗТм) Средний разряд машинистов 3</t>
  </si>
  <si>
    <t>ФОТ</t>
  </si>
  <si>
    <t>НР Электромонтажные работы</t>
  </si>
  <si>
    <t>СП Электромонтажные работы</t>
  </si>
  <si>
    <t>Всего по позиции</t>
  </si>
  <si>
    <t>=</t>
  </si>
  <si>
    <t>ГЭСНр 67-01-004-05</t>
  </si>
  <si>
    <t>2.1</t>
  </si>
  <si>
    <t>ГЭСНр 67-01-004-01</t>
  </si>
  <si>
    <t>ГЭСНм 08-03-545-01</t>
  </si>
  <si>
    <r>
      <t>Коробка (ящик) с зажимами для кабелей и проводов сечением до 6 мм2, устанавливаемая на конструкции на стене или колонне, количество зажимов: до 10 (Демонтаж распаячных коробок 100х100)</t>
    </r>
    <r>
      <rPr>
        <i/>
        <sz val="10"/>
        <rFont val="Arial"/>
        <family val="2"/>
        <charset val="204"/>
      </rPr>
      <t xml:space="preserve">
Поправки к: 
М *0;   
ЭМ *0,3;   
ЗТ *0,3;   
ЗТм *0,3</t>
    </r>
  </si>
  <si>
    <t>ЭМ</t>
  </si>
  <si>
    <t>ОТм(ЗТм)</t>
  </si>
  <si>
    <t>М</t>
  </si>
  <si>
    <t>4.1</t>
  </si>
  <si>
    <t>НР Электротехнические установки: на других объектах</t>
  </si>
  <si>
    <t>СП Электротехнические установки: на других объектах</t>
  </si>
  <si>
    <t>ГЭСНм 08-02-390-01</t>
  </si>
  <si>
    <t>Демонтаж оборудования, не пригодного для дальнейшего использования (предназначено в лом), без разборки и резки
ЭМ *0,3; М *0; ЗТ *0,3; ЗТм *0,3</t>
  </si>
  <si>
    <t>5.1</t>
  </si>
  <si>
    <t>5.2</t>
  </si>
  <si>
    <t>ГЭСНр 67-01-003-01</t>
  </si>
  <si>
    <t>6.1</t>
  </si>
  <si>
    <t>7.1</t>
  </si>
  <si>
    <t>7.2</t>
  </si>
  <si>
    <t>7.3</t>
  </si>
  <si>
    <t>ГЭСНм 08-02-390-03</t>
  </si>
  <si>
    <t>8.1</t>
  </si>
  <si>
    <t>8.2</t>
  </si>
  <si>
    <t>8.3</t>
  </si>
  <si>
    <t>8.4</t>
  </si>
  <si>
    <t>8.5</t>
  </si>
  <si>
    <t>8.6</t>
  </si>
  <si>
    <t>8.7</t>
  </si>
  <si>
    <t>ГЭСНм 08-02-399-01</t>
  </si>
  <si>
    <t>9.1</t>
  </si>
  <si>
    <t>9.2</t>
  </si>
  <si>
    <t>9.3</t>
  </si>
  <si>
    <t>9.4</t>
  </si>
  <si>
    <t>Исключен
Краны на автомобильном ходу, грузоподъемность 16 т</t>
  </si>
  <si>
    <t>ОТм(ЗТм) Средний разряд машинистов 6</t>
  </si>
  <si>
    <t>9.5</t>
  </si>
  <si>
    <t>Исключен
Автомобили бортовые, грузоподъемность до 5 т</t>
  </si>
  <si>
    <t>ОТм(ЗТм) Средний разряд машинистов 4</t>
  </si>
  <si>
    <t>ГЭСНм 08-03-591-09</t>
  </si>
  <si>
    <t>10.1</t>
  </si>
  <si>
    <t>10.2</t>
  </si>
  <si>
    <t>10.3</t>
  </si>
  <si>
    <t>10.4</t>
  </si>
  <si>
    <t>ГЭСНм 10-06-034-12</t>
  </si>
  <si>
    <t>11.1</t>
  </si>
  <si>
    <t>11.2</t>
  </si>
  <si>
    <t>11.3</t>
  </si>
  <si>
    <t>Исключен
Машины монтажные для выполнения работ при прокладке и монтаже кабеля на базе автомобиля</t>
  </si>
  <si>
    <t>ОТм(ЗТм) Средний разряд машинистов 5</t>
  </si>
  <si>
    <t>11.4</t>
  </si>
  <si>
    <t>Исключен
Бензин авиационный Б-70</t>
  </si>
  <si>
    <t>11.5</t>
  </si>
  <si>
    <t>Исключен
Пропан-бутан смесь техническая</t>
  </si>
  <si>
    <t>11.6</t>
  </si>
  <si>
    <t>Исключен
Канифоль сосновая</t>
  </si>
  <si>
    <t>НР Оборудование связи: прокладка и монтаж сетей связи</t>
  </si>
  <si>
    <t>СП Оборудование связи: прокладка и монтаж сетей связи</t>
  </si>
  <si>
    <t>ГЭСНм 08-03-591-02</t>
  </si>
  <si>
    <t>12.1</t>
  </si>
  <si>
    <t>12.2</t>
  </si>
  <si>
    <t>12.3</t>
  </si>
  <si>
    <t>12.4</t>
  </si>
  <si>
    <t>ГЭСНм 08-03-526-01</t>
  </si>
  <si>
    <t>13.1</t>
  </si>
  <si>
    <t>13.2</t>
  </si>
  <si>
    <t>13.3</t>
  </si>
  <si>
    <t>ГЭСНм 08-03-609-02</t>
  </si>
  <si>
    <t>14.1</t>
  </si>
  <si>
    <t>14.2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</si>
  <si>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</si>
  <si>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</si>
  <si>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</si>
  <si>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</si>
  <si>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</si>
  <si>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</si>
  <si>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</si>
  <si>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</si>
  <si>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</si>
  <si>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</si>
  <si>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</si>
  <si>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</si>
  <si>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</si>
  <si>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</si>
  <si>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</si>
  <si>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</si>
  <si>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</si>
  <si>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</si>
  <si>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</si>
  <si>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</si>
  <si>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</si>
  <si>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</si>
  <si>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</si>
  <si>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</si>
  <si>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</si>
  <si>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</si>
  <si>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Раздел: Вентиляция</t>
  </si>
  <si>
    <t>ГЭСН 20-02-002-01</t>
  </si>
  <si>
    <r>
      <t>Установка решеток жалюзийных площадью в свету: до 0,5 м2 (Демонтаж вентиляционных решеток 450х450 мм)</t>
    </r>
    <r>
      <rPr>
        <i/>
        <sz val="10"/>
        <rFont val="Arial"/>
        <family val="2"/>
        <charset val="204"/>
      </rPr>
      <t xml:space="preserve">
Поправки к: 
М *0;   
ЭМ *1,25)*0,7;   
ЗТ *1,15)*0,7;   
ЗТм *1,25)*0,7;   
СП *0,85</t>
    </r>
  </si>
  <si>
    <t>15.1</t>
  </si>
  <si>
    <t xml:space="preserve">Коэф. к расходу *1,25)*0,7_x000D_
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
;_x000D_
Разборка и (или) демонтаж строительных конструкций, систем и сетей инженерно-технического обеспечения, в том числе их элементов: металлических, металлокомпозитных, композитных конструкций;_x000D_
</t>
  </si>
  <si>
    <t>НР 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</si>
  <si>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>Пр/774-016.0;_x000D_
п.16</t>
  </si>
  <si>
    <t>СП Сантехнические работы: внутренние трубопроводы, внутренние устройства водопровода, канализации, отопления, газоснабжения, вентиляция  кондиционирование воздуха</t>
  </si>
  <si>
    <t>ГЭСН 20-02-012-01</t>
  </si>
  <si>
    <r>
      <t>Установка дефлекторов диаметром патрубка: 280 мм (300 мм) (Демонтаж воздухоприемников 300х300 мм)</t>
    </r>
    <r>
      <rPr>
        <i/>
        <sz val="10"/>
        <rFont val="Arial"/>
        <family val="2"/>
        <charset val="204"/>
      </rPr>
      <t xml:space="preserve">
Поправки к: 
ЭМ *0,4)*1,25;   
ЗТ *0,4)*1,15;   
ЗТм *0,4)*1,25;   
СП *0,85</t>
    </r>
  </si>
  <si>
    <t>16.3</t>
  </si>
  <si>
    <t>Исключен
Лебедки ручные и рычажные тяговым усилием 31,39 кН (3,2 т)</t>
  </si>
  <si>
    <t xml:space="preserve">Коэф. к расходу *0,4)*1,25_x000D_
Разборка и (или) демонтаж строительных конструкций, систем и сетей инженерно-технического обеспечения, в том числе их элементов: систем инженерно-технического обеспечения
;_x000D_
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элементов;_x000D_
</t>
  </si>
  <si>
    <t>16.4</t>
  </si>
  <si>
    <t>16.5</t>
  </si>
  <si>
    <t>Исключен
Шнур асбестовый общего назначения ШАОН, диаметр 8-10 мм</t>
  </si>
  <si>
    <t>16.6</t>
  </si>
  <si>
    <t>Исключен
Болты с гайками и шайбами строительные</t>
  </si>
  <si>
    <t>16.7</t>
  </si>
  <si>
    <t>Исключен
Прокладки резиновые (пластина техническая прессованная)</t>
  </si>
  <si>
    <t>ГЭСНр 65-03-003-06</t>
  </si>
  <si>
    <t>17.1</t>
  </si>
  <si>
    <t>НР Внутренние санитарнотехнические работы: демонтаж и разборка</t>
  </si>
  <si>
    <t>СП Внутренние санитарнотехнические работы: демонтаж и разборка</t>
  </si>
  <si>
    <t>ГЭСНр 65-03-003-07</t>
  </si>
  <si>
    <t>18.1</t>
  </si>
  <si>
    <t>Раздел: Аудитория № 311</t>
  </si>
  <si>
    <t>ГЭСН 10-01-039-02</t>
  </si>
  <si>
    <r>
      <t>Установка блоков в наружных и внутренних дверных проемах: в каменных стенах, площадь проема более 3 м2</t>
    </r>
    <r>
      <rPr>
        <i/>
        <sz val="10"/>
        <rFont val="Arial"/>
        <family val="2"/>
        <charset val="204"/>
      </rPr>
      <t xml:space="preserve">
Поправки к: 
ЭМ *(0,2+1)*1,25;   
ЗТ *(0,2+1)*1,15;   
ЗТм *(0,2+1)*1,25;   
СП *0,85</t>
    </r>
  </si>
  <si>
    <t>19.4</t>
  </si>
  <si>
    <t>Исключен
Краны башенные, грузоподъемность 8 т</t>
  </si>
  <si>
    <t xml:space="preserve">Коэф. к расходу *(0,2+1)*1,25_x000D_
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
;_x000D_
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элементов;_x000D_
</t>
  </si>
  <si>
    <t>19.5</t>
  </si>
  <si>
    <t>19.6</t>
  </si>
  <si>
    <t>НР Деревянные конструкции</t>
  </si>
  <si>
    <t>Пр/774-010.0;_x000D_
п.16</t>
  </si>
  <si>
    <t>СП Деревянные конструкции</t>
  </si>
  <si>
    <t>ГЭСН 10-01-060-01</t>
  </si>
  <si>
    <r>
      <t>Установка и крепление наличников</t>
    </r>
    <r>
      <rPr>
        <i/>
        <sz val="10"/>
        <rFont val="Arial"/>
        <family val="2"/>
        <charset val="204"/>
      </rPr>
      <t xml:space="preserve">
Поправки к: 
ЭМ *(0,2+1)*1,25;   
ЗТ *(0,2+1)*1,15;   
ЗТм *(0,2+1)*1,25;   
СП *0,85</t>
    </r>
  </si>
  <si>
    <t>21.1</t>
  </si>
  <si>
    <t>21.2</t>
  </si>
  <si>
    <t>Раздел: Аудитория № 239</t>
  </si>
  <si>
    <r>
      <t>Короба пластмассовые: шириной до 120 мм (Демонтаж кабельного канала 40х120 мм)</t>
    </r>
    <r>
      <rPr>
        <i/>
        <sz val="10"/>
        <rFont val="Arial"/>
        <family val="2"/>
        <charset val="204"/>
      </rPr>
      <t xml:space="preserve">
Поправки к: 
М *0;   
ЭМ *0,3;   
ЗТ *0,3;   
ЗТм *0,3</t>
    </r>
  </si>
  <si>
    <t>22.1</t>
  </si>
  <si>
    <t>22.2</t>
  </si>
  <si>
    <t xml:space="preserve">Коэф. к расходу *0,3_x000D_
Демонтаж оборудования, не пригодного для дальнейшего использования (предназначено в лом), без разборки и резки
;_x000D_
;_x000D_
;_x000D_
</t>
  </si>
  <si>
    <t>25.1</t>
  </si>
  <si>
    <t>25.2</t>
  </si>
  <si>
    <t>25.3</t>
  </si>
  <si>
    <t>25.4</t>
  </si>
  <si>
    <t>25.5</t>
  </si>
  <si>
    <t>25.6</t>
  </si>
  <si>
    <t>25.7</t>
  </si>
  <si>
    <r>
      <t>Провод в коробах, сечением: до 6 мм2</t>
    </r>
    <r>
      <rPr>
        <i/>
        <sz val="10"/>
        <rFont val="Arial"/>
        <family val="2"/>
        <charset val="204"/>
      </rPr>
      <t xml:space="preserve">
Поправки к: 
ЭМ *(0,2+1);   
ЗТ *(0,2+1);   
ЗТм *(0,2+1)</t>
    </r>
  </si>
  <si>
    <t>26.1</t>
  </si>
  <si>
    <t>26.2</t>
  </si>
  <si>
    <t>26.3</t>
  </si>
  <si>
    <t xml:space="preserve">Коэф. к расходу *(0,2+1)_x000D_
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предметы;_x000D_
</t>
  </si>
  <si>
    <t>26.4</t>
  </si>
  <si>
    <r>
      <t>Розетка штепсельная: утопленного типа при скрытой проводке</t>
    </r>
    <r>
      <rPr>
        <i/>
        <sz val="10"/>
        <rFont val="Arial"/>
        <family val="2"/>
        <charset val="204"/>
      </rPr>
      <t xml:space="preserve">
Поправки к: 
ЭМ *(0,2+1);   
ЗТ *(0,2+1);   
ЗТм *(0,2+1)</t>
    </r>
  </si>
  <si>
    <t>27.1</t>
  </si>
  <si>
    <t>27.2</t>
  </si>
  <si>
    <t>27.3</t>
  </si>
  <si>
    <t>27.4</t>
  </si>
  <si>
    <r>
      <t>Выключатель: одноклавишный утопленного типа при скрытой проводке</t>
    </r>
    <r>
      <rPr>
        <i/>
        <sz val="10"/>
        <rFont val="Arial"/>
        <family val="2"/>
        <charset val="204"/>
      </rPr>
      <t xml:space="preserve">
Поправки к: 
ЭМ *(0,2+1);   
ЗТ *(0,2+1);   
ЗТм *(0,2+1)</t>
    </r>
  </si>
  <si>
    <t>28.1</t>
  </si>
  <si>
    <t>28.2</t>
  </si>
  <si>
    <t>28.3</t>
  </si>
  <si>
    <t>28.4</t>
  </si>
  <si>
    <t>ГЭСН 15-04-006-04</t>
  </si>
  <si>
    <t>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
ЭМ *1,20; ЗТ *1,20; ЗТм *1,20</t>
  </si>
  <si>
    <t>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
ЭМ *1,25; ЗТ *1,15; ЗТм *1,25; СП *0,85</t>
  </si>
  <si>
    <t>Результирующие коэффициенты: 
ЭМ (0,2+1)*1,25=1,5;
ЗТ (0,2+1)*1,15=1,38;
ЗТм (0,2+1)*1,25=1,5;
СП 0,85</t>
  </si>
  <si>
    <t>29.1</t>
  </si>
  <si>
    <t>НР Отделочные работы</t>
  </si>
  <si>
    <t>Пр/774-015.0;_x000D_
п.16</t>
  </si>
  <si>
    <t>СП Отделочные работы</t>
  </si>
  <si>
    <t>ГЭСН 15-04-005-05</t>
  </si>
  <si>
    <r>
      <t>Окраска поливинилацетатными водоэмульсионными составами улучшенная: по сборным конструкциям стен, подготовленным под окраску (кабель-канала 120*40 l=30 м)</t>
    </r>
    <r>
      <rPr>
        <i/>
        <sz val="10"/>
        <rFont val="Arial"/>
        <family val="2"/>
        <charset val="204"/>
      </rPr>
      <t xml:space="preserve">
Поправки к: 
ЭМ *(0,2+1)*1,25;   
ЗТ *(0,2+1)*1,15;   
ЗТм *(0,2+1)*1,25;   
СП *0,85</t>
    </r>
  </si>
  <si>
    <t>30.1</t>
  </si>
  <si>
    <t>30.2</t>
  </si>
  <si>
    <t>30.3</t>
  </si>
  <si>
    <t>ГЭСН 15-04-007-01</t>
  </si>
  <si>
    <r>
      <t>Окраска водно-дисперсионными акриловыми составами улучшенная: по штукатурке стен</t>
    </r>
    <r>
      <rPr>
        <i/>
        <sz val="10"/>
        <rFont val="Arial"/>
        <family val="2"/>
        <charset val="204"/>
      </rPr>
      <t xml:space="preserve">
Поправки к: 
ЭМ *(0,2+1)*1,25;   
ЗТ *(0,2+1)*1,15;   
ЗТм *(0,2+1)*1,25;   
СП *0,85</t>
    </r>
  </si>
  <si>
    <t>31.1</t>
  </si>
  <si>
    <t>31.2</t>
  </si>
  <si>
    <t>31.3</t>
  </si>
  <si>
    <t>Исключен
Подъемники одномачтовые, грузоподъемность до 500 кг, высота подъема 25 м</t>
  </si>
  <si>
    <t>31.4</t>
  </si>
  <si>
    <t>ГЭСН 15-01-027-01</t>
  </si>
  <si>
    <r>
      <t>Затирка швов между плитками ранее облицованных поверхностей с применением сухой смеси</t>
    </r>
    <r>
      <rPr>
        <i/>
        <sz val="10"/>
        <rFont val="Arial"/>
        <family val="2"/>
        <charset val="204"/>
      </rPr>
      <t xml:space="preserve">
Поправки к: 
ЭМ *(0,2+1)*1,25;   
ЗТ *(0,2+1)*1,15;   
ЗТм *(0,2+1)*1,25;   
СП *0,85</t>
    </r>
  </si>
  <si>
    <t>32.1</t>
  </si>
  <si>
    <t>32.2</t>
  </si>
  <si>
    <t>32.3</t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</si>
  <si>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</si>
  <si>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</si>
  <si>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</si>
  <si>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</si>
  <si>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</si>
  <si>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</si>
  <si>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</si>
  <si>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</si>
  <si>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</si>
  <si>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</si>
  <si>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</si>
  <si>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</si>
  <si>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</si>
  <si>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</si>
  <si>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</si>
  <si>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</si>
  <si>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</si>
  <si>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</si>
  <si>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</si>
  <si>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</si>
  <si>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>Выполнение ремонтных работ на объекте:  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им.С.Г. Строганова», расположенного по адресу: г. Москва, Волокаламское шоссе, дом 9, строение 1</t>
  </si>
  <si>
    <t>Выполнение ремонтных работ на объекте:  Федеральное государственное бюджетное образовательное учреждение высшего образования «Российский государственный художественно-промышленный университет им.С.Г. Строганова», расположенного по адресу: г. Москва, Волокаламское шоссе, дом 9, строение 1 (дополнительные работы)</t>
  </si>
  <si>
    <t>Выполнение ремонтных работ в аудиториях № 1009, 311, 239</t>
  </si>
  <si>
    <t>Дефектная ведомость на строительно-монтажные работы</t>
  </si>
  <si>
    <t xml:space="preserve">ВСЕГО с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</si>
</sst>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#,##0.00;[Red]\-\ #,##0.00"/>
    <numFmt numFmtId="166" formatCode="#,##0.00#####;[Red]\-\ #,##0.00#####"/>
    <numFmt numFmtId="167" formatCode="#,##0.00_ ;[Red]\-#,##0.00\ "/>
  </numFmts>
  <fonts count="27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9" fillId="0" borderId="0" xfId="0" applyFont="1"/>
    <xf numFmtId="0" fontId="10" fillId="0" borderId="0" xfId="0" applyNumberFormat="1" applyFont="1" applyAlignment="1"/>
    <xf numFmtId="0" fontId="10" fillId="0" borderId="0" xfId="0" applyNumberFormat="1" applyFont="1" applyAlignment="1">
      <alignment vertical="top" wrapText="1"/>
    </xf>
    <xf numFmtId="0" fontId="10" fillId="0" borderId="2" xfId="0" applyNumberFormat="1" applyFont="1" applyBorder="1" applyAlignment="1">
      <alignment vertical="top"/>
    </xf>
    <xf numFmtId="0" fontId="10" fillId="0" borderId="0" xfId="0" applyNumberFormat="1" applyFont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0" fontId="11" fillId="0" borderId="0" xfId="0" applyNumberFormat="1" applyFont="1" applyAlignment="1"/>
    <xf numFmtId="0" fontId="11" fillId="0" borderId="2" xfId="0" applyNumberFormat="1" applyFont="1" applyBorder="1" applyAlignment="1"/>
    <xf numFmtId="0" fontId="17" fillId="0" borderId="0" xfId="0" applyNumberFormat="1" applyFont="1" applyAlignment="1"/>
    <xf numFmtId="0" fontId="17" fillId="0" borderId="0" xfId="0" applyNumberFormat="1" applyFont="1" applyAlignment="1">
      <alignment wrapText="1"/>
    </xf>
    <xf numFmtId="0" fontId="18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2" xfId="0" applyNumberFormat="1" applyFont="1" applyBorder="1" applyAlignment="1"/>
    <xf numFmtId="0" fontId="10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wrapText="1"/>
    </xf>
    <xf numFmtId="0" fontId="13" fillId="0" borderId="0" xfId="0" applyNumberFormat="1" applyFont="1" applyAlignment="1"/>
    <xf numFmtId="14" fontId="17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15" fillId="0" borderId="0" xfId="0" applyNumberFormat="1" applyFont="1" applyAlignment="1"/>
    <xf numFmtId="164" fontId="10" fillId="0" borderId="0" xfId="0" applyNumberFormat="1" applyFont="1" applyAlignment="1">
      <alignment horizontal="right"/>
    </xf>
    <xf numFmtId="0" fontId="17" fillId="0" borderId="1" xfId="0" applyNumberFormat="1" applyFont="1" applyBorder="1" applyAlignment="1"/>
    <xf numFmtId="0" fontId="10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/>
    </xf>
    <xf numFmtId="0" fontId="17" fillId="0" borderId="0" xfId="0" applyNumberFormat="1" applyFont="1" applyAlignment="1">
      <alignment horizontal="center"/>
    </xf>
    <xf numFmtId="0" fontId="17" fillId="0" borderId="7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right" vertical="top" wrapText="1"/>
    </xf>
    <xf numFmtId="165" fontId="2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 wrapText="1"/>
    </xf>
    <xf numFmtId="166" fontId="21" fillId="0" borderId="0" xfId="0" applyNumberFormat="1" applyFont="1" applyAlignment="1">
      <alignment horizontal="right" vertical="top"/>
    </xf>
    <xf numFmtId="165" fontId="23" fillId="0" borderId="0" xfId="0" applyNumberFormat="1" applyFont="1" applyAlignment="1">
      <alignment horizontal="right" vertical="top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/>
    </xf>
    <xf numFmtId="165" fontId="21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4" fillId="0" borderId="0" xfId="0" quotePrefix="1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/>
    </xf>
    <xf numFmtId="0" fontId="21" fillId="0" borderId="1" xfId="0" quotePrefix="1" applyFont="1" applyBorder="1" applyAlignment="1">
      <alignment horizontal="left" vertical="top" wrapText="1"/>
    </xf>
    <xf numFmtId="0" fontId="25" fillId="0" borderId="0" xfId="0" quotePrefix="1" applyFont="1" applyAlignment="1">
      <alignment vertical="top" wrapText="1"/>
    </xf>
    <xf numFmtId="0" fontId="23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165" fontId="23" fillId="0" borderId="2" xfId="0" applyNumberFormat="1" applyFont="1" applyBorder="1" applyAlignment="1">
      <alignment horizontal="right" vertical="top"/>
    </xf>
    <xf numFmtId="0" fontId="23" fillId="0" borderId="2" xfId="0" applyFont="1" applyBorder="1" applyAlignment="1">
      <alignment horizontal="right" vertical="top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/>
    <xf numFmtId="165" fontId="11" fillId="0" borderId="0" xfId="0" applyNumberFormat="1" applyFont="1" applyAlignment="1"/>
    <xf numFmtId="166" fontId="11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 vertical="center"/>
    </xf>
    <xf numFmtId="0" fontId="17" fillId="0" borderId="0" xfId="0" applyNumberFormat="1" applyFont="1" applyAlignment="1">
      <alignment horizontal="left"/>
    </xf>
    <xf numFmtId="0" fontId="17" fillId="0" borderId="1" xfId="0" applyNumberFormat="1" applyFont="1" applyBorder="1" applyAlignment="1">
      <alignment horizontal="left"/>
    </xf>
    <xf numFmtId="0" fontId="17" fillId="0" borderId="0" xfId="0" applyNumberFormat="1" applyFont="1" applyAlignment="1">
      <alignment horizontal="right"/>
    </xf>
    <xf numFmtId="0" fontId="12" fillId="0" borderId="0" xfId="0" applyFont="1"/>
    <xf numFmtId="2" fontId="12" fillId="0" borderId="0" xfId="0" applyNumberFormat="1" applyFont="1"/>
    <xf numFmtId="167" fontId="12" fillId="0" borderId="0" xfId="0" applyNumberFormat="1" applyFont="1"/>
    <xf numFmtId="0" fontId="26" fillId="0" borderId="2" xfId="0" applyNumberFormat="1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2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165" fontId="23" fillId="0" borderId="0" xfId="0" applyNumberFormat="1" applyFont="1" applyAlignment="1">
      <alignment horizontal="left" vertical="top"/>
    </xf>
    <xf numFmtId="165" fontId="23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top" wrapText="1"/>
    </xf>
    <xf numFmtId="165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4" fillId="0" borderId="1" xfId="0" applyNumberFormat="1" applyFont="1" applyBorder="1" applyAlignment="1">
      <alignment horizontal="center" wrapText="1"/>
    </xf>
    <xf numFmtId="0" fontId="14" fillId="0" borderId="0" xfId="0" applyNumberFormat="1" applyFont="1" applyAlignment="1">
      <alignment horizontal="center" wrapText="1"/>
    </xf>
    <xf numFmtId="0" fontId="19" fillId="0" borderId="1" xfId="0" applyNumberFormat="1" applyFont="1" applyBorder="1" applyAlignment="1">
      <alignment horizontal="center" wrapText="1"/>
    </xf>
    <xf numFmtId="0" fontId="10" fillId="0" borderId="1" xfId="0" applyNumberFormat="1" applyFont="1" applyBorder="1" applyAlignment="1">
      <alignment horizontal="left" wrapText="1"/>
    </xf>
    <xf numFmtId="0" fontId="10" fillId="0" borderId="0" xfId="0" applyNumberFormat="1" applyFont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873"/>
  <sheetViews>
    <sheetView tabSelected="1" topLeftCell="A46" zoomScaleNormal="100" workbookViewId="0">
      <selection activeCell="L867" sqref="L867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2" width="0" hidden="1" customWidth="1"/>
    <col min="93" max="93" width="108.7109375" hidden="1" customWidth="1"/>
    <col min="94" max="100" width="0" hidden="1" customWidth="1"/>
    <col min="101" max="101" width="173.7109375" hidden="1" customWidth="1"/>
  </cols>
  <sheetData>
    <row r="1" spans="1:93" x14ac:dyDescent="0.2">
      <c r="A1" s="14" t="str">
        <f>Source!B1</f>
        <v>Smeta.RU  (495) 974-1589</v>
      </c>
    </row>
    <row r="2" spans="1:93" ht="12.75" customHeight="1" x14ac:dyDescent="0.2">
      <c r="A2" s="115" t="s">
        <v>741</v>
      </c>
      <c r="B2" s="115"/>
      <c r="C2" s="115"/>
      <c r="D2" s="115"/>
      <c r="E2" s="115"/>
      <c r="F2" s="116" t="s">
        <v>780</v>
      </c>
      <c r="G2" s="116"/>
      <c r="H2" s="116"/>
      <c r="I2" s="116"/>
      <c r="J2" s="116"/>
      <c r="K2" s="116"/>
      <c r="L2" s="116"/>
    </row>
    <row r="3" spans="1:93" ht="12.75" customHeight="1" x14ac:dyDescent="0.2">
      <c r="A3" s="16"/>
      <c r="B3" s="16"/>
      <c r="C3" s="16"/>
      <c r="D3" s="16"/>
      <c r="E3" s="16"/>
      <c r="F3" s="17"/>
      <c r="G3" s="17"/>
      <c r="H3" s="17"/>
      <c r="I3" s="17"/>
      <c r="J3" s="17"/>
      <c r="K3" s="17"/>
      <c r="L3" s="17"/>
    </row>
    <row r="4" spans="1:93" ht="25.5" x14ac:dyDescent="0.2">
      <c r="A4" s="115" t="s">
        <v>742</v>
      </c>
      <c r="B4" s="115"/>
      <c r="C4" s="115"/>
      <c r="D4" s="115"/>
      <c r="E4" s="115"/>
      <c r="F4" s="116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116"/>
      <c r="H4" s="116"/>
      <c r="I4" s="116"/>
      <c r="J4" s="116"/>
      <c r="K4" s="116"/>
      <c r="L4" s="116"/>
      <c r="CO4" s="42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2.75" customHeight="1" x14ac:dyDescent="0.2">
      <c r="A5" s="16"/>
      <c r="B5" s="16"/>
      <c r="C5" s="16"/>
      <c r="D5" s="16"/>
      <c r="E5" s="16"/>
      <c r="F5" s="17"/>
      <c r="G5" s="17"/>
      <c r="H5" s="17"/>
      <c r="I5" s="17"/>
      <c r="J5" s="17"/>
      <c r="K5" s="17"/>
      <c r="L5" s="17"/>
    </row>
    <row r="6" spans="1:93" ht="140.25" x14ac:dyDescent="0.2">
      <c r="A6" s="115" t="s">
        <v>743</v>
      </c>
      <c r="B6" s="115"/>
      <c r="C6" s="115"/>
      <c r="D6" s="115"/>
      <c r="E6" s="115"/>
      <c r="F6" s="116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116"/>
      <c r="H6" s="116"/>
      <c r="I6" s="116"/>
      <c r="J6" s="116"/>
      <c r="K6" s="116"/>
      <c r="L6" s="116"/>
      <c r="CO6" s="42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2.75" customHeight="1" x14ac:dyDescent="0.2">
      <c r="A7" s="16"/>
      <c r="B7" s="16"/>
      <c r="C7" s="16"/>
      <c r="D7" s="16"/>
      <c r="E7" s="16"/>
      <c r="F7" s="17"/>
      <c r="G7" s="17"/>
      <c r="H7" s="17"/>
      <c r="I7" s="17"/>
      <c r="J7" s="17"/>
      <c r="K7" s="17"/>
      <c r="L7" s="17"/>
    </row>
    <row r="8" spans="1:93" ht="76.5" customHeight="1" x14ac:dyDescent="0.2">
      <c r="A8" s="115" t="s">
        <v>744</v>
      </c>
      <c r="B8" s="115"/>
      <c r="C8" s="115"/>
      <c r="D8" s="115"/>
      <c r="E8" s="115"/>
      <c r="F8" s="116" t="s">
        <v>536</v>
      </c>
      <c r="G8" s="116"/>
      <c r="H8" s="116"/>
      <c r="I8" s="116"/>
      <c r="J8" s="116"/>
      <c r="K8" s="116"/>
      <c r="L8" s="116"/>
    </row>
    <row r="9" spans="1:93" ht="12.75" customHeight="1" x14ac:dyDescent="0.2">
      <c r="A9" s="16"/>
      <c r="B9" s="16"/>
      <c r="C9" s="16"/>
      <c r="D9" s="16"/>
      <c r="E9" s="16"/>
      <c r="F9" s="17"/>
      <c r="G9" s="17"/>
      <c r="H9" s="17"/>
      <c r="I9" s="17"/>
      <c r="J9" s="17"/>
      <c r="K9" s="17"/>
      <c r="L9" s="17"/>
    </row>
    <row r="10" spans="1:93" ht="38.25" customHeight="1" x14ac:dyDescent="0.2">
      <c r="A10" s="115" t="s">
        <v>745</v>
      </c>
      <c r="B10" s="115"/>
      <c r="C10" s="115"/>
      <c r="D10" s="115"/>
      <c r="E10" s="115"/>
      <c r="F10" s="116" t="s">
        <v>537</v>
      </c>
      <c r="G10" s="116"/>
      <c r="H10" s="116"/>
      <c r="I10" s="116"/>
      <c r="J10" s="116"/>
      <c r="K10" s="116"/>
      <c r="L10" s="116"/>
    </row>
    <row r="11" spans="1:93" ht="12.75" customHeight="1" x14ac:dyDescent="0.2">
      <c r="A11" s="18"/>
      <c r="B11" s="18"/>
      <c r="C11" s="18"/>
      <c r="D11" s="18"/>
      <c r="E11" s="18"/>
      <c r="F11" s="19"/>
      <c r="G11" s="19"/>
      <c r="H11" s="19"/>
      <c r="I11" s="19"/>
      <c r="J11" s="19"/>
      <c r="K11" s="19"/>
      <c r="L11" s="19"/>
    </row>
    <row r="12" spans="1:93" ht="12.75" customHeight="1" x14ac:dyDescent="0.2">
      <c r="A12" s="115" t="s">
        <v>746</v>
      </c>
      <c r="B12" s="115"/>
      <c r="C12" s="115"/>
      <c r="D12" s="115"/>
      <c r="E12" s="115"/>
      <c r="F12" s="116" t="s">
        <v>781</v>
      </c>
      <c r="G12" s="116"/>
      <c r="H12" s="116"/>
      <c r="I12" s="116"/>
      <c r="J12" s="116"/>
      <c r="K12" s="116"/>
      <c r="L12" s="116"/>
    </row>
    <row r="13" spans="1:93" ht="12.75" customHeight="1" x14ac:dyDescent="0.2">
      <c r="A13" s="18"/>
      <c r="B13" s="18"/>
      <c r="C13" s="18"/>
      <c r="D13" s="18"/>
      <c r="E13" s="18"/>
      <c r="F13" s="19"/>
      <c r="G13" s="19"/>
      <c r="H13" s="19"/>
      <c r="I13" s="19"/>
      <c r="J13" s="19"/>
      <c r="K13" s="19"/>
      <c r="L13" s="19"/>
    </row>
    <row r="14" spans="1:93" ht="12.75" customHeight="1" x14ac:dyDescent="0.2">
      <c r="A14" s="115" t="s">
        <v>747</v>
      </c>
      <c r="B14" s="115"/>
      <c r="C14" s="115"/>
      <c r="D14" s="115"/>
      <c r="E14" s="115"/>
      <c r="F14" s="116" t="str">
        <f>IF(Source!CZ12 &lt;&gt; "", Source!CZ12, "")</f>
        <v/>
      </c>
      <c r="G14" s="116"/>
      <c r="H14" s="116"/>
      <c r="I14" s="116"/>
      <c r="J14" s="116"/>
      <c r="K14" s="116"/>
      <c r="L14" s="116"/>
    </row>
    <row r="15" spans="1:93" ht="12.75" customHeight="1" x14ac:dyDescent="0.2">
      <c r="A15" s="18"/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7"/>
    </row>
    <row r="16" spans="1:93" ht="12.75" customHeight="1" x14ac:dyDescent="0.2">
      <c r="A16" s="115" t="s">
        <v>748</v>
      </c>
      <c r="B16" s="115"/>
      <c r="C16" s="115"/>
      <c r="D16" s="115"/>
      <c r="E16" s="115"/>
      <c r="F16" s="116" t="str">
        <f>IF(Source!DA12 &lt;&gt; "", Source!DA12, "")</f>
        <v/>
      </c>
      <c r="G16" s="116"/>
      <c r="H16" s="116"/>
      <c r="I16" s="116"/>
      <c r="J16" s="116"/>
      <c r="K16" s="116"/>
      <c r="L16" s="116"/>
    </row>
    <row r="17" spans="1:12" ht="12.75" customHeight="1" x14ac:dyDescent="0.2">
      <c r="A17" s="20"/>
      <c r="B17" s="20"/>
      <c r="C17" s="20"/>
      <c r="D17" s="20"/>
      <c r="E17" s="20"/>
      <c r="F17" s="21"/>
      <c r="G17" s="21"/>
      <c r="H17" s="21"/>
      <c r="I17" s="21"/>
      <c r="J17" s="21"/>
      <c r="K17" s="21"/>
      <c r="L17" s="21"/>
    </row>
    <row r="18" spans="1:12" ht="12.75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 ht="36" customHeight="1" x14ac:dyDescent="0.25">
      <c r="A19" s="111" t="s">
        <v>1004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spans="1:12" ht="14.25" customHeight="1" x14ac:dyDescent="0.2">
      <c r="A20" s="108" t="s">
        <v>749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</row>
    <row r="21" spans="1:12" ht="14.2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33.75" customHeight="1" x14ac:dyDescent="0.25">
      <c r="A22" s="111" t="s">
        <v>1005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2" ht="14.25" customHeight="1" x14ac:dyDescent="0.2">
      <c r="A23" s="108" t="s">
        <v>750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</row>
    <row r="24" spans="1:12" ht="14.25" customHeight="1" x14ac:dyDescent="0.2">
      <c r="A24" s="22"/>
      <c r="B24" s="22"/>
      <c r="C24" s="22"/>
      <c r="D24" s="22"/>
      <c r="E24" s="22"/>
      <c r="F24" s="23"/>
      <c r="G24" s="23"/>
      <c r="H24" s="23"/>
      <c r="I24" s="23"/>
      <c r="J24" s="23"/>
      <c r="K24" s="23"/>
      <c r="L24" s="23"/>
    </row>
    <row r="25" spans="1:12" ht="15.75" customHeight="1" x14ac:dyDescent="0.25">
      <c r="A25" s="112" t="str">
        <f>CONCATENATE( "ЛОКАЛЬНАЯ СМЕТА № ", Source!L20, " ",Source!CM20)</f>
        <v xml:space="preserve">ЛОКАЛЬНАЯ СМЕТА № Новая локальная смета 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 ht="15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4"/>
    </row>
    <row r="27" spans="1:12" ht="18" customHeight="1" x14ac:dyDescent="0.25">
      <c r="A27" s="113" t="s">
        <v>1006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ht="14.25" customHeight="1" x14ac:dyDescent="0.2">
      <c r="A28" s="108" t="s">
        <v>751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</row>
    <row r="29" spans="1:12" ht="14.25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4.25" customHeight="1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2.75" customHeight="1" x14ac:dyDescent="0.2">
      <c r="A31" s="15" t="s">
        <v>752</v>
      </c>
      <c r="B31" s="15"/>
      <c r="C31" s="27" t="s">
        <v>782</v>
      </c>
      <c r="D31" s="15" t="s">
        <v>753</v>
      </c>
      <c r="E31" s="15"/>
      <c r="F31" s="15"/>
      <c r="G31" s="15"/>
      <c r="H31" s="15"/>
      <c r="I31" s="15"/>
      <c r="J31" s="15"/>
      <c r="K31" s="15"/>
      <c r="L31" s="15"/>
    </row>
    <row r="32" spans="1:12" ht="12.75" customHeight="1" x14ac:dyDescent="0.2">
      <c r="A32" s="15"/>
      <c r="B32" s="15"/>
      <c r="C32" s="28"/>
      <c r="D32" s="15"/>
      <c r="E32" s="15"/>
      <c r="F32" s="15"/>
      <c r="G32" s="15"/>
      <c r="H32" s="15"/>
      <c r="I32" s="15"/>
      <c r="J32" s="15"/>
      <c r="K32" s="15"/>
      <c r="L32" s="15"/>
    </row>
    <row r="33" spans="1:12" ht="12.75" customHeight="1" x14ac:dyDescent="0.2">
      <c r="A33" s="15" t="s">
        <v>754</v>
      </c>
      <c r="B33" s="15"/>
      <c r="C33" s="114" t="s">
        <v>1007</v>
      </c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2" ht="12.75" customHeight="1" x14ac:dyDescent="0.2">
      <c r="A34" s="29"/>
      <c r="B34" s="30"/>
      <c r="C34" s="108" t="s">
        <v>755</v>
      </c>
      <c r="D34" s="108"/>
      <c r="E34" s="108"/>
      <c r="F34" s="108"/>
      <c r="G34" s="108"/>
      <c r="H34" s="108"/>
      <c r="I34" s="108"/>
      <c r="J34" s="108"/>
      <c r="K34" s="108"/>
      <c r="L34" s="108"/>
    </row>
    <row r="35" spans="1:12" ht="14.25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4.25" customHeight="1" x14ac:dyDescent="0.2">
      <c r="A36" s="31" t="s">
        <v>783</v>
      </c>
      <c r="B36" s="22"/>
      <c r="C36" s="22"/>
      <c r="D36" s="32"/>
      <c r="E36" s="22"/>
      <c r="F36" s="22"/>
      <c r="G36" s="22"/>
      <c r="H36" s="22"/>
      <c r="I36" s="22"/>
      <c r="J36" s="22"/>
      <c r="K36" s="22"/>
      <c r="L36" s="22"/>
    </row>
    <row r="37" spans="1:12" ht="14.2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4.25" customHeight="1" x14ac:dyDescent="0.2">
      <c r="A38" s="31" t="s">
        <v>756</v>
      </c>
      <c r="B38" s="22"/>
      <c r="C38" s="109">
        <f>C41+C42+C43+C44</f>
        <v>491.59000000000003</v>
      </c>
      <c r="D38" s="110"/>
      <c r="E38" s="15" t="s">
        <v>757</v>
      </c>
      <c r="F38" s="20"/>
      <c r="G38" s="20"/>
      <c r="H38" s="20"/>
      <c r="I38" s="20"/>
      <c r="J38" s="20"/>
      <c r="K38" s="20"/>
      <c r="L38" s="22"/>
    </row>
    <row r="39" spans="1:12" ht="14.25" customHeight="1" x14ac:dyDescent="0.2">
      <c r="A39" s="31"/>
      <c r="B39" s="22"/>
      <c r="C39" s="73"/>
      <c r="D39" s="33"/>
      <c r="E39" s="15"/>
      <c r="F39" s="20"/>
      <c r="G39" s="15" t="s">
        <v>758</v>
      </c>
      <c r="H39" s="22"/>
      <c r="I39" s="15"/>
      <c r="J39" s="15"/>
      <c r="K39" s="75">
        <f>ROUND(SUM(AR52:AR866)/1000, 2)</f>
        <v>98.21</v>
      </c>
      <c r="L39" s="15" t="s">
        <v>757</v>
      </c>
    </row>
    <row r="40" spans="1:12" ht="14.25" customHeight="1" x14ac:dyDescent="0.2">
      <c r="A40" s="22"/>
      <c r="B40" s="34" t="s">
        <v>759</v>
      </c>
      <c r="C40" s="74"/>
      <c r="D40" s="22"/>
      <c r="E40" s="15"/>
      <c r="F40" s="20"/>
      <c r="G40" s="15" t="s">
        <v>760</v>
      </c>
      <c r="H40" s="22"/>
      <c r="I40" s="15"/>
      <c r="J40" s="15"/>
      <c r="K40" s="75">
        <f>ROUND(SUM(AT52:AT866)/1000, 2)</f>
        <v>-1.7</v>
      </c>
      <c r="L40" s="15" t="s">
        <v>757</v>
      </c>
    </row>
    <row r="41" spans="1:12" ht="14.25" customHeight="1" x14ac:dyDescent="0.2">
      <c r="A41" s="22"/>
      <c r="B41" s="31" t="s">
        <v>761</v>
      </c>
      <c r="C41" s="109">
        <f>ROUND((Source!F303)/1000, 2)</f>
        <v>161.43</v>
      </c>
      <c r="D41" s="110"/>
      <c r="E41" s="15" t="s">
        <v>757</v>
      </c>
      <c r="F41" s="20"/>
      <c r="G41" s="15" t="s">
        <v>762</v>
      </c>
      <c r="H41" s="22"/>
      <c r="I41" s="15"/>
      <c r="J41" s="33"/>
      <c r="K41" s="76">
        <f>Source!F308</f>
        <v>142.99006460000001</v>
      </c>
      <c r="L41" s="15" t="s">
        <v>541</v>
      </c>
    </row>
    <row r="42" spans="1:12" ht="14.25" customHeight="1" x14ac:dyDescent="0.2">
      <c r="A42" s="22"/>
      <c r="B42" s="31" t="s">
        <v>763</v>
      </c>
      <c r="C42" s="109">
        <f>ROUND((Source!F304)/1000, 2)</f>
        <v>330.16</v>
      </c>
      <c r="D42" s="110"/>
      <c r="E42" s="15" t="s">
        <v>757</v>
      </c>
      <c r="F42" s="20"/>
      <c r="G42" s="15" t="s">
        <v>764</v>
      </c>
      <c r="H42" s="22"/>
      <c r="I42" s="15"/>
      <c r="J42" s="35"/>
      <c r="K42" s="76">
        <f>Source!F309</f>
        <v>4.4200000000000003E-2</v>
      </c>
      <c r="L42" s="15" t="s">
        <v>541</v>
      </c>
    </row>
    <row r="43" spans="1:12" ht="14.25" customHeight="1" x14ac:dyDescent="0.2">
      <c r="A43" s="22"/>
      <c r="B43" s="31" t="s">
        <v>765</v>
      </c>
      <c r="C43" s="109">
        <f>ROUND((Source!F295)/1000, 2)</f>
        <v>0</v>
      </c>
      <c r="D43" s="110"/>
      <c r="E43" s="15" t="s">
        <v>757</v>
      </c>
      <c r="F43" s="20"/>
      <c r="G43" s="15"/>
      <c r="H43" s="15"/>
      <c r="I43" s="15"/>
      <c r="J43" s="15"/>
      <c r="K43" s="20"/>
      <c r="L43" s="15"/>
    </row>
    <row r="44" spans="1:12" ht="14.25" customHeight="1" x14ac:dyDescent="0.2">
      <c r="A44" s="22"/>
      <c r="B44" s="31" t="s">
        <v>766</v>
      </c>
      <c r="C44" s="109">
        <f>ROUND((Source!F305)/1000, 2)</f>
        <v>0</v>
      </c>
      <c r="D44" s="110"/>
      <c r="E44" s="15" t="s">
        <v>757</v>
      </c>
      <c r="F44" s="20"/>
      <c r="G44" s="15"/>
      <c r="H44" s="15"/>
      <c r="I44" s="15"/>
      <c r="J44" s="15"/>
      <c r="K44" s="20"/>
      <c r="L44" s="15"/>
    </row>
    <row r="45" spans="1:12" ht="14.25" customHeight="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2" ht="12.75" customHeight="1" x14ac:dyDescent="0.2">
      <c r="A46" s="96" t="s">
        <v>767</v>
      </c>
      <c r="B46" s="96" t="s">
        <v>768</v>
      </c>
      <c r="C46" s="96" t="s">
        <v>769</v>
      </c>
      <c r="D46" s="96" t="s">
        <v>770</v>
      </c>
      <c r="E46" s="99" t="s">
        <v>771</v>
      </c>
      <c r="F46" s="100"/>
      <c r="G46" s="101"/>
      <c r="H46" s="99" t="s">
        <v>772</v>
      </c>
      <c r="I46" s="100"/>
      <c r="J46" s="100"/>
      <c r="K46" s="100"/>
      <c r="L46" s="101"/>
    </row>
    <row r="47" spans="1:12" ht="12.75" customHeight="1" x14ac:dyDescent="0.2">
      <c r="A47" s="97"/>
      <c r="B47" s="97"/>
      <c r="C47" s="97"/>
      <c r="D47" s="97"/>
      <c r="E47" s="102"/>
      <c r="F47" s="103"/>
      <c r="G47" s="104"/>
      <c r="H47" s="102"/>
      <c r="I47" s="103"/>
      <c r="J47" s="103"/>
      <c r="K47" s="103"/>
      <c r="L47" s="104"/>
    </row>
    <row r="48" spans="1:12" ht="12.75" customHeight="1" x14ac:dyDescent="0.2">
      <c r="A48" s="97"/>
      <c r="B48" s="97"/>
      <c r="C48" s="97"/>
      <c r="D48" s="97"/>
      <c r="E48" s="102"/>
      <c r="F48" s="103"/>
      <c r="G48" s="104"/>
      <c r="H48" s="102"/>
      <c r="I48" s="103"/>
      <c r="J48" s="103"/>
      <c r="K48" s="103"/>
      <c r="L48" s="104"/>
    </row>
    <row r="49" spans="1:83" ht="12.75" customHeight="1" x14ac:dyDescent="0.2">
      <c r="A49" s="97"/>
      <c r="B49" s="97"/>
      <c r="C49" s="97"/>
      <c r="D49" s="97"/>
      <c r="E49" s="105"/>
      <c r="F49" s="106"/>
      <c r="G49" s="107"/>
      <c r="H49" s="105"/>
      <c r="I49" s="106"/>
      <c r="J49" s="106"/>
      <c r="K49" s="106"/>
      <c r="L49" s="107"/>
    </row>
    <row r="50" spans="1:83" ht="51" customHeight="1" x14ac:dyDescent="0.2">
      <c r="A50" s="98"/>
      <c r="B50" s="98"/>
      <c r="C50" s="98"/>
      <c r="D50" s="98"/>
      <c r="E50" s="37" t="s">
        <v>773</v>
      </c>
      <c r="F50" s="37" t="s">
        <v>774</v>
      </c>
      <c r="G50" s="38" t="s">
        <v>775</v>
      </c>
      <c r="H50" s="37" t="s">
        <v>776</v>
      </c>
      <c r="I50" s="37" t="s">
        <v>777</v>
      </c>
      <c r="J50" s="37" t="s">
        <v>778</v>
      </c>
      <c r="K50" s="37" t="s">
        <v>774</v>
      </c>
      <c r="L50" s="37" t="s">
        <v>779</v>
      </c>
    </row>
    <row r="51" spans="1:83" ht="14.25" customHeight="1" x14ac:dyDescent="0.2">
      <c r="A51" s="39">
        <v>1</v>
      </c>
      <c r="B51" s="39">
        <v>2</v>
      </c>
      <c r="C51" s="39">
        <v>3</v>
      </c>
      <c r="D51" s="39">
        <v>4</v>
      </c>
      <c r="E51" s="39">
        <v>5</v>
      </c>
      <c r="F51" s="39">
        <v>6</v>
      </c>
      <c r="G51" s="39">
        <v>7</v>
      </c>
      <c r="H51" s="39">
        <v>8</v>
      </c>
      <c r="I51" s="39">
        <v>9</v>
      </c>
      <c r="J51" s="39">
        <v>10</v>
      </c>
      <c r="K51" s="41">
        <v>11</v>
      </c>
      <c r="L51" s="41">
        <v>12</v>
      </c>
    </row>
    <row r="53" spans="1:83" ht="16.5" x14ac:dyDescent="0.2">
      <c r="A53" s="95" t="s">
        <v>784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</row>
    <row r="54" spans="1:83" ht="28.5" x14ac:dyDescent="0.2">
      <c r="A54" s="43" t="s">
        <v>17</v>
      </c>
      <c r="B54" s="45" t="s">
        <v>785</v>
      </c>
      <c r="C54" s="45" t="str">
        <f>Source!G28</f>
        <v>Демонтаж: светильников с лампами накаливания</v>
      </c>
      <c r="D54" s="46" t="str">
        <f>Source!H28</f>
        <v>100 ШТ</v>
      </c>
      <c r="E54" s="47">
        <f>Source!K28</f>
        <v>0.17</v>
      </c>
      <c r="F54" s="47"/>
      <c r="G54" s="47">
        <f>Source!I28</f>
        <v>0.17</v>
      </c>
      <c r="H54" s="49"/>
      <c r="I54" s="48"/>
      <c r="J54" s="49"/>
      <c r="K54" s="48"/>
      <c r="L54" s="49"/>
    </row>
    <row r="55" spans="1:83" x14ac:dyDescent="0.2">
      <c r="C55" s="50" t="str">
        <f>"Объем: "&amp;Source!I28&amp;"=(17)/"&amp;"100"</f>
        <v>Объем: 0,17=(17)/100</v>
      </c>
    </row>
    <row r="56" spans="1:83" ht="15" x14ac:dyDescent="0.2">
      <c r="A56" s="44"/>
      <c r="B56" s="47">
        <v>1</v>
      </c>
      <c r="C56" s="44" t="s">
        <v>786</v>
      </c>
      <c r="D56" s="46" t="s">
        <v>541</v>
      </c>
      <c r="E56" s="51"/>
      <c r="F56" s="47"/>
      <c r="G56" s="47">
        <f>Source!U28</f>
        <v>1.0744</v>
      </c>
      <c r="H56" s="47"/>
      <c r="I56" s="47"/>
      <c r="J56" s="47"/>
      <c r="K56" s="47"/>
      <c r="L56" s="52">
        <f>SUM(L57:L57)-SUMIF(CE57:CE57, 1, L57:L57)</f>
        <v>631.04</v>
      </c>
    </row>
    <row r="57" spans="1:83" ht="14.25" x14ac:dyDescent="0.2">
      <c r="A57" s="45"/>
      <c r="B57" s="45" t="s">
        <v>539</v>
      </c>
      <c r="C57" s="53" t="s">
        <v>540</v>
      </c>
      <c r="D57" s="54" t="s">
        <v>541</v>
      </c>
      <c r="E57" s="55">
        <v>6.32</v>
      </c>
      <c r="F57" s="55"/>
      <c r="G57" s="55">
        <f>SmtRes!CX1</f>
        <v>1.0744</v>
      </c>
      <c r="H57" s="56"/>
      <c r="I57" s="57"/>
      <c r="J57" s="56">
        <f>SmtRes!CZ1</f>
        <v>587.34</v>
      </c>
      <c r="K57" s="57"/>
      <c r="L57" s="56">
        <f>SmtRes!DI1</f>
        <v>631.04</v>
      </c>
    </row>
    <row r="58" spans="1:83" ht="15" x14ac:dyDescent="0.2">
      <c r="A58" s="45"/>
      <c r="B58" s="45"/>
      <c r="C58" s="59" t="s">
        <v>787</v>
      </c>
      <c r="D58" s="46"/>
      <c r="E58" s="47"/>
      <c r="F58" s="47"/>
      <c r="G58" s="47"/>
      <c r="H58" s="49"/>
      <c r="I58" s="48"/>
      <c r="J58" s="49"/>
      <c r="K58" s="48"/>
      <c r="L58" s="49">
        <f>L56</f>
        <v>631.04</v>
      </c>
    </row>
    <row r="59" spans="1:83" ht="57" x14ac:dyDescent="0.2">
      <c r="A59" s="43" t="s">
        <v>712</v>
      </c>
      <c r="B59" s="45" t="str">
        <f>Source!F29</f>
        <v>91.06.06-048</v>
      </c>
      <c r="C59" s="45" t="s">
        <v>788</v>
      </c>
      <c r="D59" s="46" t="str">
        <f>Source!H29</f>
        <v>маш.-ч</v>
      </c>
      <c r="E59" s="47">
        <f>SmtRes!AT3</f>
        <v>-0.03</v>
      </c>
      <c r="F59" s="47"/>
      <c r="G59" s="47">
        <f>Source!I29</f>
        <v>-5.1000000000000004E-3</v>
      </c>
      <c r="H59" s="49">
        <f>Source!AL29+Source!AO29+Source!AM29+Source!AN29</f>
        <v>678.54000000000008</v>
      </c>
      <c r="I59" s="48">
        <f>IF(Source!BB29&lt;&gt; 0, Source!BB29, 1)</f>
        <v>1.54</v>
      </c>
      <c r="J59" s="49">
        <f>ROUND(H59*I59, 2)</f>
        <v>1044.95</v>
      </c>
      <c r="K59" s="48"/>
      <c r="L59" s="49">
        <f>Source!Q29</f>
        <v>-0.28999999999999998</v>
      </c>
      <c r="AD59">
        <f>ROUND((Source!AT29/100)*((ROUND(ROUND(Source!AO29,2)*Source!I29, 2)+ROUND(ROUND(Source!AN29,2)*Source!I29, 2))), 2)</f>
        <v>-2.98</v>
      </c>
      <c r="AE59">
        <f>ROUND((Source!AU29/100)*((ROUND(ROUND(Source!AO29,2)*Source!I29, 2)+ROUND(ROUND(Source!AN29,2)*Source!I29, 2))), 2)</f>
        <v>-1.57</v>
      </c>
      <c r="AN59">
        <f>L59</f>
        <v>-0.28999999999999998</v>
      </c>
      <c r="AO59">
        <f>L59</f>
        <v>-0.28999999999999998</v>
      </c>
      <c r="AT59">
        <f>Source!R29</f>
        <v>-3.27</v>
      </c>
      <c r="AZ59">
        <f>Source!X29</f>
        <v>-2.98</v>
      </c>
      <c r="BA59">
        <f>Source!Y29</f>
        <v>-1.57</v>
      </c>
      <c r="CD59">
        <v>1</v>
      </c>
    </row>
    <row r="60" spans="1:83" ht="28.5" x14ac:dyDescent="0.2">
      <c r="A60" s="45"/>
      <c r="B60" s="45" t="s">
        <v>544</v>
      </c>
      <c r="C60" s="45" t="s">
        <v>789</v>
      </c>
      <c r="D60" s="46" t="s">
        <v>541</v>
      </c>
      <c r="E60" s="47">
        <f>SmtRes!DO3*SmtRes!AT3</f>
        <v>-0.03</v>
      </c>
      <c r="F60" s="47"/>
      <c r="G60" s="47">
        <f>ROUND(E60*G54, 7)</f>
        <v>-5.1000000000000004E-3</v>
      </c>
      <c r="H60" s="49"/>
      <c r="I60" s="48"/>
      <c r="J60" s="49">
        <f>ROUND(SmtRes!AG3/SmtRes!DO3, 2)</f>
        <v>641.22</v>
      </c>
      <c r="K60" s="48"/>
      <c r="L60" s="49">
        <f>SmtRes!DH3</f>
        <v>-3.27</v>
      </c>
      <c r="CE60">
        <v>1</v>
      </c>
    </row>
    <row r="61" spans="1:83" ht="14.25" x14ac:dyDescent="0.2">
      <c r="A61" s="45"/>
      <c r="B61" s="45"/>
      <c r="C61" s="45" t="s">
        <v>790</v>
      </c>
      <c r="D61" s="46"/>
      <c r="E61" s="47"/>
      <c r="F61" s="47"/>
      <c r="G61" s="47"/>
      <c r="H61" s="49"/>
      <c r="I61" s="48"/>
      <c r="J61" s="49"/>
      <c r="K61" s="48"/>
      <c r="L61" s="49">
        <f>SUM(AR54:AR64)+SUM(AS54:AS64)+SUM(AT54:AT64)+SUM(AU54:AU64)+SUM(AV54:AV64)</f>
        <v>627.77</v>
      </c>
    </row>
    <row r="62" spans="1:83" ht="14.25" x14ac:dyDescent="0.2">
      <c r="A62" s="45"/>
      <c r="B62" s="45" t="s">
        <v>24</v>
      </c>
      <c r="C62" s="45" t="s">
        <v>791</v>
      </c>
      <c r="D62" s="46" t="s">
        <v>57</v>
      </c>
      <c r="E62" s="47">
        <f>Source!BZ28</f>
        <v>91</v>
      </c>
      <c r="F62" s="47"/>
      <c r="G62" s="47">
        <f>Source!AT28</f>
        <v>91</v>
      </c>
      <c r="H62" s="49"/>
      <c r="I62" s="48"/>
      <c r="J62" s="49"/>
      <c r="K62" s="48"/>
      <c r="L62" s="49">
        <f>SUM(AZ54:AZ64)</f>
        <v>571.27</v>
      </c>
    </row>
    <row r="63" spans="1:83" ht="14.25" x14ac:dyDescent="0.2">
      <c r="A63" s="53"/>
      <c r="B63" s="53" t="s">
        <v>25</v>
      </c>
      <c r="C63" s="53" t="s">
        <v>792</v>
      </c>
      <c r="D63" s="54" t="s">
        <v>57</v>
      </c>
      <c r="E63" s="55">
        <f>Source!CA28</f>
        <v>48</v>
      </c>
      <c r="F63" s="55"/>
      <c r="G63" s="55">
        <f>Source!AU28</f>
        <v>48</v>
      </c>
      <c r="H63" s="56"/>
      <c r="I63" s="57"/>
      <c r="J63" s="56"/>
      <c r="K63" s="57"/>
      <c r="L63" s="56">
        <f>SUM(BA54:BA64)</f>
        <v>301.33</v>
      </c>
    </row>
    <row r="64" spans="1:83" ht="15" x14ac:dyDescent="0.2">
      <c r="C64" s="92" t="s">
        <v>793</v>
      </c>
      <c r="D64" s="92"/>
      <c r="E64" s="92"/>
      <c r="F64" s="92"/>
      <c r="G64" s="92"/>
      <c r="H64" s="92"/>
      <c r="I64" s="93">
        <f>IF(E54&lt;&gt;0,K64/E54, 0)</f>
        <v>8823.9999999999982</v>
      </c>
      <c r="J64" s="93"/>
      <c r="K64" s="93">
        <f>L56+L62+L63+SUM(L59:L60)</f>
        <v>1500.08</v>
      </c>
      <c r="L64" s="93"/>
      <c r="AD64">
        <f>ROUND((Source!AT28/100)*((ROUND(SUMIF(SmtRes!AQ1:'SmtRes'!AQ3,"=1",SmtRes!AD1:'SmtRes'!AD3)*Source!I28, 2)+ROUND(SUMIF(SmtRes!AQ1:'SmtRes'!AQ3,"=1",SmtRes!AC1:'SmtRes'!AC3)*Source!I28, 2))), 2)</f>
        <v>90.86</v>
      </c>
      <c r="AE64">
        <f>ROUND((Source!AU28/100)*((ROUND(SUMIF(SmtRes!AQ1:'SmtRes'!AQ3,"=1",SmtRes!AD1:'SmtRes'!AD3)*Source!I28, 2)+ROUND(SUMIF(SmtRes!AQ1:'SmtRes'!AQ3,"=1",SmtRes!AC1:'SmtRes'!AC3)*Source!I28, 2))), 2)</f>
        <v>47.93</v>
      </c>
      <c r="AN64" s="58">
        <f>L56+L62+L63</f>
        <v>1503.6399999999999</v>
      </c>
      <c r="AO64">
        <f>0</f>
        <v>0</v>
      </c>
      <c r="AQ64" t="s">
        <v>794</v>
      </c>
      <c r="AR64" s="58">
        <f>L56</f>
        <v>631.04</v>
      </c>
      <c r="AT64">
        <f>0</f>
        <v>0</v>
      </c>
      <c r="AV64" t="s">
        <v>794</v>
      </c>
      <c r="AW64">
        <f>0</f>
        <v>0</v>
      </c>
      <c r="AZ64">
        <f>Source!X28</f>
        <v>574.25</v>
      </c>
      <c r="BA64">
        <f>Source!Y28</f>
        <v>302.89999999999998</v>
      </c>
      <c r="CD64">
        <v>1</v>
      </c>
    </row>
    <row r="65" spans="1:83" ht="28.5" x14ac:dyDescent="0.2">
      <c r="A65" s="43" t="s">
        <v>31</v>
      </c>
      <c r="B65" s="45" t="s">
        <v>795</v>
      </c>
      <c r="C65" s="45" t="str">
        <f>Source!G30</f>
        <v>Демонтаж: светильников для люминесцентных ламп</v>
      </c>
      <c r="D65" s="46" t="str">
        <f>Source!H30</f>
        <v>100 ШТ</v>
      </c>
      <c r="E65" s="47">
        <f>Source!K30</f>
        <v>0.13</v>
      </c>
      <c r="F65" s="47"/>
      <c r="G65" s="47">
        <f>Source!I30</f>
        <v>0.13</v>
      </c>
      <c r="H65" s="49"/>
      <c r="I65" s="48"/>
      <c r="J65" s="49"/>
      <c r="K65" s="48"/>
      <c r="L65" s="49"/>
    </row>
    <row r="66" spans="1:83" x14ac:dyDescent="0.2">
      <c r="C66" s="50" t="str">
        <f>"Объем: "&amp;Source!I30&amp;"=(13)/"&amp;"100"</f>
        <v>Объем: 0,13=(13)/100</v>
      </c>
    </row>
    <row r="67" spans="1:83" ht="15" x14ac:dyDescent="0.2">
      <c r="A67" s="44"/>
      <c r="B67" s="47">
        <v>1</v>
      </c>
      <c r="C67" s="44" t="s">
        <v>786</v>
      </c>
      <c r="D67" s="46" t="s">
        <v>541</v>
      </c>
      <c r="E67" s="51"/>
      <c r="F67" s="47"/>
      <c r="G67" s="47">
        <f>Source!U30</f>
        <v>2.3256999999999999</v>
      </c>
      <c r="H67" s="47"/>
      <c r="I67" s="47"/>
      <c r="J67" s="47"/>
      <c r="K67" s="47"/>
      <c r="L67" s="52">
        <f>SUM(L68:L68)-SUMIF(CE68:CE68, 1, L68:L68)</f>
        <v>1403.56</v>
      </c>
    </row>
    <row r="68" spans="1:83" ht="14.25" x14ac:dyDescent="0.2">
      <c r="A68" s="45"/>
      <c r="B68" s="45" t="s">
        <v>545</v>
      </c>
      <c r="C68" s="53" t="s">
        <v>546</v>
      </c>
      <c r="D68" s="54" t="s">
        <v>541</v>
      </c>
      <c r="E68" s="55">
        <v>17.89</v>
      </c>
      <c r="F68" s="55"/>
      <c r="G68" s="55">
        <f>SmtRes!CX4</f>
        <v>2.3256999999999999</v>
      </c>
      <c r="H68" s="56"/>
      <c r="I68" s="57"/>
      <c r="J68" s="56">
        <f>SmtRes!CZ4</f>
        <v>603.5</v>
      </c>
      <c r="K68" s="57"/>
      <c r="L68" s="56">
        <f>SmtRes!DI4</f>
        <v>1403.56</v>
      </c>
    </row>
    <row r="69" spans="1:83" ht="15" x14ac:dyDescent="0.2">
      <c r="A69" s="45"/>
      <c r="B69" s="45"/>
      <c r="C69" s="59" t="s">
        <v>787</v>
      </c>
      <c r="D69" s="46"/>
      <c r="E69" s="47"/>
      <c r="F69" s="47"/>
      <c r="G69" s="47"/>
      <c r="H69" s="49"/>
      <c r="I69" s="48"/>
      <c r="J69" s="49"/>
      <c r="K69" s="48"/>
      <c r="L69" s="49">
        <f>L67</f>
        <v>1403.56</v>
      </c>
    </row>
    <row r="70" spans="1:83" ht="57" x14ac:dyDescent="0.2">
      <c r="A70" s="43" t="s">
        <v>796</v>
      </c>
      <c r="B70" s="45" t="str">
        <f>Source!F31</f>
        <v>91.06.06-048</v>
      </c>
      <c r="C70" s="45" t="s">
        <v>788</v>
      </c>
      <c r="D70" s="46" t="str">
        <f>Source!H31</f>
        <v>маш.-ч</v>
      </c>
      <c r="E70" s="47">
        <f>SmtRes!AT6</f>
        <v>-0.08</v>
      </c>
      <c r="F70" s="47"/>
      <c r="G70" s="47">
        <f>Source!I31</f>
        <v>-1.04E-2</v>
      </c>
      <c r="H70" s="49">
        <f>Source!AL31+Source!AO31+Source!AM31+Source!AN31</f>
        <v>678.54000000000008</v>
      </c>
      <c r="I70" s="48">
        <f>IF(Source!BB31&lt;&gt; 0, Source!BB31, 1)</f>
        <v>1.54</v>
      </c>
      <c r="J70" s="49">
        <f>ROUND(H70*I70, 2)</f>
        <v>1044.95</v>
      </c>
      <c r="K70" s="48"/>
      <c r="L70" s="49">
        <f>Source!Q31</f>
        <v>-0.6</v>
      </c>
      <c r="AD70">
        <f>ROUND((Source!AT31/100)*((ROUND(ROUND(Source!AO31,2)*Source!I31, 2)+ROUND(ROUND(Source!AN31,2)*Source!I31, 2))), 2)</f>
        <v>-6.07</v>
      </c>
      <c r="AE70">
        <f>ROUND((Source!AU31/100)*((ROUND(ROUND(Source!AO31,2)*Source!I31, 2)+ROUND(ROUND(Source!AN31,2)*Source!I31, 2))), 2)</f>
        <v>-3.2</v>
      </c>
      <c r="AN70">
        <f>L70</f>
        <v>-0.6</v>
      </c>
      <c r="AO70">
        <f>L70</f>
        <v>-0.6</v>
      </c>
      <c r="AT70">
        <f>Source!R31</f>
        <v>-6.67</v>
      </c>
      <c r="AZ70">
        <f>Source!X31</f>
        <v>-6.07</v>
      </c>
      <c r="BA70">
        <f>Source!Y31</f>
        <v>-3.2</v>
      </c>
      <c r="CD70">
        <v>1</v>
      </c>
    </row>
    <row r="71" spans="1:83" ht="28.5" x14ac:dyDescent="0.2">
      <c r="A71" s="45"/>
      <c r="B71" s="45" t="s">
        <v>544</v>
      </c>
      <c r="C71" s="45" t="s">
        <v>789</v>
      </c>
      <c r="D71" s="46" t="s">
        <v>541</v>
      </c>
      <c r="E71" s="47">
        <f>SmtRes!DO6*SmtRes!AT6</f>
        <v>-0.08</v>
      </c>
      <c r="F71" s="47"/>
      <c r="G71" s="47">
        <f>ROUND(E71*G65, 7)</f>
        <v>-1.04E-2</v>
      </c>
      <c r="H71" s="49"/>
      <c r="I71" s="48"/>
      <c r="J71" s="49">
        <f>ROUND(SmtRes!AG6/SmtRes!DO6, 2)</f>
        <v>641.22</v>
      </c>
      <c r="K71" s="48"/>
      <c r="L71" s="49">
        <f>SmtRes!DH6</f>
        <v>-6.67</v>
      </c>
      <c r="CE71">
        <v>1</v>
      </c>
    </row>
    <row r="72" spans="1:83" ht="14.25" x14ac:dyDescent="0.2">
      <c r="A72" s="45"/>
      <c r="B72" s="45"/>
      <c r="C72" s="45" t="s">
        <v>790</v>
      </c>
      <c r="D72" s="46"/>
      <c r="E72" s="47"/>
      <c r="F72" s="47"/>
      <c r="G72" s="47"/>
      <c r="H72" s="49"/>
      <c r="I72" s="48"/>
      <c r="J72" s="49"/>
      <c r="K72" s="48"/>
      <c r="L72" s="49">
        <f>SUM(AR65:AR75)+SUM(AS65:AS75)+SUM(AT65:AT75)+SUM(AU65:AU75)+SUM(AV65:AV75)</f>
        <v>1396.8899999999999</v>
      </c>
    </row>
    <row r="73" spans="1:83" ht="14.25" x14ac:dyDescent="0.2">
      <c r="A73" s="45"/>
      <c r="B73" s="45" t="s">
        <v>24</v>
      </c>
      <c r="C73" s="45" t="s">
        <v>791</v>
      </c>
      <c r="D73" s="46" t="s">
        <v>57</v>
      </c>
      <c r="E73" s="47">
        <f>Source!BZ30</f>
        <v>91</v>
      </c>
      <c r="F73" s="47"/>
      <c r="G73" s="47">
        <f>Source!AT30</f>
        <v>91</v>
      </c>
      <c r="H73" s="49"/>
      <c r="I73" s="48"/>
      <c r="J73" s="49"/>
      <c r="K73" s="48"/>
      <c r="L73" s="49">
        <f>SUM(AZ65:AZ75)</f>
        <v>1271.17</v>
      </c>
    </row>
    <row r="74" spans="1:83" ht="14.25" x14ac:dyDescent="0.2">
      <c r="A74" s="53"/>
      <c r="B74" s="53" t="s">
        <v>25</v>
      </c>
      <c r="C74" s="53" t="s">
        <v>792</v>
      </c>
      <c r="D74" s="54" t="s">
        <v>57</v>
      </c>
      <c r="E74" s="55">
        <f>Source!CA30</f>
        <v>48</v>
      </c>
      <c r="F74" s="55"/>
      <c r="G74" s="55">
        <f>Source!AU30</f>
        <v>48</v>
      </c>
      <c r="H74" s="56"/>
      <c r="I74" s="57"/>
      <c r="J74" s="56"/>
      <c r="K74" s="57"/>
      <c r="L74" s="56">
        <f>SUM(BA65:BA75)</f>
        <v>670.51</v>
      </c>
    </row>
    <row r="75" spans="1:83" ht="15" x14ac:dyDescent="0.2">
      <c r="C75" s="92" t="s">
        <v>793</v>
      </c>
      <c r="D75" s="92"/>
      <c r="E75" s="92"/>
      <c r="F75" s="92"/>
      <c r="G75" s="92"/>
      <c r="H75" s="92"/>
      <c r="I75" s="93">
        <f>IF(E65&lt;&gt;0,K75/E65, 0)</f>
        <v>25676.692307692305</v>
      </c>
      <c r="J75" s="93"/>
      <c r="K75" s="93">
        <f>L67+L73+L74+SUM(L70:L71)</f>
        <v>3337.97</v>
      </c>
      <c r="L75" s="93"/>
      <c r="AD75">
        <f>ROUND((Source!AT30/100)*((ROUND(SUMIF(SmtRes!AQ4:'SmtRes'!AQ6,"=1",SmtRes!AD4:'SmtRes'!AD6)*Source!I30, 2)+ROUND(SUMIF(SmtRes!AQ4:'SmtRes'!AQ6,"=1",SmtRes!AC4:'SmtRes'!AC6)*Source!I30, 2))), 2)</f>
        <v>71.400000000000006</v>
      </c>
      <c r="AE75">
        <f>ROUND((Source!AU30/100)*((ROUND(SUMIF(SmtRes!AQ4:'SmtRes'!AQ6,"=1",SmtRes!AD4:'SmtRes'!AD6)*Source!I30, 2)+ROUND(SUMIF(SmtRes!AQ4:'SmtRes'!AQ6,"=1",SmtRes!AC4:'SmtRes'!AC6)*Source!I30, 2))), 2)</f>
        <v>37.659999999999997</v>
      </c>
      <c r="AN75" s="58">
        <f>L67+L73+L74</f>
        <v>3345.24</v>
      </c>
      <c r="AO75">
        <f>0</f>
        <v>0</v>
      </c>
      <c r="AQ75" t="s">
        <v>794</v>
      </c>
      <c r="AR75" s="58">
        <f>L67</f>
        <v>1403.56</v>
      </c>
      <c r="AT75">
        <f>0</f>
        <v>0</v>
      </c>
      <c r="AV75" t="s">
        <v>794</v>
      </c>
      <c r="AW75">
        <f>0</f>
        <v>0</v>
      </c>
      <c r="AZ75">
        <f>Source!X30</f>
        <v>1277.24</v>
      </c>
      <c r="BA75">
        <f>Source!Y30</f>
        <v>673.71</v>
      </c>
      <c r="CD75">
        <v>1</v>
      </c>
    </row>
    <row r="76" spans="1:83" ht="28.5" x14ac:dyDescent="0.2">
      <c r="A76" s="43" t="s">
        <v>36</v>
      </c>
      <c r="B76" s="45" t="s">
        <v>797</v>
      </c>
      <c r="C76" s="45" t="str">
        <f>Source!G32</f>
        <v>Демонтаж: выключателей, розеток</v>
      </c>
      <c r="D76" s="46" t="str">
        <f>Source!H32</f>
        <v>100 ШТ</v>
      </c>
      <c r="E76" s="47">
        <f>Source!K32</f>
        <v>0.21</v>
      </c>
      <c r="F76" s="47"/>
      <c r="G76" s="47">
        <f>Source!I32</f>
        <v>0.21</v>
      </c>
      <c r="H76" s="49"/>
      <c r="I76" s="48"/>
      <c r="J76" s="49"/>
      <c r="K76" s="48"/>
      <c r="L76" s="49"/>
    </row>
    <row r="77" spans="1:83" x14ac:dyDescent="0.2">
      <c r="C77" s="50" t="str">
        <f>"Объем: "&amp;Source!I32&amp;"=(16+"&amp;"5)/"&amp;"100"</f>
        <v>Объем: 0,21=(16+5)/100</v>
      </c>
    </row>
    <row r="78" spans="1:83" ht="15" x14ac:dyDescent="0.2">
      <c r="A78" s="44"/>
      <c r="B78" s="47">
        <v>1</v>
      </c>
      <c r="C78" s="44" t="s">
        <v>786</v>
      </c>
      <c r="D78" s="46" t="s">
        <v>541</v>
      </c>
      <c r="E78" s="51"/>
      <c r="F78" s="47"/>
      <c r="G78" s="47">
        <f>Source!U32</f>
        <v>1.2263999999999999</v>
      </c>
      <c r="H78" s="47"/>
      <c r="I78" s="47"/>
      <c r="J78" s="47"/>
      <c r="K78" s="47"/>
      <c r="L78" s="52">
        <f>SUM(L79:L79)-SUMIF(CE79:CE79, 1, L79:L79)</f>
        <v>720.31</v>
      </c>
    </row>
    <row r="79" spans="1:83" ht="14.25" x14ac:dyDescent="0.2">
      <c r="A79" s="45"/>
      <c r="B79" s="45" t="s">
        <v>539</v>
      </c>
      <c r="C79" s="53" t="s">
        <v>540</v>
      </c>
      <c r="D79" s="54" t="s">
        <v>541</v>
      </c>
      <c r="E79" s="55">
        <v>5.84</v>
      </c>
      <c r="F79" s="55"/>
      <c r="G79" s="55">
        <f>SmtRes!CX7</f>
        <v>1.2263999999999999</v>
      </c>
      <c r="H79" s="56"/>
      <c r="I79" s="57"/>
      <c r="J79" s="56">
        <f>SmtRes!CZ7</f>
        <v>587.34</v>
      </c>
      <c r="K79" s="57"/>
      <c r="L79" s="56">
        <f>SmtRes!DI7</f>
        <v>720.31</v>
      </c>
    </row>
    <row r="80" spans="1:83" ht="15" x14ac:dyDescent="0.2">
      <c r="A80" s="45"/>
      <c r="B80" s="45"/>
      <c r="C80" s="59" t="s">
        <v>787</v>
      </c>
      <c r="D80" s="46"/>
      <c r="E80" s="47"/>
      <c r="F80" s="47"/>
      <c r="G80" s="47"/>
      <c r="H80" s="49"/>
      <c r="I80" s="48"/>
      <c r="J80" s="49"/>
      <c r="K80" s="48"/>
      <c r="L80" s="49">
        <f>L78</f>
        <v>720.31</v>
      </c>
    </row>
    <row r="81" spans="1:83" ht="14.25" x14ac:dyDescent="0.2">
      <c r="A81" s="45"/>
      <c r="B81" s="45"/>
      <c r="C81" s="45" t="s">
        <v>790</v>
      </c>
      <c r="D81" s="46"/>
      <c r="E81" s="47"/>
      <c r="F81" s="47"/>
      <c r="G81" s="47"/>
      <c r="H81" s="49"/>
      <c r="I81" s="48"/>
      <c r="J81" s="49"/>
      <c r="K81" s="48"/>
      <c r="L81" s="49">
        <f>SUM(AR76:AR84)+SUM(AS76:AS84)+SUM(AT76:AT84)+SUM(AU76:AU84)+SUM(AV76:AV84)</f>
        <v>720.31</v>
      </c>
    </row>
    <row r="82" spans="1:83" ht="14.25" x14ac:dyDescent="0.2">
      <c r="A82" s="45"/>
      <c r="B82" s="45" t="s">
        <v>24</v>
      </c>
      <c r="C82" s="45" t="s">
        <v>791</v>
      </c>
      <c r="D82" s="46" t="s">
        <v>57</v>
      </c>
      <c r="E82" s="47">
        <f>Source!BZ32</f>
        <v>91</v>
      </c>
      <c r="F82" s="47"/>
      <c r="G82" s="47">
        <f>Source!AT32</f>
        <v>91</v>
      </c>
      <c r="H82" s="49"/>
      <c r="I82" s="48"/>
      <c r="J82" s="49"/>
      <c r="K82" s="48"/>
      <c r="L82" s="49">
        <f>SUM(AZ76:AZ84)</f>
        <v>655.48</v>
      </c>
    </row>
    <row r="83" spans="1:83" ht="14.25" x14ac:dyDescent="0.2">
      <c r="A83" s="53"/>
      <c r="B83" s="53" t="s">
        <v>25</v>
      </c>
      <c r="C83" s="53" t="s">
        <v>792</v>
      </c>
      <c r="D83" s="54" t="s">
        <v>57</v>
      </c>
      <c r="E83" s="55">
        <f>Source!CA32</f>
        <v>48</v>
      </c>
      <c r="F83" s="55"/>
      <c r="G83" s="55">
        <f>Source!AU32</f>
        <v>48</v>
      </c>
      <c r="H83" s="56"/>
      <c r="I83" s="57"/>
      <c r="J83" s="56"/>
      <c r="K83" s="57"/>
      <c r="L83" s="56">
        <f>SUM(BA76:BA84)</f>
        <v>345.75</v>
      </c>
    </row>
    <row r="84" spans="1:83" ht="15" x14ac:dyDescent="0.2">
      <c r="C84" s="92" t="s">
        <v>793</v>
      </c>
      <c r="D84" s="92"/>
      <c r="E84" s="92"/>
      <c r="F84" s="92"/>
      <c r="G84" s="92"/>
      <c r="H84" s="92"/>
      <c r="I84" s="93">
        <f>IF(E76&lt;&gt;0,K84/E76, 0)</f>
        <v>8197.8095238095248</v>
      </c>
      <c r="J84" s="93"/>
      <c r="K84" s="93">
        <f>L78+L82+L83</f>
        <v>1721.54</v>
      </c>
      <c r="L84" s="93"/>
      <c r="AD84">
        <f>ROUND((Source!AT32/100)*((ROUND(SUMIF(SmtRes!AQ7:'SmtRes'!AQ7,"=1",SmtRes!AD7:'SmtRes'!AD7)*Source!I32, 2)+ROUND(SUMIF(SmtRes!AQ7:'SmtRes'!AQ7,"=1",SmtRes!AC7:'SmtRes'!AC7)*Source!I32, 2))), 2)</f>
        <v>112.24</v>
      </c>
      <c r="AE84">
        <f>ROUND((Source!AU32/100)*((ROUND(SUMIF(SmtRes!AQ7:'SmtRes'!AQ7,"=1",SmtRes!AD7:'SmtRes'!AD7)*Source!I32, 2)+ROUND(SUMIF(SmtRes!AQ7:'SmtRes'!AQ7,"=1",SmtRes!AC7:'SmtRes'!AC7)*Source!I32, 2))), 2)</f>
        <v>59.2</v>
      </c>
      <c r="AN84" s="58">
        <f>L78+L82+L83</f>
        <v>1721.54</v>
      </c>
      <c r="AO84">
        <f>0</f>
        <v>0</v>
      </c>
      <c r="AQ84" t="s">
        <v>794</v>
      </c>
      <c r="AR84" s="58">
        <f>L78</f>
        <v>720.31</v>
      </c>
      <c r="AT84">
        <f>0</f>
        <v>0</v>
      </c>
      <c r="AV84" t="s">
        <v>794</v>
      </c>
      <c r="AW84">
        <f>0</f>
        <v>0</v>
      </c>
      <c r="AZ84">
        <f>Source!X32</f>
        <v>655.48</v>
      </c>
      <c r="BA84">
        <f>Source!Y32</f>
        <v>345.75</v>
      </c>
      <c r="CD84">
        <v>1</v>
      </c>
    </row>
    <row r="85" spans="1:83" ht="149.25" x14ac:dyDescent="0.2">
      <c r="A85" s="43" t="s">
        <v>40</v>
      </c>
      <c r="B85" s="45" t="s">
        <v>798</v>
      </c>
      <c r="C85" s="45" t="s">
        <v>799</v>
      </c>
      <c r="D85" s="46" t="str">
        <f>Source!H33</f>
        <v>ШТ</v>
      </c>
      <c r="E85" s="47">
        <f>Source!K33</f>
        <v>1</v>
      </c>
      <c r="F85" s="47"/>
      <c r="G85" s="47">
        <f>Source!I33</f>
        <v>1</v>
      </c>
      <c r="H85" s="49"/>
      <c r="I85" s="48"/>
      <c r="J85" s="49"/>
      <c r="K85" s="48"/>
      <c r="L85" s="49"/>
    </row>
    <row r="86" spans="1:83" ht="127.5" x14ac:dyDescent="0.2">
      <c r="B86" s="61" t="str">
        <f>Source!EO33</f>
        <v>Поправка: 571/пр_2022_п.84_т.3_стр.4_стб.3
Поправка:
Поправка:</v>
      </c>
      <c r="C86" s="61" t="str">
        <f>Source!CN33</f>
        <v>Поправка: 571/пр_2022_п.84_т.3_стр.4_стб.3
Наименование: Демонтаж оборудования, не пригодного для дальнейшего использования (предназначено в лом), без разборки и резки
Поправка: 
Наименование:
Поправка: 
Наименование:</v>
      </c>
    </row>
    <row r="87" spans="1:83" ht="15" x14ac:dyDescent="0.2">
      <c r="A87" s="44"/>
      <c r="B87" s="47">
        <v>1</v>
      </c>
      <c r="C87" s="44" t="s">
        <v>786</v>
      </c>
      <c r="D87" s="46" t="s">
        <v>541</v>
      </c>
      <c r="E87" s="51"/>
      <c r="F87" s="47"/>
      <c r="G87" s="47">
        <f>Source!U33</f>
        <v>0.9</v>
      </c>
      <c r="H87" s="47"/>
      <c r="I87" s="47"/>
      <c r="J87" s="47"/>
      <c r="K87" s="47"/>
      <c r="L87" s="52">
        <f>SUM(L88:L88)-SUMIF(CE88:CE88, 1, L88:L88)</f>
        <v>635.29</v>
      </c>
    </row>
    <row r="88" spans="1:83" ht="14.25" x14ac:dyDescent="0.2">
      <c r="A88" s="45"/>
      <c r="B88" s="45" t="s">
        <v>547</v>
      </c>
      <c r="C88" s="45" t="s">
        <v>548</v>
      </c>
      <c r="D88" s="46" t="s">
        <v>541</v>
      </c>
      <c r="E88" s="47">
        <v>3</v>
      </c>
      <c r="F88" s="47">
        <f>ROUND(0.3,7)</f>
        <v>0.3</v>
      </c>
      <c r="G88" s="47">
        <f>SmtRes!CX8</f>
        <v>0.9</v>
      </c>
      <c r="H88" s="49"/>
      <c r="I88" s="48"/>
      <c r="J88" s="49">
        <f>SmtRes!CZ8</f>
        <v>705.88</v>
      </c>
      <c r="K88" s="48"/>
      <c r="L88" s="49">
        <f>SmtRes!DI8</f>
        <v>635.29</v>
      </c>
    </row>
    <row r="89" spans="1:83" ht="15" x14ac:dyDescent="0.2">
      <c r="A89" s="44"/>
      <c r="B89" s="47">
        <v>2</v>
      </c>
      <c r="C89" s="44" t="s">
        <v>800</v>
      </c>
      <c r="D89" s="46"/>
      <c r="E89" s="51"/>
      <c r="F89" s="47"/>
      <c r="G89" s="47"/>
      <c r="H89" s="47"/>
      <c r="I89" s="47"/>
      <c r="J89" s="47"/>
      <c r="K89" s="47"/>
      <c r="L89" s="52">
        <f>SUM(L90:L91)-SUMIF(CE90:CE91, 1, L90:L91)</f>
        <v>2.06</v>
      </c>
    </row>
    <row r="90" spans="1:83" ht="15" hidden="1" x14ac:dyDescent="0.2">
      <c r="A90" s="44"/>
      <c r="B90" s="47"/>
      <c r="C90" s="44" t="s">
        <v>801</v>
      </c>
      <c r="D90" s="46" t="s">
        <v>541</v>
      </c>
      <c r="E90" s="51"/>
      <c r="F90" s="47"/>
      <c r="G90" s="47">
        <f>Source!V33</f>
        <v>0</v>
      </c>
      <c r="H90" s="47"/>
      <c r="I90" s="47"/>
      <c r="J90" s="47"/>
      <c r="K90" s="47"/>
      <c r="L90" s="52">
        <f>SUMIF(CE91:CE91, 1, L91:L91)</f>
        <v>0</v>
      </c>
      <c r="CE90">
        <v>1</v>
      </c>
    </row>
    <row r="91" spans="1:83" ht="42.75" x14ac:dyDescent="0.2">
      <c r="A91" s="45"/>
      <c r="B91" s="45" t="s">
        <v>549</v>
      </c>
      <c r="C91" s="45" t="s">
        <v>551</v>
      </c>
      <c r="D91" s="46" t="s">
        <v>29</v>
      </c>
      <c r="E91" s="47">
        <v>0.21299999999999999</v>
      </c>
      <c r="F91" s="47">
        <f>ROUND(0.3,7)</f>
        <v>0.3</v>
      </c>
      <c r="G91" s="47">
        <f>SmtRes!CX9</f>
        <v>6.3899999999999998E-2</v>
      </c>
      <c r="H91" s="49"/>
      <c r="I91" s="48"/>
      <c r="J91" s="49">
        <f>SmtRes!CZ9</f>
        <v>32.26</v>
      </c>
      <c r="K91" s="48"/>
      <c r="L91" s="49">
        <f>SmtRes!DG9</f>
        <v>2.06</v>
      </c>
    </row>
    <row r="92" spans="1:83" ht="15" hidden="1" x14ac:dyDescent="0.2">
      <c r="A92" s="44"/>
      <c r="B92" s="47">
        <v>4</v>
      </c>
      <c r="C92" s="44" t="s">
        <v>802</v>
      </c>
      <c r="D92" s="46"/>
      <c r="E92" s="51"/>
      <c r="F92" s="47"/>
      <c r="G92" s="47"/>
      <c r="H92" s="47"/>
      <c r="I92" s="47"/>
      <c r="J92" s="47"/>
      <c r="K92" s="47"/>
      <c r="L92" s="52">
        <f>SUM(L93:L105)-SUMIF(CE93:CE105, 1, L93:L105)</f>
        <v>0</v>
      </c>
    </row>
    <row r="93" spans="1:83" ht="14.25" x14ac:dyDescent="0.2">
      <c r="A93" s="45"/>
      <c r="B93" s="45" t="s">
        <v>552</v>
      </c>
      <c r="C93" s="45" t="s">
        <v>554</v>
      </c>
      <c r="D93" s="46" t="s">
        <v>170</v>
      </c>
      <c r="E93" s="47">
        <v>0.02</v>
      </c>
      <c r="F93" s="47">
        <f t="shared" ref="F93:F105" si="0">ROUND(0,7)</f>
        <v>0</v>
      </c>
      <c r="G93" s="47">
        <f>SmtRes!CX10</f>
        <v>0</v>
      </c>
      <c r="H93" s="49">
        <f>SmtRes!CZ10</f>
        <v>150.04</v>
      </c>
      <c r="I93" s="48">
        <f>SmtRes!AI10</f>
        <v>1.6</v>
      </c>
      <c r="J93" s="49">
        <f>ROUND(H93*I93, 2)</f>
        <v>240.06</v>
      </c>
      <c r="K93" s="48"/>
      <c r="L93" s="49">
        <f>SmtRes!DF10</f>
        <v>0</v>
      </c>
    </row>
    <row r="94" spans="1:83" ht="14.25" x14ac:dyDescent="0.2">
      <c r="A94" s="45"/>
      <c r="B94" s="45" t="s">
        <v>555</v>
      </c>
      <c r="C94" s="45" t="s">
        <v>557</v>
      </c>
      <c r="D94" s="46" t="s">
        <v>170</v>
      </c>
      <c r="E94" s="47">
        <v>4.0000000000000001E-3</v>
      </c>
      <c r="F94" s="47">
        <f t="shared" si="0"/>
        <v>0</v>
      </c>
      <c r="G94" s="47">
        <f>SmtRes!CX11</f>
        <v>0</v>
      </c>
      <c r="H94" s="49">
        <f>SmtRes!CZ11</f>
        <v>187.38</v>
      </c>
      <c r="I94" s="48">
        <f>SmtRes!AI11</f>
        <v>0.88</v>
      </c>
      <c r="J94" s="49">
        <f>ROUND(H94*I94, 2)</f>
        <v>164.89</v>
      </c>
      <c r="K94" s="48"/>
      <c r="L94" s="49">
        <f>SmtRes!DF11</f>
        <v>0</v>
      </c>
    </row>
    <row r="95" spans="1:83" ht="14.25" x14ac:dyDescent="0.2">
      <c r="A95" s="45"/>
      <c r="B95" s="45" t="s">
        <v>558</v>
      </c>
      <c r="C95" s="45" t="s">
        <v>560</v>
      </c>
      <c r="D95" s="46" t="s">
        <v>561</v>
      </c>
      <c r="E95" s="47">
        <v>2.0799999999999999E-2</v>
      </c>
      <c r="F95" s="47">
        <f t="shared" si="0"/>
        <v>0</v>
      </c>
      <c r="G95" s="47">
        <f>SmtRes!CX12</f>
        <v>0</v>
      </c>
      <c r="H95" s="49"/>
      <c r="I95" s="48"/>
      <c r="J95" s="49">
        <f>SmtRes!CZ12</f>
        <v>6.78</v>
      </c>
      <c r="K95" s="48"/>
      <c r="L95" s="49">
        <f>SmtRes!DF12</f>
        <v>0</v>
      </c>
    </row>
    <row r="96" spans="1:83" ht="71.25" x14ac:dyDescent="0.2">
      <c r="A96" s="45"/>
      <c r="B96" s="45" t="s">
        <v>562</v>
      </c>
      <c r="C96" s="45" t="s">
        <v>564</v>
      </c>
      <c r="D96" s="46" t="s">
        <v>364</v>
      </c>
      <c r="E96" s="47">
        <v>3.33</v>
      </c>
      <c r="F96" s="47">
        <f t="shared" si="0"/>
        <v>0</v>
      </c>
      <c r="G96" s="47">
        <f>SmtRes!CX13</f>
        <v>0</v>
      </c>
      <c r="H96" s="49">
        <f>SmtRes!CZ13</f>
        <v>5.87</v>
      </c>
      <c r="I96" s="48">
        <f>SmtRes!AI13</f>
        <v>0.88</v>
      </c>
      <c r="J96" s="49">
        <f t="shared" ref="J96:J105" si="1">ROUND(H96*I96, 2)</f>
        <v>5.17</v>
      </c>
      <c r="K96" s="48"/>
      <c r="L96" s="49">
        <f>SmtRes!DF13</f>
        <v>0</v>
      </c>
    </row>
    <row r="97" spans="1:82" ht="57" x14ac:dyDescent="0.2">
      <c r="A97" s="45"/>
      <c r="B97" s="45" t="s">
        <v>565</v>
      </c>
      <c r="C97" s="45" t="s">
        <v>567</v>
      </c>
      <c r="D97" s="46" t="s">
        <v>170</v>
      </c>
      <c r="E97" s="47">
        <v>7.0000000000000007E-2</v>
      </c>
      <c r="F97" s="47">
        <f t="shared" si="0"/>
        <v>0</v>
      </c>
      <c r="G97" s="47">
        <f>SmtRes!CX14</f>
        <v>0</v>
      </c>
      <c r="H97" s="49">
        <f>SmtRes!CZ14</f>
        <v>155.63</v>
      </c>
      <c r="I97" s="48">
        <f>SmtRes!AI14</f>
        <v>0.78</v>
      </c>
      <c r="J97" s="49">
        <f t="shared" si="1"/>
        <v>121.39</v>
      </c>
      <c r="K97" s="48"/>
      <c r="L97" s="49">
        <f>SmtRes!DF14</f>
        <v>0</v>
      </c>
    </row>
    <row r="98" spans="1:82" ht="28.5" x14ac:dyDescent="0.2">
      <c r="A98" s="45"/>
      <c r="B98" s="45" t="s">
        <v>301</v>
      </c>
      <c r="C98" s="45" t="s">
        <v>302</v>
      </c>
      <c r="D98" s="46" t="s">
        <v>170</v>
      </c>
      <c r="E98" s="47">
        <v>4.9000000000000002E-2</v>
      </c>
      <c r="F98" s="47">
        <f t="shared" si="0"/>
        <v>0</v>
      </c>
      <c r="G98" s="47">
        <f>SmtRes!CX15</f>
        <v>0</v>
      </c>
      <c r="H98" s="49">
        <f>SmtRes!CZ15</f>
        <v>174.93</v>
      </c>
      <c r="I98" s="48">
        <f>SmtRes!AI15</f>
        <v>1.0900000000000001</v>
      </c>
      <c r="J98" s="49">
        <f t="shared" si="1"/>
        <v>190.67</v>
      </c>
      <c r="K98" s="48"/>
      <c r="L98" s="49">
        <f>SmtRes!DF15</f>
        <v>0</v>
      </c>
    </row>
    <row r="99" spans="1:82" ht="14.25" x14ac:dyDescent="0.2">
      <c r="A99" s="45"/>
      <c r="B99" s="45" t="s">
        <v>568</v>
      </c>
      <c r="C99" s="45" t="s">
        <v>570</v>
      </c>
      <c r="D99" s="46" t="s">
        <v>20</v>
      </c>
      <c r="E99" s="47">
        <v>1.4E-2</v>
      </c>
      <c r="F99" s="47">
        <f t="shared" si="0"/>
        <v>0</v>
      </c>
      <c r="G99" s="47">
        <f>SmtRes!CX16</f>
        <v>0</v>
      </c>
      <c r="H99" s="49">
        <f>SmtRes!CZ16</f>
        <v>41.71</v>
      </c>
      <c r="I99" s="48">
        <f>SmtRes!AI16</f>
        <v>1.29</v>
      </c>
      <c r="J99" s="49">
        <f t="shared" si="1"/>
        <v>53.81</v>
      </c>
      <c r="K99" s="48"/>
      <c r="L99" s="49">
        <f>SmtRes!DF16</f>
        <v>0</v>
      </c>
    </row>
    <row r="100" spans="1:82" ht="14.25" x14ac:dyDescent="0.2">
      <c r="A100" s="45"/>
      <c r="B100" s="45" t="s">
        <v>571</v>
      </c>
      <c r="C100" s="45" t="s">
        <v>573</v>
      </c>
      <c r="D100" s="46" t="s">
        <v>170</v>
      </c>
      <c r="E100" s="47">
        <v>2E-3</v>
      </c>
      <c r="F100" s="47">
        <f t="shared" si="0"/>
        <v>0</v>
      </c>
      <c r="G100" s="47">
        <f>SmtRes!CX17</f>
        <v>0</v>
      </c>
      <c r="H100" s="49">
        <f>SmtRes!CZ17</f>
        <v>395.65</v>
      </c>
      <c r="I100" s="48">
        <f>SmtRes!AI17</f>
        <v>1.54</v>
      </c>
      <c r="J100" s="49">
        <f t="shared" si="1"/>
        <v>609.29999999999995</v>
      </c>
      <c r="K100" s="48"/>
      <c r="L100" s="49">
        <f>SmtRes!DF17</f>
        <v>0</v>
      </c>
    </row>
    <row r="101" spans="1:82" ht="42.75" x14ac:dyDescent="0.2">
      <c r="A101" s="45"/>
      <c r="B101" s="45" t="s">
        <v>574</v>
      </c>
      <c r="C101" s="45" t="s">
        <v>576</v>
      </c>
      <c r="D101" s="46" t="s">
        <v>165</v>
      </c>
      <c r="E101" s="47">
        <v>2E-3</v>
      </c>
      <c r="F101" s="47">
        <f t="shared" si="0"/>
        <v>0</v>
      </c>
      <c r="G101" s="47">
        <f>SmtRes!CX18</f>
        <v>0</v>
      </c>
      <c r="H101" s="49">
        <f>SmtRes!CZ18</f>
        <v>105278.81</v>
      </c>
      <c r="I101" s="48">
        <f>SmtRes!AI18</f>
        <v>1.3</v>
      </c>
      <c r="J101" s="49">
        <f t="shared" si="1"/>
        <v>136862.45000000001</v>
      </c>
      <c r="K101" s="48"/>
      <c r="L101" s="49">
        <f>SmtRes!DF18</f>
        <v>0</v>
      </c>
    </row>
    <row r="102" spans="1:82" ht="28.5" x14ac:dyDescent="0.2">
      <c r="A102" s="45"/>
      <c r="B102" s="45" t="s">
        <v>577</v>
      </c>
      <c r="C102" s="45" t="s">
        <v>579</v>
      </c>
      <c r="D102" s="46" t="s">
        <v>170</v>
      </c>
      <c r="E102" s="47">
        <v>0.03</v>
      </c>
      <c r="F102" s="47">
        <f t="shared" si="0"/>
        <v>0</v>
      </c>
      <c r="G102" s="47">
        <f>SmtRes!CX19</f>
        <v>0</v>
      </c>
      <c r="H102" s="49">
        <f>SmtRes!CZ19</f>
        <v>79.88</v>
      </c>
      <c r="I102" s="48">
        <f>SmtRes!AI19</f>
        <v>1.4</v>
      </c>
      <c r="J102" s="49">
        <f t="shared" si="1"/>
        <v>111.83</v>
      </c>
      <c r="K102" s="48"/>
      <c r="L102" s="49">
        <f>SmtRes!DF19</f>
        <v>0</v>
      </c>
    </row>
    <row r="103" spans="1:82" ht="14.25" x14ac:dyDescent="0.2">
      <c r="A103" s="45"/>
      <c r="B103" s="45" t="s">
        <v>580</v>
      </c>
      <c r="C103" s="45" t="s">
        <v>582</v>
      </c>
      <c r="D103" s="46" t="s">
        <v>170</v>
      </c>
      <c r="E103" s="47">
        <v>0.02</v>
      </c>
      <c r="F103" s="47">
        <f t="shared" si="0"/>
        <v>0</v>
      </c>
      <c r="G103" s="47">
        <f>SmtRes!CX20</f>
        <v>0</v>
      </c>
      <c r="H103" s="49">
        <f>SmtRes!CZ20</f>
        <v>157.44</v>
      </c>
      <c r="I103" s="48">
        <f>SmtRes!AI20</f>
        <v>1.2</v>
      </c>
      <c r="J103" s="49">
        <f t="shared" si="1"/>
        <v>188.93</v>
      </c>
      <c r="K103" s="48"/>
      <c r="L103" s="49">
        <f>SmtRes!DF20</f>
        <v>0</v>
      </c>
    </row>
    <row r="104" spans="1:82" ht="14.25" x14ac:dyDescent="0.2">
      <c r="A104" s="45"/>
      <c r="B104" s="45" t="s">
        <v>583</v>
      </c>
      <c r="C104" s="45" t="s">
        <v>585</v>
      </c>
      <c r="D104" s="46" t="s">
        <v>586</v>
      </c>
      <c r="E104" s="47">
        <v>0.1</v>
      </c>
      <c r="F104" s="47">
        <f t="shared" si="0"/>
        <v>0</v>
      </c>
      <c r="G104" s="47">
        <f>SmtRes!CX21</f>
        <v>0</v>
      </c>
      <c r="H104" s="49">
        <f>SmtRes!CZ21</f>
        <v>944.69</v>
      </c>
      <c r="I104" s="48">
        <f>SmtRes!AI21</f>
        <v>1.38</v>
      </c>
      <c r="J104" s="49">
        <f t="shared" si="1"/>
        <v>1303.67</v>
      </c>
      <c r="K104" s="48"/>
      <c r="L104" s="49">
        <f>SmtRes!DF21</f>
        <v>0</v>
      </c>
    </row>
    <row r="105" spans="1:82" ht="28.5" x14ac:dyDescent="0.2">
      <c r="A105" s="45"/>
      <c r="B105" s="45" t="s">
        <v>587</v>
      </c>
      <c r="C105" s="53" t="s">
        <v>589</v>
      </c>
      <c r="D105" s="54" t="s">
        <v>20</v>
      </c>
      <c r="E105" s="55">
        <v>0.2</v>
      </c>
      <c r="F105" s="55">
        <f t="shared" si="0"/>
        <v>0</v>
      </c>
      <c r="G105" s="55">
        <f>SmtRes!CX22</f>
        <v>0</v>
      </c>
      <c r="H105" s="56">
        <f>SmtRes!CZ22</f>
        <v>655.9</v>
      </c>
      <c r="I105" s="57">
        <f>SmtRes!AI22</f>
        <v>0.95</v>
      </c>
      <c r="J105" s="56">
        <f t="shared" si="1"/>
        <v>623.11</v>
      </c>
      <c r="K105" s="57"/>
      <c r="L105" s="56">
        <f>SmtRes!DF22</f>
        <v>0</v>
      </c>
    </row>
    <row r="106" spans="1:82" ht="15" x14ac:dyDescent="0.2">
      <c r="A106" s="45"/>
      <c r="B106" s="45"/>
      <c r="C106" s="59" t="s">
        <v>787</v>
      </c>
      <c r="D106" s="46"/>
      <c r="E106" s="47"/>
      <c r="F106" s="47"/>
      <c r="G106" s="47"/>
      <c r="H106" s="49"/>
      <c r="I106" s="48"/>
      <c r="J106" s="49"/>
      <c r="K106" s="48"/>
      <c r="L106" s="49">
        <f>L87+L89+L90+L92</f>
        <v>637.34999999999991</v>
      </c>
    </row>
    <row r="107" spans="1:82" ht="57" x14ac:dyDescent="0.2">
      <c r="A107" s="43" t="s">
        <v>803</v>
      </c>
      <c r="B107" s="45" t="str">
        <f>Source!F34</f>
        <v>421/пр_2020_п.75_пп.а</v>
      </c>
      <c r="C107" s="45" t="str">
        <f>Source!G34</f>
        <v>Сметная стоимость вспомогательных ненормируемых материальных ресурсов, не учтенная в сметной норме, 2%</v>
      </c>
      <c r="D107" s="46" t="str">
        <f>Source!H34</f>
        <v>%</v>
      </c>
      <c r="E107" s="47">
        <f>SmtRes!AT23</f>
        <v>2</v>
      </c>
      <c r="F107" s="47"/>
      <c r="G107" s="47">
        <f>Source!I34</f>
        <v>2</v>
      </c>
      <c r="H107" s="49"/>
      <c r="I107" s="48"/>
      <c r="J107" s="49"/>
      <c r="K107" s="48"/>
      <c r="L107" s="49">
        <f>Source!P34</f>
        <v>42.35</v>
      </c>
      <c r="AD107">
        <f>ROUND((Source!AT34/100)*((ROUND(0*Source!I34, 2)+ROUND(0*Source!I34, 2))), 2)</f>
        <v>0</v>
      </c>
      <c r="AE107">
        <f>ROUND((Source!AU34/100)*((ROUND(0*Source!I34, 2)+ROUND(0*Source!I34, 2))), 2)</f>
        <v>0</v>
      </c>
      <c r="AN107">
        <f>L107</f>
        <v>42.35</v>
      </c>
      <c r="AW107">
        <f>L107</f>
        <v>42.35</v>
      </c>
      <c r="AZ107">
        <f>Source!X34</f>
        <v>0</v>
      </c>
      <c r="BA107">
        <f>Source!Y34</f>
        <v>0</v>
      </c>
      <c r="CD107">
        <v>2</v>
      </c>
    </row>
    <row r="108" spans="1:82" ht="14.25" x14ac:dyDescent="0.2">
      <c r="A108" s="45"/>
      <c r="B108" s="45"/>
      <c r="C108" s="45" t="s">
        <v>790</v>
      </c>
      <c r="D108" s="46"/>
      <c r="E108" s="47"/>
      <c r="F108" s="47"/>
      <c r="G108" s="47"/>
      <c r="H108" s="49"/>
      <c r="I108" s="48"/>
      <c r="J108" s="49"/>
      <c r="K108" s="48"/>
      <c r="L108" s="49">
        <f>SUM(AR85:AR111)+SUM(AS85:AS111)+SUM(AT85:AT111)+SUM(AU85:AU111)+SUM(AV85:AV111)</f>
        <v>635.29</v>
      </c>
    </row>
    <row r="109" spans="1:82" ht="28.5" x14ac:dyDescent="0.2">
      <c r="A109" s="45"/>
      <c r="B109" s="45" t="s">
        <v>52</v>
      </c>
      <c r="C109" s="45" t="s">
        <v>804</v>
      </c>
      <c r="D109" s="46" t="s">
        <v>57</v>
      </c>
      <c r="E109" s="47">
        <f>Source!BZ33</f>
        <v>97</v>
      </c>
      <c r="F109" s="47"/>
      <c r="G109" s="47">
        <f>Source!AT33</f>
        <v>97</v>
      </c>
      <c r="H109" s="49"/>
      <c r="I109" s="48"/>
      <c r="J109" s="49"/>
      <c r="K109" s="48"/>
      <c r="L109" s="49">
        <f>SUM(AZ85:AZ111)</f>
        <v>616.23</v>
      </c>
    </row>
    <row r="110" spans="1:82" ht="28.5" x14ac:dyDescent="0.2">
      <c r="A110" s="53"/>
      <c r="B110" s="53" t="s">
        <v>53</v>
      </c>
      <c r="C110" s="53" t="s">
        <v>805</v>
      </c>
      <c r="D110" s="54" t="s">
        <v>57</v>
      </c>
      <c r="E110" s="55">
        <f>Source!CA33</f>
        <v>51</v>
      </c>
      <c r="F110" s="55"/>
      <c r="G110" s="55">
        <f>Source!AU33</f>
        <v>51</v>
      </c>
      <c r="H110" s="56"/>
      <c r="I110" s="57"/>
      <c r="J110" s="56"/>
      <c r="K110" s="57"/>
      <c r="L110" s="56">
        <f>SUM(BA85:BA111)</f>
        <v>324</v>
      </c>
    </row>
    <row r="111" spans="1:82" ht="15" x14ac:dyDescent="0.2">
      <c r="C111" s="92" t="s">
        <v>793</v>
      </c>
      <c r="D111" s="92"/>
      <c r="E111" s="92"/>
      <c r="F111" s="92"/>
      <c r="G111" s="92"/>
      <c r="H111" s="92"/>
      <c r="I111" s="93">
        <f>IF(E85&lt;&gt;0,K111/E85, 0)</f>
        <v>1619.9299999999998</v>
      </c>
      <c r="J111" s="93"/>
      <c r="K111" s="93">
        <f>L87+L89+L92+L109+L110+L90+SUM(L107:L107)</f>
        <v>1619.9299999999998</v>
      </c>
      <c r="L111" s="93"/>
      <c r="AD111">
        <f>ROUND((Source!AT33/100)*((ROUND(SUMIF(SmtRes!AQ8:'SmtRes'!AQ23,"=1",SmtRes!AD8:'SmtRes'!AD23)*Source!I33, 2)+ROUND(SUMIF(SmtRes!AQ8:'SmtRes'!AQ23,"=1",SmtRes!AC8:'SmtRes'!AC23)*Source!I33, 2))), 2)</f>
        <v>684.7</v>
      </c>
      <c r="AE111">
        <f>ROUND((Source!AU33/100)*((ROUND(SUMIF(SmtRes!AQ8:'SmtRes'!AQ23,"=1",SmtRes!AD8:'SmtRes'!AD23)*Source!I33, 2)+ROUND(SUMIF(SmtRes!AQ8:'SmtRes'!AQ23,"=1",SmtRes!AC8:'SmtRes'!AC23)*Source!I33, 2))), 2)</f>
        <v>360</v>
      </c>
      <c r="AN111" s="58">
        <f>L87+L89+L92+L109+L110+L90</f>
        <v>1577.58</v>
      </c>
      <c r="AO111" s="58">
        <f>L89</f>
        <v>2.06</v>
      </c>
      <c r="AQ111" t="s">
        <v>794</v>
      </c>
      <c r="AR111" s="58">
        <f>L87</f>
        <v>635.29</v>
      </c>
      <c r="AT111" s="58">
        <f>L90</f>
        <v>0</v>
      </c>
      <c r="AV111" t="s">
        <v>794</v>
      </c>
      <c r="AW111" s="58">
        <f>L92</f>
        <v>0</v>
      </c>
      <c r="AZ111">
        <f>Source!X33</f>
        <v>616.23</v>
      </c>
      <c r="BA111">
        <f>Source!Y33</f>
        <v>324</v>
      </c>
      <c r="CD111">
        <v>2</v>
      </c>
    </row>
    <row r="112" spans="1:82" ht="42.75" x14ac:dyDescent="0.2">
      <c r="A112" s="43" t="s">
        <v>58</v>
      </c>
      <c r="B112" s="45" t="s">
        <v>806</v>
      </c>
      <c r="C112" s="45" t="str">
        <f>Source!G35</f>
        <v>Короба пластмассовые: шириной до 40 мм (Демонтаж кабельного канала 20х10мм)</v>
      </c>
      <c r="D112" s="46" t="str">
        <f>Source!H35</f>
        <v>100 м</v>
      </c>
      <c r="E112" s="47">
        <f>Source!K35</f>
        <v>0.8</v>
      </c>
      <c r="F112" s="47"/>
      <c r="G112" s="47">
        <f>Source!I35</f>
        <v>0.8</v>
      </c>
      <c r="H112" s="49"/>
      <c r="I112" s="48"/>
      <c r="J112" s="49"/>
      <c r="K112" s="48"/>
      <c r="L112" s="49"/>
    </row>
    <row r="113" spans="1:101" ht="25.5" x14ac:dyDescent="0.2">
      <c r="B113" s="61" t="s">
        <v>701</v>
      </c>
      <c r="C113" s="91" t="s">
        <v>807</v>
      </c>
      <c r="D113" s="91"/>
      <c r="E113" s="91"/>
      <c r="F113" s="91"/>
      <c r="G113" s="91"/>
      <c r="H113" s="91"/>
      <c r="I113" s="91"/>
      <c r="J113" s="91"/>
      <c r="K113" s="91"/>
      <c r="L113" s="91"/>
      <c r="CW113" s="62" t="s">
        <v>807</v>
      </c>
    </row>
    <row r="114" spans="1:101" x14ac:dyDescent="0.2">
      <c r="C114" s="50" t="str">
        <f>"Объем: "&amp;Source!I35&amp;"=(80)/"&amp;"100"</f>
        <v>Объем: 0,8=(80)/100</v>
      </c>
    </row>
    <row r="115" spans="1:101" ht="15" x14ac:dyDescent="0.2">
      <c r="A115" s="44"/>
      <c r="B115" s="47">
        <v>1</v>
      </c>
      <c r="C115" s="44" t="s">
        <v>786</v>
      </c>
      <c r="D115" s="46" t="s">
        <v>541</v>
      </c>
      <c r="E115" s="51"/>
      <c r="F115" s="47"/>
      <c r="G115" s="47">
        <f>Source!U35</f>
        <v>3.9096000000000002</v>
      </c>
      <c r="H115" s="47"/>
      <c r="I115" s="47"/>
      <c r="J115" s="47"/>
      <c r="K115" s="47"/>
      <c r="L115" s="52">
        <f>SUM(L116:L116)-SUMIF(CE116:CE116, 1, L116:L116)</f>
        <v>2791.3</v>
      </c>
    </row>
    <row r="116" spans="1:101" ht="14.25" x14ac:dyDescent="0.2">
      <c r="A116" s="45"/>
      <c r="B116" s="45" t="s">
        <v>590</v>
      </c>
      <c r="C116" s="45" t="s">
        <v>591</v>
      </c>
      <c r="D116" s="46" t="s">
        <v>541</v>
      </c>
      <c r="E116" s="47">
        <v>16.29</v>
      </c>
      <c r="F116" s="47">
        <f>ROUND(0.3,7)</f>
        <v>0.3</v>
      </c>
      <c r="G116" s="47">
        <f>SmtRes!CX24</f>
        <v>3.9096000000000002</v>
      </c>
      <c r="H116" s="49"/>
      <c r="I116" s="48"/>
      <c r="J116" s="49">
        <f>SmtRes!CZ24</f>
        <v>713.96</v>
      </c>
      <c r="K116" s="48"/>
      <c r="L116" s="49">
        <f>SmtRes!DI24</f>
        <v>2791.3</v>
      </c>
    </row>
    <row r="117" spans="1:101" ht="15" hidden="1" x14ac:dyDescent="0.2">
      <c r="A117" s="44"/>
      <c r="B117" s="47">
        <v>4</v>
      </c>
      <c r="C117" s="44" t="s">
        <v>802</v>
      </c>
      <c r="D117" s="46"/>
      <c r="E117" s="51"/>
      <c r="F117" s="47"/>
      <c r="G117" s="47"/>
      <c r="H117" s="47"/>
      <c r="I117" s="47"/>
      <c r="J117" s="47"/>
      <c r="K117" s="47"/>
      <c r="L117" s="52">
        <f>SUM(L118:L120)-SUMIF(CE118:CE120, 1, L118:L120)</f>
        <v>0</v>
      </c>
    </row>
    <row r="118" spans="1:101" ht="14.25" x14ac:dyDescent="0.2">
      <c r="A118" s="45"/>
      <c r="B118" s="45" t="s">
        <v>558</v>
      </c>
      <c r="C118" s="45" t="s">
        <v>560</v>
      </c>
      <c r="D118" s="46" t="s">
        <v>561</v>
      </c>
      <c r="E118" s="47">
        <v>6.5663999999999998</v>
      </c>
      <c r="F118" s="47">
        <f>ROUND(0,7)</f>
        <v>0</v>
      </c>
      <c r="G118" s="47">
        <f>SmtRes!CX27</f>
        <v>0</v>
      </c>
      <c r="H118" s="49"/>
      <c r="I118" s="48"/>
      <c r="J118" s="49">
        <f>SmtRes!CZ27</f>
        <v>6.78</v>
      </c>
      <c r="K118" s="48"/>
      <c r="L118" s="49">
        <f>SmtRes!DF27</f>
        <v>0</v>
      </c>
    </row>
    <row r="119" spans="1:101" ht="28.5" x14ac:dyDescent="0.2">
      <c r="A119" s="45"/>
      <c r="B119" s="45" t="s">
        <v>592</v>
      </c>
      <c r="C119" s="45" t="s">
        <v>594</v>
      </c>
      <c r="D119" s="46" t="s">
        <v>595</v>
      </c>
      <c r="E119" s="47">
        <v>0.2</v>
      </c>
      <c r="F119" s="47">
        <f>ROUND(0,7)</f>
        <v>0</v>
      </c>
      <c r="G119" s="47">
        <f>SmtRes!CX28</f>
        <v>0</v>
      </c>
      <c r="H119" s="49">
        <f>SmtRes!CZ28</f>
        <v>261.08999999999997</v>
      </c>
      <c r="I119" s="48">
        <f>SmtRes!AI28</f>
        <v>1.29</v>
      </c>
      <c r="J119" s="49">
        <f>ROUND(H119*I119, 2)</f>
        <v>336.81</v>
      </c>
      <c r="K119" s="48"/>
      <c r="L119" s="49">
        <f>SmtRes!DF28</f>
        <v>0</v>
      </c>
    </row>
    <row r="120" spans="1:101" ht="57" x14ac:dyDescent="0.2">
      <c r="A120" s="45"/>
      <c r="B120" s="45" t="s">
        <v>596</v>
      </c>
      <c r="C120" s="53" t="s">
        <v>598</v>
      </c>
      <c r="D120" s="54" t="s">
        <v>165</v>
      </c>
      <c r="E120" s="55">
        <v>1E-3</v>
      </c>
      <c r="F120" s="55">
        <f>ROUND(0,7)</f>
        <v>0</v>
      </c>
      <c r="G120" s="55">
        <f>SmtRes!CX29</f>
        <v>0</v>
      </c>
      <c r="H120" s="56">
        <f>SmtRes!CZ29</f>
        <v>99190.96</v>
      </c>
      <c r="I120" s="57">
        <f>SmtRes!AI29</f>
        <v>1.29</v>
      </c>
      <c r="J120" s="56">
        <f>ROUND(H120*I120, 2)</f>
        <v>127956.34</v>
      </c>
      <c r="K120" s="57"/>
      <c r="L120" s="56">
        <f>SmtRes!DF29</f>
        <v>0</v>
      </c>
    </row>
    <row r="121" spans="1:101" ht="15" x14ac:dyDescent="0.2">
      <c r="A121" s="45"/>
      <c r="B121" s="45"/>
      <c r="C121" s="59" t="s">
        <v>787</v>
      </c>
      <c r="D121" s="46"/>
      <c r="E121" s="47"/>
      <c r="F121" s="47"/>
      <c r="G121" s="47"/>
      <c r="H121" s="49"/>
      <c r="I121" s="48"/>
      <c r="J121" s="49"/>
      <c r="K121" s="48"/>
      <c r="L121" s="49">
        <f>L115+L117</f>
        <v>2791.3</v>
      </c>
    </row>
    <row r="122" spans="1:101" ht="57" x14ac:dyDescent="0.2">
      <c r="A122" s="43" t="s">
        <v>808</v>
      </c>
      <c r="B122" s="45" t="str">
        <f>Source!F36</f>
        <v>421/пр_2020_п.75_пп.а</v>
      </c>
      <c r="C122" s="45" t="str">
        <f>Source!G36</f>
        <v>Сметная стоимость вспомогательных ненормируемых материальных ресурсов, не учтенная в сметной норме, 2%</v>
      </c>
      <c r="D122" s="46" t="str">
        <f>Source!H36</f>
        <v>%</v>
      </c>
      <c r="E122" s="47">
        <f>SmtRes!AT30</f>
        <v>2</v>
      </c>
      <c r="F122" s="47"/>
      <c r="G122" s="47">
        <f>Source!I36</f>
        <v>2</v>
      </c>
      <c r="H122" s="49"/>
      <c r="I122" s="48"/>
      <c r="J122" s="49"/>
      <c r="K122" s="48">
        <f>ROUND(0.3,7)</f>
        <v>0.3</v>
      </c>
      <c r="L122" s="49">
        <f>Source!P36</f>
        <v>55.83</v>
      </c>
      <c r="AD122">
        <f>ROUND((Source!AT36/100)*((ROUND(0*Source!I36, 2)+ROUND(0*Source!I36, 2))), 2)</f>
        <v>0</v>
      </c>
      <c r="AE122">
        <f>ROUND((Source!AU36/100)*((ROUND(0*Source!I36, 2)+ROUND(0*Source!I36, 2))), 2)</f>
        <v>0</v>
      </c>
      <c r="AN122">
        <f>L122</f>
        <v>55.83</v>
      </c>
      <c r="AW122">
        <f>L122</f>
        <v>55.83</v>
      </c>
      <c r="AZ122">
        <f>Source!X36</f>
        <v>0</v>
      </c>
      <c r="BA122">
        <f>Source!Y36</f>
        <v>0</v>
      </c>
      <c r="CD122">
        <v>2</v>
      </c>
    </row>
    <row r="123" spans="1:101" ht="57" x14ac:dyDescent="0.2">
      <c r="A123" s="43" t="s">
        <v>809</v>
      </c>
      <c r="B123" s="45" t="str">
        <f>Source!F37</f>
        <v>91.06.06-048</v>
      </c>
      <c r="C123" s="45" t="s">
        <v>788</v>
      </c>
      <c r="D123" s="46" t="str">
        <f>Source!H37</f>
        <v>маш.-ч</v>
      </c>
      <c r="E123" s="47">
        <f>SmtRes!AT26</f>
        <v>-3.0000000000000001E-3</v>
      </c>
      <c r="F123" s="47"/>
      <c r="G123" s="47">
        <f>Source!I37</f>
        <v>-2.3999999999999998E-3</v>
      </c>
      <c r="H123" s="49">
        <f>Source!AL37+Source!AO37+Source!AM37+Source!AN37</f>
        <v>678.54000000000008</v>
      </c>
      <c r="I123" s="48">
        <f>IF(Source!BB37&lt;&gt; 0, Source!BB37, 1)</f>
        <v>1.54</v>
      </c>
      <c r="J123" s="49">
        <f>ROUND(H123*I123, 2)</f>
        <v>1044.95</v>
      </c>
      <c r="K123" s="48"/>
      <c r="L123" s="49">
        <f>Source!Q37</f>
        <v>-0.14000000000000001</v>
      </c>
      <c r="AD123">
        <f>ROUND((Source!AT37/100)*((ROUND(ROUND(Source!AO37,2)*Source!I37, 2)+ROUND(ROUND(Source!AN37,2)*Source!I37, 2))), 2)</f>
        <v>-1.49</v>
      </c>
      <c r="AE123">
        <f>ROUND((Source!AU37/100)*((ROUND(ROUND(Source!AO37,2)*Source!I37, 2)+ROUND(ROUND(Source!AN37,2)*Source!I37, 2))), 2)</f>
        <v>-0.79</v>
      </c>
      <c r="AN123">
        <f>L123</f>
        <v>-0.14000000000000001</v>
      </c>
      <c r="AO123">
        <f>L123</f>
        <v>-0.14000000000000001</v>
      </c>
      <c r="AT123">
        <f>Source!R37</f>
        <v>-1.54</v>
      </c>
      <c r="AZ123">
        <f>Source!X37</f>
        <v>-1.49</v>
      </c>
      <c r="BA123">
        <f>Source!Y37</f>
        <v>-0.79</v>
      </c>
      <c r="CD123">
        <v>2</v>
      </c>
    </row>
    <row r="124" spans="1:101" ht="28.5" x14ac:dyDescent="0.2">
      <c r="A124" s="45"/>
      <c r="B124" s="45" t="s">
        <v>544</v>
      </c>
      <c r="C124" s="45" t="s">
        <v>789</v>
      </c>
      <c r="D124" s="46" t="s">
        <v>541</v>
      </c>
      <c r="E124" s="47">
        <f>SmtRes!DO26*SmtRes!AT26</f>
        <v>-3.0000000000000001E-3</v>
      </c>
      <c r="F124" s="47"/>
      <c r="G124" s="47">
        <f>ROUND(E124*G112, 7)</f>
        <v>-2.3999999999999998E-3</v>
      </c>
      <c r="H124" s="49"/>
      <c r="I124" s="48"/>
      <c r="J124" s="49">
        <f>ROUND(SmtRes!AG26/SmtRes!DO26, 2)</f>
        <v>641.22</v>
      </c>
      <c r="K124" s="48"/>
      <c r="L124" s="49">
        <f>SmtRes!DH26</f>
        <v>-1.54</v>
      </c>
      <c r="CE124">
        <v>1</v>
      </c>
    </row>
    <row r="125" spans="1:101" ht="14.25" x14ac:dyDescent="0.2">
      <c r="A125" s="45"/>
      <c r="B125" s="45"/>
      <c r="C125" s="45" t="s">
        <v>790</v>
      </c>
      <c r="D125" s="46"/>
      <c r="E125" s="47"/>
      <c r="F125" s="47"/>
      <c r="G125" s="47"/>
      <c r="H125" s="49"/>
      <c r="I125" s="48"/>
      <c r="J125" s="49"/>
      <c r="K125" s="48"/>
      <c r="L125" s="49">
        <f>SUM(AR112:AR128)+SUM(AS112:AS128)+SUM(AT112:AT128)+SUM(AU112:AU128)+SUM(AV112:AV128)</f>
        <v>2789.76</v>
      </c>
    </row>
    <row r="126" spans="1:101" ht="28.5" x14ac:dyDescent="0.2">
      <c r="A126" s="45"/>
      <c r="B126" s="45" t="s">
        <v>52</v>
      </c>
      <c r="C126" s="45" t="s">
        <v>804</v>
      </c>
      <c r="D126" s="46" t="s">
        <v>57</v>
      </c>
      <c r="E126" s="47">
        <f>Source!BZ35</f>
        <v>97</v>
      </c>
      <c r="F126" s="47"/>
      <c r="G126" s="47">
        <f>Source!AT35</f>
        <v>97</v>
      </c>
      <c r="H126" s="49"/>
      <c r="I126" s="48"/>
      <c r="J126" s="49"/>
      <c r="K126" s="48"/>
      <c r="L126" s="49">
        <f>SUM(AZ112:AZ128)</f>
        <v>2706.07</v>
      </c>
    </row>
    <row r="127" spans="1:101" ht="28.5" x14ac:dyDescent="0.2">
      <c r="A127" s="53"/>
      <c r="B127" s="53" t="s">
        <v>53</v>
      </c>
      <c r="C127" s="53" t="s">
        <v>805</v>
      </c>
      <c r="D127" s="54" t="s">
        <v>57</v>
      </c>
      <c r="E127" s="55">
        <f>Source!CA35</f>
        <v>51</v>
      </c>
      <c r="F127" s="55"/>
      <c r="G127" s="55">
        <f>Source!AU35</f>
        <v>51</v>
      </c>
      <c r="H127" s="56"/>
      <c r="I127" s="57"/>
      <c r="J127" s="56"/>
      <c r="K127" s="57"/>
      <c r="L127" s="56">
        <f>SUM(BA112:BA128)</f>
        <v>1422.77</v>
      </c>
    </row>
    <row r="128" spans="1:101" ht="15" x14ac:dyDescent="0.2">
      <c r="C128" s="92" t="s">
        <v>793</v>
      </c>
      <c r="D128" s="92"/>
      <c r="E128" s="92"/>
      <c r="F128" s="92"/>
      <c r="G128" s="92"/>
      <c r="H128" s="92"/>
      <c r="I128" s="93">
        <f>IF(E112&lt;&gt;0,K128/E112, 0)</f>
        <v>8717.8625000000011</v>
      </c>
      <c r="J128" s="93"/>
      <c r="K128" s="93">
        <f>L115+L117+L126+L127+SUM(L122:L124)</f>
        <v>6974.2900000000009</v>
      </c>
      <c r="L128" s="93"/>
      <c r="AD128">
        <f>ROUND((Source!AT35/100)*((ROUND(SUMIF(SmtRes!AQ24:'SmtRes'!AQ30,"=1",SmtRes!AD24:'SmtRes'!AD30)*Source!I35, 2)+ROUND(SUMIF(SmtRes!AQ24:'SmtRes'!AQ30,"=1",SmtRes!AC24:'SmtRes'!AC30)*Source!I35, 2))), 2)</f>
        <v>554.03</v>
      </c>
      <c r="AE128">
        <f>ROUND((Source!AU35/100)*((ROUND(SUMIF(SmtRes!AQ24:'SmtRes'!AQ30,"=1",SmtRes!AD24:'SmtRes'!AD30)*Source!I35, 2)+ROUND(SUMIF(SmtRes!AQ24:'SmtRes'!AQ30,"=1",SmtRes!AC24:'SmtRes'!AC30)*Source!I35, 2))), 2)</f>
        <v>291.3</v>
      </c>
      <c r="AN128" s="58">
        <f>L115+L117+L126+L127</f>
        <v>6920.1400000000012</v>
      </c>
      <c r="AO128">
        <f>0</f>
        <v>0</v>
      </c>
      <c r="AQ128" t="s">
        <v>794</v>
      </c>
      <c r="AR128" s="58">
        <f>L115</f>
        <v>2791.3</v>
      </c>
      <c r="AT128">
        <f>0</f>
        <v>0</v>
      </c>
      <c r="AV128" t="s">
        <v>794</v>
      </c>
      <c r="AW128" s="58">
        <f>L117</f>
        <v>0</v>
      </c>
      <c r="AZ128">
        <f>Source!X35</f>
        <v>2707.56</v>
      </c>
      <c r="BA128">
        <f>Source!Y35</f>
        <v>1423.56</v>
      </c>
      <c r="CD128">
        <v>2</v>
      </c>
    </row>
    <row r="129" spans="1:83" ht="28.5" x14ac:dyDescent="0.2">
      <c r="A129" s="43" t="s">
        <v>68</v>
      </c>
      <c r="B129" s="45" t="s">
        <v>810</v>
      </c>
      <c r="C129" s="45" t="str">
        <f>Source!G38</f>
        <v>Демонтаж кабеля</v>
      </c>
      <c r="D129" s="46" t="str">
        <f>Source!H38</f>
        <v>100 м</v>
      </c>
      <c r="E129" s="47">
        <f>Source!K38</f>
        <v>0.8</v>
      </c>
      <c r="F129" s="47"/>
      <c r="G129" s="47">
        <f>Source!I38</f>
        <v>0.8</v>
      </c>
      <c r="H129" s="49"/>
      <c r="I129" s="48"/>
      <c r="J129" s="49"/>
      <c r="K129" s="48"/>
      <c r="L129" s="49"/>
    </row>
    <row r="130" spans="1:83" x14ac:dyDescent="0.2">
      <c r="C130" s="50" t="str">
        <f>"Объем: "&amp;Source!I38&amp;"=(50+"&amp;"30)/"&amp;"100"</f>
        <v>Объем: 0,8=(50+30)/100</v>
      </c>
    </row>
    <row r="131" spans="1:83" ht="15" x14ac:dyDescent="0.2">
      <c r="A131" s="44"/>
      <c r="B131" s="47">
        <v>1</v>
      </c>
      <c r="C131" s="44" t="s">
        <v>786</v>
      </c>
      <c r="D131" s="46" t="s">
        <v>541</v>
      </c>
      <c r="E131" s="51"/>
      <c r="F131" s="47"/>
      <c r="G131" s="47">
        <f>Source!U38</f>
        <v>7.7119999999999997</v>
      </c>
      <c r="H131" s="47"/>
      <c r="I131" s="47"/>
      <c r="J131" s="47"/>
      <c r="K131" s="47"/>
      <c r="L131" s="52">
        <f>SUM(L132:L132)-SUMIF(CE132:CE132, 1, L132:L132)</f>
        <v>4529.57</v>
      </c>
    </row>
    <row r="132" spans="1:83" ht="14.25" x14ac:dyDescent="0.2">
      <c r="A132" s="45"/>
      <c r="B132" s="45" t="s">
        <v>539</v>
      </c>
      <c r="C132" s="53" t="s">
        <v>540</v>
      </c>
      <c r="D132" s="54" t="s">
        <v>541</v>
      </c>
      <c r="E132" s="55">
        <v>9.64</v>
      </c>
      <c r="F132" s="55"/>
      <c r="G132" s="55">
        <f>SmtRes!CX31</f>
        <v>7.7119999999999997</v>
      </c>
      <c r="H132" s="56"/>
      <c r="I132" s="57"/>
      <c r="J132" s="56">
        <f>SmtRes!CZ31</f>
        <v>587.34</v>
      </c>
      <c r="K132" s="57"/>
      <c r="L132" s="56">
        <f>SmtRes!DI31</f>
        <v>4529.57</v>
      </c>
    </row>
    <row r="133" spans="1:83" ht="15" x14ac:dyDescent="0.2">
      <c r="A133" s="45"/>
      <c r="B133" s="45"/>
      <c r="C133" s="59" t="s">
        <v>787</v>
      </c>
      <c r="D133" s="46"/>
      <c r="E133" s="47"/>
      <c r="F133" s="47"/>
      <c r="G133" s="47"/>
      <c r="H133" s="49"/>
      <c r="I133" s="48"/>
      <c r="J133" s="49"/>
      <c r="K133" s="48"/>
      <c r="L133" s="49">
        <f>L131</f>
        <v>4529.57</v>
      </c>
    </row>
    <row r="134" spans="1:83" ht="57" x14ac:dyDescent="0.2">
      <c r="A134" s="43" t="s">
        <v>811</v>
      </c>
      <c r="B134" s="45" t="str">
        <f>Source!F39</f>
        <v>91.06.06-048</v>
      </c>
      <c r="C134" s="45" t="s">
        <v>788</v>
      </c>
      <c r="D134" s="46" t="str">
        <f>Source!H39</f>
        <v>маш.-ч</v>
      </c>
      <c r="E134" s="47">
        <f>SmtRes!AT33</f>
        <v>-0.01</v>
      </c>
      <c r="F134" s="47"/>
      <c r="G134" s="47">
        <f>Source!I39</f>
        <v>-8.0000000000000002E-3</v>
      </c>
      <c r="H134" s="49">
        <f>Source!AL39+Source!AO39+Source!AM39+Source!AN39</f>
        <v>678.54000000000008</v>
      </c>
      <c r="I134" s="48">
        <f>IF(Source!BB39&lt;&gt; 0, Source!BB39, 1)</f>
        <v>1.54</v>
      </c>
      <c r="J134" s="49">
        <f>ROUND(H134*I134, 2)</f>
        <v>1044.95</v>
      </c>
      <c r="K134" s="48"/>
      <c r="L134" s="49">
        <f>Source!Q39</f>
        <v>-0.46</v>
      </c>
      <c r="AD134">
        <f>ROUND((Source!AT39/100)*((ROUND(ROUND(Source!AO39,2)*Source!I39, 2)+ROUND(ROUND(Source!AN39,2)*Source!I39, 2))), 2)</f>
        <v>-4.67</v>
      </c>
      <c r="AE134">
        <f>ROUND((Source!AU39/100)*((ROUND(ROUND(Source!AO39,2)*Source!I39, 2)+ROUND(ROUND(Source!AN39,2)*Source!I39, 2))), 2)</f>
        <v>-2.46</v>
      </c>
      <c r="AN134">
        <f>L134</f>
        <v>-0.46</v>
      </c>
      <c r="AO134">
        <f>L134</f>
        <v>-0.46</v>
      </c>
      <c r="AT134">
        <f>Source!R39</f>
        <v>-5.13</v>
      </c>
      <c r="AZ134">
        <f>Source!X39</f>
        <v>-4.67</v>
      </c>
      <c r="BA134">
        <f>Source!Y39</f>
        <v>-2.46</v>
      </c>
      <c r="CD134">
        <v>1</v>
      </c>
    </row>
    <row r="135" spans="1:83" ht="28.5" x14ac:dyDescent="0.2">
      <c r="A135" s="45"/>
      <c r="B135" s="45" t="s">
        <v>544</v>
      </c>
      <c r="C135" s="45" t="s">
        <v>789</v>
      </c>
      <c r="D135" s="46" t="s">
        <v>541</v>
      </c>
      <c r="E135" s="47">
        <f>SmtRes!DO33*SmtRes!AT33</f>
        <v>-0.01</v>
      </c>
      <c r="F135" s="47"/>
      <c r="G135" s="47">
        <f>ROUND(E135*G129, 7)</f>
        <v>-8.0000000000000002E-3</v>
      </c>
      <c r="H135" s="49"/>
      <c r="I135" s="48"/>
      <c r="J135" s="49">
        <f>ROUND(SmtRes!AG33/SmtRes!DO33, 2)</f>
        <v>641.22</v>
      </c>
      <c r="K135" s="48"/>
      <c r="L135" s="49">
        <f>SmtRes!DH33</f>
        <v>-5.13</v>
      </c>
      <c r="CE135">
        <v>1</v>
      </c>
    </row>
    <row r="136" spans="1:83" ht="14.25" x14ac:dyDescent="0.2">
      <c r="A136" s="45"/>
      <c r="B136" s="45"/>
      <c r="C136" s="45" t="s">
        <v>790</v>
      </c>
      <c r="D136" s="46"/>
      <c r="E136" s="47"/>
      <c r="F136" s="47"/>
      <c r="G136" s="47"/>
      <c r="H136" s="49"/>
      <c r="I136" s="48"/>
      <c r="J136" s="49"/>
      <c r="K136" s="48"/>
      <c r="L136" s="49">
        <f>SUM(AR129:AR139)+SUM(AS129:AS139)+SUM(AT129:AT139)+SUM(AU129:AU139)+SUM(AV129:AV139)</f>
        <v>4524.4399999999996</v>
      </c>
    </row>
    <row r="137" spans="1:83" ht="14.25" x14ac:dyDescent="0.2">
      <c r="A137" s="45"/>
      <c r="B137" s="45" t="s">
        <v>24</v>
      </c>
      <c r="C137" s="45" t="s">
        <v>791</v>
      </c>
      <c r="D137" s="46" t="s">
        <v>57</v>
      </c>
      <c r="E137" s="47">
        <f>Source!BZ38</f>
        <v>91</v>
      </c>
      <c r="F137" s="47"/>
      <c r="G137" s="47">
        <f>Source!AT38</f>
        <v>91</v>
      </c>
      <c r="H137" s="49"/>
      <c r="I137" s="48"/>
      <c r="J137" s="49"/>
      <c r="K137" s="48"/>
      <c r="L137" s="49">
        <f>SUM(AZ129:AZ139)</f>
        <v>4117.24</v>
      </c>
    </row>
    <row r="138" spans="1:83" ht="14.25" x14ac:dyDescent="0.2">
      <c r="A138" s="53"/>
      <c r="B138" s="53" t="s">
        <v>25</v>
      </c>
      <c r="C138" s="53" t="s">
        <v>792</v>
      </c>
      <c r="D138" s="54" t="s">
        <v>57</v>
      </c>
      <c r="E138" s="55">
        <f>Source!CA38</f>
        <v>48</v>
      </c>
      <c r="F138" s="55"/>
      <c r="G138" s="55">
        <f>Source!AU38</f>
        <v>48</v>
      </c>
      <c r="H138" s="56"/>
      <c r="I138" s="57"/>
      <c r="J138" s="56"/>
      <c r="K138" s="57"/>
      <c r="L138" s="56">
        <f>SUM(BA129:BA139)</f>
        <v>2171.73</v>
      </c>
    </row>
    <row r="139" spans="1:83" ht="15" x14ac:dyDescent="0.2">
      <c r="C139" s="92" t="s">
        <v>793</v>
      </c>
      <c r="D139" s="92"/>
      <c r="E139" s="92"/>
      <c r="F139" s="92"/>
      <c r="G139" s="92"/>
      <c r="H139" s="92"/>
      <c r="I139" s="93">
        <f>IF(E129&lt;&gt;0,K139/E129, 0)</f>
        <v>13516.187499999998</v>
      </c>
      <c r="J139" s="93"/>
      <c r="K139" s="93">
        <f>L131+L137+L138+SUM(L134:L135)</f>
        <v>10812.949999999999</v>
      </c>
      <c r="L139" s="93"/>
      <c r="AD139">
        <f>ROUND((Source!AT38/100)*((ROUND(SUMIF(SmtRes!AQ31:'SmtRes'!AQ33,"=1",SmtRes!AD31:'SmtRes'!AD33)*Source!I38, 2)+ROUND(SUMIF(SmtRes!AQ31:'SmtRes'!AQ33,"=1",SmtRes!AC31:'SmtRes'!AC33)*Source!I38, 2))), 2)</f>
        <v>427.58</v>
      </c>
      <c r="AE139">
        <f>ROUND((Source!AU38/100)*((ROUND(SUMIF(SmtRes!AQ31:'SmtRes'!AQ33,"=1",SmtRes!AD31:'SmtRes'!AD33)*Source!I38, 2)+ROUND(SUMIF(SmtRes!AQ31:'SmtRes'!AQ33,"=1",SmtRes!AC31:'SmtRes'!AC33)*Source!I38, 2))), 2)</f>
        <v>225.54</v>
      </c>
      <c r="AN139" s="58">
        <f>L131+L137+L138</f>
        <v>10818.539999999999</v>
      </c>
      <c r="AO139">
        <f>0</f>
        <v>0</v>
      </c>
      <c r="AQ139" t="s">
        <v>794</v>
      </c>
      <c r="AR139" s="58">
        <f>L131</f>
        <v>4529.57</v>
      </c>
      <c r="AT139">
        <f>0</f>
        <v>0</v>
      </c>
      <c r="AV139" t="s">
        <v>794</v>
      </c>
      <c r="AW139">
        <f>0</f>
        <v>0</v>
      </c>
      <c r="AZ139">
        <f>Source!X38</f>
        <v>4121.91</v>
      </c>
      <c r="BA139">
        <f>Source!Y38</f>
        <v>2174.19</v>
      </c>
      <c r="CD139">
        <v>1</v>
      </c>
    </row>
    <row r="140" spans="1:83" ht="28.5" x14ac:dyDescent="0.2">
      <c r="A140" s="43" t="s">
        <v>73</v>
      </c>
      <c r="B140" s="45" t="s">
        <v>806</v>
      </c>
      <c r="C140" s="45" t="str">
        <f>Source!G40</f>
        <v>Короба пластмассовые: шириной до 40 мм (Монтаж кабель-канала 25х25)</v>
      </c>
      <c r="D140" s="46" t="str">
        <f>Source!H40</f>
        <v>100 м</v>
      </c>
      <c r="E140" s="47">
        <f>Source!K40</f>
        <v>0.6</v>
      </c>
      <c r="F140" s="47"/>
      <c r="G140" s="47">
        <f>Source!I40</f>
        <v>0.6</v>
      </c>
      <c r="H140" s="49"/>
      <c r="I140" s="48"/>
      <c r="J140" s="49"/>
      <c r="K140" s="48"/>
      <c r="L140" s="49"/>
    </row>
    <row r="141" spans="1:83" x14ac:dyDescent="0.2">
      <c r="C141" s="50" t="str">
        <f>"Объем: "&amp;Source!I40&amp;"=(60)/"&amp;"100"</f>
        <v>Объем: 0,6=(60)/100</v>
      </c>
    </row>
    <row r="142" spans="1:83" ht="15" x14ac:dyDescent="0.2">
      <c r="A142" s="44"/>
      <c r="B142" s="47">
        <v>1</v>
      </c>
      <c r="C142" s="44" t="s">
        <v>786</v>
      </c>
      <c r="D142" s="46" t="s">
        <v>541</v>
      </c>
      <c r="E142" s="51"/>
      <c r="F142" s="47"/>
      <c r="G142" s="47">
        <f>Source!U40</f>
        <v>9.7739999999999991</v>
      </c>
      <c r="H142" s="47"/>
      <c r="I142" s="47"/>
      <c r="J142" s="47"/>
      <c r="K142" s="47"/>
      <c r="L142" s="52">
        <f>SUM(L143:L143)-SUMIF(CE143:CE143, 1, L143:L143)</f>
        <v>6978.25</v>
      </c>
    </row>
    <row r="143" spans="1:83" ht="14.25" x14ac:dyDescent="0.2">
      <c r="A143" s="45"/>
      <c r="B143" s="45" t="s">
        <v>590</v>
      </c>
      <c r="C143" s="45" t="s">
        <v>591</v>
      </c>
      <c r="D143" s="46" t="s">
        <v>541</v>
      </c>
      <c r="E143" s="47">
        <v>16.29</v>
      </c>
      <c r="F143" s="47"/>
      <c r="G143" s="47">
        <f>SmtRes!CX34</f>
        <v>9.7739999999999991</v>
      </c>
      <c r="H143" s="49"/>
      <c r="I143" s="48"/>
      <c r="J143" s="49">
        <f>SmtRes!CZ34</f>
        <v>713.96</v>
      </c>
      <c r="K143" s="48"/>
      <c r="L143" s="49">
        <f>SmtRes!DI34</f>
        <v>6978.25</v>
      </c>
    </row>
    <row r="144" spans="1:83" ht="15" x14ac:dyDescent="0.2">
      <c r="A144" s="44"/>
      <c r="B144" s="47">
        <v>4</v>
      </c>
      <c r="C144" s="44" t="s">
        <v>802</v>
      </c>
      <c r="D144" s="46"/>
      <c r="E144" s="51"/>
      <c r="F144" s="47"/>
      <c r="G144" s="47"/>
      <c r="H144" s="47"/>
      <c r="I144" s="47"/>
      <c r="J144" s="47"/>
      <c r="K144" s="47"/>
      <c r="L144" s="52">
        <f>SUM(L145:L147)-SUMIF(CE145:CE147, 1, L145:L147)</f>
        <v>143.89999999999998</v>
      </c>
    </row>
    <row r="145" spans="1:83" ht="14.25" x14ac:dyDescent="0.2">
      <c r="A145" s="45"/>
      <c r="B145" s="45" t="s">
        <v>558</v>
      </c>
      <c r="C145" s="45" t="s">
        <v>560</v>
      </c>
      <c r="D145" s="46" t="s">
        <v>561</v>
      </c>
      <c r="E145" s="47">
        <v>6.5663999999999998</v>
      </c>
      <c r="F145" s="47"/>
      <c r="G145" s="47">
        <f>SmtRes!CX37</f>
        <v>3.9398399999999998</v>
      </c>
      <c r="H145" s="49"/>
      <c r="I145" s="48"/>
      <c r="J145" s="49">
        <f>SmtRes!CZ37</f>
        <v>6.78</v>
      </c>
      <c r="K145" s="48"/>
      <c r="L145" s="49">
        <f>SmtRes!DF37</f>
        <v>26.71</v>
      </c>
    </row>
    <row r="146" spans="1:83" ht="28.5" x14ac:dyDescent="0.2">
      <c r="A146" s="45"/>
      <c r="B146" s="45" t="s">
        <v>592</v>
      </c>
      <c r="C146" s="45" t="s">
        <v>594</v>
      </c>
      <c r="D146" s="46" t="s">
        <v>595</v>
      </c>
      <c r="E146" s="47">
        <v>0.2</v>
      </c>
      <c r="F146" s="47"/>
      <c r="G146" s="47">
        <f>SmtRes!CX38</f>
        <v>0.12</v>
      </c>
      <c r="H146" s="49">
        <f>SmtRes!CZ38</f>
        <v>261.08999999999997</v>
      </c>
      <c r="I146" s="48">
        <f>SmtRes!AI38</f>
        <v>1.29</v>
      </c>
      <c r="J146" s="49">
        <f>ROUND(H146*I146, 2)</f>
        <v>336.81</v>
      </c>
      <c r="K146" s="48"/>
      <c r="L146" s="49">
        <f>SmtRes!DF38</f>
        <v>40.42</v>
      </c>
    </row>
    <row r="147" spans="1:83" ht="57" x14ac:dyDescent="0.2">
      <c r="A147" s="45"/>
      <c r="B147" s="45" t="s">
        <v>596</v>
      </c>
      <c r="C147" s="53" t="s">
        <v>598</v>
      </c>
      <c r="D147" s="54" t="s">
        <v>165</v>
      </c>
      <c r="E147" s="55">
        <v>1E-3</v>
      </c>
      <c r="F147" s="55"/>
      <c r="G147" s="55">
        <f>SmtRes!CX39</f>
        <v>5.9999999999999995E-4</v>
      </c>
      <c r="H147" s="56">
        <f>SmtRes!CZ39</f>
        <v>99190.96</v>
      </c>
      <c r="I147" s="57">
        <f>SmtRes!AI39</f>
        <v>1.29</v>
      </c>
      <c r="J147" s="56">
        <f>ROUND(H147*I147, 2)</f>
        <v>127956.34</v>
      </c>
      <c r="K147" s="57"/>
      <c r="L147" s="56">
        <f>SmtRes!DF39</f>
        <v>76.77</v>
      </c>
    </row>
    <row r="148" spans="1:83" ht="15" x14ac:dyDescent="0.2">
      <c r="A148" s="45"/>
      <c r="B148" s="45"/>
      <c r="C148" s="59" t="s">
        <v>787</v>
      </c>
      <c r="D148" s="46"/>
      <c r="E148" s="47"/>
      <c r="F148" s="47"/>
      <c r="G148" s="47"/>
      <c r="H148" s="49"/>
      <c r="I148" s="48"/>
      <c r="J148" s="49"/>
      <c r="K148" s="48"/>
      <c r="L148" s="49">
        <f>L142+L144</f>
        <v>7122.15</v>
      </c>
    </row>
    <row r="149" spans="1:83" ht="28.5" x14ac:dyDescent="0.2">
      <c r="A149" s="43" t="s">
        <v>812</v>
      </c>
      <c r="B149" s="45" t="str">
        <f>Source!F41</f>
        <v>20.2.05.04-0057</v>
      </c>
      <c r="C149" s="45" t="str">
        <f>Source!G41</f>
        <v>Короб кабельный (кабель-канал) ПВХ с крышкой, размеры 25х25 мм</v>
      </c>
      <c r="D149" s="46" t="str">
        <f>Source!H41</f>
        <v>100 м</v>
      </c>
      <c r="E149" s="47">
        <f>SmtRes!AT40</f>
        <v>1</v>
      </c>
      <c r="F149" s="47"/>
      <c r="G149" s="47">
        <f>Source!I41</f>
        <v>0.6</v>
      </c>
      <c r="H149" s="49">
        <f>Source!AL41+Source!AO41+Source!AM41+Source!AN41</f>
        <v>4995.5200000000004</v>
      </c>
      <c r="I149" s="48">
        <f>IF(Source!BC41&lt;&gt; 0, Source!BC41, 1)</f>
        <v>1.24</v>
      </c>
      <c r="J149" s="49">
        <f>ROUND(H149*I149, 2)</f>
        <v>6194.44</v>
      </c>
      <c r="K149" s="48"/>
      <c r="L149" s="49">
        <f>Source!P41</f>
        <v>3716.66</v>
      </c>
      <c r="AD149">
        <f>ROUND((Source!AT41/100)*((ROUND(ROUND(Source!AO41,2)*Source!I41, 2)+ROUND(ROUND(Source!AN41,2)*Source!I41, 2))), 2)</f>
        <v>0</v>
      </c>
      <c r="AE149">
        <f>ROUND((Source!AU41/100)*((ROUND(ROUND(Source!AO41,2)*Source!I41, 2)+ROUND(ROUND(Source!AN41,2)*Source!I41, 2))), 2)</f>
        <v>0</v>
      </c>
      <c r="AN149">
        <f>L149</f>
        <v>3716.66</v>
      </c>
      <c r="AW149">
        <f>L149</f>
        <v>3716.66</v>
      </c>
      <c r="AZ149">
        <f>Source!X41</f>
        <v>0</v>
      </c>
      <c r="BA149">
        <f>Source!Y41</f>
        <v>0</v>
      </c>
      <c r="CD149">
        <v>2</v>
      </c>
    </row>
    <row r="150" spans="1:83" ht="57" x14ac:dyDescent="0.2">
      <c r="A150" s="43" t="s">
        <v>813</v>
      </c>
      <c r="B150" s="45" t="str">
        <f>Source!F42</f>
        <v>421/пр_2020_п.75_пп.а</v>
      </c>
      <c r="C150" s="45" t="str">
        <f>Source!G42</f>
        <v>Сметная стоимость вспомогательных ненормируемых материальных ресурсов, не учтенная в сметной норме, 2%</v>
      </c>
      <c r="D150" s="46" t="str">
        <f>Source!H42</f>
        <v>%</v>
      </c>
      <c r="E150" s="47">
        <f>SmtRes!AT41</f>
        <v>2</v>
      </c>
      <c r="F150" s="47"/>
      <c r="G150" s="47">
        <f>Source!I42</f>
        <v>2</v>
      </c>
      <c r="H150" s="49"/>
      <c r="I150" s="48"/>
      <c r="J150" s="49"/>
      <c r="K150" s="48"/>
      <c r="L150" s="49">
        <f>Source!P42</f>
        <v>139.57</v>
      </c>
      <c r="AD150">
        <f>ROUND((Source!AT42/100)*((ROUND(0*Source!I42, 2)+ROUND(0*Source!I42, 2))), 2)</f>
        <v>0</v>
      </c>
      <c r="AE150">
        <f>ROUND((Source!AU42/100)*((ROUND(0*Source!I42, 2)+ROUND(0*Source!I42, 2))), 2)</f>
        <v>0</v>
      </c>
      <c r="AN150">
        <f>L150</f>
        <v>139.57</v>
      </c>
      <c r="AW150">
        <f>L150</f>
        <v>139.57</v>
      </c>
      <c r="AZ150">
        <f>Source!X42</f>
        <v>0</v>
      </c>
      <c r="BA150">
        <f>Source!Y42</f>
        <v>0</v>
      </c>
      <c r="CD150">
        <v>2</v>
      </c>
    </row>
    <row r="151" spans="1:83" ht="57" x14ac:dyDescent="0.2">
      <c r="A151" s="43" t="s">
        <v>814</v>
      </c>
      <c r="B151" s="45" t="str">
        <f>Source!F43</f>
        <v>91.06.06-048</v>
      </c>
      <c r="C151" s="45" t="s">
        <v>788</v>
      </c>
      <c r="D151" s="46" t="str">
        <f>Source!H43</f>
        <v>маш.-ч</v>
      </c>
      <c r="E151" s="47">
        <f>SmtRes!AT36</f>
        <v>-0.01</v>
      </c>
      <c r="F151" s="47"/>
      <c r="G151" s="47">
        <f>Source!I43</f>
        <v>-6.0000000000000001E-3</v>
      </c>
      <c r="H151" s="49">
        <f>Source!AL43+Source!AO43+Source!AM43+Source!AN43</f>
        <v>678.54000000000008</v>
      </c>
      <c r="I151" s="48">
        <f>IF(Source!BB43&lt;&gt; 0, Source!BB43, 1)</f>
        <v>1.54</v>
      </c>
      <c r="J151" s="49">
        <f>ROUND(H151*I151, 2)</f>
        <v>1044.95</v>
      </c>
      <c r="K151" s="48"/>
      <c r="L151" s="49">
        <f>Source!Q43</f>
        <v>-0.34</v>
      </c>
      <c r="AD151">
        <f>ROUND((Source!AT43/100)*((ROUND(ROUND(Source!AO43,2)*Source!I43, 2)+ROUND(ROUND(Source!AN43,2)*Source!I43, 2))), 2)</f>
        <v>-3.73</v>
      </c>
      <c r="AE151">
        <f>ROUND((Source!AU43/100)*((ROUND(ROUND(Source!AO43,2)*Source!I43, 2)+ROUND(ROUND(Source!AN43,2)*Source!I43, 2))), 2)</f>
        <v>-1.96</v>
      </c>
      <c r="AN151">
        <f>L151</f>
        <v>-0.34</v>
      </c>
      <c r="AO151">
        <f>L151</f>
        <v>-0.34</v>
      </c>
      <c r="AT151">
        <f>Source!R43</f>
        <v>-3.85</v>
      </c>
      <c r="AZ151">
        <f>Source!X43</f>
        <v>-3.73</v>
      </c>
      <c r="BA151">
        <f>Source!Y43</f>
        <v>-1.96</v>
      </c>
      <c r="CD151">
        <v>2</v>
      </c>
    </row>
    <row r="152" spans="1:83" ht="28.5" x14ac:dyDescent="0.2">
      <c r="A152" s="45"/>
      <c r="B152" s="45" t="s">
        <v>544</v>
      </c>
      <c r="C152" s="45" t="s">
        <v>789</v>
      </c>
      <c r="D152" s="46" t="s">
        <v>541</v>
      </c>
      <c r="E152" s="47">
        <f>SmtRes!DO36*SmtRes!AT36</f>
        <v>-0.01</v>
      </c>
      <c r="F152" s="47"/>
      <c r="G152" s="47">
        <f>ROUND(E152*G140, 7)</f>
        <v>-6.0000000000000001E-3</v>
      </c>
      <c r="H152" s="49"/>
      <c r="I152" s="48"/>
      <c r="J152" s="49">
        <f>ROUND(SmtRes!AG36/SmtRes!DO36, 2)</f>
        <v>641.22</v>
      </c>
      <c r="K152" s="48"/>
      <c r="L152" s="49">
        <f>SmtRes!DH36</f>
        <v>-3.85</v>
      </c>
      <c r="CE152">
        <v>1</v>
      </c>
    </row>
    <row r="153" spans="1:83" ht="14.25" x14ac:dyDescent="0.2">
      <c r="A153" s="45"/>
      <c r="B153" s="45"/>
      <c r="C153" s="45" t="s">
        <v>790</v>
      </c>
      <c r="D153" s="46"/>
      <c r="E153" s="47"/>
      <c r="F153" s="47"/>
      <c r="G153" s="47"/>
      <c r="H153" s="49"/>
      <c r="I153" s="48"/>
      <c r="J153" s="49"/>
      <c r="K153" s="48"/>
      <c r="L153" s="49">
        <f>SUM(AR140:AR156)+SUM(AS140:AS156)+SUM(AT140:AT156)+SUM(AU140:AU156)+SUM(AV140:AV156)</f>
        <v>6974.4</v>
      </c>
    </row>
    <row r="154" spans="1:83" ht="28.5" x14ac:dyDescent="0.2">
      <c r="A154" s="45"/>
      <c r="B154" s="45" t="s">
        <v>52</v>
      </c>
      <c r="C154" s="45" t="s">
        <v>804</v>
      </c>
      <c r="D154" s="46" t="s">
        <v>57</v>
      </c>
      <c r="E154" s="47">
        <f>Source!BZ40</f>
        <v>97</v>
      </c>
      <c r="F154" s="47"/>
      <c r="G154" s="47">
        <f>Source!AT40</f>
        <v>97</v>
      </c>
      <c r="H154" s="49"/>
      <c r="I154" s="48"/>
      <c r="J154" s="49"/>
      <c r="K154" s="48"/>
      <c r="L154" s="49">
        <f>SUM(AZ140:AZ156)</f>
        <v>6765.17</v>
      </c>
    </row>
    <row r="155" spans="1:83" ht="28.5" x14ac:dyDescent="0.2">
      <c r="A155" s="53"/>
      <c r="B155" s="53" t="s">
        <v>53</v>
      </c>
      <c r="C155" s="53" t="s">
        <v>805</v>
      </c>
      <c r="D155" s="54" t="s">
        <v>57</v>
      </c>
      <c r="E155" s="55">
        <f>Source!CA40</f>
        <v>51</v>
      </c>
      <c r="F155" s="55"/>
      <c r="G155" s="55">
        <f>Source!AU40</f>
        <v>51</v>
      </c>
      <c r="H155" s="56"/>
      <c r="I155" s="57"/>
      <c r="J155" s="56"/>
      <c r="K155" s="57"/>
      <c r="L155" s="56">
        <f>SUM(BA140:BA156)</f>
        <v>3556.95</v>
      </c>
    </row>
    <row r="156" spans="1:83" ht="15" x14ac:dyDescent="0.2">
      <c r="C156" s="92" t="s">
        <v>793</v>
      </c>
      <c r="D156" s="92"/>
      <c r="E156" s="92"/>
      <c r="F156" s="92"/>
      <c r="G156" s="92"/>
      <c r="H156" s="92"/>
      <c r="I156" s="93">
        <f>IF(E140&lt;&gt;0,K156/E140, 0)</f>
        <v>35493.850000000006</v>
      </c>
      <c r="J156" s="93"/>
      <c r="K156" s="93">
        <f>L142+L144+L154+L155+SUM(L149:L152)</f>
        <v>21296.31</v>
      </c>
      <c r="L156" s="93"/>
      <c r="AD156">
        <f>ROUND((Source!AT40/100)*((ROUND(SUMIF(SmtRes!AQ34:'SmtRes'!AQ41,"=1",SmtRes!AD34:'SmtRes'!AD41)*Source!I40, 2)+ROUND(SUMIF(SmtRes!AQ34:'SmtRes'!AQ41,"=1",SmtRes!AC34:'SmtRes'!AC41)*Source!I40, 2))), 2)</f>
        <v>415.53</v>
      </c>
      <c r="AE156">
        <f>ROUND((Source!AU40/100)*((ROUND(SUMIF(SmtRes!AQ34:'SmtRes'!AQ41,"=1",SmtRes!AD34:'SmtRes'!AD41)*Source!I40, 2)+ROUND(SUMIF(SmtRes!AQ34:'SmtRes'!AQ41,"=1",SmtRes!AC34:'SmtRes'!AC41)*Source!I40, 2))), 2)</f>
        <v>218.47</v>
      </c>
      <c r="AN156" s="58">
        <f>L142+L144+L154+L155</f>
        <v>17444.27</v>
      </c>
      <c r="AO156">
        <f>0</f>
        <v>0</v>
      </c>
      <c r="AQ156" t="s">
        <v>794</v>
      </c>
      <c r="AR156" s="58">
        <f>L142</f>
        <v>6978.25</v>
      </c>
      <c r="AT156">
        <f>0</f>
        <v>0</v>
      </c>
      <c r="AV156" t="s">
        <v>794</v>
      </c>
      <c r="AW156" s="58">
        <f>L144</f>
        <v>143.89999999999998</v>
      </c>
      <c r="AZ156">
        <f>Source!X40</f>
        <v>6768.9</v>
      </c>
      <c r="BA156">
        <f>Source!Y40</f>
        <v>3558.91</v>
      </c>
      <c r="CD156">
        <v>2</v>
      </c>
    </row>
    <row r="157" spans="1:83" ht="28.5" x14ac:dyDescent="0.2">
      <c r="A157" s="43" t="s">
        <v>81</v>
      </c>
      <c r="B157" s="45" t="s">
        <v>815</v>
      </c>
      <c r="C157" s="45" t="str">
        <f>Source!G44</f>
        <v>Короба пластмассовые: шириной до 120 мм (Монтаж кабель-канала 80х50)</v>
      </c>
      <c r="D157" s="46" t="str">
        <f>Source!H44</f>
        <v>100 м</v>
      </c>
      <c r="E157" s="47">
        <f>Source!K44</f>
        <v>0.5</v>
      </c>
      <c r="F157" s="47"/>
      <c r="G157" s="47">
        <f>Source!I44</f>
        <v>0.5</v>
      </c>
      <c r="H157" s="49"/>
      <c r="I157" s="48"/>
      <c r="J157" s="49"/>
      <c r="K157" s="48"/>
      <c r="L157" s="49"/>
    </row>
    <row r="158" spans="1:83" x14ac:dyDescent="0.2">
      <c r="C158" s="50" t="str">
        <f>"Объем: "&amp;Source!I44&amp;"=(50)/"&amp;"100"</f>
        <v>Объем: 0,5=(50)/100</v>
      </c>
    </row>
    <row r="159" spans="1:83" ht="15" x14ac:dyDescent="0.2">
      <c r="A159" s="44"/>
      <c r="B159" s="47">
        <v>1</v>
      </c>
      <c r="C159" s="44" t="s">
        <v>786</v>
      </c>
      <c r="D159" s="46" t="s">
        <v>541</v>
      </c>
      <c r="E159" s="51"/>
      <c r="F159" s="47"/>
      <c r="G159" s="47">
        <f>Source!U44</f>
        <v>10.164999999999999</v>
      </c>
      <c r="H159" s="47"/>
      <c r="I159" s="47"/>
      <c r="J159" s="47"/>
      <c r="K159" s="47"/>
      <c r="L159" s="52">
        <f>SUM(L160:L160)-SUMIF(CE160:CE160, 1, L160:L160)</f>
        <v>7257.4</v>
      </c>
    </row>
    <row r="160" spans="1:83" ht="14.25" x14ac:dyDescent="0.2">
      <c r="A160" s="45"/>
      <c r="B160" s="45" t="s">
        <v>590</v>
      </c>
      <c r="C160" s="45" t="s">
        <v>591</v>
      </c>
      <c r="D160" s="46" t="s">
        <v>541</v>
      </c>
      <c r="E160" s="47">
        <v>20.329999999999998</v>
      </c>
      <c r="F160" s="47"/>
      <c r="G160" s="47">
        <f>SmtRes!CX42</f>
        <v>10.164999999999999</v>
      </c>
      <c r="H160" s="49"/>
      <c r="I160" s="48"/>
      <c r="J160" s="49">
        <f>SmtRes!CZ42</f>
        <v>713.96</v>
      </c>
      <c r="K160" s="48"/>
      <c r="L160" s="49">
        <f>SmtRes!DI42</f>
        <v>7257.4</v>
      </c>
    </row>
    <row r="161" spans="1:83" ht="15" x14ac:dyDescent="0.2">
      <c r="A161" s="44"/>
      <c r="B161" s="47">
        <v>4</v>
      </c>
      <c r="C161" s="44" t="s">
        <v>802</v>
      </c>
      <c r="D161" s="46"/>
      <c r="E161" s="51"/>
      <c r="F161" s="47"/>
      <c r="G161" s="47"/>
      <c r="H161" s="47"/>
      <c r="I161" s="47"/>
      <c r="J161" s="47"/>
      <c r="K161" s="47"/>
      <c r="L161" s="52">
        <f>SUM(L162:L164)-SUMIF(CE162:CE164, 1, L162:L164)</f>
        <v>184.85999999999999</v>
      </c>
    </row>
    <row r="162" spans="1:83" ht="14.25" x14ac:dyDescent="0.2">
      <c r="A162" s="45"/>
      <c r="B162" s="45" t="s">
        <v>558</v>
      </c>
      <c r="C162" s="45" t="s">
        <v>560</v>
      </c>
      <c r="D162" s="46" t="s">
        <v>561</v>
      </c>
      <c r="E162" s="47">
        <v>8.2403999999999993</v>
      </c>
      <c r="F162" s="47"/>
      <c r="G162" s="47">
        <f>SmtRes!CX45</f>
        <v>4.1201999999999996</v>
      </c>
      <c r="H162" s="49"/>
      <c r="I162" s="48"/>
      <c r="J162" s="49">
        <f>SmtRes!CZ45</f>
        <v>6.78</v>
      </c>
      <c r="K162" s="48"/>
      <c r="L162" s="49">
        <f>SmtRes!DF45</f>
        <v>27.93</v>
      </c>
    </row>
    <row r="163" spans="1:83" ht="28.5" x14ac:dyDescent="0.2">
      <c r="A163" s="45"/>
      <c r="B163" s="45" t="s">
        <v>592</v>
      </c>
      <c r="C163" s="45" t="s">
        <v>594</v>
      </c>
      <c r="D163" s="46" t="s">
        <v>595</v>
      </c>
      <c r="E163" s="47">
        <v>0.4</v>
      </c>
      <c r="F163" s="47"/>
      <c r="G163" s="47">
        <f>SmtRes!CX46</f>
        <v>0.2</v>
      </c>
      <c r="H163" s="49">
        <f>SmtRes!CZ46</f>
        <v>261.08999999999997</v>
      </c>
      <c r="I163" s="48">
        <f>SmtRes!AI46</f>
        <v>1.29</v>
      </c>
      <c r="J163" s="49">
        <f>ROUND(H163*I163, 2)</f>
        <v>336.81</v>
      </c>
      <c r="K163" s="48"/>
      <c r="L163" s="49">
        <f>SmtRes!DF46</f>
        <v>67.36</v>
      </c>
    </row>
    <row r="164" spans="1:83" ht="57" x14ac:dyDescent="0.2">
      <c r="A164" s="45"/>
      <c r="B164" s="45" t="s">
        <v>596</v>
      </c>
      <c r="C164" s="53" t="s">
        <v>598</v>
      </c>
      <c r="D164" s="54" t="s">
        <v>165</v>
      </c>
      <c r="E164" s="55">
        <v>1.4E-3</v>
      </c>
      <c r="F164" s="55"/>
      <c r="G164" s="55">
        <f>SmtRes!CX47</f>
        <v>6.9999999999999999E-4</v>
      </c>
      <c r="H164" s="56">
        <f>SmtRes!CZ47</f>
        <v>99190.96</v>
      </c>
      <c r="I164" s="57">
        <f>SmtRes!AI47</f>
        <v>1.29</v>
      </c>
      <c r="J164" s="56">
        <f>ROUND(H164*I164, 2)</f>
        <v>127956.34</v>
      </c>
      <c r="K164" s="57"/>
      <c r="L164" s="56">
        <f>SmtRes!DF47</f>
        <v>89.57</v>
      </c>
    </row>
    <row r="165" spans="1:83" ht="15" x14ac:dyDescent="0.2">
      <c r="A165" s="45"/>
      <c r="B165" s="45"/>
      <c r="C165" s="59" t="s">
        <v>787</v>
      </c>
      <c r="D165" s="46"/>
      <c r="E165" s="47"/>
      <c r="F165" s="47"/>
      <c r="G165" s="47"/>
      <c r="H165" s="49"/>
      <c r="I165" s="48"/>
      <c r="J165" s="49"/>
      <c r="K165" s="48"/>
      <c r="L165" s="49">
        <f>L159+L161</f>
        <v>7442.2599999999993</v>
      </c>
    </row>
    <row r="166" spans="1:83" ht="28.5" x14ac:dyDescent="0.2">
      <c r="A166" s="43" t="s">
        <v>816</v>
      </c>
      <c r="B166" s="45" t="str">
        <f>Source!F45</f>
        <v>20.2.05.04-0069</v>
      </c>
      <c r="C166" s="45" t="str">
        <f>Source!G45</f>
        <v>Короб кабельный (кабель-канал) ПВХ с крышкой, размеры 80х40 мм</v>
      </c>
      <c r="D166" s="46" t="str">
        <f>Source!H45</f>
        <v>100 м</v>
      </c>
      <c r="E166" s="47">
        <f>SmtRes!AT49</f>
        <v>1</v>
      </c>
      <c r="F166" s="47"/>
      <c r="G166" s="47">
        <f>Source!I45</f>
        <v>0.5</v>
      </c>
      <c r="H166" s="49">
        <f>Source!AL45+Source!AO45+Source!AM45+Source!AN45</f>
        <v>19586.009999999998</v>
      </c>
      <c r="I166" s="48">
        <f>IF(Source!BC45&lt;&gt; 0, Source!BC45, 1)</f>
        <v>1.24</v>
      </c>
      <c r="J166" s="49">
        <f>ROUND(H166*I166, 2)</f>
        <v>24286.65</v>
      </c>
      <c r="K166" s="48"/>
      <c r="L166" s="49">
        <f>Source!P45</f>
        <v>12143.33</v>
      </c>
      <c r="AD166">
        <f>ROUND((Source!AT45/100)*((ROUND(ROUND(Source!AO45,2)*Source!I45, 2)+ROUND(ROUND(Source!AN45,2)*Source!I45, 2))), 2)</f>
        <v>0</v>
      </c>
      <c r="AE166">
        <f>ROUND((Source!AU45/100)*((ROUND(ROUND(Source!AO45,2)*Source!I45, 2)+ROUND(ROUND(Source!AN45,2)*Source!I45, 2))), 2)</f>
        <v>0</v>
      </c>
      <c r="AN166">
        <f t="shared" ref="AN166:AN172" si="2">L166</f>
        <v>12143.33</v>
      </c>
      <c r="AW166">
        <f t="shared" ref="AW166:AW171" si="3">L166</f>
        <v>12143.33</v>
      </c>
      <c r="AZ166">
        <f>Source!X45</f>
        <v>0</v>
      </c>
      <c r="BA166">
        <f>Source!Y45</f>
        <v>0</v>
      </c>
      <c r="CD166">
        <v>2</v>
      </c>
    </row>
    <row r="167" spans="1:83" ht="28.5" x14ac:dyDescent="0.2">
      <c r="A167" s="43" t="s">
        <v>817</v>
      </c>
      <c r="B167" s="45" t="str">
        <f>Source!F46</f>
        <v>20.2.05.03-0007</v>
      </c>
      <c r="C167" s="45" t="str">
        <f>Source!G46</f>
        <v>Заглушки для коробов, размеры 80х50 мм</v>
      </c>
      <c r="D167" s="46" t="str">
        <f>Source!H46</f>
        <v>100 ШТ</v>
      </c>
      <c r="E167" s="47">
        <f>SmtRes!AT48</f>
        <v>0.08</v>
      </c>
      <c r="F167" s="47"/>
      <c r="G167" s="47">
        <f>Source!I46</f>
        <v>0.04</v>
      </c>
      <c r="H167" s="49">
        <f>Source!AL46+Source!AO46+Source!AM46+Source!AN46</f>
        <v>15566.73</v>
      </c>
      <c r="I167" s="48">
        <f>IF(Source!BC46&lt;&gt; 0, Source!BC46, 1)</f>
        <v>1.24</v>
      </c>
      <c r="J167" s="49">
        <f>ROUND(H167*I167, 2)</f>
        <v>19302.75</v>
      </c>
      <c r="K167" s="48"/>
      <c r="L167" s="49">
        <f>Source!P46</f>
        <v>772.11</v>
      </c>
      <c r="AD167">
        <f>ROUND((Source!AT46/100)*((ROUND(ROUND(Source!AO46,2)*Source!I46, 2)+ROUND(ROUND(Source!AN46,2)*Source!I46, 2))), 2)</f>
        <v>0</v>
      </c>
      <c r="AE167">
        <f>ROUND((Source!AU46/100)*((ROUND(ROUND(Source!AO46,2)*Source!I46, 2)+ROUND(ROUND(Source!AN46,2)*Source!I46, 2))), 2)</f>
        <v>0</v>
      </c>
      <c r="AN167">
        <f t="shared" si="2"/>
        <v>772.11</v>
      </c>
      <c r="AW167">
        <f t="shared" si="3"/>
        <v>772.11</v>
      </c>
      <c r="AZ167">
        <f>Source!X46</f>
        <v>0</v>
      </c>
      <c r="BA167">
        <f>Source!Y46</f>
        <v>0</v>
      </c>
      <c r="CD167">
        <v>2</v>
      </c>
    </row>
    <row r="168" spans="1:83" ht="28.5" x14ac:dyDescent="0.2">
      <c r="A168" s="43" t="s">
        <v>818</v>
      </c>
      <c r="B168" s="45" t="str">
        <f>Source!F47</f>
        <v>20.2.05.09-1096</v>
      </c>
      <c r="C168" s="45" t="str">
        <f>Source!G47</f>
        <v>Угол внутренний для кабель-канала, размеры 80х40 мм</v>
      </c>
      <c r="D168" s="46" t="str">
        <f>Source!H47</f>
        <v>100 ШТ</v>
      </c>
      <c r="E168" s="47">
        <f>SmtRes!AT52</f>
        <v>0.08</v>
      </c>
      <c r="F168" s="47"/>
      <c r="G168" s="47">
        <f>Source!I47</f>
        <v>0.04</v>
      </c>
      <c r="H168" s="49">
        <f>Source!AL47+Source!AO47+Source!AM47+Source!AN47</f>
        <v>4987.88</v>
      </c>
      <c r="I168" s="48">
        <f>IF(Source!BC47&lt;&gt; 0, Source!BC47, 1)</f>
        <v>1.24</v>
      </c>
      <c r="J168" s="49">
        <f>ROUND(H168*I168, 2)</f>
        <v>6184.97</v>
      </c>
      <c r="K168" s="48"/>
      <c r="L168" s="49">
        <f>Source!P47</f>
        <v>247.4</v>
      </c>
      <c r="AD168">
        <f>ROUND((Source!AT47/100)*((ROUND(ROUND(Source!AO47,2)*Source!I47, 2)+ROUND(ROUND(Source!AN47,2)*Source!I47, 2))), 2)</f>
        <v>0</v>
      </c>
      <c r="AE168">
        <f>ROUND((Source!AU47/100)*((ROUND(ROUND(Source!AO47,2)*Source!I47, 2)+ROUND(ROUND(Source!AN47,2)*Source!I47, 2))), 2)</f>
        <v>0</v>
      </c>
      <c r="AN168">
        <f t="shared" si="2"/>
        <v>247.4</v>
      </c>
      <c r="AW168">
        <f t="shared" si="3"/>
        <v>247.4</v>
      </c>
      <c r="AZ168">
        <f>Source!X47</f>
        <v>0</v>
      </c>
      <c r="BA168">
        <f>Source!Y47</f>
        <v>0</v>
      </c>
      <c r="CD168">
        <v>2</v>
      </c>
    </row>
    <row r="169" spans="1:83" ht="28.5" x14ac:dyDescent="0.2">
      <c r="A169" s="43" t="s">
        <v>819</v>
      </c>
      <c r="B169" s="45" t="str">
        <f>Source!F48</f>
        <v>20.2.05.09-0017</v>
      </c>
      <c r="C169" s="45" t="str">
        <f>Source!G48</f>
        <v>Углы внешние изменяемые для кабель-канала, размеры 80х50 мм</v>
      </c>
      <c r="D169" s="46" t="str">
        <f>Source!H48</f>
        <v>100 ШТ</v>
      </c>
      <c r="E169" s="47">
        <f>SmtRes!AT50</f>
        <v>0.02</v>
      </c>
      <c r="F169" s="47"/>
      <c r="G169" s="47">
        <f>Source!I48</f>
        <v>0.01</v>
      </c>
      <c r="H169" s="49">
        <f>Source!AL48+Source!AO48+Source!AM48+Source!AN48</f>
        <v>50097.78</v>
      </c>
      <c r="I169" s="48">
        <f>IF(Source!BC48&lt;&gt; 0, Source!BC48, 1)</f>
        <v>1.24</v>
      </c>
      <c r="J169" s="49">
        <f>ROUND(H169*I169, 2)</f>
        <v>62121.25</v>
      </c>
      <c r="K169" s="48"/>
      <c r="L169" s="49">
        <f>Source!P48</f>
        <v>621.21</v>
      </c>
      <c r="AD169">
        <f>ROUND((Source!AT48/100)*((ROUND(ROUND(Source!AO48,2)*Source!I48, 2)+ROUND(ROUND(Source!AN48,2)*Source!I48, 2))), 2)</f>
        <v>0</v>
      </c>
      <c r="AE169">
        <f>ROUND((Source!AU48/100)*((ROUND(ROUND(Source!AO48,2)*Source!I48, 2)+ROUND(ROUND(Source!AN48,2)*Source!I48, 2))), 2)</f>
        <v>0</v>
      </c>
      <c r="AN169">
        <f t="shared" si="2"/>
        <v>621.21</v>
      </c>
      <c r="AW169">
        <f t="shared" si="3"/>
        <v>621.21</v>
      </c>
      <c r="AZ169">
        <f>Source!X48</f>
        <v>0</v>
      </c>
      <c r="BA169">
        <f>Source!Y48</f>
        <v>0</v>
      </c>
      <c r="CD169">
        <v>2</v>
      </c>
    </row>
    <row r="170" spans="1:83" ht="28.5" x14ac:dyDescent="0.2">
      <c r="A170" s="43" t="s">
        <v>820</v>
      </c>
      <c r="B170" s="45" t="str">
        <f>Source!F49</f>
        <v>20.2.05.09-0067</v>
      </c>
      <c r="C170" s="45" t="str">
        <f>Source!G49</f>
        <v>Углы плоские для кабель-канала, размеры 90х40 мм</v>
      </c>
      <c r="D170" s="46" t="str">
        <f>Source!H49</f>
        <v>100 ШТ</v>
      </c>
      <c r="E170" s="47">
        <f>SmtRes!AT51</f>
        <v>0.12</v>
      </c>
      <c r="F170" s="47"/>
      <c r="G170" s="47">
        <f>Source!I49</f>
        <v>0.06</v>
      </c>
      <c r="H170" s="49">
        <f>Source!AL49+Source!AO49+Source!AM49+Source!AN49</f>
        <v>11018.76</v>
      </c>
      <c r="I170" s="48">
        <f>IF(Source!BC49&lt;&gt; 0, Source!BC49, 1)</f>
        <v>1.24</v>
      </c>
      <c r="J170" s="49">
        <f>ROUND(H170*I170, 2)</f>
        <v>13663.26</v>
      </c>
      <c r="K170" s="48"/>
      <c r="L170" s="49">
        <f>Source!P49</f>
        <v>819.8</v>
      </c>
      <c r="AD170">
        <f>ROUND((Source!AT49/100)*((ROUND(ROUND(Source!AO49,2)*Source!I49, 2)+ROUND(ROUND(Source!AN49,2)*Source!I49, 2))), 2)</f>
        <v>0</v>
      </c>
      <c r="AE170">
        <f>ROUND((Source!AU49/100)*((ROUND(ROUND(Source!AO49,2)*Source!I49, 2)+ROUND(ROUND(Source!AN49,2)*Source!I49, 2))), 2)</f>
        <v>0</v>
      </c>
      <c r="AN170">
        <f t="shared" si="2"/>
        <v>819.8</v>
      </c>
      <c r="AW170">
        <f t="shared" si="3"/>
        <v>819.8</v>
      </c>
      <c r="AZ170">
        <f>Source!X49</f>
        <v>0</v>
      </c>
      <c r="BA170">
        <f>Source!Y49</f>
        <v>0</v>
      </c>
      <c r="CD170">
        <v>2</v>
      </c>
    </row>
    <row r="171" spans="1:83" ht="57" x14ac:dyDescent="0.2">
      <c r="A171" s="43" t="s">
        <v>821</v>
      </c>
      <c r="B171" s="45" t="str">
        <f>Source!F50</f>
        <v>421/пр_2020_п.75_пп.а</v>
      </c>
      <c r="C171" s="45" t="str">
        <f>Source!G50</f>
        <v>Сметная стоимость вспомогательных ненормируемых материальных ресурсов, не учтенная в сметной норме, 2%</v>
      </c>
      <c r="D171" s="46" t="str">
        <f>Source!H50</f>
        <v>%</v>
      </c>
      <c r="E171" s="47">
        <f>SmtRes!AT53</f>
        <v>2</v>
      </c>
      <c r="F171" s="47"/>
      <c r="G171" s="47">
        <f>Source!I50</f>
        <v>2</v>
      </c>
      <c r="H171" s="49"/>
      <c r="I171" s="48"/>
      <c r="J171" s="49"/>
      <c r="K171" s="48"/>
      <c r="L171" s="49">
        <f>Source!P50</f>
        <v>145.15</v>
      </c>
      <c r="AD171">
        <f>ROUND((Source!AT50/100)*((ROUND(0*Source!I50, 2)+ROUND(0*Source!I50, 2))), 2)</f>
        <v>0</v>
      </c>
      <c r="AE171">
        <f>ROUND((Source!AU50/100)*((ROUND(0*Source!I50, 2)+ROUND(0*Source!I50, 2))), 2)</f>
        <v>0</v>
      </c>
      <c r="AN171">
        <f t="shared" si="2"/>
        <v>145.15</v>
      </c>
      <c r="AW171">
        <f t="shared" si="3"/>
        <v>145.15</v>
      </c>
      <c r="AZ171">
        <f>Source!X50</f>
        <v>0</v>
      </c>
      <c r="BA171">
        <f>Source!Y50</f>
        <v>0</v>
      </c>
      <c r="CD171">
        <v>2</v>
      </c>
    </row>
    <row r="172" spans="1:83" ht="57" x14ac:dyDescent="0.2">
      <c r="A172" s="43" t="s">
        <v>822</v>
      </c>
      <c r="B172" s="45" t="str">
        <f>Source!F51</f>
        <v>91.06.06-048</v>
      </c>
      <c r="C172" s="45" t="s">
        <v>788</v>
      </c>
      <c r="D172" s="46" t="str">
        <f>Source!H51</f>
        <v>маш.-ч</v>
      </c>
      <c r="E172" s="47">
        <f>SmtRes!AT44</f>
        <v>-0.01</v>
      </c>
      <c r="F172" s="47"/>
      <c r="G172" s="47">
        <f>Source!I51</f>
        <v>-5.0000000000000001E-3</v>
      </c>
      <c r="H172" s="49">
        <f>Source!AL51+Source!AO51+Source!AM51+Source!AN51</f>
        <v>678.54000000000008</v>
      </c>
      <c r="I172" s="48">
        <f>IF(Source!BB51&lt;&gt; 0, Source!BB51, 1)</f>
        <v>1.54</v>
      </c>
      <c r="J172" s="49">
        <f>ROUND(H172*I172, 2)</f>
        <v>1044.95</v>
      </c>
      <c r="K172" s="48"/>
      <c r="L172" s="49">
        <f>Source!Q51</f>
        <v>-0.28999999999999998</v>
      </c>
      <c r="AD172">
        <f>ROUND((Source!AT51/100)*((ROUND(ROUND(Source!AO51,2)*Source!I51, 2)+ROUND(ROUND(Source!AN51,2)*Source!I51, 2))), 2)</f>
        <v>-3.11</v>
      </c>
      <c r="AE172">
        <f>ROUND((Source!AU51/100)*((ROUND(ROUND(Source!AO51,2)*Source!I51, 2)+ROUND(ROUND(Source!AN51,2)*Source!I51, 2))), 2)</f>
        <v>-1.64</v>
      </c>
      <c r="AN172">
        <f t="shared" si="2"/>
        <v>-0.28999999999999998</v>
      </c>
      <c r="AO172">
        <f>L172</f>
        <v>-0.28999999999999998</v>
      </c>
      <c r="AT172">
        <f>Source!R51</f>
        <v>-3.21</v>
      </c>
      <c r="AZ172">
        <f>Source!X51</f>
        <v>-3.11</v>
      </c>
      <c r="BA172">
        <f>Source!Y51</f>
        <v>-1.64</v>
      </c>
      <c r="CD172">
        <v>2</v>
      </c>
    </row>
    <row r="173" spans="1:83" ht="28.5" x14ac:dyDescent="0.2">
      <c r="A173" s="45"/>
      <c r="B173" s="45" t="s">
        <v>544</v>
      </c>
      <c r="C173" s="45" t="s">
        <v>789</v>
      </c>
      <c r="D173" s="46" t="s">
        <v>541</v>
      </c>
      <c r="E173" s="47">
        <f>SmtRes!DO44*SmtRes!AT44</f>
        <v>-0.01</v>
      </c>
      <c r="F173" s="47"/>
      <c r="G173" s="47">
        <f>ROUND(E173*G157, 7)</f>
        <v>-5.0000000000000001E-3</v>
      </c>
      <c r="H173" s="49"/>
      <c r="I173" s="48"/>
      <c r="J173" s="49">
        <f>ROUND(SmtRes!AG44/SmtRes!DO44, 2)</f>
        <v>641.22</v>
      </c>
      <c r="K173" s="48"/>
      <c r="L173" s="49">
        <f>SmtRes!DH44</f>
        <v>-3.21</v>
      </c>
      <c r="CE173">
        <v>1</v>
      </c>
    </row>
    <row r="174" spans="1:83" ht="14.25" x14ac:dyDescent="0.2">
      <c r="A174" s="45"/>
      <c r="B174" s="45"/>
      <c r="C174" s="45" t="s">
        <v>790</v>
      </c>
      <c r="D174" s="46"/>
      <c r="E174" s="47"/>
      <c r="F174" s="47"/>
      <c r="G174" s="47"/>
      <c r="H174" s="49"/>
      <c r="I174" s="48"/>
      <c r="J174" s="49"/>
      <c r="K174" s="48"/>
      <c r="L174" s="49">
        <f>SUM(AR157:AR177)+SUM(AS157:AS177)+SUM(AT157:AT177)+SUM(AU157:AU177)+SUM(AV157:AV177)</f>
        <v>7254.19</v>
      </c>
    </row>
    <row r="175" spans="1:83" ht="28.5" x14ac:dyDescent="0.2">
      <c r="A175" s="45"/>
      <c r="B175" s="45" t="s">
        <v>52</v>
      </c>
      <c r="C175" s="45" t="s">
        <v>804</v>
      </c>
      <c r="D175" s="46" t="s">
        <v>57</v>
      </c>
      <c r="E175" s="47">
        <f>Source!BZ44</f>
        <v>97</v>
      </c>
      <c r="F175" s="47"/>
      <c r="G175" s="47">
        <f>Source!AT44</f>
        <v>97</v>
      </c>
      <c r="H175" s="49"/>
      <c r="I175" s="48"/>
      <c r="J175" s="49"/>
      <c r="K175" s="48"/>
      <c r="L175" s="49">
        <f>SUM(AZ157:AZ177)</f>
        <v>7036.5700000000006</v>
      </c>
    </row>
    <row r="176" spans="1:83" ht="28.5" x14ac:dyDescent="0.2">
      <c r="A176" s="53"/>
      <c r="B176" s="53" t="s">
        <v>53</v>
      </c>
      <c r="C176" s="53" t="s">
        <v>805</v>
      </c>
      <c r="D176" s="54" t="s">
        <v>57</v>
      </c>
      <c r="E176" s="55">
        <f>Source!CA44</f>
        <v>51</v>
      </c>
      <c r="F176" s="55"/>
      <c r="G176" s="55">
        <f>Source!AU44</f>
        <v>51</v>
      </c>
      <c r="H176" s="56"/>
      <c r="I176" s="57"/>
      <c r="J176" s="56"/>
      <c r="K176" s="57"/>
      <c r="L176" s="56">
        <f>SUM(BA157:BA177)</f>
        <v>3699.63</v>
      </c>
    </row>
    <row r="177" spans="1:83" ht="15" x14ac:dyDescent="0.2">
      <c r="C177" s="92" t="s">
        <v>793</v>
      </c>
      <c r="D177" s="92"/>
      <c r="E177" s="92"/>
      <c r="F177" s="92"/>
      <c r="G177" s="92"/>
      <c r="H177" s="92"/>
      <c r="I177" s="93">
        <f>IF(E157&lt;&gt;0,K177/E157, 0)</f>
        <v>65847.92</v>
      </c>
      <c r="J177" s="93"/>
      <c r="K177" s="93">
        <f>L159+L161+L175+L176+SUM(L166:L173)</f>
        <v>32923.96</v>
      </c>
      <c r="L177" s="93"/>
      <c r="AD177">
        <f>ROUND((Source!AT44/100)*((ROUND(SUMIF(SmtRes!AQ42:'SmtRes'!AQ53,"=1",SmtRes!AD42:'SmtRes'!AD53)*Source!I44, 2)+ROUND(SUMIF(SmtRes!AQ42:'SmtRes'!AQ53,"=1",SmtRes!AC42:'SmtRes'!AC53)*Source!I44, 2))), 2)</f>
        <v>346.27</v>
      </c>
      <c r="AE177">
        <f>ROUND((Source!AU44/100)*((ROUND(SUMIF(SmtRes!AQ42:'SmtRes'!AQ53,"=1",SmtRes!AD42:'SmtRes'!AD53)*Source!I44, 2)+ROUND(SUMIF(SmtRes!AQ42:'SmtRes'!AQ53,"=1",SmtRes!AC42:'SmtRes'!AC53)*Source!I44, 2))), 2)</f>
        <v>182.06</v>
      </c>
      <c r="AN177" s="58">
        <f>L159+L161+L175+L176</f>
        <v>18178.46</v>
      </c>
      <c r="AO177">
        <f>0</f>
        <v>0</v>
      </c>
      <c r="AQ177" t="s">
        <v>794</v>
      </c>
      <c r="AR177" s="58">
        <f>L159</f>
        <v>7257.4</v>
      </c>
      <c r="AT177">
        <f>0</f>
        <v>0</v>
      </c>
      <c r="AV177" t="s">
        <v>794</v>
      </c>
      <c r="AW177" s="58">
        <f>L161</f>
        <v>184.85999999999999</v>
      </c>
      <c r="AZ177">
        <f>Source!X44</f>
        <v>7039.68</v>
      </c>
      <c r="BA177">
        <f>Source!Y44</f>
        <v>3701.27</v>
      </c>
      <c r="CD177">
        <v>2</v>
      </c>
    </row>
    <row r="178" spans="1:83" ht="28.5" x14ac:dyDescent="0.2">
      <c r="A178" s="43" t="s">
        <v>107</v>
      </c>
      <c r="B178" s="45" t="s">
        <v>823</v>
      </c>
      <c r="C178" s="45" t="str">
        <f>Source!G52</f>
        <v>Провод в коробах, сечением: до 6 мм2</v>
      </c>
      <c r="D178" s="46" t="str">
        <f>Source!H52</f>
        <v>100 м</v>
      </c>
      <c r="E178" s="47">
        <f>Source!K52</f>
        <v>4</v>
      </c>
      <c r="F178" s="47"/>
      <c r="G178" s="47">
        <f>Source!I52</f>
        <v>4</v>
      </c>
      <c r="H178" s="49"/>
      <c r="I178" s="48"/>
      <c r="J178" s="49"/>
      <c r="K178" s="48"/>
      <c r="L178" s="49"/>
    </row>
    <row r="179" spans="1:83" x14ac:dyDescent="0.2">
      <c r="C179" s="50" t="str">
        <f>"Объем: "&amp;Source!I52&amp;"=(200+"&amp;"200)/"&amp;"100"</f>
        <v>Объем: 4=(200+200)/100</v>
      </c>
    </row>
    <row r="180" spans="1:83" ht="15" x14ac:dyDescent="0.2">
      <c r="A180" s="44"/>
      <c r="B180" s="47">
        <v>1</v>
      </c>
      <c r="C180" s="44" t="s">
        <v>786</v>
      </c>
      <c r="D180" s="46" t="s">
        <v>541</v>
      </c>
      <c r="E180" s="51"/>
      <c r="F180" s="47"/>
      <c r="G180" s="47">
        <f>Source!U52</f>
        <v>11.28</v>
      </c>
      <c r="H180" s="47"/>
      <c r="I180" s="47"/>
      <c r="J180" s="47"/>
      <c r="K180" s="47"/>
      <c r="L180" s="52">
        <f>SUM(L181:L181)-SUMIF(CE181:CE181, 1, L181:L181)</f>
        <v>7962.33</v>
      </c>
    </row>
    <row r="181" spans="1:83" ht="14.25" x14ac:dyDescent="0.2">
      <c r="A181" s="45"/>
      <c r="B181" s="45" t="s">
        <v>547</v>
      </c>
      <c r="C181" s="45" t="s">
        <v>548</v>
      </c>
      <c r="D181" s="46" t="s">
        <v>541</v>
      </c>
      <c r="E181" s="47">
        <v>2.82</v>
      </c>
      <c r="F181" s="47"/>
      <c r="G181" s="47">
        <f>SmtRes!CX54</f>
        <v>11.28</v>
      </c>
      <c r="H181" s="49"/>
      <c r="I181" s="48"/>
      <c r="J181" s="49">
        <f>SmtRes!CZ54</f>
        <v>705.88</v>
      </c>
      <c r="K181" s="48"/>
      <c r="L181" s="49">
        <f>SmtRes!DI54</f>
        <v>7962.33</v>
      </c>
    </row>
    <row r="182" spans="1:83" ht="15" x14ac:dyDescent="0.2">
      <c r="A182" s="44"/>
      <c r="B182" s="47">
        <v>4</v>
      </c>
      <c r="C182" s="44" t="s">
        <v>802</v>
      </c>
      <c r="D182" s="46"/>
      <c r="E182" s="51"/>
      <c r="F182" s="47"/>
      <c r="G182" s="47"/>
      <c r="H182" s="47"/>
      <c r="I182" s="47"/>
      <c r="J182" s="47"/>
      <c r="K182" s="47"/>
      <c r="L182" s="52">
        <f>SUM(L183:L185)-SUMIF(CE183:CE185, 1, L183:L185)</f>
        <v>413.43000000000006</v>
      </c>
    </row>
    <row r="183" spans="1:83" ht="71.25" x14ac:dyDescent="0.2">
      <c r="A183" s="45"/>
      <c r="B183" s="45" t="s">
        <v>562</v>
      </c>
      <c r="C183" s="45" t="s">
        <v>564</v>
      </c>
      <c r="D183" s="46" t="s">
        <v>364</v>
      </c>
      <c r="E183" s="47">
        <v>13.33</v>
      </c>
      <c r="F183" s="47"/>
      <c r="G183" s="47">
        <f>SmtRes!CX58</f>
        <v>53.32</v>
      </c>
      <c r="H183" s="49">
        <f>SmtRes!CZ58</f>
        <v>5.87</v>
      </c>
      <c r="I183" s="48">
        <f>SmtRes!AI58</f>
        <v>0.88</v>
      </c>
      <c r="J183" s="49">
        <f>ROUND(H183*I183, 2)</f>
        <v>5.17</v>
      </c>
      <c r="K183" s="48"/>
      <c r="L183" s="49">
        <f>SmtRes!DF58</f>
        <v>275.66000000000003</v>
      </c>
    </row>
    <row r="184" spans="1:83" ht="57" x14ac:dyDescent="0.2">
      <c r="A184" s="45"/>
      <c r="B184" s="45" t="s">
        <v>601</v>
      </c>
      <c r="C184" s="45" t="s">
        <v>603</v>
      </c>
      <c r="D184" s="46" t="s">
        <v>604</v>
      </c>
      <c r="E184" s="47">
        <v>0.5</v>
      </c>
      <c r="F184" s="47"/>
      <c r="G184" s="47">
        <f>SmtRes!CX59</f>
        <v>2</v>
      </c>
      <c r="H184" s="49">
        <f>SmtRes!CZ59</f>
        <v>37.71</v>
      </c>
      <c r="I184" s="48">
        <f>SmtRes!AI59</f>
        <v>1.53</v>
      </c>
      <c r="J184" s="49">
        <f>ROUND(H184*I184, 2)</f>
        <v>57.7</v>
      </c>
      <c r="K184" s="48"/>
      <c r="L184" s="49">
        <f>SmtRes!DF59</f>
        <v>115.4</v>
      </c>
    </row>
    <row r="185" spans="1:83" ht="28.5" x14ac:dyDescent="0.2">
      <c r="A185" s="45"/>
      <c r="B185" s="45" t="s">
        <v>577</v>
      </c>
      <c r="C185" s="53" t="s">
        <v>579</v>
      </c>
      <c r="D185" s="54" t="s">
        <v>170</v>
      </c>
      <c r="E185" s="55">
        <v>0.05</v>
      </c>
      <c r="F185" s="55"/>
      <c r="G185" s="55">
        <f>SmtRes!CX60</f>
        <v>0.2</v>
      </c>
      <c r="H185" s="56">
        <f>SmtRes!CZ60</f>
        <v>79.88</v>
      </c>
      <c r="I185" s="57">
        <f>SmtRes!AI60</f>
        <v>1.4</v>
      </c>
      <c r="J185" s="56">
        <f>ROUND(H185*I185, 2)</f>
        <v>111.83</v>
      </c>
      <c r="K185" s="57"/>
      <c r="L185" s="56">
        <f>SmtRes!DF60</f>
        <v>22.37</v>
      </c>
    </row>
    <row r="186" spans="1:83" ht="15" x14ac:dyDescent="0.2">
      <c r="A186" s="45"/>
      <c r="B186" s="45"/>
      <c r="C186" s="59" t="s">
        <v>787</v>
      </c>
      <c r="D186" s="46"/>
      <c r="E186" s="47"/>
      <c r="F186" s="47"/>
      <c r="G186" s="47"/>
      <c r="H186" s="49"/>
      <c r="I186" s="48"/>
      <c r="J186" s="49"/>
      <c r="K186" s="48"/>
      <c r="L186" s="49">
        <f>L180+L182</f>
        <v>8375.76</v>
      </c>
    </row>
    <row r="187" spans="1:83" ht="28.5" x14ac:dyDescent="0.2">
      <c r="A187" s="43" t="s">
        <v>824</v>
      </c>
      <c r="B187" s="45" t="str">
        <f>Source!F53</f>
        <v>21.1.06.09-0151</v>
      </c>
      <c r="C187" s="45" t="str">
        <f>Source!G53</f>
        <v>Кабель силовой с медными жилами ВВГнг(A)-LS 3х1,5ок(N, PE)-660</v>
      </c>
      <c r="D187" s="46" t="str">
        <f>Source!H53</f>
        <v>1000 м</v>
      </c>
      <c r="E187" s="47">
        <f>SmtRes!AT61</f>
        <v>0.05</v>
      </c>
      <c r="F187" s="47"/>
      <c r="G187" s="47">
        <f>Source!I53</f>
        <v>0.2</v>
      </c>
      <c r="H187" s="49"/>
      <c r="I187" s="48"/>
      <c r="J187" s="49">
        <f>Source!AK53</f>
        <v>45368.9</v>
      </c>
      <c r="K187" s="48"/>
      <c r="L187" s="49">
        <f>Source!P53</f>
        <v>9073.7800000000007</v>
      </c>
      <c r="AD187">
        <f>ROUND((Source!AT53/100)*((ROUND(ROUND(Source!AO53,2)*Source!I53, 2)+ROUND(ROUND(Source!AN53,2)*Source!I53, 2))), 2)</f>
        <v>0</v>
      </c>
      <c r="AE187">
        <f>ROUND((Source!AU53/100)*((ROUND(ROUND(Source!AO53,2)*Source!I53, 2)+ROUND(ROUND(Source!AN53,2)*Source!I53, 2))), 2)</f>
        <v>0</v>
      </c>
      <c r="AN187">
        <f>L187</f>
        <v>9073.7800000000007</v>
      </c>
      <c r="AW187">
        <f>L187</f>
        <v>9073.7800000000007</v>
      </c>
      <c r="AZ187">
        <f>Source!X53</f>
        <v>0</v>
      </c>
      <c r="BA187">
        <f>Source!Y53</f>
        <v>0</v>
      </c>
      <c r="CD187">
        <v>2</v>
      </c>
    </row>
    <row r="188" spans="1:83" ht="28.5" x14ac:dyDescent="0.2">
      <c r="A188" s="43" t="s">
        <v>825</v>
      </c>
      <c r="B188" s="45" t="str">
        <f>Source!F54</f>
        <v>21.1.06.09-0152</v>
      </c>
      <c r="C188" s="45" t="str">
        <f>Source!G54</f>
        <v>Кабель силовой с медными жилами ВВГнг(A)-LS 3х2,5ок(N, PE)-660</v>
      </c>
      <c r="D188" s="46" t="str">
        <f>Source!H54</f>
        <v>1000 м</v>
      </c>
      <c r="E188" s="47">
        <f>SmtRes!AT62</f>
        <v>0.05</v>
      </c>
      <c r="F188" s="47"/>
      <c r="G188" s="47">
        <f>Source!I54</f>
        <v>0.2</v>
      </c>
      <c r="H188" s="49"/>
      <c r="I188" s="48"/>
      <c r="J188" s="49">
        <f>Source!AK54</f>
        <v>70449.91</v>
      </c>
      <c r="K188" s="48"/>
      <c r="L188" s="49">
        <f>Source!P54</f>
        <v>14089.98</v>
      </c>
      <c r="AD188">
        <f>ROUND((Source!AT54/100)*((ROUND(ROUND(Source!AO54,2)*Source!I54, 2)+ROUND(ROUND(Source!AN54,2)*Source!I54, 2))), 2)</f>
        <v>0</v>
      </c>
      <c r="AE188">
        <f>ROUND((Source!AU54/100)*((ROUND(ROUND(Source!AO54,2)*Source!I54, 2)+ROUND(ROUND(Source!AN54,2)*Source!I54, 2))), 2)</f>
        <v>0</v>
      </c>
      <c r="AN188">
        <f>L188</f>
        <v>14089.98</v>
      </c>
      <c r="AW188">
        <f>L188</f>
        <v>14089.98</v>
      </c>
      <c r="AZ188">
        <f>Source!X54</f>
        <v>0</v>
      </c>
      <c r="BA188">
        <f>Source!Y54</f>
        <v>0</v>
      </c>
      <c r="CD188">
        <v>2</v>
      </c>
    </row>
    <row r="189" spans="1:83" ht="57" x14ac:dyDescent="0.2">
      <c r="A189" s="43" t="s">
        <v>826</v>
      </c>
      <c r="B189" s="45" t="str">
        <f>Source!F55</f>
        <v>421/пр_2020_п.75_пп.а</v>
      </c>
      <c r="C189" s="45" t="str">
        <f>Source!G55</f>
        <v>Сметная стоимость вспомогательных ненормируемых материальных ресурсов, не учтенная в сметной норме, 2%</v>
      </c>
      <c r="D189" s="46" t="str">
        <f>Source!H55</f>
        <v>%</v>
      </c>
      <c r="E189" s="47">
        <f>SmtRes!AT63</f>
        <v>2</v>
      </c>
      <c r="F189" s="47"/>
      <c r="G189" s="47">
        <f>Source!I55</f>
        <v>2</v>
      </c>
      <c r="H189" s="49"/>
      <c r="I189" s="48"/>
      <c r="J189" s="49"/>
      <c r="K189" s="48"/>
      <c r="L189" s="49">
        <f>Source!P55</f>
        <v>159.25</v>
      </c>
      <c r="AD189">
        <f>ROUND((Source!AT55/100)*((ROUND(0*Source!I55, 2)+ROUND(0*Source!I55, 2))), 2)</f>
        <v>0</v>
      </c>
      <c r="AE189">
        <f>ROUND((Source!AU55/100)*((ROUND(0*Source!I55, 2)+ROUND(0*Source!I55, 2))), 2)</f>
        <v>0</v>
      </c>
      <c r="AN189">
        <f>L189</f>
        <v>159.25</v>
      </c>
      <c r="AW189">
        <f>L189</f>
        <v>159.25</v>
      </c>
      <c r="AZ189">
        <f>Source!X55</f>
        <v>0</v>
      </c>
      <c r="BA189">
        <f>Source!Y55</f>
        <v>0</v>
      </c>
      <c r="CD189">
        <v>2</v>
      </c>
    </row>
    <row r="190" spans="1:83" ht="42.75" x14ac:dyDescent="0.2">
      <c r="A190" s="43" t="s">
        <v>827</v>
      </c>
      <c r="B190" s="45" t="str">
        <f>Source!F56</f>
        <v>91.05.05-015</v>
      </c>
      <c r="C190" s="45" t="s">
        <v>828</v>
      </c>
      <c r="D190" s="46" t="str">
        <f>Source!H56</f>
        <v>маш.-ч</v>
      </c>
      <c r="E190" s="47">
        <f>SmtRes!AT56</f>
        <v>-0.01</v>
      </c>
      <c r="F190" s="47"/>
      <c r="G190" s="47">
        <f>Source!I56</f>
        <v>-0.04</v>
      </c>
      <c r="H190" s="49"/>
      <c r="I190" s="48"/>
      <c r="J190" s="49">
        <f>Source!AK56</f>
        <v>1629.55</v>
      </c>
      <c r="K190" s="48"/>
      <c r="L190" s="49">
        <f>Source!Q56</f>
        <v>-65.180000000000007</v>
      </c>
      <c r="AD190">
        <f>ROUND((Source!AT56/100)*((ROUND(ROUND(Source!AO56,2)*Source!I56, 2)+ROUND(ROUND(Source!AN56,2)*Source!I56, 2))), 2)</f>
        <v>-37.64</v>
      </c>
      <c r="AE190">
        <f>ROUND((Source!AU56/100)*((ROUND(ROUND(Source!AO56,2)*Source!I56, 2)+ROUND(ROUND(Source!AN56,2)*Source!I56, 2))), 2)</f>
        <v>-19.79</v>
      </c>
      <c r="AN190">
        <f>L190</f>
        <v>-65.180000000000007</v>
      </c>
      <c r="AO190">
        <f>L190</f>
        <v>-65.180000000000007</v>
      </c>
      <c r="AT190">
        <f>Source!R56</f>
        <v>-38.799999999999997</v>
      </c>
      <c r="AZ190">
        <f>Source!X56</f>
        <v>-37.64</v>
      </c>
      <c r="BA190">
        <f>Source!Y56</f>
        <v>-19.79</v>
      </c>
      <c r="CD190">
        <v>2</v>
      </c>
    </row>
    <row r="191" spans="1:83" ht="28.5" x14ac:dyDescent="0.2">
      <c r="A191" s="45"/>
      <c r="B191" s="45" t="s">
        <v>599</v>
      </c>
      <c r="C191" s="45" t="s">
        <v>829</v>
      </c>
      <c r="D191" s="46" t="s">
        <v>541</v>
      </c>
      <c r="E191" s="47">
        <f>SmtRes!DO56*SmtRes!AT56</f>
        <v>-0.01</v>
      </c>
      <c r="F191" s="47"/>
      <c r="G191" s="47">
        <f>ROUND(E191*G178, 7)</f>
        <v>-0.04</v>
      </c>
      <c r="H191" s="49"/>
      <c r="I191" s="48"/>
      <c r="J191" s="49">
        <f>ROUND(SmtRes!AG56/SmtRes!DO56, 2)</f>
        <v>969.91</v>
      </c>
      <c r="K191" s="48"/>
      <c r="L191" s="49">
        <f>SmtRes!DH56</f>
        <v>-38.799999999999997</v>
      </c>
      <c r="CE191">
        <v>1</v>
      </c>
    </row>
    <row r="192" spans="1:83" ht="42.75" x14ac:dyDescent="0.2">
      <c r="A192" s="43" t="s">
        <v>830</v>
      </c>
      <c r="B192" s="45" t="str">
        <f>Source!F57</f>
        <v>91.14.02-001</v>
      </c>
      <c r="C192" s="45" t="s">
        <v>831</v>
      </c>
      <c r="D192" s="46" t="str">
        <f>Source!H57</f>
        <v>маш.-ч</v>
      </c>
      <c r="E192" s="47">
        <f>SmtRes!AT57</f>
        <v>-0.01</v>
      </c>
      <c r="F192" s="47"/>
      <c r="G192" s="47">
        <f>Source!I57</f>
        <v>-0.04</v>
      </c>
      <c r="H192" s="49"/>
      <c r="I192" s="48"/>
      <c r="J192" s="49">
        <f>Source!AK57</f>
        <v>643.29</v>
      </c>
      <c r="K192" s="48"/>
      <c r="L192" s="49">
        <f>Source!Q57</f>
        <v>-25.73</v>
      </c>
      <c r="AD192">
        <f>ROUND((Source!AT57/100)*((ROUND(ROUND(Source!AO57,2)*Source!I57, 2)+ROUND(ROUND(Source!AN57,2)*Source!I57, 2))), 2)</f>
        <v>-28.01</v>
      </c>
      <c r="AE192">
        <f>ROUND((Source!AU57/100)*((ROUND(ROUND(Source!AO57,2)*Source!I57, 2)+ROUND(ROUND(Source!AN57,2)*Source!I57, 2))), 2)</f>
        <v>-14.73</v>
      </c>
      <c r="AN192">
        <f>L192</f>
        <v>-25.73</v>
      </c>
      <c r="AO192">
        <f>L192</f>
        <v>-25.73</v>
      </c>
      <c r="AT192">
        <f>Source!R57</f>
        <v>-28.88</v>
      </c>
      <c r="AZ192">
        <f>Source!X57</f>
        <v>-28.01</v>
      </c>
      <c r="BA192">
        <f>Source!Y57</f>
        <v>-14.73</v>
      </c>
      <c r="CD192">
        <v>2</v>
      </c>
    </row>
    <row r="193" spans="1:83" ht="28.5" x14ac:dyDescent="0.2">
      <c r="A193" s="45"/>
      <c r="B193" s="45" t="s">
        <v>600</v>
      </c>
      <c r="C193" s="45" t="s">
        <v>832</v>
      </c>
      <c r="D193" s="46" t="s">
        <v>541</v>
      </c>
      <c r="E193" s="47">
        <f>SmtRes!DO57*SmtRes!AT57</f>
        <v>-0.01</v>
      </c>
      <c r="F193" s="47"/>
      <c r="G193" s="47">
        <f>ROUND(E193*G178, 7)</f>
        <v>-0.04</v>
      </c>
      <c r="H193" s="49"/>
      <c r="I193" s="48"/>
      <c r="J193" s="49">
        <f>ROUND(SmtRes!AG57/SmtRes!DO57, 2)</f>
        <v>722.05</v>
      </c>
      <c r="K193" s="48"/>
      <c r="L193" s="49">
        <f>SmtRes!DH57</f>
        <v>-28.88</v>
      </c>
      <c r="CE193">
        <v>1</v>
      </c>
    </row>
    <row r="194" spans="1:83" ht="14.25" x14ac:dyDescent="0.2">
      <c r="A194" s="45"/>
      <c r="B194" s="45"/>
      <c r="C194" s="45" t="s">
        <v>790</v>
      </c>
      <c r="D194" s="46"/>
      <c r="E194" s="47"/>
      <c r="F194" s="47"/>
      <c r="G194" s="47"/>
      <c r="H194" s="49"/>
      <c r="I194" s="48"/>
      <c r="J194" s="49"/>
      <c r="K194" s="48"/>
      <c r="L194" s="49">
        <f>SUM(AR178:AR197)+SUM(AS178:AS197)+SUM(AT178:AT197)+SUM(AU178:AU197)+SUM(AV178:AV197)</f>
        <v>7894.65</v>
      </c>
    </row>
    <row r="195" spans="1:83" ht="28.5" x14ac:dyDescent="0.2">
      <c r="A195" s="45"/>
      <c r="B195" s="45" t="s">
        <v>52</v>
      </c>
      <c r="C195" s="45" t="s">
        <v>804</v>
      </c>
      <c r="D195" s="46" t="s">
        <v>57</v>
      </c>
      <c r="E195" s="47">
        <f>Source!BZ52</f>
        <v>97</v>
      </c>
      <c r="F195" s="47"/>
      <c r="G195" s="47">
        <f>Source!AT52</f>
        <v>97</v>
      </c>
      <c r="H195" s="49"/>
      <c r="I195" s="48"/>
      <c r="J195" s="49"/>
      <c r="K195" s="48"/>
      <c r="L195" s="49">
        <f>SUM(AZ178:AZ197)</f>
        <v>7657.81</v>
      </c>
    </row>
    <row r="196" spans="1:83" ht="28.5" x14ac:dyDescent="0.2">
      <c r="A196" s="53"/>
      <c r="B196" s="53" t="s">
        <v>53</v>
      </c>
      <c r="C196" s="53" t="s">
        <v>805</v>
      </c>
      <c r="D196" s="54" t="s">
        <v>57</v>
      </c>
      <c r="E196" s="55">
        <f>Source!CA52</f>
        <v>51</v>
      </c>
      <c r="F196" s="55"/>
      <c r="G196" s="55">
        <f>Source!AU52</f>
        <v>51</v>
      </c>
      <c r="H196" s="56"/>
      <c r="I196" s="57"/>
      <c r="J196" s="56"/>
      <c r="K196" s="57"/>
      <c r="L196" s="56">
        <f>SUM(BA178:BA197)</f>
        <v>4026.27</v>
      </c>
    </row>
    <row r="197" spans="1:83" ht="15" x14ac:dyDescent="0.2">
      <c r="C197" s="92" t="s">
        <v>793</v>
      </c>
      <c r="D197" s="92"/>
      <c r="E197" s="92"/>
      <c r="F197" s="92"/>
      <c r="G197" s="92"/>
      <c r="H197" s="92"/>
      <c r="I197" s="93">
        <f>IF(E178&lt;&gt;0,K197/E178, 0)</f>
        <v>10806.065000000001</v>
      </c>
      <c r="J197" s="93"/>
      <c r="K197" s="93">
        <f>L180+L182+L195+L196+SUM(L187:L193)</f>
        <v>43224.26</v>
      </c>
      <c r="L197" s="93"/>
      <c r="AD197">
        <f>ROUND((Source!AT52/100)*((ROUND(SUMIF(SmtRes!AQ54:'SmtRes'!AQ63,"=1",SmtRes!AD54:'SmtRes'!AD63)*Source!I52, 2)+ROUND(SUMIF(SmtRes!AQ54:'SmtRes'!AQ63,"=1",SmtRes!AC54:'SmtRes'!AC63)*Source!I52, 2))), 2)</f>
        <v>2738.81</v>
      </c>
      <c r="AE197">
        <f>ROUND((Source!AU52/100)*((ROUND(SUMIF(SmtRes!AQ54:'SmtRes'!AQ63,"=1",SmtRes!AD54:'SmtRes'!AD63)*Source!I52, 2)+ROUND(SUMIF(SmtRes!AQ54:'SmtRes'!AQ63,"=1",SmtRes!AC54:'SmtRes'!AC63)*Source!I52, 2))), 2)</f>
        <v>1440</v>
      </c>
      <c r="AN197" s="58">
        <f>L180+L182+L195+L196</f>
        <v>20059.84</v>
      </c>
      <c r="AO197">
        <f>0</f>
        <v>0</v>
      </c>
      <c r="AQ197" t="s">
        <v>794</v>
      </c>
      <c r="AR197" s="58">
        <f>L180</f>
        <v>7962.33</v>
      </c>
      <c r="AT197">
        <f>0</f>
        <v>0</v>
      </c>
      <c r="AV197" t="s">
        <v>794</v>
      </c>
      <c r="AW197" s="58">
        <f>L182</f>
        <v>413.43000000000006</v>
      </c>
      <c r="AZ197">
        <f>Source!X52</f>
        <v>7723.46</v>
      </c>
      <c r="BA197">
        <f>Source!Y52</f>
        <v>4060.79</v>
      </c>
      <c r="CD197">
        <v>2</v>
      </c>
    </row>
    <row r="198" spans="1:83" ht="28.5" x14ac:dyDescent="0.2">
      <c r="A198" s="43" t="s">
        <v>130</v>
      </c>
      <c r="B198" s="45" t="s">
        <v>833</v>
      </c>
      <c r="C198" s="45" t="str">
        <f>Source!G58</f>
        <v>Розетка штепсельная: утопленного типа при скрытой проводке</v>
      </c>
      <c r="D198" s="46" t="str">
        <f>Source!H58</f>
        <v>100 ШТ</v>
      </c>
      <c r="E198" s="47">
        <f>Source!K58</f>
        <v>0.55000000000000004</v>
      </c>
      <c r="F198" s="47"/>
      <c r="G198" s="47">
        <f>Source!I58</f>
        <v>0.55000000000000004</v>
      </c>
      <c r="H198" s="49"/>
      <c r="I198" s="48"/>
      <c r="J198" s="49"/>
      <c r="K198" s="48"/>
      <c r="L198" s="49"/>
    </row>
    <row r="199" spans="1:83" x14ac:dyDescent="0.2">
      <c r="C199" s="50" t="str">
        <f>"Объем: "&amp;Source!I58&amp;"=(50+"&amp;"5)/"&amp;"100"</f>
        <v>Объем: 0,55=(50+5)/100</v>
      </c>
    </row>
    <row r="200" spans="1:83" ht="15" x14ac:dyDescent="0.2">
      <c r="A200" s="44"/>
      <c r="B200" s="47">
        <v>1</v>
      </c>
      <c r="C200" s="44" t="s">
        <v>786</v>
      </c>
      <c r="D200" s="46" t="s">
        <v>541</v>
      </c>
      <c r="E200" s="51"/>
      <c r="F200" s="47"/>
      <c r="G200" s="47">
        <f>Source!U58</f>
        <v>16.763999999999999</v>
      </c>
      <c r="H200" s="47"/>
      <c r="I200" s="47"/>
      <c r="J200" s="47"/>
      <c r="K200" s="47"/>
      <c r="L200" s="52">
        <f>SUM(L201:L201)-SUMIF(CE201:CE201, 1, L201:L201)</f>
        <v>12465.71</v>
      </c>
    </row>
    <row r="201" spans="1:83" ht="14.25" x14ac:dyDescent="0.2">
      <c r="A201" s="45"/>
      <c r="B201" s="45" t="s">
        <v>605</v>
      </c>
      <c r="C201" s="45" t="s">
        <v>606</v>
      </c>
      <c r="D201" s="46" t="s">
        <v>541</v>
      </c>
      <c r="E201" s="47">
        <v>30.48</v>
      </c>
      <c r="F201" s="47"/>
      <c r="G201" s="47">
        <f>SmtRes!CX64</f>
        <v>16.763999999999999</v>
      </c>
      <c r="H201" s="49"/>
      <c r="I201" s="48"/>
      <c r="J201" s="49">
        <f>SmtRes!CZ64</f>
        <v>743.6</v>
      </c>
      <c r="K201" s="48"/>
      <c r="L201" s="49">
        <f>SmtRes!DI64</f>
        <v>12465.71</v>
      </c>
    </row>
    <row r="202" spans="1:83" ht="15" x14ac:dyDescent="0.2">
      <c r="A202" s="44"/>
      <c r="B202" s="47">
        <v>4</v>
      </c>
      <c r="C202" s="44" t="s">
        <v>802</v>
      </c>
      <c r="D202" s="46"/>
      <c r="E202" s="51"/>
      <c r="F202" s="47"/>
      <c r="G202" s="47"/>
      <c r="H202" s="47"/>
      <c r="I202" s="47"/>
      <c r="J202" s="47"/>
      <c r="K202" s="47"/>
      <c r="L202" s="52">
        <f>SUM(L203:L206)-SUMIF(CE203:CE206, 1, L203:L206)</f>
        <v>550.6099999999999</v>
      </c>
    </row>
    <row r="203" spans="1:83" ht="71.25" x14ac:dyDescent="0.2">
      <c r="A203" s="45"/>
      <c r="B203" s="45" t="s">
        <v>562</v>
      </c>
      <c r="C203" s="45" t="s">
        <v>564</v>
      </c>
      <c r="D203" s="46" t="s">
        <v>364</v>
      </c>
      <c r="E203" s="47">
        <v>35</v>
      </c>
      <c r="F203" s="47"/>
      <c r="G203" s="47">
        <f>SmtRes!CX67</f>
        <v>19.25</v>
      </c>
      <c r="H203" s="49">
        <f>SmtRes!CZ67</f>
        <v>5.87</v>
      </c>
      <c r="I203" s="48">
        <f>SmtRes!AI67</f>
        <v>0.88</v>
      </c>
      <c r="J203" s="49">
        <f>ROUND(H203*I203, 2)</f>
        <v>5.17</v>
      </c>
      <c r="K203" s="48"/>
      <c r="L203" s="49">
        <f>SmtRes!DF67</f>
        <v>99.52</v>
      </c>
    </row>
    <row r="204" spans="1:83" ht="28.5" x14ac:dyDescent="0.2">
      <c r="A204" s="45"/>
      <c r="B204" s="45" t="s">
        <v>301</v>
      </c>
      <c r="C204" s="45" t="s">
        <v>302</v>
      </c>
      <c r="D204" s="46" t="s">
        <v>170</v>
      </c>
      <c r="E204" s="47">
        <v>1.5</v>
      </c>
      <c r="F204" s="47"/>
      <c r="G204" s="47">
        <f>SmtRes!CX68</f>
        <v>0.82499999999999996</v>
      </c>
      <c r="H204" s="49">
        <f>SmtRes!CZ68</f>
        <v>174.93</v>
      </c>
      <c r="I204" s="48">
        <f>SmtRes!AI68</f>
        <v>1.0900000000000001</v>
      </c>
      <c r="J204" s="49">
        <f>ROUND(H204*I204, 2)</f>
        <v>190.67</v>
      </c>
      <c r="K204" s="48"/>
      <c r="L204" s="49">
        <f>SmtRes!DF68</f>
        <v>157.30000000000001</v>
      </c>
    </row>
    <row r="205" spans="1:83" ht="14.25" x14ac:dyDescent="0.2">
      <c r="A205" s="45"/>
      <c r="B205" s="45" t="s">
        <v>607</v>
      </c>
      <c r="C205" s="45" t="s">
        <v>609</v>
      </c>
      <c r="D205" s="46" t="s">
        <v>165</v>
      </c>
      <c r="E205" s="47">
        <v>3.15E-3</v>
      </c>
      <c r="F205" s="47"/>
      <c r="G205" s="47">
        <f>SmtRes!CX69</f>
        <v>1.7325000000000001E-3</v>
      </c>
      <c r="H205" s="49">
        <f>SmtRes!CZ69</f>
        <v>4338.2700000000004</v>
      </c>
      <c r="I205" s="48">
        <f>SmtRes!AI69</f>
        <v>1.4</v>
      </c>
      <c r="J205" s="49">
        <f>ROUND(H205*I205, 2)</f>
        <v>6073.58</v>
      </c>
      <c r="K205" s="48"/>
      <c r="L205" s="49">
        <f>SmtRes!DF69</f>
        <v>10.52</v>
      </c>
    </row>
    <row r="206" spans="1:83" ht="28.5" x14ac:dyDescent="0.2">
      <c r="A206" s="45"/>
      <c r="B206" s="45" t="s">
        <v>610</v>
      </c>
      <c r="C206" s="53" t="s">
        <v>612</v>
      </c>
      <c r="D206" s="54" t="s">
        <v>595</v>
      </c>
      <c r="E206" s="55">
        <v>0.10199999999999999</v>
      </c>
      <c r="F206" s="55"/>
      <c r="G206" s="55">
        <f>SmtRes!CX70</f>
        <v>5.6099999999999997E-2</v>
      </c>
      <c r="H206" s="56">
        <f>SmtRes!CZ70</f>
        <v>3658.94</v>
      </c>
      <c r="I206" s="57">
        <f>SmtRes!AI70</f>
        <v>1.38</v>
      </c>
      <c r="J206" s="56">
        <f>ROUND(H206*I206, 2)</f>
        <v>5049.34</v>
      </c>
      <c r="K206" s="57"/>
      <c r="L206" s="56">
        <f>SmtRes!DF70</f>
        <v>283.27</v>
      </c>
    </row>
    <row r="207" spans="1:83" ht="15" x14ac:dyDescent="0.2">
      <c r="A207" s="45"/>
      <c r="B207" s="45"/>
      <c r="C207" s="59" t="s">
        <v>787</v>
      </c>
      <c r="D207" s="46"/>
      <c r="E207" s="47"/>
      <c r="F207" s="47"/>
      <c r="G207" s="47"/>
      <c r="H207" s="49"/>
      <c r="I207" s="48"/>
      <c r="J207" s="49"/>
      <c r="K207" s="48"/>
      <c r="L207" s="49">
        <f>L200+L202</f>
        <v>13016.32</v>
      </c>
    </row>
    <row r="208" spans="1:83" ht="57" x14ac:dyDescent="0.2">
      <c r="A208" s="43" t="s">
        <v>834</v>
      </c>
      <c r="B208" s="45" t="str">
        <f>Source!F59</f>
        <v>20.4.03.06-1034</v>
      </c>
      <c r="C208" s="45" t="str">
        <f>Source!G59</f>
        <v>Розетка скрытого монтажа, одноместная, с заземляющим контактом, без защитной шторки, 16 А, цвет белый, IP20</v>
      </c>
      <c r="D208" s="46" t="str">
        <f>Source!H59</f>
        <v>ШТ</v>
      </c>
      <c r="E208" s="47">
        <f>SmtRes!AT72</f>
        <v>90.909090899999995</v>
      </c>
      <c r="F208" s="47"/>
      <c r="G208" s="47">
        <f>Source!I59</f>
        <v>50</v>
      </c>
      <c r="H208" s="49">
        <f>Source!AL59+Source!AO59+Source!AM59+Source!AN59</f>
        <v>74.94</v>
      </c>
      <c r="I208" s="48">
        <f>IF(Source!BC59&lt;&gt; 0, Source!BC59, 1)</f>
        <v>0.91</v>
      </c>
      <c r="J208" s="49">
        <f>ROUND(H208*I208, 2)</f>
        <v>68.2</v>
      </c>
      <c r="K208" s="48"/>
      <c r="L208" s="49">
        <f>Source!P59</f>
        <v>3410</v>
      </c>
      <c r="AD208">
        <f>ROUND((Source!AT59/100)*((ROUND(ROUND(Source!AO59,2)*Source!I59, 2)+ROUND(ROUND(Source!AN59,2)*Source!I59, 2))), 2)</f>
        <v>0</v>
      </c>
      <c r="AE208">
        <f>ROUND((Source!AU59/100)*((ROUND(ROUND(Source!AO59,2)*Source!I59, 2)+ROUND(ROUND(Source!AN59,2)*Source!I59, 2))), 2)</f>
        <v>0</v>
      </c>
      <c r="AN208">
        <f>L208</f>
        <v>3410</v>
      </c>
      <c r="AW208">
        <f>L208</f>
        <v>3410</v>
      </c>
      <c r="AZ208">
        <f>Source!X59</f>
        <v>0</v>
      </c>
      <c r="BA208">
        <f>Source!Y59</f>
        <v>0</v>
      </c>
      <c r="CD208">
        <v>2</v>
      </c>
    </row>
    <row r="209" spans="1:83" ht="99.75" x14ac:dyDescent="0.2">
      <c r="A209" s="43" t="s">
        <v>835</v>
      </c>
      <c r="B209" s="45" t="str">
        <f>Source!F60</f>
        <v>20.4.03.06-0002</v>
      </c>
      <c r="C209" s="45" t="str">
        <f>Source!G60</f>
        <v>Розетки РС16-126 Б IP44 для скрытой проводки с заземляющими контактами (Применительно. Розетка для скрытой установки INRIOR DB-03-90, в пол, в столешницу, влагозащитная IP 55, на 4 EURO розетки, возможна устанока информационных портов или USB)</v>
      </c>
      <c r="D209" s="46" t="str">
        <f>Source!H60</f>
        <v>100 ШТ</v>
      </c>
      <c r="E209" s="47">
        <f>SmtRes!AT71</f>
        <v>9.0909090999999993</v>
      </c>
      <c r="F209" s="47"/>
      <c r="G209" s="47">
        <f>Source!I60</f>
        <v>5</v>
      </c>
      <c r="H209" s="49">
        <f>Source!AL60+Source!AO60+Source!AM60+Source!AN60</f>
        <v>10549.95</v>
      </c>
      <c r="I209" s="48">
        <f>IF(Source!BC60&lt;&gt; 0, Source!BC60, 1)</f>
        <v>0.91</v>
      </c>
      <c r="J209" s="49">
        <f>ROUND(H209*I209, 2)</f>
        <v>9600.4500000000007</v>
      </c>
      <c r="K209" s="48"/>
      <c r="L209" s="49">
        <f>Source!P60</f>
        <v>48002.25</v>
      </c>
      <c r="AD209">
        <f>ROUND((Source!AT60/100)*((ROUND(ROUND(Source!AO60,2)*Source!I60, 2)+ROUND(ROUND(Source!AN60,2)*Source!I60, 2))), 2)</f>
        <v>0</v>
      </c>
      <c r="AE209">
        <f>ROUND((Source!AU60/100)*((ROUND(ROUND(Source!AO60,2)*Source!I60, 2)+ROUND(ROUND(Source!AN60,2)*Source!I60, 2))), 2)</f>
        <v>0</v>
      </c>
      <c r="AN209">
        <f>L209</f>
        <v>48002.25</v>
      </c>
      <c r="AW209">
        <f>L209</f>
        <v>48002.25</v>
      </c>
      <c r="AZ209">
        <f>Source!X60</f>
        <v>0</v>
      </c>
      <c r="BA209">
        <f>Source!Y60</f>
        <v>0</v>
      </c>
      <c r="CD209">
        <v>2</v>
      </c>
    </row>
    <row r="210" spans="1:83" ht="57" x14ac:dyDescent="0.2">
      <c r="A210" s="43" t="s">
        <v>836</v>
      </c>
      <c r="B210" s="45" t="str">
        <f>Source!F61</f>
        <v>421/пр_2020_п.75_пп.а</v>
      </c>
      <c r="C210" s="45" t="str">
        <f>Source!G61</f>
        <v>Сметная стоимость вспомогательных ненормируемых материальных ресурсов, не учтенная в сметной норме, 2%</v>
      </c>
      <c r="D210" s="46" t="str">
        <f>Source!H61</f>
        <v>%</v>
      </c>
      <c r="E210" s="47">
        <f>SmtRes!AT73</f>
        <v>2</v>
      </c>
      <c r="F210" s="47"/>
      <c r="G210" s="47">
        <f>Source!I61</f>
        <v>2</v>
      </c>
      <c r="H210" s="49"/>
      <c r="I210" s="48"/>
      <c r="J210" s="49"/>
      <c r="K210" s="48"/>
      <c r="L210" s="49">
        <f>Source!P61</f>
        <v>249.31</v>
      </c>
      <c r="AD210">
        <f>ROUND((Source!AT61/100)*((ROUND(0*Source!I61, 2)+ROUND(0*Source!I61, 2))), 2)</f>
        <v>0</v>
      </c>
      <c r="AE210">
        <f>ROUND((Source!AU61/100)*((ROUND(0*Source!I61, 2)+ROUND(0*Source!I61, 2))), 2)</f>
        <v>0</v>
      </c>
      <c r="AN210">
        <f>L210</f>
        <v>249.31</v>
      </c>
      <c r="AW210">
        <f>L210</f>
        <v>249.31</v>
      </c>
      <c r="AZ210">
        <f>Source!X61</f>
        <v>0</v>
      </c>
      <c r="BA210">
        <f>Source!Y61</f>
        <v>0</v>
      </c>
      <c r="CD210">
        <v>2</v>
      </c>
    </row>
    <row r="211" spans="1:83" ht="28.5" x14ac:dyDescent="0.2">
      <c r="A211" s="43" t="s">
        <v>837</v>
      </c>
      <c r="B211" s="45" t="str">
        <f>Source!F62</f>
        <v>91.05.05-015</v>
      </c>
      <c r="C211" s="45" t="str">
        <f>Source!G62</f>
        <v>Краны на автомобильном ходу, грузоподъемность 16 т</v>
      </c>
      <c r="D211" s="46" t="str">
        <f>Source!H62</f>
        <v>маш.-ч</v>
      </c>
      <c r="E211" s="47">
        <f>SmtRes!AT66</f>
        <v>0.03</v>
      </c>
      <c r="F211" s="47"/>
      <c r="G211" s="47">
        <f>Source!I62</f>
        <v>1.6500000000000001E-2</v>
      </c>
      <c r="H211" s="49"/>
      <c r="I211" s="48"/>
      <c r="J211" s="49">
        <f>Source!AK62</f>
        <v>1629.55</v>
      </c>
      <c r="K211" s="48"/>
      <c r="L211" s="49">
        <f>Source!Q62</f>
        <v>26.89</v>
      </c>
      <c r="AD211">
        <f>ROUND((Source!AT62/100)*((ROUND(ROUND(Source!AO62,2)*Source!I62, 2)+ROUND(ROUND(Source!AN62,2)*Source!I62, 2))), 2)</f>
        <v>15.52</v>
      </c>
      <c r="AE211">
        <f>ROUND((Source!AU62/100)*((ROUND(ROUND(Source!AO62,2)*Source!I62, 2)+ROUND(ROUND(Source!AN62,2)*Source!I62, 2))), 2)</f>
        <v>8.16</v>
      </c>
      <c r="AN211">
        <f>L211</f>
        <v>26.89</v>
      </c>
      <c r="AO211">
        <f>L211</f>
        <v>26.89</v>
      </c>
      <c r="AT211">
        <f>Source!R62</f>
        <v>16</v>
      </c>
      <c r="AZ211">
        <f>Source!X62</f>
        <v>15.52</v>
      </c>
      <c r="BA211">
        <f>Source!Y62</f>
        <v>8.16</v>
      </c>
      <c r="CD211">
        <v>2</v>
      </c>
    </row>
    <row r="212" spans="1:83" ht="28.5" x14ac:dyDescent="0.2">
      <c r="A212" s="45"/>
      <c r="B212" s="45" t="s">
        <v>599</v>
      </c>
      <c r="C212" s="45" t="s">
        <v>829</v>
      </c>
      <c r="D212" s="46" t="s">
        <v>541</v>
      </c>
      <c r="E212" s="47">
        <f>SmtRes!DO66*SmtRes!AT66</f>
        <v>0.03</v>
      </c>
      <c r="F212" s="47"/>
      <c r="G212" s="47">
        <f>ROUND(E212*G198, 7)</f>
        <v>1.6500000000000001E-2</v>
      </c>
      <c r="H212" s="49"/>
      <c r="I212" s="48"/>
      <c r="J212" s="49">
        <f>ROUND(SmtRes!AG66/SmtRes!DO66, 2)</f>
        <v>969.91</v>
      </c>
      <c r="K212" s="48"/>
      <c r="L212" s="49">
        <f>SmtRes!DH66</f>
        <v>16</v>
      </c>
      <c r="CE212">
        <v>1</v>
      </c>
    </row>
    <row r="213" spans="1:83" ht="14.25" x14ac:dyDescent="0.2">
      <c r="A213" s="45"/>
      <c r="B213" s="45"/>
      <c r="C213" s="45" t="s">
        <v>790</v>
      </c>
      <c r="D213" s="46"/>
      <c r="E213" s="47"/>
      <c r="F213" s="47"/>
      <c r="G213" s="47"/>
      <c r="H213" s="49"/>
      <c r="I213" s="48"/>
      <c r="J213" s="49"/>
      <c r="K213" s="48"/>
      <c r="L213" s="49">
        <f>SUM(AR198:AR216)+SUM(AS198:AS216)+SUM(AT198:AT216)+SUM(AU198:AU216)+SUM(AV198:AV216)</f>
        <v>12481.71</v>
      </c>
    </row>
    <row r="214" spans="1:83" ht="28.5" x14ac:dyDescent="0.2">
      <c r="A214" s="45"/>
      <c r="B214" s="45" t="s">
        <v>52</v>
      </c>
      <c r="C214" s="45" t="s">
        <v>804</v>
      </c>
      <c r="D214" s="46" t="s">
        <v>57</v>
      </c>
      <c r="E214" s="47">
        <f>Source!BZ58</f>
        <v>97</v>
      </c>
      <c r="F214" s="47"/>
      <c r="G214" s="47">
        <f>Source!AT58</f>
        <v>97</v>
      </c>
      <c r="H214" s="49"/>
      <c r="I214" s="48"/>
      <c r="J214" s="49"/>
      <c r="K214" s="48"/>
      <c r="L214" s="49">
        <f>SUM(AZ198:AZ216)</f>
        <v>12107.26</v>
      </c>
    </row>
    <row r="215" spans="1:83" ht="28.5" x14ac:dyDescent="0.2">
      <c r="A215" s="53"/>
      <c r="B215" s="53" t="s">
        <v>53</v>
      </c>
      <c r="C215" s="53" t="s">
        <v>805</v>
      </c>
      <c r="D215" s="54" t="s">
        <v>57</v>
      </c>
      <c r="E215" s="55">
        <f>Source!CA58</f>
        <v>51</v>
      </c>
      <c r="F215" s="55"/>
      <c r="G215" s="55">
        <f>Source!AU58</f>
        <v>51</v>
      </c>
      <c r="H215" s="56"/>
      <c r="I215" s="57"/>
      <c r="J215" s="56"/>
      <c r="K215" s="57"/>
      <c r="L215" s="56">
        <f>SUM(BA198:BA216)</f>
        <v>6365.67</v>
      </c>
    </row>
    <row r="216" spans="1:83" ht="15" x14ac:dyDescent="0.2">
      <c r="C216" s="92" t="s">
        <v>793</v>
      </c>
      <c r="D216" s="92"/>
      <c r="E216" s="92"/>
      <c r="F216" s="92"/>
      <c r="G216" s="92"/>
      <c r="H216" s="92"/>
      <c r="I216" s="93">
        <f>IF(E198&lt;&gt;0,K216/E198, 0)</f>
        <v>151261.27272727271</v>
      </c>
      <c r="J216" s="93"/>
      <c r="K216" s="93">
        <f>L200+L202+L214+L215+SUM(L208:L212)</f>
        <v>83193.7</v>
      </c>
      <c r="L216" s="93"/>
      <c r="AD216">
        <f>ROUND((Source!AT58/100)*((ROUND(SUMIF(SmtRes!AQ64:'SmtRes'!AQ73,"=1",SmtRes!AD64:'SmtRes'!AD73)*Source!I58, 2)+ROUND(SUMIF(SmtRes!AQ64:'SmtRes'!AQ73,"=1",SmtRes!AC64:'SmtRes'!AC73)*Source!I58, 2))), 2)</f>
        <v>396.71</v>
      </c>
      <c r="AE216">
        <f>ROUND((Source!AU58/100)*((ROUND(SUMIF(SmtRes!AQ64:'SmtRes'!AQ73,"=1",SmtRes!AD64:'SmtRes'!AD73)*Source!I58, 2)+ROUND(SUMIF(SmtRes!AQ64:'SmtRes'!AQ73,"=1",SmtRes!AC64:'SmtRes'!AC73)*Source!I58, 2))), 2)</f>
        <v>208.58</v>
      </c>
      <c r="AN216" s="58">
        <f>L200+L202+L214+L215</f>
        <v>31489.25</v>
      </c>
      <c r="AO216">
        <f>0</f>
        <v>0</v>
      </c>
      <c r="AQ216" t="s">
        <v>794</v>
      </c>
      <c r="AR216" s="58">
        <f>L200</f>
        <v>12465.71</v>
      </c>
      <c r="AT216">
        <f>0</f>
        <v>0</v>
      </c>
      <c r="AV216" t="s">
        <v>794</v>
      </c>
      <c r="AW216" s="58">
        <f>L202</f>
        <v>550.6099999999999</v>
      </c>
      <c r="AZ216">
        <f>Source!X58</f>
        <v>12091.74</v>
      </c>
      <c r="BA216">
        <f>Source!Y58</f>
        <v>6357.51</v>
      </c>
      <c r="CD216">
        <v>2</v>
      </c>
    </row>
    <row r="217" spans="1:83" ht="42.75" x14ac:dyDescent="0.2">
      <c r="A217" s="43" t="s">
        <v>144</v>
      </c>
      <c r="B217" s="45" t="s">
        <v>838</v>
      </c>
      <c r="C217" s="45" t="str">
        <f>Source!G63</f>
        <v>Коробка распределительная настенная на кабеле с пластмассовой оболочкой</v>
      </c>
      <c r="D217" s="46" t="str">
        <f>Source!H63</f>
        <v>коробка</v>
      </c>
      <c r="E217" s="47">
        <f>Source!K63</f>
        <v>3</v>
      </c>
      <c r="F217" s="47"/>
      <c r="G217" s="47">
        <f>Source!I63</f>
        <v>3</v>
      </c>
      <c r="H217" s="49"/>
      <c r="I217" s="48"/>
      <c r="J217" s="49"/>
      <c r="K217" s="48"/>
      <c r="L217" s="49"/>
    </row>
    <row r="218" spans="1:83" ht="15" x14ac:dyDescent="0.2">
      <c r="A218" s="44"/>
      <c r="B218" s="47">
        <v>1</v>
      </c>
      <c r="C218" s="44" t="s">
        <v>786</v>
      </c>
      <c r="D218" s="46" t="s">
        <v>541</v>
      </c>
      <c r="E218" s="51"/>
      <c r="F218" s="47"/>
      <c r="G218" s="47">
        <f>Source!U63</f>
        <v>6</v>
      </c>
      <c r="H218" s="47"/>
      <c r="I218" s="47"/>
      <c r="J218" s="47"/>
      <c r="K218" s="47"/>
      <c r="L218" s="52">
        <f>SUM(L219:L219)-SUMIF(CE219:CE219, 1, L219:L219)</f>
        <v>4332.3</v>
      </c>
    </row>
    <row r="219" spans="1:83" ht="14.25" x14ac:dyDescent="0.2">
      <c r="A219" s="45"/>
      <c r="B219" s="45" t="s">
        <v>613</v>
      </c>
      <c r="C219" s="45" t="s">
        <v>614</v>
      </c>
      <c r="D219" s="46" t="s">
        <v>541</v>
      </c>
      <c r="E219" s="47">
        <v>2</v>
      </c>
      <c r="F219" s="47"/>
      <c r="G219" s="47">
        <f>SmtRes!CX74</f>
        <v>6</v>
      </c>
      <c r="H219" s="49"/>
      <c r="I219" s="48"/>
      <c r="J219" s="49">
        <f>SmtRes!CZ74</f>
        <v>722.05</v>
      </c>
      <c r="K219" s="48"/>
      <c r="L219" s="49">
        <f>SmtRes!DI74</f>
        <v>4332.3</v>
      </c>
    </row>
    <row r="220" spans="1:83" ht="15" x14ac:dyDescent="0.2">
      <c r="A220" s="44"/>
      <c r="B220" s="47">
        <v>4</v>
      </c>
      <c r="C220" s="44" t="s">
        <v>802</v>
      </c>
      <c r="D220" s="46"/>
      <c r="E220" s="51"/>
      <c r="F220" s="47"/>
      <c r="G220" s="47"/>
      <c r="H220" s="47"/>
      <c r="I220" s="47"/>
      <c r="J220" s="47"/>
      <c r="K220" s="47"/>
      <c r="L220" s="52">
        <f>SUM(L221:L224)-SUMIF(CE221:CE224, 1, L221:L224)</f>
        <v>165.01999999999998</v>
      </c>
    </row>
    <row r="221" spans="1:83" ht="42.75" x14ac:dyDescent="0.2">
      <c r="A221" s="45"/>
      <c r="B221" s="45" t="s">
        <v>616</v>
      </c>
      <c r="C221" s="45" t="s">
        <v>618</v>
      </c>
      <c r="D221" s="46" t="s">
        <v>170</v>
      </c>
      <c r="E221" s="47">
        <v>0.02</v>
      </c>
      <c r="F221" s="47"/>
      <c r="G221" s="47">
        <f>SmtRes!CX80</f>
        <v>0.06</v>
      </c>
      <c r="H221" s="49">
        <f>SmtRes!CZ80</f>
        <v>675.01</v>
      </c>
      <c r="I221" s="48">
        <f>SmtRes!AI80</f>
        <v>1.53</v>
      </c>
      <c r="J221" s="49">
        <f>ROUND(H221*I221, 2)</f>
        <v>1032.77</v>
      </c>
      <c r="K221" s="48"/>
      <c r="L221" s="49">
        <f>SmtRes!DF80</f>
        <v>61.97</v>
      </c>
    </row>
    <row r="222" spans="1:83" ht="42.75" x14ac:dyDescent="0.2">
      <c r="A222" s="45"/>
      <c r="B222" s="45" t="s">
        <v>619</v>
      </c>
      <c r="C222" s="45" t="s">
        <v>621</v>
      </c>
      <c r="D222" s="46" t="s">
        <v>170</v>
      </c>
      <c r="E222" s="47">
        <v>4.0000000000000001E-3</v>
      </c>
      <c r="F222" s="47"/>
      <c r="G222" s="47">
        <f>SmtRes!CX81</f>
        <v>1.2E-2</v>
      </c>
      <c r="H222" s="49">
        <f>SmtRes!CZ81</f>
        <v>373.74</v>
      </c>
      <c r="I222" s="48">
        <f>SmtRes!AI81</f>
        <v>1.54</v>
      </c>
      <c r="J222" s="49">
        <f>ROUND(H222*I222, 2)</f>
        <v>575.55999999999995</v>
      </c>
      <c r="K222" s="48"/>
      <c r="L222" s="49">
        <f>SmtRes!DF81</f>
        <v>6.91</v>
      </c>
    </row>
    <row r="223" spans="1:83" ht="28.5" x14ac:dyDescent="0.2">
      <c r="A223" s="45"/>
      <c r="B223" s="45" t="s">
        <v>622</v>
      </c>
      <c r="C223" s="45" t="s">
        <v>624</v>
      </c>
      <c r="D223" s="46" t="s">
        <v>170</v>
      </c>
      <c r="E223" s="47">
        <v>0.02</v>
      </c>
      <c r="F223" s="47"/>
      <c r="G223" s="47">
        <f>SmtRes!CX82</f>
        <v>0.06</v>
      </c>
      <c r="H223" s="49">
        <f>SmtRes!CZ82</f>
        <v>931.11</v>
      </c>
      <c r="I223" s="48">
        <f>SmtRes!AI82</f>
        <v>1.61</v>
      </c>
      <c r="J223" s="49">
        <f>ROUND(H223*I223, 2)</f>
        <v>1499.09</v>
      </c>
      <c r="K223" s="48"/>
      <c r="L223" s="49">
        <f>SmtRes!DF82</f>
        <v>89.95</v>
      </c>
    </row>
    <row r="224" spans="1:83" ht="14.25" x14ac:dyDescent="0.2">
      <c r="A224" s="45"/>
      <c r="B224" s="45" t="s">
        <v>625</v>
      </c>
      <c r="C224" s="53" t="s">
        <v>627</v>
      </c>
      <c r="D224" s="54" t="s">
        <v>165</v>
      </c>
      <c r="E224" s="55">
        <v>2.0000000000000002E-5</v>
      </c>
      <c r="F224" s="55"/>
      <c r="G224" s="55">
        <f>SmtRes!CX83</f>
        <v>6.0000000000000002E-5</v>
      </c>
      <c r="H224" s="56">
        <f>SmtRes!CZ83</f>
        <v>80020.98</v>
      </c>
      <c r="I224" s="57">
        <f>SmtRes!AI83</f>
        <v>1.29</v>
      </c>
      <c r="J224" s="56">
        <f>ROUND(H224*I224, 2)</f>
        <v>103227.06</v>
      </c>
      <c r="K224" s="57"/>
      <c r="L224" s="56">
        <f>SmtRes!DF83</f>
        <v>6.19</v>
      </c>
    </row>
    <row r="225" spans="1:83" ht="15" x14ac:dyDescent="0.2">
      <c r="A225" s="45"/>
      <c r="B225" s="45"/>
      <c r="C225" s="59" t="s">
        <v>787</v>
      </c>
      <c r="D225" s="46"/>
      <c r="E225" s="47"/>
      <c r="F225" s="47"/>
      <c r="G225" s="47"/>
      <c r="H225" s="49"/>
      <c r="I225" s="48"/>
      <c r="J225" s="49"/>
      <c r="K225" s="48"/>
      <c r="L225" s="49">
        <f>L218+L220</f>
        <v>4497.32</v>
      </c>
    </row>
    <row r="226" spans="1:83" ht="28.5" x14ac:dyDescent="0.2">
      <c r="A226" s="43" t="s">
        <v>839</v>
      </c>
      <c r="B226" s="45" t="str">
        <f>Source!F64</f>
        <v>20.5.02.04-0001</v>
      </c>
      <c r="C226" s="45" t="str">
        <f>Source!G64</f>
        <v>Коробка ответвительная, размеры 100х100х50 мм</v>
      </c>
      <c r="D226" s="46" t="str">
        <f>Source!H64</f>
        <v>ШТ</v>
      </c>
      <c r="E226" s="47">
        <f>SmtRes!AT84</f>
        <v>1</v>
      </c>
      <c r="F226" s="47"/>
      <c r="G226" s="47">
        <f>Source!I64</f>
        <v>3</v>
      </c>
      <c r="H226" s="49">
        <f>Source!AL64+Source!AO64+Source!AM64+Source!AN64</f>
        <v>98.59</v>
      </c>
      <c r="I226" s="48">
        <f>IF(Source!BC64&lt;&gt; 0, Source!BC64, 1)</f>
        <v>0.91</v>
      </c>
      <c r="J226" s="49">
        <f>ROUND(H226*I226, 2)</f>
        <v>89.72</v>
      </c>
      <c r="K226" s="48"/>
      <c r="L226" s="49">
        <f>Source!P64</f>
        <v>269.16000000000003</v>
      </c>
      <c r="AD226">
        <f>ROUND((Source!AT64/100)*((ROUND(ROUND(Source!AO64,2)*Source!I64, 2)+ROUND(ROUND(Source!AN64,2)*Source!I64, 2))), 2)</f>
        <v>0</v>
      </c>
      <c r="AE226">
        <f>ROUND((Source!AU64/100)*((ROUND(ROUND(Source!AO64,2)*Source!I64, 2)+ROUND(ROUND(Source!AN64,2)*Source!I64, 2))), 2)</f>
        <v>0</v>
      </c>
      <c r="AN226">
        <f>L226</f>
        <v>269.16000000000003</v>
      </c>
      <c r="AW226">
        <f>L226</f>
        <v>269.16000000000003</v>
      </c>
      <c r="AZ226">
        <f>Source!X64</f>
        <v>0</v>
      </c>
      <c r="BA226">
        <f>Source!Y64</f>
        <v>0</v>
      </c>
      <c r="CD226">
        <v>2</v>
      </c>
    </row>
    <row r="227" spans="1:83" ht="57" x14ac:dyDescent="0.2">
      <c r="A227" s="43" t="s">
        <v>840</v>
      </c>
      <c r="B227" s="45" t="str">
        <f>Source!F65</f>
        <v>421/пр_2020_п.75_пп.а</v>
      </c>
      <c r="C227" s="45" t="str">
        <f>Source!G65</f>
        <v>Сметная стоимость вспомогательных ненормируемых материальных ресурсов, не учтенная в сметной норме, 2%</v>
      </c>
      <c r="D227" s="46" t="str">
        <f>Source!H65</f>
        <v>%</v>
      </c>
      <c r="E227" s="47">
        <f>SmtRes!AT85</f>
        <v>2</v>
      </c>
      <c r="F227" s="47"/>
      <c r="G227" s="47">
        <f>Source!I65</f>
        <v>2</v>
      </c>
      <c r="H227" s="49"/>
      <c r="I227" s="48"/>
      <c r="J227" s="49"/>
      <c r="K227" s="48"/>
      <c r="L227" s="49">
        <f>Source!P65</f>
        <v>86.65</v>
      </c>
      <c r="AD227">
        <f>ROUND((Source!AT65/100)*((ROUND(0*Source!I65, 2)+ROUND(0*Source!I65, 2))), 2)</f>
        <v>0</v>
      </c>
      <c r="AE227">
        <f>ROUND((Source!AU65/100)*((ROUND(0*Source!I65, 2)+ROUND(0*Source!I65, 2))), 2)</f>
        <v>0</v>
      </c>
      <c r="AN227">
        <f>L227</f>
        <v>86.65</v>
      </c>
      <c r="AW227">
        <f>L227</f>
        <v>86.65</v>
      </c>
      <c r="AZ227">
        <f>Source!X65</f>
        <v>0</v>
      </c>
      <c r="BA227">
        <f>Source!Y65</f>
        <v>0</v>
      </c>
      <c r="CD227">
        <v>2</v>
      </c>
    </row>
    <row r="228" spans="1:83" ht="57" x14ac:dyDescent="0.2">
      <c r="A228" s="43" t="s">
        <v>841</v>
      </c>
      <c r="B228" s="45" t="str">
        <f>Source!F66</f>
        <v>91.11.01-012</v>
      </c>
      <c r="C228" s="45" t="s">
        <v>842</v>
      </c>
      <c r="D228" s="46" t="str">
        <f>Source!H66</f>
        <v>маш.-ч</v>
      </c>
      <c r="E228" s="47">
        <f>SmtRes!AT76</f>
        <v>-0.34</v>
      </c>
      <c r="F228" s="47"/>
      <c r="G228" s="47">
        <f>Source!I66</f>
        <v>-1.02</v>
      </c>
      <c r="H228" s="49">
        <f>Source!AL66+Source!AO66+Source!AM66+Source!AN66</f>
        <v>1825.32</v>
      </c>
      <c r="I228" s="48">
        <f>IF(Source!BB66&lt;&gt; 0, Source!BB66, 1)</f>
        <v>1.28</v>
      </c>
      <c r="J228" s="49">
        <f>ROUND(H228*I228, 2)</f>
        <v>2336.41</v>
      </c>
      <c r="K228" s="48"/>
      <c r="L228" s="49">
        <f>Source!Q66</f>
        <v>-1299.74</v>
      </c>
      <c r="AD228">
        <f>ROUND((Source!AT66/100)*((ROUND(ROUND(Source!AO66,2)*Source!I66, 2)+ROUND(ROUND(Source!AN66,2)*Source!I66, 2))), 2)</f>
        <v>-761.77</v>
      </c>
      <c r="AE228">
        <f>ROUND((Source!AU66/100)*((ROUND(ROUND(Source!AO66,2)*Source!I66, 2)+ROUND(ROUND(Source!AN66,2)*Source!I66, 2))), 2)</f>
        <v>-389.35</v>
      </c>
      <c r="AN228">
        <f>L228</f>
        <v>-1299.74</v>
      </c>
      <c r="AO228">
        <f>L228</f>
        <v>-1299.74</v>
      </c>
      <c r="AT228">
        <f>Source!R66</f>
        <v>-846.41</v>
      </c>
      <c r="AZ228">
        <f>Source!X66</f>
        <v>-761.77</v>
      </c>
      <c r="BA228">
        <f>Source!Y66</f>
        <v>-389.35</v>
      </c>
      <c r="CD228">
        <v>2</v>
      </c>
    </row>
    <row r="229" spans="1:83" ht="28.5" x14ac:dyDescent="0.2">
      <c r="A229" s="45"/>
      <c r="B229" s="45" t="s">
        <v>615</v>
      </c>
      <c r="C229" s="45" t="s">
        <v>843</v>
      </c>
      <c r="D229" s="46" t="s">
        <v>541</v>
      </c>
      <c r="E229" s="47">
        <f>SmtRes!DO76*SmtRes!AT76</f>
        <v>-0.34</v>
      </c>
      <c r="F229" s="47"/>
      <c r="G229" s="47">
        <f>ROUND(E229*G217, 7)</f>
        <v>-1.02</v>
      </c>
      <c r="H229" s="49"/>
      <c r="I229" s="48"/>
      <c r="J229" s="49">
        <f>ROUND(SmtRes!AG76/SmtRes!DO76, 2)</f>
        <v>829.81</v>
      </c>
      <c r="K229" s="48"/>
      <c r="L229" s="49">
        <f>SmtRes!DH76</f>
        <v>-846.41</v>
      </c>
      <c r="CE229">
        <v>1</v>
      </c>
    </row>
    <row r="230" spans="1:83" ht="28.5" x14ac:dyDescent="0.2">
      <c r="A230" s="43" t="s">
        <v>844</v>
      </c>
      <c r="B230" s="45" t="str">
        <f>Source!F67</f>
        <v>01.3.01.01-0001</v>
      </c>
      <c r="C230" s="45" t="s">
        <v>845</v>
      </c>
      <c r="D230" s="46" t="str">
        <f>Source!H67</f>
        <v>т</v>
      </c>
      <c r="E230" s="47">
        <f>SmtRes!AT77</f>
        <v>-1.5E-3</v>
      </c>
      <c r="F230" s="47"/>
      <c r="G230" s="47">
        <f>Source!I67</f>
        <v>-4.4999999999999997E-3</v>
      </c>
      <c r="H230" s="49">
        <f>Source!AL67+Source!AO67+Source!AM67+Source!AN67</f>
        <v>116448.72</v>
      </c>
      <c r="I230" s="48">
        <f>IF(Source!BC67&lt;&gt; 0, Source!BC67, 1)</f>
        <v>1.29</v>
      </c>
      <c r="J230" s="49">
        <f>ROUND(H230*I230, 2)</f>
        <v>150218.85</v>
      </c>
      <c r="K230" s="48"/>
      <c r="L230" s="49">
        <f>Source!P67</f>
        <v>-675.98</v>
      </c>
      <c r="AD230">
        <f>ROUND((Source!AT67/100)*((ROUND(ROUND(Source!AO67,2)*Source!I67, 2)+ROUND(ROUND(Source!AN67,2)*Source!I67, 2))), 2)</f>
        <v>0</v>
      </c>
      <c r="AE230">
        <f>ROUND((Source!AU67/100)*((ROUND(ROUND(Source!AO67,2)*Source!I67, 2)+ROUND(ROUND(Source!AN67,2)*Source!I67, 2))), 2)</f>
        <v>0</v>
      </c>
      <c r="AN230">
        <f>L230</f>
        <v>-675.98</v>
      </c>
      <c r="AW230">
        <f>L230</f>
        <v>-675.98</v>
      </c>
      <c r="AZ230">
        <f>Source!X67</f>
        <v>0</v>
      </c>
      <c r="BA230">
        <f>Source!Y67</f>
        <v>0</v>
      </c>
      <c r="CD230">
        <v>2</v>
      </c>
    </row>
    <row r="231" spans="1:83" ht="28.5" x14ac:dyDescent="0.2">
      <c r="A231" s="43" t="s">
        <v>846</v>
      </c>
      <c r="B231" s="45" t="str">
        <f>Source!F68</f>
        <v>01.3.02.09-0022</v>
      </c>
      <c r="C231" s="45" t="s">
        <v>847</v>
      </c>
      <c r="D231" s="46" t="str">
        <f>Source!H68</f>
        <v>кг</v>
      </c>
      <c r="E231" s="47">
        <f>SmtRes!AT78</f>
        <v>-0.10299999999999999</v>
      </c>
      <c r="F231" s="47"/>
      <c r="G231" s="47">
        <f>Source!I68</f>
        <v>-0.309</v>
      </c>
      <c r="H231" s="49">
        <f>Source!AL68+Source!AO68+Source!AM68+Source!AN68</f>
        <v>41.38</v>
      </c>
      <c r="I231" s="48">
        <f>IF(Source!BC68&lt;&gt; 0, Source!BC68, 1)</f>
        <v>1.4</v>
      </c>
      <c r="J231" s="49">
        <f>ROUND(H231*I231, 2)</f>
        <v>57.93</v>
      </c>
      <c r="K231" s="48"/>
      <c r="L231" s="49">
        <f>Source!P68</f>
        <v>-17.899999999999999</v>
      </c>
      <c r="AD231">
        <f>ROUND((Source!AT68/100)*((ROUND(ROUND(Source!AO68,2)*Source!I68, 2)+ROUND(ROUND(Source!AN68,2)*Source!I68, 2))), 2)</f>
        <v>0</v>
      </c>
      <c r="AE231">
        <f>ROUND((Source!AU68/100)*((ROUND(ROUND(Source!AO68,2)*Source!I68, 2)+ROUND(ROUND(Source!AN68,2)*Source!I68, 2))), 2)</f>
        <v>0</v>
      </c>
      <c r="AN231">
        <f>L231</f>
        <v>-17.899999999999999</v>
      </c>
      <c r="AW231">
        <f>L231</f>
        <v>-17.899999999999999</v>
      </c>
      <c r="AZ231">
        <f>Source!X68</f>
        <v>0</v>
      </c>
      <c r="BA231">
        <f>Source!Y68</f>
        <v>0</v>
      </c>
      <c r="CD231">
        <v>2</v>
      </c>
    </row>
    <row r="232" spans="1:83" ht="28.5" x14ac:dyDescent="0.2">
      <c r="A232" s="43" t="s">
        <v>848</v>
      </c>
      <c r="B232" s="45" t="str">
        <f>Source!F69</f>
        <v>01.3.05.17-0002</v>
      </c>
      <c r="C232" s="45" t="s">
        <v>849</v>
      </c>
      <c r="D232" s="46" t="str">
        <f>Source!H69</f>
        <v>кг</v>
      </c>
      <c r="E232" s="47">
        <f>SmtRes!AT79</f>
        <v>-0.02</v>
      </c>
      <c r="F232" s="47"/>
      <c r="G232" s="47">
        <f>Source!I69</f>
        <v>-0.06</v>
      </c>
      <c r="H232" s="49">
        <f>Source!AL69+Source!AO69+Source!AM69+Source!AN69</f>
        <v>284.14999999999998</v>
      </c>
      <c r="I232" s="48">
        <f>IF(Source!BC69&lt;&gt; 0, Source!BC69, 1)</f>
        <v>1.44</v>
      </c>
      <c r="J232" s="49">
        <f>ROUND(H232*I232, 2)</f>
        <v>409.18</v>
      </c>
      <c r="K232" s="48"/>
      <c r="L232" s="49">
        <f>Source!P69</f>
        <v>-24.55</v>
      </c>
      <c r="AD232">
        <f>ROUND((Source!AT69/100)*((ROUND(ROUND(Source!AO69,2)*Source!I69, 2)+ROUND(ROUND(Source!AN69,2)*Source!I69, 2))), 2)</f>
        <v>0</v>
      </c>
      <c r="AE232">
        <f>ROUND((Source!AU69/100)*((ROUND(ROUND(Source!AO69,2)*Source!I69, 2)+ROUND(ROUND(Source!AN69,2)*Source!I69, 2))), 2)</f>
        <v>0</v>
      </c>
      <c r="AN232">
        <f>L232</f>
        <v>-24.55</v>
      </c>
      <c r="AW232">
        <f>L232</f>
        <v>-24.55</v>
      </c>
      <c r="AZ232">
        <f>Source!X69</f>
        <v>0</v>
      </c>
      <c r="BA232">
        <f>Source!Y69</f>
        <v>0</v>
      </c>
      <c r="CD232">
        <v>2</v>
      </c>
    </row>
    <row r="233" spans="1:83" ht="14.25" x14ac:dyDescent="0.2">
      <c r="A233" s="45"/>
      <c r="B233" s="45"/>
      <c r="C233" s="45" t="s">
        <v>790</v>
      </c>
      <c r="D233" s="46"/>
      <c r="E233" s="47"/>
      <c r="F233" s="47"/>
      <c r="G233" s="47"/>
      <c r="H233" s="49"/>
      <c r="I233" s="48"/>
      <c r="J233" s="49"/>
      <c r="K233" s="48"/>
      <c r="L233" s="49">
        <f>SUM(AR217:AR236)+SUM(AS217:AS236)+SUM(AT217:AT236)+SUM(AU217:AU236)+SUM(AV217:AV236)</f>
        <v>3485.8900000000003</v>
      </c>
    </row>
    <row r="234" spans="1:83" ht="28.5" x14ac:dyDescent="0.2">
      <c r="A234" s="45"/>
      <c r="B234" s="45" t="s">
        <v>151</v>
      </c>
      <c r="C234" s="45" t="s">
        <v>850</v>
      </c>
      <c r="D234" s="46" t="s">
        <v>57</v>
      </c>
      <c r="E234" s="47">
        <f>Source!BZ63</f>
        <v>90</v>
      </c>
      <c r="F234" s="47"/>
      <c r="G234" s="47">
        <f>Source!AT63</f>
        <v>90</v>
      </c>
      <c r="H234" s="49"/>
      <c r="I234" s="48"/>
      <c r="J234" s="49"/>
      <c r="K234" s="48"/>
      <c r="L234" s="49">
        <f>SUM(AZ217:AZ236)</f>
        <v>3137.3</v>
      </c>
    </row>
    <row r="235" spans="1:83" ht="28.5" x14ac:dyDescent="0.2">
      <c r="A235" s="53"/>
      <c r="B235" s="53" t="s">
        <v>152</v>
      </c>
      <c r="C235" s="53" t="s">
        <v>851</v>
      </c>
      <c r="D235" s="54" t="s">
        <v>57</v>
      </c>
      <c r="E235" s="55">
        <f>Source!CA63</f>
        <v>46</v>
      </c>
      <c r="F235" s="55"/>
      <c r="G235" s="55">
        <f>Source!AU63</f>
        <v>46</v>
      </c>
      <c r="H235" s="56"/>
      <c r="I235" s="57"/>
      <c r="J235" s="56"/>
      <c r="K235" s="57"/>
      <c r="L235" s="56">
        <f>SUM(BA217:BA236)</f>
        <v>1603.5099999999998</v>
      </c>
    </row>
    <row r="236" spans="1:83" ht="15" x14ac:dyDescent="0.2">
      <c r="C236" s="92" t="s">
        <v>793</v>
      </c>
      <c r="D236" s="92"/>
      <c r="E236" s="92"/>
      <c r="F236" s="92"/>
      <c r="G236" s="92"/>
      <c r="H236" s="92"/>
      <c r="I236" s="93">
        <f>IF(E217&lt;&gt;0,K236/E217, 0)</f>
        <v>2243.1199999999994</v>
      </c>
      <c r="J236" s="93"/>
      <c r="K236" s="93">
        <f>L218+L220+L234+L235+SUM(L226:L232)</f>
        <v>6729.3599999999988</v>
      </c>
      <c r="L236" s="93"/>
      <c r="AD236">
        <f>ROUND((Source!AT63/100)*((ROUND(SUMIF(SmtRes!AQ74:'SmtRes'!AQ85,"=1",SmtRes!AD74:'SmtRes'!AD85)*Source!I63, 2)+ROUND(SUMIF(SmtRes!AQ74:'SmtRes'!AQ85,"=1",SmtRes!AC74:'SmtRes'!AC85)*Source!I63, 2))), 2)</f>
        <v>1949.54</v>
      </c>
      <c r="AE236">
        <f>ROUND((Source!AU63/100)*((ROUND(SUMIF(SmtRes!AQ74:'SmtRes'!AQ85,"=1",SmtRes!AD74:'SmtRes'!AD85)*Source!I63, 2)+ROUND(SUMIF(SmtRes!AQ74:'SmtRes'!AQ85,"=1",SmtRes!AC74:'SmtRes'!AC85)*Source!I63, 2))), 2)</f>
        <v>996.43</v>
      </c>
      <c r="AN236" s="58">
        <f>L218+L220+L234+L235</f>
        <v>9238.1299999999992</v>
      </c>
      <c r="AO236">
        <f>0</f>
        <v>0</v>
      </c>
      <c r="AQ236" t="s">
        <v>794</v>
      </c>
      <c r="AR236" s="58">
        <f>L218</f>
        <v>4332.3</v>
      </c>
      <c r="AT236">
        <f>0</f>
        <v>0</v>
      </c>
      <c r="AV236" t="s">
        <v>794</v>
      </c>
      <c r="AW236" s="58">
        <f>L220</f>
        <v>165.01999999999998</v>
      </c>
      <c r="AZ236">
        <f>Source!X63</f>
        <v>3899.07</v>
      </c>
      <c r="BA236">
        <f>Source!Y63</f>
        <v>1992.86</v>
      </c>
      <c r="CD236">
        <v>2</v>
      </c>
    </row>
    <row r="237" spans="1:83" ht="42.75" x14ac:dyDescent="0.2">
      <c r="A237" s="43" t="s">
        <v>176</v>
      </c>
      <c r="B237" s="45" t="s">
        <v>852</v>
      </c>
      <c r="C237" s="45" t="str">
        <f>Source!G70</f>
        <v>Выключатель: одноклавишный утопленного типа при скрытой проводке</v>
      </c>
      <c r="D237" s="46" t="str">
        <f>Source!H70</f>
        <v>100 ШТ</v>
      </c>
      <c r="E237" s="47">
        <f>Source!K70</f>
        <v>0.03</v>
      </c>
      <c r="F237" s="47"/>
      <c r="G237" s="47">
        <f>Source!I70</f>
        <v>0.03</v>
      </c>
      <c r="H237" s="49"/>
      <c r="I237" s="48"/>
      <c r="J237" s="49"/>
      <c r="K237" s="48"/>
      <c r="L237" s="49"/>
    </row>
    <row r="238" spans="1:83" x14ac:dyDescent="0.2">
      <c r="C238" s="50" t="str">
        <f>"Объем: "&amp;Source!I70&amp;"=(3)/"&amp;"100"</f>
        <v>Объем: 0,03=(3)/100</v>
      </c>
    </row>
    <row r="239" spans="1:83" ht="15" x14ac:dyDescent="0.2">
      <c r="A239" s="44"/>
      <c r="B239" s="47">
        <v>1</v>
      </c>
      <c r="C239" s="44" t="s">
        <v>786</v>
      </c>
      <c r="D239" s="46" t="s">
        <v>541</v>
      </c>
      <c r="E239" s="51"/>
      <c r="F239" s="47"/>
      <c r="G239" s="47">
        <f>Source!U70</f>
        <v>0.77280000000000004</v>
      </c>
      <c r="H239" s="47"/>
      <c r="I239" s="47"/>
      <c r="J239" s="47"/>
      <c r="K239" s="47"/>
      <c r="L239" s="52">
        <f>SUM(L240:L240)-SUMIF(CE240:CE240, 1, L240:L240)</f>
        <v>574.65</v>
      </c>
    </row>
    <row r="240" spans="1:83" ht="14.25" x14ac:dyDescent="0.2">
      <c r="A240" s="45"/>
      <c r="B240" s="45" t="s">
        <v>605</v>
      </c>
      <c r="C240" s="45" t="s">
        <v>606</v>
      </c>
      <c r="D240" s="46" t="s">
        <v>541</v>
      </c>
      <c r="E240" s="47">
        <v>25.76</v>
      </c>
      <c r="F240" s="47"/>
      <c r="G240" s="47">
        <f>SmtRes!CX86</f>
        <v>0.77280000000000004</v>
      </c>
      <c r="H240" s="49"/>
      <c r="I240" s="48"/>
      <c r="J240" s="49">
        <f>SmtRes!CZ86</f>
        <v>743.6</v>
      </c>
      <c r="K240" s="48"/>
      <c r="L240" s="49">
        <f>SmtRes!DI86</f>
        <v>574.65</v>
      </c>
    </row>
    <row r="241" spans="1:83" ht="15" x14ac:dyDescent="0.2">
      <c r="A241" s="44"/>
      <c r="B241" s="47">
        <v>4</v>
      </c>
      <c r="C241" s="44" t="s">
        <v>802</v>
      </c>
      <c r="D241" s="46"/>
      <c r="E241" s="51"/>
      <c r="F241" s="47"/>
      <c r="G241" s="47"/>
      <c r="H241" s="47"/>
      <c r="I241" s="47"/>
      <c r="J241" s="47"/>
      <c r="K241" s="47"/>
      <c r="L241" s="52">
        <f>SUM(L242:L243)-SUMIF(CE242:CE243, 1, L242:L243)</f>
        <v>16.02</v>
      </c>
    </row>
    <row r="242" spans="1:83" ht="14.25" x14ac:dyDescent="0.2">
      <c r="A242" s="45"/>
      <c r="B242" s="45" t="s">
        <v>607</v>
      </c>
      <c r="C242" s="45" t="s">
        <v>609</v>
      </c>
      <c r="D242" s="46" t="s">
        <v>165</v>
      </c>
      <c r="E242" s="47">
        <v>3.15E-3</v>
      </c>
      <c r="F242" s="47"/>
      <c r="G242" s="47">
        <f>SmtRes!CX90</f>
        <v>9.4500000000000007E-5</v>
      </c>
      <c r="H242" s="49">
        <f>SmtRes!CZ90</f>
        <v>4338.2700000000004</v>
      </c>
      <c r="I242" s="48">
        <f>SmtRes!AI90</f>
        <v>1.4</v>
      </c>
      <c r="J242" s="49">
        <f>ROUND(H242*I242, 2)</f>
        <v>6073.58</v>
      </c>
      <c r="K242" s="48"/>
      <c r="L242" s="49">
        <f>SmtRes!DF90</f>
        <v>0.56999999999999995</v>
      </c>
    </row>
    <row r="243" spans="1:83" ht="28.5" x14ac:dyDescent="0.2">
      <c r="A243" s="45"/>
      <c r="B243" s="45" t="s">
        <v>610</v>
      </c>
      <c r="C243" s="53" t="s">
        <v>612</v>
      </c>
      <c r="D243" s="54" t="s">
        <v>595</v>
      </c>
      <c r="E243" s="55">
        <v>0.10199999999999999</v>
      </c>
      <c r="F243" s="55"/>
      <c r="G243" s="55">
        <f>SmtRes!CX91</f>
        <v>3.0599999999999998E-3</v>
      </c>
      <c r="H243" s="56">
        <f>SmtRes!CZ91</f>
        <v>3658.94</v>
      </c>
      <c r="I243" s="57">
        <f>SmtRes!AI91</f>
        <v>1.38</v>
      </c>
      <c r="J243" s="56">
        <f>ROUND(H243*I243, 2)</f>
        <v>5049.34</v>
      </c>
      <c r="K243" s="57"/>
      <c r="L243" s="56">
        <f>SmtRes!DF91</f>
        <v>15.45</v>
      </c>
    </row>
    <row r="244" spans="1:83" ht="15" x14ac:dyDescent="0.2">
      <c r="A244" s="45"/>
      <c r="B244" s="45"/>
      <c r="C244" s="59" t="s">
        <v>787</v>
      </c>
      <c r="D244" s="46"/>
      <c r="E244" s="47"/>
      <c r="F244" s="47"/>
      <c r="G244" s="47"/>
      <c r="H244" s="49"/>
      <c r="I244" s="48"/>
      <c r="J244" s="49"/>
      <c r="K244" s="48"/>
      <c r="L244" s="49">
        <f>L239+L241</f>
        <v>590.66999999999996</v>
      </c>
    </row>
    <row r="245" spans="1:83" ht="42.75" x14ac:dyDescent="0.2">
      <c r="A245" s="43" t="s">
        <v>853</v>
      </c>
      <c r="B245" s="45" t="str">
        <f>Source!F71</f>
        <v>20.4.01.02-1023</v>
      </c>
      <c r="C245" s="45" t="str">
        <f>Source!G71</f>
        <v>Выключатель скрытого монтажа, одноклавишный, 10 А, цвет белый, IP20</v>
      </c>
      <c r="D245" s="46" t="str">
        <f>Source!H71</f>
        <v>ШТ</v>
      </c>
      <c r="E245" s="47">
        <f>SmtRes!AT92</f>
        <v>100</v>
      </c>
      <c r="F245" s="47"/>
      <c r="G245" s="47">
        <f>Source!I71</f>
        <v>3</v>
      </c>
      <c r="H245" s="49"/>
      <c r="I245" s="48"/>
      <c r="J245" s="49">
        <f>Source!AK71</f>
        <v>53.22</v>
      </c>
      <c r="K245" s="48"/>
      <c r="L245" s="49">
        <f>Source!P71</f>
        <v>159.66</v>
      </c>
      <c r="AD245">
        <f>ROUND((Source!AT71/100)*((ROUND(ROUND(Source!AO71,2)*Source!I71, 2)+ROUND(ROUND(Source!AN71,2)*Source!I71, 2))), 2)</f>
        <v>0</v>
      </c>
      <c r="AE245">
        <f>ROUND((Source!AU71/100)*((ROUND(ROUND(Source!AO71,2)*Source!I71, 2)+ROUND(ROUND(Source!AN71,2)*Source!I71, 2))), 2)</f>
        <v>0</v>
      </c>
      <c r="AN245">
        <f>L245</f>
        <v>159.66</v>
      </c>
      <c r="AW245">
        <f>L245</f>
        <v>159.66</v>
      </c>
      <c r="AZ245">
        <f>Source!X71</f>
        <v>0</v>
      </c>
      <c r="BA245">
        <f>Source!Y71</f>
        <v>0</v>
      </c>
      <c r="CD245">
        <v>2</v>
      </c>
    </row>
    <row r="246" spans="1:83" ht="57" x14ac:dyDescent="0.2">
      <c r="A246" s="43" t="s">
        <v>854</v>
      </c>
      <c r="B246" s="45" t="str">
        <f>Source!F72</f>
        <v>421/пр_2020_п.75_пп.а</v>
      </c>
      <c r="C246" s="45" t="str">
        <f>Source!G72</f>
        <v>Сметная стоимость вспомогательных ненормируемых материальных ресурсов, не учтенная в сметной норме, 2%</v>
      </c>
      <c r="D246" s="46" t="str">
        <f>Source!H72</f>
        <v>%</v>
      </c>
      <c r="E246" s="47">
        <f>SmtRes!AT93</f>
        <v>2</v>
      </c>
      <c r="F246" s="47"/>
      <c r="G246" s="47">
        <f>Source!I72</f>
        <v>2</v>
      </c>
      <c r="H246" s="49"/>
      <c r="I246" s="48"/>
      <c r="J246" s="49"/>
      <c r="K246" s="48"/>
      <c r="L246" s="49">
        <f>Source!P72</f>
        <v>11.49</v>
      </c>
      <c r="AD246">
        <f>ROUND((Source!AT72/100)*((ROUND(0*Source!I72, 2)+ROUND(0*Source!I72, 2))), 2)</f>
        <v>0</v>
      </c>
      <c r="AE246">
        <f>ROUND((Source!AU72/100)*((ROUND(0*Source!I72, 2)+ROUND(0*Source!I72, 2))), 2)</f>
        <v>0</v>
      </c>
      <c r="AN246">
        <f>L246</f>
        <v>11.49</v>
      </c>
      <c r="AW246">
        <f>L246</f>
        <v>11.49</v>
      </c>
      <c r="AZ246">
        <f>Source!X72</f>
        <v>0</v>
      </c>
      <c r="BA246">
        <f>Source!Y72</f>
        <v>0</v>
      </c>
      <c r="CD246">
        <v>2</v>
      </c>
    </row>
    <row r="247" spans="1:83" ht="42.75" x14ac:dyDescent="0.2">
      <c r="A247" s="43" t="s">
        <v>855</v>
      </c>
      <c r="B247" s="45" t="str">
        <f>Source!F73</f>
        <v>91.14.02-001</v>
      </c>
      <c r="C247" s="45" t="s">
        <v>831</v>
      </c>
      <c r="D247" s="46" t="str">
        <f>Source!H73</f>
        <v>маш.-ч</v>
      </c>
      <c r="E247" s="47">
        <f>SmtRes!AT89</f>
        <v>-0.02</v>
      </c>
      <c r="F247" s="47"/>
      <c r="G247" s="47">
        <f>Source!I73</f>
        <v>-5.9999999999999995E-4</v>
      </c>
      <c r="H247" s="49"/>
      <c r="I247" s="48"/>
      <c r="J247" s="49">
        <f>Source!AK73</f>
        <v>643.29</v>
      </c>
      <c r="K247" s="48"/>
      <c r="L247" s="49">
        <f>Source!Q73</f>
        <v>-0.39</v>
      </c>
      <c r="AD247">
        <f>ROUND((Source!AT73/100)*((ROUND(ROUND(Source!AO73,2)*Source!I73, 2)+ROUND(ROUND(Source!AN73,2)*Source!I73, 2))), 2)</f>
        <v>-0.42</v>
      </c>
      <c r="AE247">
        <f>ROUND((Source!AU73/100)*((ROUND(ROUND(Source!AO73,2)*Source!I73, 2)+ROUND(ROUND(Source!AN73,2)*Source!I73, 2))), 2)</f>
        <v>-0.22</v>
      </c>
      <c r="AN247">
        <f>L247</f>
        <v>-0.39</v>
      </c>
      <c r="AO247">
        <f>L247</f>
        <v>-0.39</v>
      </c>
      <c r="AT247">
        <f>Source!R73</f>
        <v>-0.43</v>
      </c>
      <c r="AZ247">
        <f>Source!X73</f>
        <v>-0.42</v>
      </c>
      <c r="BA247">
        <f>Source!Y73</f>
        <v>-0.22</v>
      </c>
      <c r="CD247">
        <v>2</v>
      </c>
    </row>
    <row r="248" spans="1:83" ht="28.5" x14ac:dyDescent="0.2">
      <c r="A248" s="45"/>
      <c r="B248" s="45" t="s">
        <v>600</v>
      </c>
      <c r="C248" s="45" t="s">
        <v>832</v>
      </c>
      <c r="D248" s="46" t="s">
        <v>541</v>
      </c>
      <c r="E248" s="47">
        <f>SmtRes!DO89*SmtRes!AT89</f>
        <v>-0.02</v>
      </c>
      <c r="F248" s="47"/>
      <c r="G248" s="47">
        <f>ROUND(E248*G237, 7)</f>
        <v>-5.9999999999999995E-4</v>
      </c>
      <c r="H248" s="49"/>
      <c r="I248" s="48"/>
      <c r="J248" s="49">
        <f>ROUND(SmtRes!AG89/SmtRes!DO89, 2)</f>
        <v>722.05</v>
      </c>
      <c r="K248" s="48"/>
      <c r="L248" s="49">
        <f>SmtRes!DH89</f>
        <v>-0.43</v>
      </c>
      <c r="CE248">
        <v>1</v>
      </c>
    </row>
    <row r="249" spans="1:83" ht="42.75" x14ac:dyDescent="0.2">
      <c r="A249" s="43" t="s">
        <v>856</v>
      </c>
      <c r="B249" s="45" t="str">
        <f>Source!F74</f>
        <v>91.05.05-015</v>
      </c>
      <c r="C249" s="45" t="s">
        <v>828</v>
      </c>
      <c r="D249" s="46" t="str">
        <f>Source!H74</f>
        <v>маш.-ч</v>
      </c>
      <c r="E249" s="47">
        <f>SmtRes!AT88</f>
        <v>-0.03</v>
      </c>
      <c r="F249" s="47"/>
      <c r="G249" s="47">
        <f>Source!I74</f>
        <v>-8.9999999999999998E-4</v>
      </c>
      <c r="H249" s="49"/>
      <c r="I249" s="48"/>
      <c r="J249" s="49">
        <f>Source!AK74</f>
        <v>1629.55</v>
      </c>
      <c r="K249" s="48"/>
      <c r="L249" s="49">
        <f>Source!Q74</f>
        <v>-1.47</v>
      </c>
      <c r="AD249">
        <f>ROUND((Source!AT74/100)*((ROUND(ROUND(Source!AO74,2)*Source!I74, 2)+ROUND((ROUND(Source!AN74,2)*ROUND(0,7))*Source!I74, 2))), 2)</f>
        <v>0</v>
      </c>
      <c r="AE249">
        <f>ROUND((Source!AU74/100)*((ROUND(ROUND(Source!AO74,2)*Source!I74, 2)+ROUND((ROUND(Source!AN74,2)*ROUND(0,7))*Source!I74, 2))), 2)</f>
        <v>0</v>
      </c>
      <c r="AN249">
        <f>L249</f>
        <v>-1.47</v>
      </c>
      <c r="AO249">
        <f>L249</f>
        <v>-1.47</v>
      </c>
      <c r="AT249">
        <f>Source!R74</f>
        <v>0</v>
      </c>
      <c r="AZ249">
        <f>Source!X74</f>
        <v>0</v>
      </c>
      <c r="BA249">
        <f>Source!Y74</f>
        <v>0</v>
      </c>
      <c r="CD249">
        <v>2</v>
      </c>
    </row>
    <row r="250" spans="1:83" ht="28.5" x14ac:dyDescent="0.2">
      <c r="A250" s="45"/>
      <c r="B250" s="45" t="s">
        <v>599</v>
      </c>
      <c r="C250" s="45" t="s">
        <v>829</v>
      </c>
      <c r="D250" s="46" t="s">
        <v>541</v>
      </c>
      <c r="E250" s="47">
        <f>SmtRes!DO88*SmtRes!AT88</f>
        <v>-0.03</v>
      </c>
      <c r="F250" s="47"/>
      <c r="G250" s="47">
        <f>ROUND(E250*G237, 7)</f>
        <v>-8.9999999999999998E-4</v>
      </c>
      <c r="H250" s="49"/>
      <c r="I250" s="48"/>
      <c r="J250" s="49">
        <f>ROUND(SmtRes!AG88/SmtRes!DO88, 2)</f>
        <v>969.91</v>
      </c>
      <c r="K250" s="48"/>
      <c r="L250" s="49">
        <f>SmtRes!DH88</f>
        <v>-0.87</v>
      </c>
      <c r="CE250">
        <v>1</v>
      </c>
    </row>
    <row r="251" spans="1:83" ht="14.25" x14ac:dyDescent="0.2">
      <c r="A251" s="45"/>
      <c r="B251" s="45"/>
      <c r="C251" s="45" t="s">
        <v>790</v>
      </c>
      <c r="D251" s="46"/>
      <c r="E251" s="47"/>
      <c r="F251" s="47"/>
      <c r="G251" s="47"/>
      <c r="H251" s="49"/>
      <c r="I251" s="48"/>
      <c r="J251" s="49"/>
      <c r="K251" s="48"/>
      <c r="L251" s="49">
        <f>SUM(AR237:AR254)+SUM(AS237:AS254)+SUM(AT237:AT254)+SUM(AU237:AU254)+SUM(AV237:AV254)</f>
        <v>574.22</v>
      </c>
    </row>
    <row r="252" spans="1:83" ht="28.5" x14ac:dyDescent="0.2">
      <c r="A252" s="45"/>
      <c r="B252" s="45" t="s">
        <v>52</v>
      </c>
      <c r="C252" s="45" t="s">
        <v>804</v>
      </c>
      <c r="D252" s="46" t="s">
        <v>57</v>
      </c>
      <c r="E252" s="47">
        <f>Source!BZ70</f>
        <v>97</v>
      </c>
      <c r="F252" s="47"/>
      <c r="G252" s="47">
        <f>Source!AT70</f>
        <v>97</v>
      </c>
      <c r="H252" s="49"/>
      <c r="I252" s="48"/>
      <c r="J252" s="49"/>
      <c r="K252" s="48"/>
      <c r="L252" s="49">
        <f>SUM(AZ237:AZ254)</f>
        <v>556.99</v>
      </c>
    </row>
    <row r="253" spans="1:83" ht="28.5" x14ac:dyDescent="0.2">
      <c r="A253" s="53"/>
      <c r="B253" s="53" t="s">
        <v>53</v>
      </c>
      <c r="C253" s="53" t="s">
        <v>805</v>
      </c>
      <c r="D253" s="54" t="s">
        <v>57</v>
      </c>
      <c r="E253" s="55">
        <f>Source!CA70</f>
        <v>51</v>
      </c>
      <c r="F253" s="55"/>
      <c r="G253" s="55">
        <f>Source!AU70</f>
        <v>51</v>
      </c>
      <c r="H253" s="56"/>
      <c r="I253" s="57"/>
      <c r="J253" s="56"/>
      <c r="K253" s="57"/>
      <c r="L253" s="56">
        <f>SUM(BA237:BA254)</f>
        <v>292.84999999999997</v>
      </c>
    </row>
    <row r="254" spans="1:83" ht="15" x14ac:dyDescent="0.2">
      <c r="C254" s="92" t="s">
        <v>793</v>
      </c>
      <c r="D254" s="92"/>
      <c r="E254" s="92"/>
      <c r="F254" s="92"/>
      <c r="G254" s="92"/>
      <c r="H254" s="92"/>
      <c r="I254" s="93">
        <f>IF(E237&lt;&gt;0,K254/E237, 0)</f>
        <v>53616.666666666664</v>
      </c>
      <c r="J254" s="93"/>
      <c r="K254" s="93">
        <f>L239+L241+L252+L253+SUM(L245:L250)</f>
        <v>1608.4999999999998</v>
      </c>
      <c r="L254" s="93"/>
      <c r="AD254">
        <f>ROUND((Source!AT70/100)*((ROUND(SUMIF(SmtRes!AQ86:'SmtRes'!AQ93,"=1",SmtRes!AD86:'SmtRes'!AD93)*Source!I70, 2)+ROUND(SUMIF(SmtRes!AQ86:'SmtRes'!AQ93,"=1",SmtRes!AC86:'SmtRes'!AC93)*Source!I70, 2))), 2)</f>
        <v>21.64</v>
      </c>
      <c r="AE254">
        <f>ROUND((Source!AU70/100)*((ROUND(SUMIF(SmtRes!AQ86:'SmtRes'!AQ93,"=1",SmtRes!AD86:'SmtRes'!AD93)*Source!I70, 2)+ROUND(SUMIF(SmtRes!AQ86:'SmtRes'!AQ93,"=1",SmtRes!AC86:'SmtRes'!AC93)*Source!I70, 2))), 2)</f>
        <v>11.38</v>
      </c>
      <c r="AN254" s="58">
        <f>L239+L241+L252+L253</f>
        <v>1440.5099999999998</v>
      </c>
      <c r="AO254">
        <f>0</f>
        <v>0</v>
      </c>
      <c r="AQ254" t="s">
        <v>794</v>
      </c>
      <c r="AR254" s="58">
        <f>L239</f>
        <v>574.65</v>
      </c>
      <c r="AT254">
        <f>0</f>
        <v>0</v>
      </c>
      <c r="AV254" t="s">
        <v>794</v>
      </c>
      <c r="AW254" s="58">
        <f>L241</f>
        <v>16.02</v>
      </c>
      <c r="AZ254">
        <f>Source!X70</f>
        <v>557.41</v>
      </c>
      <c r="BA254">
        <f>Source!Y70</f>
        <v>293.07</v>
      </c>
      <c r="CD254">
        <v>2</v>
      </c>
    </row>
    <row r="255" spans="1:83" ht="42.75" x14ac:dyDescent="0.2">
      <c r="A255" s="43" t="s">
        <v>187</v>
      </c>
      <c r="B255" s="45" t="s">
        <v>857</v>
      </c>
      <c r="C255" s="45" t="str">
        <f>Source!G75</f>
        <v>Автомат одно-, двух-, трехполюсный, устанавливаемый на конструкции: на стене или колонне, на ток до 25 А</v>
      </c>
      <c r="D255" s="46" t="str">
        <f>Source!H75</f>
        <v>ШТ</v>
      </c>
      <c r="E255" s="47">
        <f>Source!K75</f>
        <v>6</v>
      </c>
      <c r="F255" s="47"/>
      <c r="G255" s="47">
        <f>Source!I75</f>
        <v>6</v>
      </c>
      <c r="H255" s="49"/>
      <c r="I255" s="48"/>
      <c r="J255" s="49"/>
      <c r="K255" s="48"/>
      <c r="L255" s="49"/>
    </row>
    <row r="256" spans="1:83" x14ac:dyDescent="0.2">
      <c r="C256" s="50" t="str">
        <f>"Объем: "&amp;Source!I75&amp;"=3+"&amp;"3"</f>
        <v>Объем: 6=3+3</v>
      </c>
    </row>
    <row r="257" spans="1:83" ht="15" x14ac:dyDescent="0.2">
      <c r="A257" s="44"/>
      <c r="B257" s="47">
        <v>1</v>
      </c>
      <c r="C257" s="44" t="s">
        <v>786</v>
      </c>
      <c r="D257" s="46" t="s">
        <v>541</v>
      </c>
      <c r="E257" s="51"/>
      <c r="F257" s="47"/>
      <c r="G257" s="47">
        <f>Source!U75</f>
        <v>8.0399999999999991</v>
      </c>
      <c r="H257" s="47"/>
      <c r="I257" s="47"/>
      <c r="J257" s="47"/>
      <c r="K257" s="47"/>
      <c r="L257" s="52">
        <f>SUM(L258:L258)-SUMIF(CE258:CE258, 1, L258:L258)</f>
        <v>5740.24</v>
      </c>
    </row>
    <row r="258" spans="1:83" ht="14.25" x14ac:dyDescent="0.2">
      <c r="A258" s="45"/>
      <c r="B258" s="45" t="s">
        <v>590</v>
      </c>
      <c r="C258" s="45" t="s">
        <v>591</v>
      </c>
      <c r="D258" s="46" t="s">
        <v>541</v>
      </c>
      <c r="E258" s="47">
        <v>1.34</v>
      </c>
      <c r="F258" s="47"/>
      <c r="G258" s="47">
        <f>SmtRes!CX94</f>
        <v>8.0399999999999991</v>
      </c>
      <c r="H258" s="49"/>
      <c r="I258" s="48"/>
      <c r="J258" s="49">
        <f>SmtRes!CZ94</f>
        <v>713.96</v>
      </c>
      <c r="K258" s="48"/>
      <c r="L258" s="49">
        <f>SmtRes!DI94</f>
        <v>5740.24</v>
      </c>
    </row>
    <row r="259" spans="1:83" ht="15" x14ac:dyDescent="0.2">
      <c r="A259" s="44"/>
      <c r="B259" s="47">
        <v>2</v>
      </c>
      <c r="C259" s="44" t="s">
        <v>800</v>
      </c>
      <c r="D259" s="46"/>
      <c r="E259" s="51"/>
      <c r="F259" s="47"/>
      <c r="G259" s="47"/>
      <c r="H259" s="47"/>
      <c r="I259" s="47"/>
      <c r="J259" s="47"/>
      <c r="K259" s="47"/>
      <c r="L259" s="52">
        <f>SUM(L260:L261)-SUMIF(CE260:CE261, 1, L260:L261)</f>
        <v>20.9</v>
      </c>
    </row>
    <row r="260" spans="1:83" ht="15" hidden="1" x14ac:dyDescent="0.2">
      <c r="A260" s="44"/>
      <c r="B260" s="47"/>
      <c r="C260" s="44" t="s">
        <v>801</v>
      </c>
      <c r="D260" s="46" t="s">
        <v>541</v>
      </c>
      <c r="E260" s="51"/>
      <c r="F260" s="47"/>
      <c r="G260" s="47">
        <f>Source!V75</f>
        <v>0</v>
      </c>
      <c r="H260" s="47"/>
      <c r="I260" s="47"/>
      <c r="J260" s="47"/>
      <c r="K260" s="47"/>
      <c r="L260" s="52">
        <f>SUMIF(CE261:CE261, 1, L261:L261)</f>
        <v>0</v>
      </c>
      <c r="CE260">
        <v>1</v>
      </c>
    </row>
    <row r="261" spans="1:83" ht="42.75" x14ac:dyDescent="0.2">
      <c r="A261" s="45"/>
      <c r="B261" s="45" t="s">
        <v>549</v>
      </c>
      <c r="C261" s="45" t="s">
        <v>551</v>
      </c>
      <c r="D261" s="46" t="s">
        <v>29</v>
      </c>
      <c r="E261" s="47">
        <v>0.108</v>
      </c>
      <c r="F261" s="47"/>
      <c r="G261" s="47">
        <f>SmtRes!CX95</f>
        <v>0.64800000000000002</v>
      </c>
      <c r="H261" s="49"/>
      <c r="I261" s="48"/>
      <c r="J261" s="49">
        <f>SmtRes!CZ95</f>
        <v>32.26</v>
      </c>
      <c r="K261" s="48"/>
      <c r="L261" s="49">
        <f>SmtRes!DG95</f>
        <v>20.9</v>
      </c>
    </row>
    <row r="262" spans="1:83" ht="15" x14ac:dyDescent="0.2">
      <c r="A262" s="44"/>
      <c r="B262" s="47">
        <v>4</v>
      </c>
      <c r="C262" s="44" t="s">
        <v>802</v>
      </c>
      <c r="D262" s="46"/>
      <c r="E262" s="51"/>
      <c r="F262" s="47"/>
      <c r="G262" s="47"/>
      <c r="H262" s="47"/>
      <c r="I262" s="47"/>
      <c r="J262" s="47"/>
      <c r="K262" s="47"/>
      <c r="L262" s="52">
        <f>SUM(L263:L274)-SUMIF(CE263:CE274, 1, L263:L274)</f>
        <v>1791.05</v>
      </c>
    </row>
    <row r="263" spans="1:83" ht="14.25" x14ac:dyDescent="0.2">
      <c r="A263" s="45"/>
      <c r="B263" s="45" t="s">
        <v>552</v>
      </c>
      <c r="C263" s="45" t="s">
        <v>554</v>
      </c>
      <c r="D263" s="46" t="s">
        <v>170</v>
      </c>
      <c r="E263" s="47">
        <v>6.0000000000000001E-3</v>
      </c>
      <c r="F263" s="47"/>
      <c r="G263" s="47">
        <f>SmtRes!CX96</f>
        <v>3.5999999999999997E-2</v>
      </c>
      <c r="H263" s="49">
        <f>SmtRes!CZ96</f>
        <v>150.04</v>
      </c>
      <c r="I263" s="48">
        <f>SmtRes!AI96</f>
        <v>1.6</v>
      </c>
      <c r="J263" s="49">
        <f>ROUND(H263*I263, 2)</f>
        <v>240.06</v>
      </c>
      <c r="K263" s="48"/>
      <c r="L263" s="49">
        <f>SmtRes!DF96</f>
        <v>8.64</v>
      </c>
    </row>
    <row r="264" spans="1:83" ht="14.25" x14ac:dyDescent="0.2">
      <c r="A264" s="45"/>
      <c r="B264" s="45" t="s">
        <v>555</v>
      </c>
      <c r="C264" s="45" t="s">
        <v>557</v>
      </c>
      <c r="D264" s="46" t="s">
        <v>170</v>
      </c>
      <c r="E264" s="47">
        <v>1E-3</v>
      </c>
      <c r="F264" s="47"/>
      <c r="G264" s="47">
        <f>SmtRes!CX97</f>
        <v>6.0000000000000001E-3</v>
      </c>
      <c r="H264" s="49">
        <f>SmtRes!CZ97</f>
        <v>187.38</v>
      </c>
      <c r="I264" s="48">
        <f>SmtRes!AI97</f>
        <v>0.88</v>
      </c>
      <c r="J264" s="49">
        <f>ROUND(H264*I264, 2)</f>
        <v>164.89</v>
      </c>
      <c r="K264" s="48"/>
      <c r="L264" s="49">
        <f>SmtRes!DF97</f>
        <v>0.99</v>
      </c>
    </row>
    <row r="265" spans="1:83" ht="14.25" x14ac:dyDescent="0.2">
      <c r="A265" s="45"/>
      <c r="B265" s="45" t="s">
        <v>558</v>
      </c>
      <c r="C265" s="45" t="s">
        <v>560</v>
      </c>
      <c r="D265" s="46" t="s">
        <v>561</v>
      </c>
      <c r="E265" s="47">
        <v>2.0799999999999999E-2</v>
      </c>
      <c r="F265" s="47"/>
      <c r="G265" s="47">
        <f>SmtRes!CX98</f>
        <v>0.12479999999999999</v>
      </c>
      <c r="H265" s="49"/>
      <c r="I265" s="48"/>
      <c r="J265" s="49">
        <f>SmtRes!CZ98</f>
        <v>6.78</v>
      </c>
      <c r="K265" s="48"/>
      <c r="L265" s="49">
        <f>SmtRes!DF98</f>
        <v>0.85</v>
      </c>
    </row>
    <row r="266" spans="1:83" ht="71.25" x14ac:dyDescent="0.2">
      <c r="A266" s="45"/>
      <c r="B266" s="45" t="s">
        <v>562</v>
      </c>
      <c r="C266" s="45" t="s">
        <v>564</v>
      </c>
      <c r="D266" s="46" t="s">
        <v>364</v>
      </c>
      <c r="E266" s="47">
        <v>1</v>
      </c>
      <c r="F266" s="47"/>
      <c r="G266" s="47">
        <f>SmtRes!CX99</f>
        <v>6</v>
      </c>
      <c r="H266" s="49">
        <f>SmtRes!CZ99</f>
        <v>5.87</v>
      </c>
      <c r="I266" s="48">
        <f>SmtRes!AI99</f>
        <v>0.88</v>
      </c>
      <c r="J266" s="49">
        <f t="shared" ref="J266:J274" si="4">ROUND(H266*I266, 2)</f>
        <v>5.17</v>
      </c>
      <c r="K266" s="48"/>
      <c r="L266" s="49">
        <f>SmtRes!DF99</f>
        <v>31.02</v>
      </c>
    </row>
    <row r="267" spans="1:83" ht="57" x14ac:dyDescent="0.2">
      <c r="A267" s="45"/>
      <c r="B267" s="45" t="s">
        <v>565</v>
      </c>
      <c r="C267" s="45" t="s">
        <v>567</v>
      </c>
      <c r="D267" s="46" t="s">
        <v>170</v>
      </c>
      <c r="E267" s="47">
        <v>7.0000000000000007E-2</v>
      </c>
      <c r="F267" s="47"/>
      <c r="G267" s="47">
        <f>SmtRes!CX100</f>
        <v>0.42</v>
      </c>
      <c r="H267" s="49">
        <f>SmtRes!CZ100</f>
        <v>155.63</v>
      </c>
      <c r="I267" s="48">
        <f>SmtRes!AI100</f>
        <v>0.78</v>
      </c>
      <c r="J267" s="49">
        <f t="shared" si="4"/>
        <v>121.39</v>
      </c>
      <c r="K267" s="48"/>
      <c r="L267" s="49">
        <f>SmtRes!DF100</f>
        <v>50.98</v>
      </c>
    </row>
    <row r="268" spans="1:83" ht="28.5" x14ac:dyDescent="0.2">
      <c r="A268" s="45"/>
      <c r="B268" s="45" t="s">
        <v>301</v>
      </c>
      <c r="C268" s="45" t="s">
        <v>302</v>
      </c>
      <c r="D268" s="46" t="s">
        <v>170</v>
      </c>
      <c r="E268" s="47">
        <v>4.9000000000000002E-2</v>
      </c>
      <c r="F268" s="47"/>
      <c r="G268" s="47">
        <f>SmtRes!CX101</f>
        <v>0.29399999999999998</v>
      </c>
      <c r="H268" s="49">
        <f>SmtRes!CZ101</f>
        <v>174.93</v>
      </c>
      <c r="I268" s="48">
        <f>SmtRes!AI101</f>
        <v>1.0900000000000001</v>
      </c>
      <c r="J268" s="49">
        <f t="shared" si="4"/>
        <v>190.67</v>
      </c>
      <c r="K268" s="48"/>
      <c r="L268" s="49">
        <f>SmtRes!DF101</f>
        <v>56.06</v>
      </c>
    </row>
    <row r="269" spans="1:83" ht="14.25" x14ac:dyDescent="0.2">
      <c r="A269" s="45"/>
      <c r="B269" s="45" t="s">
        <v>568</v>
      </c>
      <c r="C269" s="45" t="s">
        <v>570</v>
      </c>
      <c r="D269" s="46" t="s">
        <v>20</v>
      </c>
      <c r="E269" s="47">
        <v>1.4E-2</v>
      </c>
      <c r="F269" s="47"/>
      <c r="G269" s="47">
        <f>SmtRes!CX102</f>
        <v>8.4000000000000005E-2</v>
      </c>
      <c r="H269" s="49">
        <f>SmtRes!CZ102</f>
        <v>41.71</v>
      </c>
      <c r="I269" s="48">
        <f>SmtRes!AI102</f>
        <v>1.29</v>
      </c>
      <c r="J269" s="49">
        <f t="shared" si="4"/>
        <v>53.81</v>
      </c>
      <c r="K269" s="48"/>
      <c r="L269" s="49">
        <f>SmtRes!DF102</f>
        <v>4.5199999999999996</v>
      </c>
    </row>
    <row r="270" spans="1:83" ht="14.25" x14ac:dyDescent="0.2">
      <c r="A270" s="45"/>
      <c r="B270" s="45" t="s">
        <v>571</v>
      </c>
      <c r="C270" s="45" t="s">
        <v>573</v>
      </c>
      <c r="D270" s="46" t="s">
        <v>170</v>
      </c>
      <c r="E270" s="47">
        <v>1E-3</v>
      </c>
      <c r="F270" s="47"/>
      <c r="G270" s="47">
        <f>SmtRes!CX103</f>
        <v>6.0000000000000001E-3</v>
      </c>
      <c r="H270" s="49">
        <f>SmtRes!CZ103</f>
        <v>395.65</v>
      </c>
      <c r="I270" s="48">
        <f>SmtRes!AI103</f>
        <v>1.54</v>
      </c>
      <c r="J270" s="49">
        <f t="shared" si="4"/>
        <v>609.29999999999995</v>
      </c>
      <c r="K270" s="48"/>
      <c r="L270" s="49">
        <f>SmtRes!DF103</f>
        <v>3.66</v>
      </c>
    </row>
    <row r="271" spans="1:83" ht="42.75" x14ac:dyDescent="0.2">
      <c r="A271" s="45"/>
      <c r="B271" s="45" t="s">
        <v>574</v>
      </c>
      <c r="C271" s="45" t="s">
        <v>576</v>
      </c>
      <c r="D271" s="46" t="s">
        <v>165</v>
      </c>
      <c r="E271" s="47">
        <v>1E-3</v>
      </c>
      <c r="F271" s="47"/>
      <c r="G271" s="47">
        <f>SmtRes!CX104</f>
        <v>6.0000000000000001E-3</v>
      </c>
      <c r="H271" s="49">
        <f>SmtRes!CZ104</f>
        <v>105278.81</v>
      </c>
      <c r="I271" s="48">
        <f>SmtRes!AI104</f>
        <v>1.3</v>
      </c>
      <c r="J271" s="49">
        <f t="shared" si="4"/>
        <v>136862.45000000001</v>
      </c>
      <c r="K271" s="48"/>
      <c r="L271" s="49">
        <f>SmtRes!DF104</f>
        <v>821.17</v>
      </c>
    </row>
    <row r="272" spans="1:83" ht="28.5" x14ac:dyDescent="0.2">
      <c r="A272" s="45"/>
      <c r="B272" s="45" t="s">
        <v>577</v>
      </c>
      <c r="C272" s="45" t="s">
        <v>579</v>
      </c>
      <c r="D272" s="46" t="s">
        <v>170</v>
      </c>
      <c r="E272" s="47">
        <v>3.5999999999999997E-2</v>
      </c>
      <c r="F272" s="47"/>
      <c r="G272" s="47">
        <f>SmtRes!CX105</f>
        <v>0.216</v>
      </c>
      <c r="H272" s="49">
        <f>SmtRes!CZ105</f>
        <v>79.88</v>
      </c>
      <c r="I272" s="48">
        <f>SmtRes!AI105</f>
        <v>1.4</v>
      </c>
      <c r="J272" s="49">
        <f t="shared" si="4"/>
        <v>111.83</v>
      </c>
      <c r="K272" s="48"/>
      <c r="L272" s="49">
        <f>SmtRes!DF105</f>
        <v>24.16</v>
      </c>
    </row>
    <row r="273" spans="1:82" ht="14.25" x14ac:dyDescent="0.2">
      <c r="A273" s="45"/>
      <c r="B273" s="45" t="s">
        <v>580</v>
      </c>
      <c r="C273" s="45" t="s">
        <v>582</v>
      </c>
      <c r="D273" s="46" t="s">
        <v>170</v>
      </c>
      <c r="E273" s="47">
        <v>6.0000000000000001E-3</v>
      </c>
      <c r="F273" s="47"/>
      <c r="G273" s="47">
        <f>SmtRes!CX106</f>
        <v>3.5999999999999997E-2</v>
      </c>
      <c r="H273" s="49">
        <f>SmtRes!CZ106</f>
        <v>157.44</v>
      </c>
      <c r="I273" s="48">
        <f>SmtRes!AI106</f>
        <v>1.2</v>
      </c>
      <c r="J273" s="49">
        <f t="shared" si="4"/>
        <v>188.93</v>
      </c>
      <c r="K273" s="48"/>
      <c r="L273" s="49">
        <f>SmtRes!DF106</f>
        <v>6.8</v>
      </c>
    </row>
    <row r="274" spans="1:82" ht="14.25" x14ac:dyDescent="0.2">
      <c r="A274" s="45"/>
      <c r="B274" s="45" t="s">
        <v>583</v>
      </c>
      <c r="C274" s="53" t="s">
        <v>585</v>
      </c>
      <c r="D274" s="54" t="s">
        <v>586</v>
      </c>
      <c r="E274" s="55">
        <v>0.1</v>
      </c>
      <c r="F274" s="55"/>
      <c r="G274" s="55">
        <f>SmtRes!CX107</f>
        <v>0.6</v>
      </c>
      <c r="H274" s="56">
        <f>SmtRes!CZ107</f>
        <v>944.69</v>
      </c>
      <c r="I274" s="57">
        <f>SmtRes!AI107</f>
        <v>1.38</v>
      </c>
      <c r="J274" s="56">
        <f t="shared" si="4"/>
        <v>1303.67</v>
      </c>
      <c r="K274" s="57"/>
      <c r="L274" s="56">
        <f>SmtRes!DF107</f>
        <v>782.2</v>
      </c>
    </row>
    <row r="275" spans="1:82" ht="15" x14ac:dyDescent="0.2">
      <c r="A275" s="45"/>
      <c r="B275" s="45"/>
      <c r="C275" s="59" t="s">
        <v>787</v>
      </c>
      <c r="D275" s="46"/>
      <c r="E275" s="47"/>
      <c r="F275" s="47"/>
      <c r="G275" s="47"/>
      <c r="H275" s="49"/>
      <c r="I275" s="48"/>
      <c r="J275" s="49"/>
      <c r="K275" s="48"/>
      <c r="L275" s="49">
        <f>L257+L259+L260+L262</f>
        <v>7552.19</v>
      </c>
    </row>
    <row r="276" spans="1:82" ht="28.5" x14ac:dyDescent="0.2">
      <c r="A276" s="43" t="s">
        <v>858</v>
      </c>
      <c r="B276" s="45" t="str">
        <f>Source!F76</f>
        <v>62.1.01.09-1026</v>
      </c>
      <c r="C276" s="45" t="str">
        <f>Source!G76</f>
        <v>Выключатель автоматический трехполюсный, 10 А</v>
      </c>
      <c r="D276" s="46" t="str">
        <f>Source!H76</f>
        <v>ШТ</v>
      </c>
      <c r="E276" s="47">
        <f>SmtRes!AT109</f>
        <v>0.5</v>
      </c>
      <c r="F276" s="47"/>
      <c r="G276" s="47">
        <f>Source!I76</f>
        <v>3</v>
      </c>
      <c r="H276" s="49">
        <f>Source!AL76+Source!AO76+Source!AM76+Source!AN76</f>
        <v>763.16</v>
      </c>
      <c r="I276" s="48">
        <f>IF(Source!BC76&lt;&gt; 0, Source!BC76, 1)</f>
        <v>1.1599999999999999</v>
      </c>
      <c r="J276" s="49">
        <f>ROUND(H276*I276, 2)</f>
        <v>885.27</v>
      </c>
      <c r="K276" s="48"/>
      <c r="L276" s="49">
        <f>Source!P76</f>
        <v>2655.81</v>
      </c>
      <c r="AD276">
        <f>ROUND((Source!AT76/100)*((ROUND(ROUND(Source!AO76,2)*Source!I76, 2)+ROUND(ROUND(Source!AN76,2)*Source!I76, 2))), 2)</f>
        <v>0</v>
      </c>
      <c r="AE276">
        <f>ROUND((Source!AU76/100)*((ROUND(ROUND(Source!AO76,2)*Source!I76, 2)+ROUND(ROUND(Source!AN76,2)*Source!I76, 2))), 2)</f>
        <v>0</v>
      </c>
      <c r="AN276">
        <f>L276</f>
        <v>2655.81</v>
      </c>
      <c r="AW276">
        <f>L276</f>
        <v>2655.81</v>
      </c>
      <c r="AZ276">
        <f>Source!X76</f>
        <v>0</v>
      </c>
      <c r="BA276">
        <f>Source!Y76</f>
        <v>0</v>
      </c>
      <c r="CD276">
        <v>2</v>
      </c>
    </row>
    <row r="277" spans="1:82" ht="28.5" x14ac:dyDescent="0.2">
      <c r="A277" s="43" t="s">
        <v>859</v>
      </c>
      <c r="B277" s="45" t="str">
        <f>Source!F77</f>
        <v>62.1.01.09-1328</v>
      </c>
      <c r="C277" s="45" t="str">
        <f>Source!G77</f>
        <v>Выключатель автоматический 4P, 16 А, 6 кА, характеристика D</v>
      </c>
      <c r="D277" s="46" t="str">
        <f>Source!H77</f>
        <v>ШТ</v>
      </c>
      <c r="E277" s="47">
        <f>SmtRes!AT110</f>
        <v>0.5</v>
      </c>
      <c r="F277" s="47"/>
      <c r="G277" s="47">
        <f>Source!I77</f>
        <v>3</v>
      </c>
      <c r="H277" s="49">
        <f>Source!AL77+Source!AO77+Source!AM77+Source!AN77</f>
        <v>738.36</v>
      </c>
      <c r="I277" s="48">
        <f>IF(Source!BC77&lt;&gt; 0, Source!BC77, 1)</f>
        <v>1.1599999999999999</v>
      </c>
      <c r="J277" s="49">
        <f>ROUND(H277*I277, 2)</f>
        <v>856.5</v>
      </c>
      <c r="K277" s="48"/>
      <c r="L277" s="49">
        <f>Source!P77</f>
        <v>2569.5</v>
      </c>
      <c r="AD277">
        <f>ROUND((Source!AT77/100)*((ROUND(ROUND(Source!AO77,2)*Source!I77, 2)+ROUND(ROUND(Source!AN77,2)*Source!I77, 2))), 2)</f>
        <v>0</v>
      </c>
      <c r="AE277">
        <f>ROUND((Source!AU77/100)*((ROUND(ROUND(Source!AO77,2)*Source!I77, 2)+ROUND(ROUND(Source!AN77,2)*Source!I77, 2))), 2)</f>
        <v>0</v>
      </c>
      <c r="AN277">
        <f>L277</f>
        <v>2569.5</v>
      </c>
      <c r="AW277">
        <f>L277</f>
        <v>2569.5</v>
      </c>
      <c r="AZ277">
        <f>Source!X77</f>
        <v>0</v>
      </c>
      <c r="BA277">
        <f>Source!Y77</f>
        <v>0</v>
      </c>
      <c r="CD277">
        <v>2</v>
      </c>
    </row>
    <row r="278" spans="1:82" ht="57" x14ac:dyDescent="0.2">
      <c r="A278" s="43" t="s">
        <v>860</v>
      </c>
      <c r="B278" s="45" t="str">
        <f>Source!F78</f>
        <v>421/пр_2020_п.75_пп.а</v>
      </c>
      <c r="C278" s="45" t="str">
        <f>Source!G78</f>
        <v>Сметная стоимость вспомогательных ненормируемых материальных ресурсов, не учтенная в сметной норме, 2%</v>
      </c>
      <c r="D278" s="46" t="str">
        <f>Source!H78</f>
        <v>%</v>
      </c>
      <c r="E278" s="47">
        <f>SmtRes!AT108</f>
        <v>2</v>
      </c>
      <c r="F278" s="47"/>
      <c r="G278" s="47">
        <f>Source!I78</f>
        <v>2</v>
      </c>
      <c r="H278" s="49"/>
      <c r="I278" s="48"/>
      <c r="J278" s="49"/>
      <c r="K278" s="48"/>
      <c r="L278" s="49">
        <f>Source!P78</f>
        <v>114.8</v>
      </c>
      <c r="AD278">
        <f>ROUND((Source!AT78/100)*((ROUND(0*Source!I78, 2)+ROUND(0*Source!I78, 2))), 2)</f>
        <v>0</v>
      </c>
      <c r="AE278">
        <f>ROUND((Source!AU78/100)*((ROUND(0*Source!I78, 2)+ROUND(0*Source!I78, 2))), 2)</f>
        <v>0</v>
      </c>
      <c r="AN278">
        <f>L278</f>
        <v>114.8</v>
      </c>
      <c r="AW278">
        <f>L278</f>
        <v>114.8</v>
      </c>
      <c r="AZ278">
        <f>Source!X78</f>
        <v>0</v>
      </c>
      <c r="BA278">
        <f>Source!Y78</f>
        <v>0</v>
      </c>
      <c r="CD278">
        <v>2</v>
      </c>
    </row>
    <row r="279" spans="1:82" ht="14.25" x14ac:dyDescent="0.2">
      <c r="A279" s="45"/>
      <c r="B279" s="45"/>
      <c r="C279" s="45" t="s">
        <v>790</v>
      </c>
      <c r="D279" s="46"/>
      <c r="E279" s="47"/>
      <c r="F279" s="47"/>
      <c r="G279" s="47"/>
      <c r="H279" s="49"/>
      <c r="I279" s="48"/>
      <c r="J279" s="49"/>
      <c r="K279" s="48"/>
      <c r="L279" s="49">
        <f>SUM(AR255:AR282)+SUM(AS255:AS282)+SUM(AT255:AT282)+SUM(AU255:AU282)+SUM(AV255:AV282)</f>
        <v>5740.24</v>
      </c>
    </row>
    <row r="280" spans="1:82" ht="28.5" x14ac:dyDescent="0.2">
      <c r="A280" s="45"/>
      <c r="B280" s="45" t="s">
        <v>52</v>
      </c>
      <c r="C280" s="45" t="s">
        <v>804</v>
      </c>
      <c r="D280" s="46" t="s">
        <v>57</v>
      </c>
      <c r="E280" s="47">
        <f>Source!BZ75</f>
        <v>97</v>
      </c>
      <c r="F280" s="47"/>
      <c r="G280" s="47">
        <f>Source!AT75</f>
        <v>97</v>
      </c>
      <c r="H280" s="49"/>
      <c r="I280" s="48"/>
      <c r="J280" s="49"/>
      <c r="K280" s="48"/>
      <c r="L280" s="49">
        <f>SUM(AZ255:AZ282)</f>
        <v>5568.03</v>
      </c>
    </row>
    <row r="281" spans="1:82" ht="28.5" x14ac:dyDescent="0.2">
      <c r="A281" s="53"/>
      <c r="B281" s="53" t="s">
        <v>53</v>
      </c>
      <c r="C281" s="53" t="s">
        <v>805</v>
      </c>
      <c r="D281" s="54" t="s">
        <v>57</v>
      </c>
      <c r="E281" s="55">
        <f>Source!CA75</f>
        <v>51</v>
      </c>
      <c r="F281" s="55"/>
      <c r="G281" s="55">
        <f>Source!AU75</f>
        <v>51</v>
      </c>
      <c r="H281" s="56"/>
      <c r="I281" s="57"/>
      <c r="J281" s="56"/>
      <c r="K281" s="57"/>
      <c r="L281" s="56">
        <f>SUM(BA255:BA282)</f>
        <v>2927.52</v>
      </c>
    </row>
    <row r="282" spans="1:82" ht="15" x14ac:dyDescent="0.2">
      <c r="C282" s="92" t="s">
        <v>793</v>
      </c>
      <c r="D282" s="92"/>
      <c r="E282" s="92"/>
      <c r="F282" s="92"/>
      <c r="G282" s="92"/>
      <c r="H282" s="92"/>
      <c r="I282" s="93">
        <f>IF(E255&lt;&gt;0,K282/E255, 0)</f>
        <v>3564.6416666666664</v>
      </c>
      <c r="J282" s="93"/>
      <c r="K282" s="93">
        <f>L257+L259+L262+L280+L281+L260+SUM(L276:L278)</f>
        <v>21387.85</v>
      </c>
      <c r="L282" s="93"/>
      <c r="AD282">
        <f>ROUND((Source!AT75/100)*((ROUND(SUMIF(SmtRes!AQ94:'SmtRes'!AQ110,"=1",SmtRes!AD94:'SmtRes'!AD110)*Source!I75, 2)+ROUND(SUMIF(SmtRes!AQ94:'SmtRes'!AQ110,"=1",SmtRes!AC94:'SmtRes'!AC110)*Source!I75, 2))), 2)</f>
        <v>4155.25</v>
      </c>
      <c r="AE282">
        <f>ROUND((Source!AU75/100)*((ROUND(SUMIF(SmtRes!AQ94:'SmtRes'!AQ110,"=1",SmtRes!AD94:'SmtRes'!AD110)*Source!I75, 2)+ROUND(SUMIF(SmtRes!AQ94:'SmtRes'!AQ110,"=1",SmtRes!AC94:'SmtRes'!AC110)*Source!I75, 2))), 2)</f>
        <v>2184.7199999999998</v>
      </c>
      <c r="AN282" s="58">
        <f>L257+L259+L262+L280+L281+L260</f>
        <v>16047.74</v>
      </c>
      <c r="AO282" s="58">
        <f>L259</f>
        <v>20.9</v>
      </c>
      <c r="AQ282" t="s">
        <v>794</v>
      </c>
      <c r="AR282" s="58">
        <f>L257</f>
        <v>5740.24</v>
      </c>
      <c r="AT282" s="58">
        <f>L260</f>
        <v>0</v>
      </c>
      <c r="AV282" t="s">
        <v>794</v>
      </c>
      <c r="AW282" s="58">
        <f>L262</f>
        <v>1791.05</v>
      </c>
      <c r="AZ282">
        <f>Source!X75</f>
        <v>5568.03</v>
      </c>
      <c r="BA282">
        <f>Source!Y75</f>
        <v>2927.52</v>
      </c>
      <c r="CD282">
        <v>2</v>
      </c>
    </row>
    <row r="283" spans="1:82" ht="57" x14ac:dyDescent="0.2">
      <c r="A283" s="43" t="s">
        <v>200</v>
      </c>
      <c r="B283" s="45" t="s">
        <v>861</v>
      </c>
      <c r="C283" s="45" t="str">
        <f>Source!G79</f>
        <v>Светильник светодиодный накладной и подвесной линейный с креплением на: бетонное основание (стена, потолок)</v>
      </c>
      <c r="D283" s="46" t="str">
        <f>Source!H79</f>
        <v>100 ШТ</v>
      </c>
      <c r="E283" s="47">
        <f>Source!K79</f>
        <v>0.2</v>
      </c>
      <c r="F283" s="47"/>
      <c r="G283" s="47">
        <f>Source!I79</f>
        <v>0.2</v>
      </c>
      <c r="H283" s="49"/>
      <c r="I283" s="48"/>
      <c r="J283" s="49"/>
      <c r="K283" s="48"/>
      <c r="L283" s="49"/>
    </row>
    <row r="284" spans="1:82" x14ac:dyDescent="0.2">
      <c r="C284" s="50" t="str">
        <f>"Объем: "&amp;Source!I79&amp;"=(20)/"&amp;"100"</f>
        <v>Объем: 0,2=(20)/100</v>
      </c>
    </row>
    <row r="285" spans="1:82" ht="15" x14ac:dyDescent="0.2">
      <c r="A285" s="44"/>
      <c r="B285" s="47">
        <v>1</v>
      </c>
      <c r="C285" s="44" t="s">
        <v>786</v>
      </c>
      <c r="D285" s="46" t="s">
        <v>541</v>
      </c>
      <c r="E285" s="51"/>
      <c r="F285" s="47"/>
      <c r="G285" s="47">
        <f>Source!U79</f>
        <v>11.678000000000001</v>
      </c>
      <c r="H285" s="47"/>
      <c r="I285" s="47"/>
      <c r="J285" s="47"/>
      <c r="K285" s="47"/>
      <c r="L285" s="52">
        <f>SUM(L286:L288)-SUMIF(CE286:CE288, 1, L286:L288)</f>
        <v>7619.85</v>
      </c>
    </row>
    <row r="286" spans="1:82" ht="14.25" x14ac:dyDescent="0.2">
      <c r="A286" s="45"/>
      <c r="B286" s="45" t="s">
        <v>628</v>
      </c>
      <c r="C286" s="45" t="s">
        <v>629</v>
      </c>
      <c r="D286" s="46" t="s">
        <v>630</v>
      </c>
      <c r="E286" s="47">
        <v>0.3</v>
      </c>
      <c r="F286" s="47"/>
      <c r="G286" s="47">
        <f>SmtRes!CX111</f>
        <v>0.06</v>
      </c>
      <c r="H286" s="49"/>
      <c r="I286" s="48"/>
      <c r="J286" s="49">
        <f>SmtRes!CZ111</f>
        <v>538.84</v>
      </c>
      <c r="K286" s="48"/>
      <c r="L286" s="49">
        <f>SmtRes!DI111</f>
        <v>32.33</v>
      </c>
    </row>
    <row r="287" spans="1:82" ht="14.25" x14ac:dyDescent="0.2">
      <c r="A287" s="45"/>
      <c r="B287" s="45" t="s">
        <v>631</v>
      </c>
      <c r="C287" s="45" t="s">
        <v>632</v>
      </c>
      <c r="D287" s="46" t="s">
        <v>630</v>
      </c>
      <c r="E287" s="47">
        <v>29.74</v>
      </c>
      <c r="F287" s="47"/>
      <c r="G287" s="47">
        <f>SmtRes!CX112</f>
        <v>5.9480000000000004</v>
      </c>
      <c r="H287" s="49"/>
      <c r="I287" s="48"/>
      <c r="J287" s="49">
        <f>SmtRes!CZ112</f>
        <v>587.34</v>
      </c>
      <c r="K287" s="48"/>
      <c r="L287" s="49">
        <f>SmtRes!DI112</f>
        <v>3493.5</v>
      </c>
    </row>
    <row r="288" spans="1:82" ht="14.25" x14ac:dyDescent="0.2">
      <c r="A288" s="45"/>
      <c r="B288" s="45" t="s">
        <v>633</v>
      </c>
      <c r="C288" s="45" t="s">
        <v>634</v>
      </c>
      <c r="D288" s="46" t="s">
        <v>630</v>
      </c>
      <c r="E288" s="47">
        <v>28.35</v>
      </c>
      <c r="F288" s="47"/>
      <c r="G288" s="47">
        <f>SmtRes!CX113</f>
        <v>5.67</v>
      </c>
      <c r="H288" s="49"/>
      <c r="I288" s="48"/>
      <c r="J288" s="49">
        <f>SmtRes!CZ113</f>
        <v>722.05</v>
      </c>
      <c r="K288" s="48"/>
      <c r="L288" s="49">
        <f>SmtRes!DI113</f>
        <v>4094.02</v>
      </c>
    </row>
    <row r="289" spans="1:83" ht="15" x14ac:dyDescent="0.2">
      <c r="A289" s="44"/>
      <c r="B289" s="47">
        <v>2</v>
      </c>
      <c r="C289" s="44" t="s">
        <v>800</v>
      </c>
      <c r="D289" s="46"/>
      <c r="E289" s="51"/>
      <c r="F289" s="47"/>
      <c r="G289" s="47"/>
      <c r="H289" s="47"/>
      <c r="I289" s="47"/>
      <c r="J289" s="47"/>
      <c r="K289" s="47"/>
      <c r="L289" s="52">
        <f>SUM(L290:L292)-SUMIF(CE290:CE292, 1, L290:L292)</f>
        <v>25.729999999999997</v>
      </c>
    </row>
    <row r="290" spans="1:83" ht="15" x14ac:dyDescent="0.2">
      <c r="A290" s="44"/>
      <c r="B290" s="47"/>
      <c r="C290" s="44" t="s">
        <v>801</v>
      </c>
      <c r="D290" s="46" t="s">
        <v>541</v>
      </c>
      <c r="E290" s="51"/>
      <c r="F290" s="47"/>
      <c r="G290" s="47">
        <f>Source!V79</f>
        <v>0.04</v>
      </c>
      <c r="H290" s="47"/>
      <c r="I290" s="47"/>
      <c r="J290" s="47"/>
      <c r="K290" s="47"/>
      <c r="L290" s="52">
        <f>SUMIF(CE291:CE292, 1, L291:L292)</f>
        <v>28.88</v>
      </c>
      <c r="CE290">
        <v>1</v>
      </c>
    </row>
    <row r="291" spans="1:83" ht="28.5" x14ac:dyDescent="0.2">
      <c r="A291" s="45"/>
      <c r="B291" s="45" t="s">
        <v>127</v>
      </c>
      <c r="C291" s="45" t="s">
        <v>128</v>
      </c>
      <c r="D291" s="46" t="s">
        <v>29</v>
      </c>
      <c r="E291" s="47">
        <v>0.2</v>
      </c>
      <c r="F291" s="47"/>
      <c r="G291" s="47">
        <f>SmtRes!CX115</f>
        <v>0.04</v>
      </c>
      <c r="H291" s="49"/>
      <c r="I291" s="48"/>
      <c r="J291" s="49">
        <f>SmtRes!CZ115</f>
        <v>643.29</v>
      </c>
      <c r="K291" s="48"/>
      <c r="L291" s="49">
        <f>SmtRes!DG115</f>
        <v>25.73</v>
      </c>
    </row>
    <row r="292" spans="1:83" ht="28.5" x14ac:dyDescent="0.2">
      <c r="A292" s="45"/>
      <c r="B292" s="45" t="s">
        <v>600</v>
      </c>
      <c r="C292" s="45" t="s">
        <v>832</v>
      </c>
      <c r="D292" s="46" t="s">
        <v>541</v>
      </c>
      <c r="E292" s="47">
        <f>SmtRes!DO115*SmtRes!AT115</f>
        <v>0.2</v>
      </c>
      <c r="F292" s="47"/>
      <c r="G292" s="47">
        <f>ROUND(E292*G283, 7)</f>
        <v>0.04</v>
      </c>
      <c r="H292" s="49"/>
      <c r="I292" s="48"/>
      <c r="J292" s="49">
        <f>ROUND(SmtRes!AG115/SmtRes!DO115, 2)</f>
        <v>722.05</v>
      </c>
      <c r="K292" s="48"/>
      <c r="L292" s="49">
        <f>SmtRes!DH115</f>
        <v>28.88</v>
      </c>
      <c r="CE292">
        <v>1</v>
      </c>
    </row>
    <row r="293" spans="1:83" ht="15" x14ac:dyDescent="0.2">
      <c r="A293" s="44"/>
      <c r="B293" s="47">
        <v>4</v>
      </c>
      <c r="C293" s="44" t="s">
        <v>802</v>
      </c>
      <c r="D293" s="46"/>
      <c r="E293" s="51"/>
      <c r="F293" s="47"/>
      <c r="G293" s="47"/>
      <c r="H293" s="47"/>
      <c r="I293" s="47"/>
      <c r="J293" s="47"/>
      <c r="K293" s="47"/>
      <c r="L293" s="52">
        <f>SUM(L294:L297)-SUMIF(CE294:CE297, 1, L294:L297)</f>
        <v>24.520000000000003</v>
      </c>
    </row>
    <row r="294" spans="1:83" ht="14.25" x14ac:dyDescent="0.2">
      <c r="A294" s="45"/>
      <c r="B294" s="45" t="s">
        <v>558</v>
      </c>
      <c r="C294" s="45" t="s">
        <v>560</v>
      </c>
      <c r="D294" s="46" t="s">
        <v>561</v>
      </c>
      <c r="E294" s="47">
        <v>0.96799999999999997</v>
      </c>
      <c r="F294" s="47"/>
      <c r="G294" s="47">
        <f>SmtRes!CX116</f>
        <v>0.19359999999999999</v>
      </c>
      <c r="H294" s="49"/>
      <c r="I294" s="48"/>
      <c r="J294" s="49">
        <f>SmtRes!CZ116</f>
        <v>6.78</v>
      </c>
      <c r="K294" s="48"/>
      <c r="L294" s="49">
        <f>SmtRes!DF116</f>
        <v>1.31</v>
      </c>
    </row>
    <row r="295" spans="1:83" ht="28.5" x14ac:dyDescent="0.2">
      <c r="A295" s="45"/>
      <c r="B295" s="45" t="s">
        <v>635</v>
      </c>
      <c r="C295" s="45" t="s">
        <v>637</v>
      </c>
      <c r="D295" s="46" t="s">
        <v>595</v>
      </c>
      <c r="E295" s="47">
        <v>0.20200000000000001</v>
      </c>
      <c r="F295" s="47"/>
      <c r="G295" s="47">
        <f>SmtRes!CX117</f>
        <v>4.0399999999999998E-2</v>
      </c>
      <c r="H295" s="49">
        <f>SmtRes!CZ117</f>
        <v>174.13</v>
      </c>
      <c r="I295" s="48">
        <f>SmtRes!AI117</f>
        <v>1.29</v>
      </c>
      <c r="J295" s="49">
        <f>ROUND(H295*I295, 2)</f>
        <v>224.63</v>
      </c>
      <c r="K295" s="48"/>
      <c r="L295" s="49">
        <f>SmtRes!DF117</f>
        <v>9.08</v>
      </c>
    </row>
    <row r="296" spans="1:83" ht="57" x14ac:dyDescent="0.2">
      <c r="A296" s="45"/>
      <c r="B296" s="45" t="s">
        <v>638</v>
      </c>
      <c r="C296" s="45" t="s">
        <v>640</v>
      </c>
      <c r="D296" s="46" t="s">
        <v>170</v>
      </c>
      <c r="E296" s="47">
        <v>0.2525</v>
      </c>
      <c r="F296" s="47"/>
      <c r="G296" s="47">
        <f>SmtRes!CX118</f>
        <v>5.0500000000000003E-2</v>
      </c>
      <c r="H296" s="49">
        <f>SmtRes!CZ118</f>
        <v>114.9</v>
      </c>
      <c r="I296" s="48">
        <f>SmtRes!AI118</f>
        <v>1.29</v>
      </c>
      <c r="J296" s="49">
        <f>ROUND(H296*I296, 2)</f>
        <v>148.22</v>
      </c>
      <c r="K296" s="48"/>
      <c r="L296" s="49">
        <f>SmtRes!DF118</f>
        <v>7.49</v>
      </c>
    </row>
    <row r="297" spans="1:83" ht="71.25" x14ac:dyDescent="0.2">
      <c r="A297" s="45"/>
      <c r="B297" s="45" t="s">
        <v>641</v>
      </c>
      <c r="C297" s="53" t="s">
        <v>643</v>
      </c>
      <c r="D297" s="54" t="s">
        <v>43</v>
      </c>
      <c r="E297" s="55">
        <v>0.5</v>
      </c>
      <c r="F297" s="55"/>
      <c r="G297" s="55">
        <f>SmtRes!CX119</f>
        <v>0.1</v>
      </c>
      <c r="H297" s="56">
        <f>SmtRes!CZ119</f>
        <v>53.58</v>
      </c>
      <c r="I297" s="57">
        <f>SmtRes!AI119</f>
        <v>1.24</v>
      </c>
      <c r="J297" s="56">
        <f>ROUND(H297*I297, 2)</f>
        <v>66.44</v>
      </c>
      <c r="K297" s="57"/>
      <c r="L297" s="56">
        <f>SmtRes!DF119</f>
        <v>6.64</v>
      </c>
    </row>
    <row r="298" spans="1:83" ht="15" x14ac:dyDescent="0.2">
      <c r="A298" s="45"/>
      <c r="B298" s="45"/>
      <c r="C298" s="59" t="s">
        <v>787</v>
      </c>
      <c r="D298" s="46"/>
      <c r="E298" s="47"/>
      <c r="F298" s="47"/>
      <c r="G298" s="47"/>
      <c r="H298" s="49"/>
      <c r="I298" s="48"/>
      <c r="J298" s="49"/>
      <c r="K298" s="48"/>
      <c r="L298" s="49">
        <f>L285+L289+L290+L293</f>
        <v>7698.9800000000005</v>
      </c>
    </row>
    <row r="299" spans="1:83" ht="156.75" x14ac:dyDescent="0.2">
      <c r="A299" s="43" t="s">
        <v>862</v>
      </c>
      <c r="B299" s="45" t="str">
        <f>Source!F80</f>
        <v>20.3.03.07-0011</v>
      </c>
      <c r="C299" s="45" t="str">
        <f>Source!G80</f>
        <v>Светильник светодиодный промышленный, крепление консольное, IP65, УХЛ1, рассеиватель поликарбонат, корпус алюминиевый с порошковой окраской, кривая силы света широкая, световой поток 4200-4600 лм, цветовая температура 3000-5000 К, мощность 25 Вт (Применительно. Светодиодная панель UlP-30120-36W/NW EFFECTIVE Uniel WHITE)</v>
      </c>
      <c r="D299" s="46" t="str">
        <f>Source!H80</f>
        <v>ШТ</v>
      </c>
      <c r="E299" s="47">
        <f>SmtRes!AT120</f>
        <v>100</v>
      </c>
      <c r="F299" s="47"/>
      <c r="G299" s="47">
        <f>Source!I80</f>
        <v>20</v>
      </c>
      <c r="H299" s="49">
        <f>Source!AL80+Source!AO80+Source!AM80+Source!AN80</f>
        <v>3128.52</v>
      </c>
      <c r="I299" s="48">
        <f>IF(Source!BC80&lt;&gt; 0, Source!BC80, 1)</f>
        <v>0.89</v>
      </c>
      <c r="J299" s="49">
        <f>ROUND(H299*I299, 2)</f>
        <v>2784.38</v>
      </c>
      <c r="K299" s="48"/>
      <c r="L299" s="49">
        <f>Source!P80</f>
        <v>55687.6</v>
      </c>
      <c r="AD299">
        <f>ROUND((Source!AT80/100)*((ROUND(ROUND(Source!AO80,2)*Source!I80, 2)+ROUND(ROUND(Source!AN80,2)*Source!I80, 2))), 2)</f>
        <v>0</v>
      </c>
      <c r="AE299">
        <f>ROUND((Source!AU80/100)*((ROUND(ROUND(Source!AO80,2)*Source!I80, 2)+ROUND(ROUND(Source!AN80,2)*Source!I80, 2))), 2)</f>
        <v>0</v>
      </c>
      <c r="AN299">
        <f>L299</f>
        <v>55687.6</v>
      </c>
      <c r="AW299">
        <f>L299</f>
        <v>55687.6</v>
      </c>
      <c r="AZ299">
        <f>Source!X80</f>
        <v>0</v>
      </c>
      <c r="BA299">
        <f>Source!Y80</f>
        <v>0</v>
      </c>
      <c r="CD299">
        <v>2</v>
      </c>
    </row>
    <row r="300" spans="1:83" ht="57" x14ac:dyDescent="0.2">
      <c r="A300" s="43" t="s">
        <v>863</v>
      </c>
      <c r="B300" s="45" t="str">
        <f>Source!F81</f>
        <v>421/пр_2020_п.75_пп.а</v>
      </c>
      <c r="C300" s="45" t="str">
        <f>Source!G81</f>
        <v>Сметная стоимость вспомогательных ненормируемых материальных ресурсов, не учтенная в сметной норме, 2%</v>
      </c>
      <c r="D300" s="46" t="str">
        <f>Source!H81</f>
        <v>%</v>
      </c>
      <c r="E300" s="47">
        <f>SmtRes!AT121</f>
        <v>2</v>
      </c>
      <c r="F300" s="47"/>
      <c r="G300" s="47">
        <f>Source!I81</f>
        <v>2</v>
      </c>
      <c r="H300" s="49"/>
      <c r="I300" s="48"/>
      <c r="J300" s="49"/>
      <c r="K300" s="48"/>
      <c r="L300" s="49">
        <f>Source!P81</f>
        <v>152.4</v>
      </c>
      <c r="AD300">
        <f>ROUND((Source!AT81/100)*((ROUND(0*Source!I81, 2)+ROUND(0*Source!I81, 2))), 2)</f>
        <v>0</v>
      </c>
      <c r="AE300">
        <f>ROUND((Source!AU81/100)*((ROUND(0*Source!I81, 2)+ROUND(0*Source!I81, 2))), 2)</f>
        <v>0</v>
      </c>
      <c r="AN300">
        <f>L300</f>
        <v>152.4</v>
      </c>
      <c r="AW300">
        <f>L300</f>
        <v>152.4</v>
      </c>
      <c r="AZ300">
        <f>Source!X81</f>
        <v>0</v>
      </c>
      <c r="BA300">
        <f>Source!Y81</f>
        <v>0</v>
      </c>
      <c r="CD300">
        <v>2</v>
      </c>
    </row>
    <row r="301" spans="1:83" ht="14.25" x14ac:dyDescent="0.2">
      <c r="A301" s="45"/>
      <c r="B301" s="45"/>
      <c r="C301" s="45" t="s">
        <v>790</v>
      </c>
      <c r="D301" s="46"/>
      <c r="E301" s="47"/>
      <c r="F301" s="47"/>
      <c r="G301" s="47"/>
      <c r="H301" s="49"/>
      <c r="I301" s="48"/>
      <c r="J301" s="49"/>
      <c r="K301" s="48"/>
      <c r="L301" s="49">
        <f>SUM(AR283:AR304)+SUM(AS283:AS304)+SUM(AT283:AT304)+SUM(AU283:AU304)+SUM(AV283:AV304)</f>
        <v>7648.7300000000005</v>
      </c>
    </row>
    <row r="302" spans="1:83" ht="28.5" x14ac:dyDescent="0.2">
      <c r="A302" s="45"/>
      <c r="B302" s="45" t="s">
        <v>52</v>
      </c>
      <c r="C302" s="45" t="s">
        <v>804</v>
      </c>
      <c r="D302" s="46" t="s">
        <v>57</v>
      </c>
      <c r="E302" s="47">
        <f>Source!BZ79</f>
        <v>97</v>
      </c>
      <c r="F302" s="47"/>
      <c r="G302" s="47">
        <f>Source!AT79</f>
        <v>97</v>
      </c>
      <c r="H302" s="49"/>
      <c r="I302" s="48"/>
      <c r="J302" s="49"/>
      <c r="K302" s="48"/>
      <c r="L302" s="49">
        <f>SUM(AZ283:AZ304)</f>
        <v>7419.27</v>
      </c>
    </row>
    <row r="303" spans="1:83" ht="28.5" x14ac:dyDescent="0.2">
      <c r="A303" s="53"/>
      <c r="B303" s="53" t="s">
        <v>53</v>
      </c>
      <c r="C303" s="53" t="s">
        <v>805</v>
      </c>
      <c r="D303" s="54" t="s">
        <v>57</v>
      </c>
      <c r="E303" s="55">
        <f>Source!CA79</f>
        <v>51</v>
      </c>
      <c r="F303" s="55"/>
      <c r="G303" s="55">
        <f>Source!AU79</f>
        <v>51</v>
      </c>
      <c r="H303" s="56"/>
      <c r="I303" s="57"/>
      <c r="J303" s="56"/>
      <c r="K303" s="57"/>
      <c r="L303" s="56">
        <f>SUM(BA283:BA304)</f>
        <v>3900.85</v>
      </c>
    </row>
    <row r="304" spans="1:83" ht="15" x14ac:dyDescent="0.2">
      <c r="C304" s="92" t="s">
        <v>793</v>
      </c>
      <c r="D304" s="92"/>
      <c r="E304" s="92"/>
      <c r="F304" s="92"/>
      <c r="G304" s="92"/>
      <c r="H304" s="92"/>
      <c r="I304" s="93">
        <f>IF(E283&lt;&gt;0,K304/E283, 0)</f>
        <v>374295.5</v>
      </c>
      <c r="J304" s="93"/>
      <c r="K304" s="93">
        <f>L285+L289+L293+L302+L303+L290+SUM(L299:L300)</f>
        <v>74859.100000000006</v>
      </c>
      <c r="L304" s="93"/>
      <c r="AD304">
        <f>ROUND((Source!AT79/100)*((ROUND(SUMIF(SmtRes!AQ111:'SmtRes'!AQ121,"=1",SmtRes!AD111:'SmtRes'!AD121)*Source!I79, 2)+ROUND(SUMIF(SmtRes!AQ111:'SmtRes'!AQ121,"=1",SmtRes!AC111:'SmtRes'!AC121)*Source!I79, 2))), 2)</f>
        <v>498.64</v>
      </c>
      <c r="AE304">
        <f>ROUND((Source!AU79/100)*((ROUND(SUMIF(SmtRes!AQ111:'SmtRes'!AQ121,"=1",SmtRes!AD111:'SmtRes'!AD121)*Source!I79, 2)+ROUND(SUMIF(SmtRes!AQ111:'SmtRes'!AQ121,"=1",SmtRes!AC111:'SmtRes'!AC121)*Source!I79, 2))), 2)</f>
        <v>262.17</v>
      </c>
      <c r="AN304" s="58">
        <f>L285+L289+L293+L302+L303+L290</f>
        <v>19019.100000000002</v>
      </c>
      <c r="AO304" s="58">
        <f>L289</f>
        <v>25.729999999999997</v>
      </c>
      <c r="AQ304" t="s">
        <v>794</v>
      </c>
      <c r="AR304" s="58">
        <f>L285</f>
        <v>7619.85</v>
      </c>
      <c r="AT304" s="58">
        <f>L290</f>
        <v>28.88</v>
      </c>
      <c r="AV304" t="s">
        <v>794</v>
      </c>
      <c r="AW304" s="58">
        <f>L293</f>
        <v>24.520000000000003</v>
      </c>
      <c r="AZ304">
        <f>Source!X79</f>
        <v>7419.27</v>
      </c>
      <c r="BA304">
        <f>Source!Y79</f>
        <v>3900.85</v>
      </c>
      <c r="CD304">
        <v>2</v>
      </c>
    </row>
    <row r="306" spans="1:12" ht="15" x14ac:dyDescent="0.2">
      <c r="A306" s="64"/>
      <c r="B306" s="65"/>
      <c r="C306" s="86" t="s">
        <v>864</v>
      </c>
      <c r="D306" s="86"/>
      <c r="E306" s="86"/>
      <c r="F306" s="86"/>
      <c r="G306" s="86"/>
      <c r="H306" s="86"/>
      <c r="I306" s="52"/>
      <c r="J306" s="64"/>
      <c r="K306" s="66"/>
      <c r="L306" s="52">
        <f>L308+L309+L315+L319</f>
        <v>219395.47000000003</v>
      </c>
    </row>
    <row r="307" spans="1:12" ht="14.25" x14ac:dyDescent="0.2">
      <c r="A307" s="60"/>
      <c r="B307" s="63"/>
      <c r="C307" s="89" t="s">
        <v>865</v>
      </c>
      <c r="D307" s="87"/>
      <c r="E307" s="87"/>
      <c r="F307" s="87"/>
      <c r="G307" s="87"/>
      <c r="H307" s="87"/>
      <c r="I307" s="49"/>
      <c r="J307" s="60"/>
      <c r="K307" s="47"/>
      <c r="L307" s="49"/>
    </row>
    <row r="308" spans="1:12" ht="14.25" x14ac:dyDescent="0.2">
      <c r="A308" s="60"/>
      <c r="B308" s="63"/>
      <c r="C308" s="87" t="s">
        <v>866</v>
      </c>
      <c r="D308" s="87"/>
      <c r="E308" s="87"/>
      <c r="F308" s="87"/>
      <c r="G308" s="87"/>
      <c r="H308" s="87"/>
      <c r="I308" s="49"/>
      <c r="J308" s="60"/>
      <c r="K308" s="47"/>
      <c r="L308" s="49">
        <f>SUM(AR53:AR304)</f>
        <v>63641.8</v>
      </c>
    </row>
    <row r="309" spans="1:12" ht="14.25" hidden="1" x14ac:dyDescent="0.2">
      <c r="A309" s="60"/>
      <c r="B309" s="63"/>
      <c r="C309" s="87" t="s">
        <v>867</v>
      </c>
      <c r="D309" s="87"/>
      <c r="E309" s="87"/>
      <c r="F309" s="87"/>
      <c r="G309" s="87"/>
      <c r="H309" s="87"/>
      <c r="I309" s="49"/>
      <c r="J309" s="60"/>
      <c r="K309" s="47"/>
      <c r="L309" s="49">
        <f>L311+L314+L313</f>
        <v>-2212.3599999999997</v>
      </c>
    </row>
    <row r="310" spans="1:12" ht="14.25" hidden="1" x14ac:dyDescent="0.2">
      <c r="A310" s="60"/>
      <c r="B310" s="63"/>
      <c r="C310" s="89" t="s">
        <v>868</v>
      </c>
      <c r="D310" s="87"/>
      <c r="E310" s="87"/>
      <c r="F310" s="87"/>
      <c r="G310" s="87"/>
      <c r="H310" s="87"/>
      <c r="I310" s="49"/>
      <c r="J310" s="60"/>
      <c r="K310" s="47"/>
      <c r="L310" s="49"/>
    </row>
    <row r="311" spans="1:12" ht="14.25" x14ac:dyDescent="0.2">
      <c r="A311" s="60"/>
      <c r="B311" s="63"/>
      <c r="C311" s="87" t="s">
        <v>867</v>
      </c>
      <c r="D311" s="87"/>
      <c r="E311" s="87"/>
      <c r="F311" s="87"/>
      <c r="G311" s="87"/>
      <c r="H311" s="87"/>
      <c r="I311" s="49"/>
      <c r="J311" s="60"/>
      <c r="K311" s="47"/>
      <c r="L311" s="49">
        <f>SUM(AO53:AO304)</f>
        <v>-1319.05</v>
      </c>
    </row>
    <row r="312" spans="1:12" ht="14.25" hidden="1" x14ac:dyDescent="0.2">
      <c r="A312" s="60"/>
      <c r="B312" s="63"/>
      <c r="C312" s="89" t="s">
        <v>869</v>
      </c>
      <c r="D312" s="87"/>
      <c r="E312" s="87"/>
      <c r="F312" s="87"/>
      <c r="G312" s="87"/>
      <c r="H312" s="87"/>
      <c r="I312" s="49"/>
      <c r="J312" s="60"/>
      <c r="K312" s="47"/>
      <c r="L312" s="49"/>
    </row>
    <row r="313" spans="1:12" ht="14.25" x14ac:dyDescent="0.2">
      <c r="A313" s="60"/>
      <c r="B313" s="63"/>
      <c r="C313" s="87" t="s">
        <v>889</v>
      </c>
      <c r="D313" s="87"/>
      <c r="E313" s="87"/>
      <c r="F313" s="87"/>
      <c r="G313" s="87"/>
      <c r="H313" s="87"/>
      <c r="I313" s="49"/>
      <c r="J313" s="60"/>
      <c r="K313" s="47"/>
      <c r="L313" s="49">
        <f>SUM(AT53:AT304)</f>
        <v>-893.31</v>
      </c>
    </row>
    <row r="314" spans="1:12" ht="14.25" hidden="1" x14ac:dyDescent="0.2">
      <c r="A314" s="60"/>
      <c r="B314" s="63"/>
      <c r="C314" s="87" t="s">
        <v>870</v>
      </c>
      <c r="D314" s="87"/>
      <c r="E314" s="87"/>
      <c r="F314" s="87"/>
      <c r="G314" s="87"/>
      <c r="H314" s="87"/>
      <c r="I314" s="49"/>
      <c r="J314" s="60"/>
      <c r="K314" s="47"/>
      <c r="L314" s="49">
        <f>SUM(AV53:AV304)</f>
        <v>0</v>
      </c>
    </row>
    <row r="315" spans="1:12" ht="14.25" x14ac:dyDescent="0.2">
      <c r="A315" s="60"/>
      <c r="B315" s="63"/>
      <c r="C315" s="87" t="s">
        <v>871</v>
      </c>
      <c r="D315" s="87"/>
      <c r="E315" s="87"/>
      <c r="F315" s="87"/>
      <c r="G315" s="87"/>
      <c r="H315" s="87"/>
      <c r="I315" s="49"/>
      <c r="J315" s="60"/>
      <c r="K315" s="47"/>
      <c r="L315" s="49">
        <f>L317+L318</f>
        <v>157966.03000000003</v>
      </c>
    </row>
    <row r="316" spans="1:12" ht="14.25" x14ac:dyDescent="0.2">
      <c r="A316" s="60"/>
      <c r="B316" s="63"/>
      <c r="C316" s="89" t="s">
        <v>868</v>
      </c>
      <c r="D316" s="87"/>
      <c r="E316" s="87"/>
      <c r="F316" s="87"/>
      <c r="G316" s="87"/>
      <c r="H316" s="87"/>
      <c r="I316" s="49"/>
      <c r="J316" s="60"/>
      <c r="K316" s="47"/>
      <c r="L316" s="49"/>
    </row>
    <row r="317" spans="1:12" ht="14.25" x14ac:dyDescent="0.2">
      <c r="A317" s="60"/>
      <c r="B317" s="63"/>
      <c r="C317" s="87" t="s">
        <v>872</v>
      </c>
      <c r="D317" s="87"/>
      <c r="E317" s="87"/>
      <c r="F317" s="87"/>
      <c r="G317" s="87"/>
      <c r="H317" s="87"/>
      <c r="I317" s="49"/>
      <c r="J317" s="60"/>
      <c r="K317" s="47"/>
      <c r="L317" s="49">
        <f>SUM(AW53:AW304)-SUM(BK53:BK304)</f>
        <v>157966.03000000003</v>
      </c>
    </row>
    <row r="318" spans="1:12" ht="14.25" hidden="1" x14ac:dyDescent="0.2">
      <c r="A318" s="60"/>
      <c r="B318" s="63"/>
      <c r="C318" s="87" t="s">
        <v>873</v>
      </c>
      <c r="D318" s="87"/>
      <c r="E318" s="87"/>
      <c r="F318" s="87"/>
      <c r="G318" s="87"/>
      <c r="H318" s="87"/>
      <c r="I318" s="49"/>
      <c r="J318" s="60"/>
      <c r="K318" s="47"/>
      <c r="L318" s="49">
        <f>SUM(BC53:BC304)</f>
        <v>0</v>
      </c>
    </row>
    <row r="319" spans="1:12" ht="14.25" hidden="1" x14ac:dyDescent="0.2">
      <c r="A319" s="60"/>
      <c r="B319" s="63"/>
      <c r="C319" s="87" t="s">
        <v>874</v>
      </c>
      <c r="D319" s="87"/>
      <c r="E319" s="87"/>
      <c r="F319" s="87"/>
      <c r="G319" s="87"/>
      <c r="H319" s="87"/>
      <c r="I319" s="49"/>
      <c r="J319" s="60"/>
      <c r="K319" s="47"/>
      <c r="L319" s="49">
        <f>SUM(BB53:BB304)</f>
        <v>0</v>
      </c>
    </row>
    <row r="320" spans="1:12" ht="14.25" x14ac:dyDescent="0.2">
      <c r="A320" s="60"/>
      <c r="B320" s="63"/>
      <c r="C320" s="87" t="s">
        <v>875</v>
      </c>
      <c r="D320" s="87"/>
      <c r="E320" s="87"/>
      <c r="F320" s="87"/>
      <c r="G320" s="87"/>
      <c r="H320" s="87"/>
      <c r="I320" s="49"/>
      <c r="J320" s="60"/>
      <c r="K320" s="47"/>
      <c r="L320" s="49">
        <f>SUM(AR53:AR304)+SUM(AT53:AT304)+SUM(AV53:AV304)</f>
        <v>62748.490000000005</v>
      </c>
    </row>
    <row r="321" spans="1:12" ht="14.25" x14ac:dyDescent="0.2">
      <c r="A321" s="60"/>
      <c r="B321" s="63"/>
      <c r="C321" s="87" t="s">
        <v>876</v>
      </c>
      <c r="D321" s="87"/>
      <c r="E321" s="87"/>
      <c r="F321" s="87"/>
      <c r="G321" s="87"/>
      <c r="H321" s="87"/>
      <c r="I321" s="49"/>
      <c r="J321" s="60"/>
      <c r="K321" s="47"/>
      <c r="L321" s="49">
        <f>SUM(AZ53:AZ304)</f>
        <v>60185.86</v>
      </c>
    </row>
    <row r="322" spans="1:12" ht="14.25" x14ac:dyDescent="0.2">
      <c r="A322" s="60"/>
      <c r="B322" s="63"/>
      <c r="C322" s="87" t="s">
        <v>877</v>
      </c>
      <c r="D322" s="87"/>
      <c r="E322" s="87"/>
      <c r="F322" s="87"/>
      <c r="G322" s="87"/>
      <c r="H322" s="87"/>
      <c r="I322" s="49"/>
      <c r="J322" s="60"/>
      <c r="K322" s="47"/>
      <c r="L322" s="49">
        <f>SUM(BA53:BA304)</f>
        <v>31609.34</v>
      </c>
    </row>
    <row r="323" spans="1:12" ht="14.25" hidden="1" x14ac:dyDescent="0.2">
      <c r="A323" s="60"/>
      <c r="B323" s="63"/>
      <c r="C323" s="87" t="s">
        <v>878</v>
      </c>
      <c r="D323" s="87"/>
      <c r="E323" s="87"/>
      <c r="F323" s="87"/>
      <c r="G323" s="87"/>
      <c r="H323" s="87"/>
      <c r="I323" s="49"/>
      <c r="J323" s="60"/>
      <c r="K323" s="47"/>
      <c r="L323" s="49">
        <f>L325+L326</f>
        <v>0</v>
      </c>
    </row>
    <row r="324" spans="1:12" ht="14.25" hidden="1" x14ac:dyDescent="0.2">
      <c r="A324" s="60"/>
      <c r="B324" s="63"/>
      <c r="C324" s="89" t="s">
        <v>865</v>
      </c>
      <c r="D324" s="87"/>
      <c r="E324" s="87"/>
      <c r="F324" s="87"/>
      <c r="G324" s="87"/>
      <c r="H324" s="87"/>
      <c r="I324" s="49"/>
      <c r="J324" s="60"/>
      <c r="K324" s="47"/>
      <c r="L324" s="49"/>
    </row>
    <row r="325" spans="1:12" ht="14.25" hidden="1" x14ac:dyDescent="0.2">
      <c r="A325" s="60"/>
      <c r="B325" s="63"/>
      <c r="C325" s="87" t="s">
        <v>879</v>
      </c>
      <c r="D325" s="87"/>
      <c r="E325" s="87"/>
      <c r="F325" s="87"/>
      <c r="G325" s="87"/>
      <c r="H325" s="87"/>
      <c r="I325" s="49"/>
      <c r="J325" s="60"/>
      <c r="K325" s="47"/>
      <c r="L325" s="49">
        <f>SUM(BK53:BK304)</f>
        <v>0</v>
      </c>
    </row>
    <row r="326" spans="1:12" ht="14.25" hidden="1" x14ac:dyDescent="0.2">
      <c r="A326" s="60"/>
      <c r="B326" s="63"/>
      <c r="C326" s="87" t="s">
        <v>880</v>
      </c>
      <c r="D326" s="87"/>
      <c r="E326" s="87"/>
      <c r="F326" s="87"/>
      <c r="G326" s="87"/>
      <c r="H326" s="87"/>
      <c r="I326" s="49"/>
      <c r="J326" s="60"/>
      <c r="K326" s="47"/>
      <c r="L326" s="49">
        <f>SUM(BD53:BD304)</f>
        <v>0</v>
      </c>
    </row>
    <row r="327" spans="1:12" ht="14.25" hidden="1" x14ac:dyDescent="0.2">
      <c r="A327" s="60"/>
      <c r="B327" s="63"/>
      <c r="C327" s="87" t="s">
        <v>881</v>
      </c>
      <c r="D327" s="87"/>
      <c r="E327" s="87"/>
      <c r="F327" s="87"/>
      <c r="G327" s="87"/>
      <c r="H327" s="87"/>
      <c r="I327" s="49"/>
      <c r="J327" s="60"/>
      <c r="K327" s="47"/>
      <c r="L327" s="49"/>
    </row>
    <row r="328" spans="1:12" ht="14.25" hidden="1" x14ac:dyDescent="0.2">
      <c r="A328" s="60"/>
      <c r="B328" s="63"/>
      <c r="C328" s="87" t="s">
        <v>881</v>
      </c>
      <c r="D328" s="87"/>
      <c r="E328" s="87"/>
      <c r="F328" s="87"/>
      <c r="G328" s="87"/>
      <c r="H328" s="87"/>
      <c r="I328" s="49"/>
      <c r="J328" s="60"/>
      <c r="K328" s="47"/>
      <c r="L328" s="49">
        <f>SUM(BQ53:BQ304)</f>
        <v>0</v>
      </c>
    </row>
    <row r="329" spans="1:12" ht="14.25" hidden="1" x14ac:dyDescent="0.2">
      <c r="A329" s="60"/>
      <c r="B329" s="63"/>
      <c r="C329" s="87" t="s">
        <v>882</v>
      </c>
      <c r="D329" s="87"/>
      <c r="E329" s="87"/>
      <c r="F329" s="87"/>
      <c r="G329" s="87"/>
      <c r="H329" s="87"/>
      <c r="I329" s="49"/>
      <c r="J329" s="60"/>
      <c r="K329" s="47"/>
      <c r="L329" s="49">
        <f>SUM(BO53:BO304)</f>
        <v>0</v>
      </c>
    </row>
    <row r="330" spans="1:12" ht="15" x14ac:dyDescent="0.2">
      <c r="A330" s="64"/>
      <c r="B330" s="65"/>
      <c r="C330" s="86" t="s">
        <v>883</v>
      </c>
      <c r="D330" s="86"/>
      <c r="E330" s="86"/>
      <c r="F330" s="86"/>
      <c r="G330" s="86"/>
      <c r="H330" s="86"/>
      <c r="I330" s="52"/>
      <c r="J330" s="64"/>
      <c r="K330" s="66"/>
      <c r="L330" s="52">
        <f>L306+L321+L322+L323+L328+L329</f>
        <v>311190.67000000004</v>
      </c>
    </row>
    <row r="331" spans="1:12" ht="14.25" x14ac:dyDescent="0.2">
      <c r="A331" s="60"/>
      <c r="B331" s="63"/>
      <c r="C331" s="89" t="s">
        <v>884</v>
      </c>
      <c r="D331" s="87"/>
      <c r="E331" s="87"/>
      <c r="F331" s="87"/>
      <c r="G331" s="87"/>
      <c r="H331" s="87"/>
      <c r="I331" s="49"/>
      <c r="J331" s="60"/>
      <c r="K331" s="47"/>
      <c r="L331" s="49"/>
    </row>
    <row r="332" spans="1:12" ht="14.25" hidden="1" x14ac:dyDescent="0.2">
      <c r="A332" s="60"/>
      <c r="B332" s="63"/>
      <c r="C332" s="87" t="s">
        <v>885</v>
      </c>
      <c r="D332" s="87"/>
      <c r="E332" s="87"/>
      <c r="F332" s="87"/>
      <c r="G332" s="87"/>
      <c r="H332" s="87"/>
      <c r="I332" s="49"/>
      <c r="J332" s="60"/>
      <c r="K332" s="47"/>
      <c r="L332" s="49">
        <f>SUM(AX53:AX304)</f>
        <v>0</v>
      </c>
    </row>
    <row r="333" spans="1:12" ht="14.25" hidden="1" x14ac:dyDescent="0.2">
      <c r="A333" s="60"/>
      <c r="B333" s="63"/>
      <c r="C333" s="87" t="s">
        <v>886</v>
      </c>
      <c r="D333" s="87"/>
      <c r="E333" s="87"/>
      <c r="F333" s="87"/>
      <c r="G333" s="87"/>
      <c r="H333" s="87"/>
      <c r="I333" s="49"/>
      <c r="J333" s="60"/>
      <c r="K333" s="47"/>
      <c r="L333" s="49">
        <f>SUM(AY53:AY304)</f>
        <v>0</v>
      </c>
    </row>
    <row r="334" spans="1:12" ht="14.25" x14ac:dyDescent="0.2">
      <c r="A334" s="60"/>
      <c r="B334" s="63"/>
      <c r="C334" s="87" t="s">
        <v>887</v>
      </c>
      <c r="D334" s="87"/>
      <c r="E334" s="87"/>
      <c r="F334" s="88"/>
      <c r="G334" s="51">
        <f>Source!F105</f>
        <v>91.621899999999997</v>
      </c>
      <c r="H334" s="60"/>
      <c r="I334" s="60"/>
      <c r="J334" s="60"/>
      <c r="K334" s="60"/>
      <c r="L334" s="60"/>
    </row>
    <row r="335" spans="1:12" ht="14.25" x14ac:dyDescent="0.2">
      <c r="A335" s="60"/>
      <c r="B335" s="63"/>
      <c r="C335" s="87" t="s">
        <v>888</v>
      </c>
      <c r="D335" s="87"/>
      <c r="E335" s="87"/>
      <c r="F335" s="88"/>
      <c r="G335" s="51">
        <f>Source!F106</f>
        <v>0.04</v>
      </c>
      <c r="H335" s="60"/>
      <c r="I335" s="60"/>
      <c r="J335" s="60"/>
      <c r="K335" s="60"/>
      <c r="L335" s="60"/>
    </row>
    <row r="338" spans="1:83" ht="16.5" x14ac:dyDescent="0.2">
      <c r="A338" s="95" t="s">
        <v>890</v>
      </c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</row>
    <row r="339" spans="1:83" ht="133.5" x14ac:dyDescent="0.2">
      <c r="A339" s="43" t="s">
        <v>263</v>
      </c>
      <c r="B339" s="45" t="s">
        <v>891</v>
      </c>
      <c r="C339" s="45" t="s">
        <v>892</v>
      </c>
      <c r="D339" s="46" t="str">
        <f>Source!H117</f>
        <v>ШТ</v>
      </c>
      <c r="E339" s="47">
        <f>Source!K117</f>
        <v>9</v>
      </c>
      <c r="F339" s="47"/>
      <c r="G339" s="47">
        <f>Source!I117</f>
        <v>9</v>
      </c>
      <c r="H339" s="49"/>
      <c r="I339" s="48"/>
      <c r="J339" s="49"/>
      <c r="K339" s="48"/>
      <c r="L339" s="49"/>
    </row>
    <row r="340" spans="1:83" ht="267.75" x14ac:dyDescent="0.2">
      <c r="B340" s="61" t="str">
        <f>Source!EO117</f>
        <v>Поправка: 421/пр_2020_п.58_пп.б
Поправка: 571/пр_2022_п.83_т.2_стр.4_стб.3</v>
      </c>
      <c r="C340" s="61" t="str">
        <f>Source!CN117</f>
        <v>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
Поправка: 571/пр_2022_п.83_т.2_стр.4_стб.3
Наименование: Разборка и (или) демонтаж строительных конструкций, систем и сетей инженерно-технического обеспечения, в том числе их элементов: металлических, металлокомпозитных, композитных конструкций</v>
      </c>
    </row>
    <row r="341" spans="1:83" ht="15" x14ac:dyDescent="0.2">
      <c r="A341" s="44"/>
      <c r="B341" s="47">
        <v>1</v>
      </c>
      <c r="C341" s="44" t="s">
        <v>786</v>
      </c>
      <c r="D341" s="46" t="s">
        <v>541</v>
      </c>
      <c r="E341" s="51"/>
      <c r="F341" s="47"/>
      <c r="G341" s="47">
        <f>Source!U117</f>
        <v>7.7521500000000003</v>
      </c>
      <c r="H341" s="47"/>
      <c r="I341" s="47"/>
      <c r="J341" s="47"/>
      <c r="K341" s="47"/>
      <c r="L341" s="52">
        <f>SUM(L342:L342)-SUMIF(CE342:CE342, 1, L342:L342)</f>
        <v>5221.46</v>
      </c>
    </row>
    <row r="342" spans="1:83" ht="14.25" x14ac:dyDescent="0.2">
      <c r="A342" s="45"/>
      <c r="B342" s="45" t="s">
        <v>644</v>
      </c>
      <c r="C342" s="45" t="s">
        <v>645</v>
      </c>
      <c r="D342" s="46" t="s">
        <v>541</v>
      </c>
      <c r="E342" s="47">
        <v>1.07</v>
      </c>
      <c r="F342" s="47">
        <f>ROUND((1.15)*0.7,7)</f>
        <v>0.80500000000000005</v>
      </c>
      <c r="G342" s="47">
        <f>SmtRes!CX122</f>
        <v>7.7521500000000003</v>
      </c>
      <c r="H342" s="49"/>
      <c r="I342" s="48"/>
      <c r="J342" s="49">
        <f>SmtRes!CZ122</f>
        <v>673.55</v>
      </c>
      <c r="K342" s="48"/>
      <c r="L342" s="49">
        <f>SmtRes!DI122</f>
        <v>5221.46</v>
      </c>
    </row>
    <row r="343" spans="1:83" ht="15" x14ac:dyDescent="0.2">
      <c r="A343" s="44"/>
      <c r="B343" s="47">
        <v>2</v>
      </c>
      <c r="C343" s="44" t="s">
        <v>800</v>
      </c>
      <c r="D343" s="46"/>
      <c r="E343" s="51"/>
      <c r="F343" s="47"/>
      <c r="G343" s="47"/>
      <c r="H343" s="47"/>
      <c r="I343" s="47"/>
      <c r="J343" s="47"/>
      <c r="K343" s="47"/>
      <c r="L343" s="52">
        <f>SUM(L344:L345)-SUMIF(CE344:CE345, 1, L344:L345)</f>
        <v>25.4</v>
      </c>
    </row>
    <row r="344" spans="1:83" ht="15" hidden="1" x14ac:dyDescent="0.2">
      <c r="A344" s="44"/>
      <c r="B344" s="47"/>
      <c r="C344" s="44" t="s">
        <v>801</v>
      </c>
      <c r="D344" s="46" t="s">
        <v>541</v>
      </c>
      <c r="E344" s="51"/>
      <c r="F344" s="47"/>
      <c r="G344" s="47">
        <f>Source!V117</f>
        <v>0</v>
      </c>
      <c r="H344" s="47"/>
      <c r="I344" s="47"/>
      <c r="J344" s="47"/>
      <c r="K344" s="47"/>
      <c r="L344" s="52">
        <f>SUMIF(CE345:CE345, 1, L345:L345)</f>
        <v>0</v>
      </c>
      <c r="CE344">
        <v>1</v>
      </c>
    </row>
    <row r="345" spans="1:83" ht="42.75" x14ac:dyDescent="0.2">
      <c r="A345" s="45"/>
      <c r="B345" s="45" t="s">
        <v>549</v>
      </c>
      <c r="C345" s="45" t="s">
        <v>551</v>
      </c>
      <c r="D345" s="46" t="s">
        <v>29</v>
      </c>
      <c r="E345" s="47">
        <v>0.1</v>
      </c>
      <c r="F345" s="47">
        <f>ROUND((1.25)*0.7,7)</f>
        <v>0.875</v>
      </c>
      <c r="G345" s="47">
        <f>SmtRes!CX125</f>
        <v>0.78749999999999998</v>
      </c>
      <c r="H345" s="49"/>
      <c r="I345" s="48"/>
      <c r="J345" s="49">
        <f>SmtRes!CZ125</f>
        <v>32.26</v>
      </c>
      <c r="K345" s="48"/>
      <c r="L345" s="49">
        <f>SmtRes!DG125</f>
        <v>25.4</v>
      </c>
    </row>
    <row r="346" spans="1:83" ht="15" hidden="1" x14ac:dyDescent="0.2">
      <c r="A346" s="44"/>
      <c r="B346" s="47">
        <v>4</v>
      </c>
      <c r="C346" s="44" t="s">
        <v>802</v>
      </c>
      <c r="D346" s="46"/>
      <c r="E346" s="51"/>
      <c r="F346" s="47"/>
      <c r="G346" s="47"/>
      <c r="H346" s="47"/>
      <c r="I346" s="47"/>
      <c r="J346" s="47"/>
      <c r="K346" s="47"/>
      <c r="L346" s="52">
        <f>SUM(L347:L350)-SUMIF(CE347:CE350, 1, L347:L350)</f>
        <v>0</v>
      </c>
    </row>
    <row r="347" spans="1:83" ht="14.25" x14ac:dyDescent="0.2">
      <c r="A347" s="45"/>
      <c r="B347" s="45" t="s">
        <v>558</v>
      </c>
      <c r="C347" s="45" t="s">
        <v>560</v>
      </c>
      <c r="D347" s="46" t="s">
        <v>561</v>
      </c>
      <c r="E347" s="47">
        <v>0.1404</v>
      </c>
      <c r="F347" s="47">
        <f>ROUND(0,7)</f>
        <v>0</v>
      </c>
      <c r="G347" s="47">
        <f>SmtRes!CX126</f>
        <v>0</v>
      </c>
      <c r="H347" s="49"/>
      <c r="I347" s="48"/>
      <c r="J347" s="49">
        <f>SmtRes!CZ126</f>
        <v>6.78</v>
      </c>
      <c r="K347" s="48"/>
      <c r="L347" s="49">
        <f>SmtRes!DF126</f>
        <v>0</v>
      </c>
    </row>
    <row r="348" spans="1:83" ht="57" x14ac:dyDescent="0.2">
      <c r="A348" s="45"/>
      <c r="B348" s="45" t="s">
        <v>565</v>
      </c>
      <c r="C348" s="45" t="s">
        <v>567</v>
      </c>
      <c r="D348" s="46" t="s">
        <v>170</v>
      </c>
      <c r="E348" s="47">
        <v>0.11</v>
      </c>
      <c r="F348" s="47">
        <f>ROUND(0,7)</f>
        <v>0</v>
      </c>
      <c r="G348" s="47">
        <f>SmtRes!CX127</f>
        <v>0</v>
      </c>
      <c r="H348" s="49">
        <f>SmtRes!CZ127</f>
        <v>155.63</v>
      </c>
      <c r="I348" s="48">
        <f>SmtRes!AI127</f>
        <v>0.78</v>
      </c>
      <c r="J348" s="49">
        <f>ROUND(H348*I348, 2)</f>
        <v>121.39</v>
      </c>
      <c r="K348" s="48"/>
      <c r="L348" s="49">
        <f>SmtRes!DF127</f>
        <v>0</v>
      </c>
    </row>
    <row r="349" spans="1:83" ht="28.5" x14ac:dyDescent="0.2">
      <c r="A349" s="45"/>
      <c r="B349" s="45" t="s">
        <v>646</v>
      </c>
      <c r="C349" s="45" t="s">
        <v>648</v>
      </c>
      <c r="D349" s="46" t="s">
        <v>649</v>
      </c>
      <c r="E349" s="47">
        <v>2.9999999999999997E-4</v>
      </c>
      <c r="F349" s="47">
        <f>ROUND(0,7)</f>
        <v>0</v>
      </c>
      <c r="G349" s="47">
        <f>SmtRes!CX128</f>
        <v>0</v>
      </c>
      <c r="H349" s="49"/>
      <c r="I349" s="48"/>
      <c r="J349" s="49">
        <f>SmtRes!CZ128</f>
        <v>5103.8</v>
      </c>
      <c r="K349" s="48"/>
      <c r="L349" s="49">
        <f>SmtRes!DF128</f>
        <v>0</v>
      </c>
    </row>
    <row r="350" spans="1:83" ht="28.5" x14ac:dyDescent="0.2">
      <c r="A350" s="45"/>
      <c r="B350" s="45" t="s">
        <v>650</v>
      </c>
      <c r="C350" s="45" t="s">
        <v>652</v>
      </c>
      <c r="D350" s="46" t="s">
        <v>165</v>
      </c>
      <c r="E350" s="47">
        <v>4.2999999999999999E-4</v>
      </c>
      <c r="F350" s="47">
        <f>ROUND(0,7)</f>
        <v>0</v>
      </c>
      <c r="G350" s="47">
        <f>SmtRes!CX129</f>
        <v>0</v>
      </c>
      <c r="H350" s="49"/>
      <c r="I350" s="48"/>
      <c r="J350" s="49">
        <f>SmtRes!CZ129</f>
        <v>42458.05</v>
      </c>
      <c r="K350" s="48"/>
      <c r="L350" s="49">
        <f>SmtRes!DF129</f>
        <v>0</v>
      </c>
    </row>
    <row r="351" spans="1:83" ht="14.25" x14ac:dyDescent="0.2">
      <c r="A351" s="45"/>
      <c r="B351" s="45" t="str">
        <f>EtalonRes!I116</f>
        <v>19.2.03.09</v>
      </c>
      <c r="C351" s="53" t="str">
        <f>EtalonRes!K116</f>
        <v>Решетки жалюзийные</v>
      </c>
      <c r="D351" s="54" t="str">
        <f>EtalonRes!O116</f>
        <v>ШТ</v>
      </c>
      <c r="E351" s="55">
        <f>EtalonRes!X116</f>
        <v>1</v>
      </c>
      <c r="F351" s="55">
        <f>ROUND(0,7)</f>
        <v>0</v>
      </c>
      <c r="G351" s="55">
        <f>ROUND(EtalonRes!AG116*Source!I117, 7)</f>
        <v>0</v>
      </c>
      <c r="H351" s="56"/>
      <c r="I351" s="57"/>
      <c r="J351" s="56"/>
      <c r="K351" s="57"/>
      <c r="L351" s="56"/>
    </row>
    <row r="352" spans="1:83" ht="15" x14ac:dyDescent="0.2">
      <c r="A352" s="45"/>
      <c r="B352" s="45"/>
      <c r="C352" s="59" t="s">
        <v>787</v>
      </c>
      <c r="D352" s="46"/>
      <c r="E352" s="47"/>
      <c r="F352" s="47"/>
      <c r="G352" s="47"/>
      <c r="H352" s="49"/>
      <c r="I352" s="48"/>
      <c r="J352" s="49"/>
      <c r="K352" s="48"/>
      <c r="L352" s="49">
        <f>L341+L343+L344+L346</f>
        <v>5246.86</v>
      </c>
    </row>
    <row r="353" spans="1:101" ht="42.75" x14ac:dyDescent="0.2">
      <c r="A353" s="43" t="s">
        <v>893</v>
      </c>
      <c r="B353" s="45" t="str">
        <f>Source!F118</f>
        <v>91.14.02-001</v>
      </c>
      <c r="C353" s="45" t="s">
        <v>831</v>
      </c>
      <c r="D353" s="46" t="str">
        <f>Source!H118</f>
        <v>маш.-ч</v>
      </c>
      <c r="E353" s="47">
        <f>SmtRes!AT124</f>
        <v>-8.7500000000000008E-3</v>
      </c>
      <c r="F353" s="47">
        <f>ROUND((1.25)*0.7,7)</f>
        <v>0.875</v>
      </c>
      <c r="G353" s="47">
        <f>Source!I118</f>
        <v>-6.8906300000000004E-2</v>
      </c>
      <c r="H353" s="49"/>
      <c r="I353" s="48"/>
      <c r="J353" s="49">
        <f>Source!AK118</f>
        <v>643.29</v>
      </c>
      <c r="K353" s="48"/>
      <c r="L353" s="49">
        <f>Source!Q118</f>
        <v>-44.33</v>
      </c>
      <c r="AD353">
        <f>ROUND((Source!AT118/100)*((ROUND(ROUND(Source!AO118,2)*Source!I118, 2)+ROUND(ROUND(Source!AN118,2)*Source!I118, 2))), 2)</f>
        <v>-60.2</v>
      </c>
      <c r="AE353">
        <f>ROUND((Source!AU118/100)*((ROUND(ROUND(Source!AO118,2)*Source!I118, 2)+ROUND(ROUND(Source!AN118,2)*Source!I118, 2))), 2)</f>
        <v>-35.82</v>
      </c>
      <c r="AN353">
        <f>L353</f>
        <v>-44.33</v>
      </c>
      <c r="AO353">
        <f>L353</f>
        <v>-44.33</v>
      </c>
      <c r="AT353">
        <f>Source!R118</f>
        <v>-49.75</v>
      </c>
      <c r="AZ353">
        <f>Source!X118</f>
        <v>-60.2</v>
      </c>
      <c r="BA353">
        <f>Source!Y118</f>
        <v>-35.82</v>
      </c>
      <c r="CD353">
        <v>1</v>
      </c>
    </row>
    <row r="354" spans="1:101" ht="102" x14ac:dyDescent="0.2">
      <c r="B354" s="61" t="str">
        <f>Source!EO118</f>
        <v>Поправка: 421/пр_2020_п.58_пп.б
Поправка: 571/пр_2022_п.83_т.2_стр.4_стб.3</v>
      </c>
      <c r="C354" s="91" t="s">
        <v>894</v>
      </c>
      <c r="D354" s="91"/>
      <c r="E354" s="91"/>
      <c r="F354" s="91"/>
      <c r="G354" s="91"/>
      <c r="H354" s="91"/>
      <c r="I354" s="91"/>
      <c r="J354" s="91"/>
      <c r="K354" s="91"/>
      <c r="L354" s="91"/>
      <c r="CW354" s="62" t="s">
        <v>894</v>
      </c>
    </row>
    <row r="355" spans="1:101" ht="28.5" x14ac:dyDescent="0.2">
      <c r="A355" s="45"/>
      <c r="B355" s="45" t="s">
        <v>600</v>
      </c>
      <c r="C355" s="45" t="s">
        <v>832</v>
      </c>
      <c r="D355" s="46" t="s">
        <v>541</v>
      </c>
      <c r="E355" s="47">
        <f>SmtRes!DO124*SmtRes!AT124</f>
        <v>-8.7500000000000008E-3</v>
      </c>
      <c r="F355" s="47">
        <f>ROUND((1.25)*0.7,7)</f>
        <v>0.875</v>
      </c>
      <c r="G355" s="47">
        <f>ROUND(E355*F355*G339, 7)</f>
        <v>-6.8906300000000004E-2</v>
      </c>
      <c r="H355" s="49"/>
      <c r="I355" s="48"/>
      <c r="J355" s="49">
        <f>ROUND(SmtRes!AG124/SmtRes!DO124, 2)</f>
        <v>722.05</v>
      </c>
      <c r="K355" s="48"/>
      <c r="L355" s="49">
        <f>SmtRes!DH124</f>
        <v>-49.75</v>
      </c>
      <c r="CE355">
        <v>1</v>
      </c>
    </row>
    <row r="356" spans="1:101" ht="14.25" x14ac:dyDescent="0.2">
      <c r="A356" s="45"/>
      <c r="B356" s="45"/>
      <c r="C356" s="45" t="s">
        <v>790</v>
      </c>
      <c r="D356" s="46"/>
      <c r="E356" s="47"/>
      <c r="F356" s="47"/>
      <c r="G356" s="47"/>
      <c r="H356" s="49"/>
      <c r="I356" s="48"/>
      <c r="J356" s="49"/>
      <c r="K356" s="48"/>
      <c r="L356" s="49">
        <f>SUM(AR339:AR359)+SUM(AS339:AS359)+SUM(AT339:AT359)+SUM(AU339:AU359)+SUM(AV339:AV359)</f>
        <v>5171.71</v>
      </c>
    </row>
    <row r="357" spans="1:101" ht="71.25" x14ac:dyDescent="0.2">
      <c r="A357" s="45"/>
      <c r="B357" s="45" t="s">
        <v>275</v>
      </c>
      <c r="C357" s="45" t="s">
        <v>895</v>
      </c>
      <c r="D357" s="46" t="s">
        <v>57</v>
      </c>
      <c r="E357" s="47">
        <f>Source!BZ117</f>
        <v>121</v>
      </c>
      <c r="F357" s="47"/>
      <c r="G357" s="47">
        <f>Source!AT117</f>
        <v>121</v>
      </c>
      <c r="H357" s="49"/>
      <c r="I357" s="48"/>
      <c r="J357" s="49"/>
      <c r="K357" s="48"/>
      <c r="L357" s="49">
        <f>SUM(AZ339:AZ359)</f>
        <v>6257.77</v>
      </c>
    </row>
    <row r="358" spans="1:101" ht="71.25" x14ac:dyDescent="0.2">
      <c r="A358" s="53"/>
      <c r="B358" s="53" t="s">
        <v>896</v>
      </c>
      <c r="C358" s="53" t="s">
        <v>897</v>
      </c>
      <c r="D358" s="54" t="s">
        <v>57</v>
      </c>
      <c r="E358" s="55">
        <f>Source!CA117</f>
        <v>72</v>
      </c>
      <c r="F358" s="55">
        <f>ROUND(0.85,7)</f>
        <v>0.85</v>
      </c>
      <c r="G358" s="55">
        <f>Source!AU117</f>
        <v>61.2</v>
      </c>
      <c r="H358" s="56"/>
      <c r="I358" s="57"/>
      <c r="J358" s="56"/>
      <c r="K358" s="57"/>
      <c r="L358" s="56">
        <f>SUM(BA339:BA359)</f>
        <v>3159.71</v>
      </c>
    </row>
    <row r="359" spans="1:101" ht="15" x14ac:dyDescent="0.2">
      <c r="C359" s="92" t="s">
        <v>793</v>
      </c>
      <c r="D359" s="92"/>
      <c r="E359" s="92"/>
      <c r="F359" s="92"/>
      <c r="G359" s="92"/>
      <c r="H359" s="92"/>
      <c r="I359" s="93">
        <f>IF(E339&lt;&gt;0,K359/E339, 0)</f>
        <v>1618.9177777777777</v>
      </c>
      <c r="J359" s="93"/>
      <c r="K359" s="93">
        <f>L341+L343+L346+L357+L358+L344+SUM(L353:L355)</f>
        <v>14570.26</v>
      </c>
      <c r="L359" s="93"/>
      <c r="AD359">
        <f>ROUND((Source!AT117/100)*((ROUND(SUMIF(SmtRes!AQ122:'SmtRes'!AQ129,"=1",SmtRes!AD122:'SmtRes'!AD129)*Source!I117, 2)+ROUND(SUMIF(SmtRes!AQ122:'SmtRes'!AQ129,"=1",SmtRes!AC122:'SmtRes'!AC129)*Source!I117, 2))), 2)</f>
        <v>7334.96</v>
      </c>
      <c r="AE359">
        <f>ROUND((Source!AU117/100)*((ROUND(SUMIF(SmtRes!AQ122:'SmtRes'!AQ129,"=1",SmtRes!AD122:'SmtRes'!AD129)*Source!I117, 2)+ROUND(SUMIF(SmtRes!AQ122:'SmtRes'!AQ129,"=1",SmtRes!AC122:'SmtRes'!AC129)*Source!I117, 2))), 2)</f>
        <v>3709.91</v>
      </c>
      <c r="AN359" s="58">
        <f>L341+L343+L346+L357+L358+L344</f>
        <v>14664.34</v>
      </c>
      <c r="AO359" s="58">
        <f>L343</f>
        <v>25.4</v>
      </c>
      <c r="AQ359" t="s">
        <v>794</v>
      </c>
      <c r="AR359" s="58">
        <f>L341</f>
        <v>5221.46</v>
      </c>
      <c r="AT359" s="58">
        <f>L344</f>
        <v>0</v>
      </c>
      <c r="AV359" t="s">
        <v>794</v>
      </c>
      <c r="AW359" s="58">
        <f>L346</f>
        <v>0</v>
      </c>
      <c r="AZ359">
        <f>Source!X117</f>
        <v>6317.97</v>
      </c>
      <c r="BA359">
        <f>Source!Y117</f>
        <v>3195.53</v>
      </c>
      <c r="CD359">
        <v>1</v>
      </c>
    </row>
    <row r="360" spans="1:101" ht="106.5" x14ac:dyDescent="0.2">
      <c r="A360" s="43" t="s">
        <v>278</v>
      </c>
      <c r="B360" s="45" t="s">
        <v>898</v>
      </c>
      <c r="C360" s="45" t="s">
        <v>899</v>
      </c>
      <c r="D360" s="46" t="str">
        <f>Source!H119</f>
        <v>ШТ</v>
      </c>
      <c r="E360" s="47">
        <f>Source!K119</f>
        <v>9</v>
      </c>
      <c r="F360" s="47"/>
      <c r="G360" s="47">
        <f>Source!I119</f>
        <v>9</v>
      </c>
      <c r="H360" s="49"/>
      <c r="I360" s="48"/>
      <c r="J360" s="49"/>
      <c r="K360" s="48"/>
      <c r="L360" s="49"/>
    </row>
    <row r="361" spans="1:101" ht="267.75" x14ac:dyDescent="0.2">
      <c r="B361" s="61" t="str">
        <f>Source!EO119</f>
        <v>Поправка: 571/пр_2022_п.83_т.2_стр.3_стб.3
Поправка: 421/пр_2020_п.58_пп.б</v>
      </c>
      <c r="C361" s="61" t="str">
        <f>Source!CN119</f>
        <v>Поправка: 571/пр_2022_п.83_т.2_стр.3_стб.3
Наименование: Разборка и (или) демонтаж строительных конструкций, систем и сетей инженерно-технического обеспечения, в том числе их элементов: систем инженерно-технического обеспечения
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</row>
    <row r="362" spans="1:101" ht="15" x14ac:dyDescent="0.2">
      <c r="A362" s="44"/>
      <c r="B362" s="47">
        <v>1</v>
      </c>
      <c r="C362" s="44" t="s">
        <v>786</v>
      </c>
      <c r="D362" s="46" t="s">
        <v>541</v>
      </c>
      <c r="E362" s="51"/>
      <c r="F362" s="47"/>
      <c r="G362" s="47">
        <f>Source!U119</f>
        <v>10.971</v>
      </c>
      <c r="H362" s="47"/>
      <c r="I362" s="47"/>
      <c r="J362" s="47"/>
      <c r="K362" s="47"/>
      <c r="L362" s="52">
        <f>SUM(L363:L363)-SUMIF(CE363:CE363, 1, L363:L363)</f>
        <v>7034.82</v>
      </c>
    </row>
    <row r="363" spans="1:101" ht="14.25" x14ac:dyDescent="0.2">
      <c r="A363" s="45"/>
      <c r="B363" s="45" t="s">
        <v>653</v>
      </c>
      <c r="C363" s="45" t="s">
        <v>654</v>
      </c>
      <c r="D363" s="46" t="s">
        <v>541</v>
      </c>
      <c r="E363" s="47">
        <v>2.65</v>
      </c>
      <c r="F363" s="47">
        <f>ROUND((0.4)*1.15,7)</f>
        <v>0.46</v>
      </c>
      <c r="G363" s="47">
        <f>SmtRes!CX130</f>
        <v>10.971</v>
      </c>
      <c r="H363" s="49"/>
      <c r="I363" s="48"/>
      <c r="J363" s="49">
        <f>SmtRes!CZ130</f>
        <v>641.22</v>
      </c>
      <c r="K363" s="48"/>
      <c r="L363" s="49">
        <f>SmtRes!DI130</f>
        <v>7034.82</v>
      </c>
    </row>
    <row r="364" spans="1:101" ht="14.25" x14ac:dyDescent="0.2">
      <c r="A364" s="45"/>
      <c r="B364" s="45" t="str">
        <f>EtalonRes!I124</f>
        <v>18.4.01.02</v>
      </c>
      <c r="C364" s="45" t="str">
        <f>EtalonRes!K124</f>
        <v>Растяжки с талрепами</v>
      </c>
      <c r="D364" s="46" t="str">
        <f>EtalonRes!O124</f>
        <v>ШТ</v>
      </c>
      <c r="E364" s="47">
        <f>EtalonRes!X124</f>
        <v>0</v>
      </c>
      <c r="F364" s="47"/>
      <c r="G364" s="47">
        <f>ROUND(EtalonRes!AG124*Source!I119, 7)</f>
        <v>0</v>
      </c>
      <c r="H364" s="49"/>
      <c r="I364" s="48"/>
      <c r="J364" s="49"/>
      <c r="K364" s="48"/>
      <c r="L364" s="49"/>
    </row>
    <row r="365" spans="1:101" ht="14.25" x14ac:dyDescent="0.2">
      <c r="A365" s="45"/>
      <c r="B365" s="45" t="str">
        <f>EtalonRes!I125</f>
        <v>19.1.04.02</v>
      </c>
      <c r="C365" s="53" t="str">
        <f>EtalonRes!K125</f>
        <v>Дефлекторы</v>
      </c>
      <c r="D365" s="54" t="str">
        <f>EtalonRes!O125</f>
        <v>ШТ</v>
      </c>
      <c r="E365" s="55">
        <f>EtalonRes!X125</f>
        <v>1</v>
      </c>
      <c r="F365" s="55"/>
      <c r="G365" s="55">
        <f>ROUND(EtalonRes!AG125*Source!I119, 7)</f>
        <v>9</v>
      </c>
      <c r="H365" s="56"/>
      <c r="I365" s="57"/>
      <c r="J365" s="56"/>
      <c r="K365" s="57"/>
      <c r="L365" s="56"/>
    </row>
    <row r="366" spans="1:101" ht="15" x14ac:dyDescent="0.2">
      <c r="A366" s="45"/>
      <c r="B366" s="45"/>
      <c r="C366" s="59" t="s">
        <v>787</v>
      </c>
      <c r="D366" s="46"/>
      <c r="E366" s="47"/>
      <c r="F366" s="47"/>
      <c r="G366" s="47"/>
      <c r="H366" s="49"/>
      <c r="I366" s="48"/>
      <c r="J366" s="49"/>
      <c r="K366" s="48"/>
      <c r="L366" s="49">
        <f>L362</f>
        <v>7034.82</v>
      </c>
    </row>
    <row r="367" spans="1:101" ht="42.75" x14ac:dyDescent="0.2">
      <c r="A367" s="43" t="s">
        <v>900</v>
      </c>
      <c r="B367" s="45" t="str">
        <f>Source!F122</f>
        <v>91.06.03-047</v>
      </c>
      <c r="C367" s="45" t="s">
        <v>901</v>
      </c>
      <c r="D367" s="46" t="str">
        <f>Source!H122</f>
        <v>маш.-ч</v>
      </c>
      <c r="E367" s="47">
        <f>SmtRes!AT132</f>
        <v>-0.33</v>
      </c>
      <c r="F367" s="47">
        <f>ROUND((0.4)*1.25,7)</f>
        <v>0.5</v>
      </c>
      <c r="G367" s="47">
        <f>Source!I122</f>
        <v>-1.4850000000000001</v>
      </c>
      <c r="H367" s="49">
        <f>Source!AL122+Source!AO122+Source!AM122+Source!AN122</f>
        <v>2.36</v>
      </c>
      <c r="I367" s="48">
        <f>IF(Source!BB122&lt;&gt; 0, Source!BB122, 1)</f>
        <v>1.48</v>
      </c>
      <c r="J367" s="49">
        <f>ROUND(H367*I367, 2)</f>
        <v>3.49</v>
      </c>
      <c r="K367" s="48"/>
      <c r="L367" s="49">
        <f>Source!Q122</f>
        <v>-5.18</v>
      </c>
      <c r="AD367">
        <f>ROUND((Source!AT122/100)*((ROUND(ROUND(Source!AO122,2)*Source!I122, 2)+ROUND(ROUND(Source!AN122,2)*Source!I122, 2))), 2)</f>
        <v>0</v>
      </c>
      <c r="AE367">
        <f>ROUND((Source!AU122/100)*((ROUND(ROUND(Source!AO122,2)*Source!I122, 2)+ROUND(ROUND(Source!AN122,2)*Source!I122, 2))), 2)</f>
        <v>0</v>
      </c>
      <c r="AN367">
        <f>L367</f>
        <v>-5.18</v>
      </c>
      <c r="AO367">
        <f>L367</f>
        <v>-5.18</v>
      </c>
      <c r="AT367">
        <f>Source!R122</f>
        <v>0</v>
      </c>
      <c r="AZ367">
        <f>Source!X122</f>
        <v>0</v>
      </c>
      <c r="BA367">
        <f>Source!Y122</f>
        <v>0</v>
      </c>
      <c r="CD367">
        <v>1</v>
      </c>
    </row>
    <row r="368" spans="1:101" ht="89.25" x14ac:dyDescent="0.2">
      <c r="B368" s="61" t="str">
        <f>Source!EO122</f>
        <v>Поправка: 571/пр_2022_п.83_т.2_стр.3_стб.3
Поправка: 421/пр_2020_п.58_пп.б</v>
      </c>
      <c r="C368" s="91" t="s">
        <v>902</v>
      </c>
      <c r="D368" s="91"/>
      <c r="E368" s="91"/>
      <c r="F368" s="91"/>
      <c r="G368" s="91"/>
      <c r="H368" s="91"/>
      <c r="I368" s="91"/>
      <c r="J368" s="91"/>
      <c r="K368" s="91"/>
      <c r="L368" s="91"/>
      <c r="CW368" s="62" t="s">
        <v>902</v>
      </c>
    </row>
    <row r="369" spans="1:101" ht="42.75" x14ac:dyDescent="0.2">
      <c r="A369" s="43" t="s">
        <v>903</v>
      </c>
      <c r="B369" s="45" t="str">
        <f>Source!F123</f>
        <v>91.14.02-001</v>
      </c>
      <c r="C369" s="45" t="s">
        <v>831</v>
      </c>
      <c r="D369" s="46" t="str">
        <f>Source!H123</f>
        <v>маш.-ч</v>
      </c>
      <c r="E369" s="47">
        <f>SmtRes!AT133</f>
        <v>-5.0000000000000001E-3</v>
      </c>
      <c r="F369" s="47">
        <f>ROUND((0.4)*1.25,7)</f>
        <v>0.5</v>
      </c>
      <c r="G369" s="47">
        <f>Source!I123</f>
        <v>-2.2499999999999999E-2</v>
      </c>
      <c r="H369" s="49"/>
      <c r="I369" s="48"/>
      <c r="J369" s="49">
        <f>Source!AK123</f>
        <v>643.29</v>
      </c>
      <c r="K369" s="48"/>
      <c r="L369" s="49">
        <f>Source!Q123</f>
        <v>-14.47</v>
      </c>
      <c r="AD369">
        <f>ROUND((Source!AT123/100)*((ROUND(ROUND(Source!AO123,2)*Source!I123, 2)+ROUND(ROUND(Source!AN123,2)*Source!I123, 2))), 2)</f>
        <v>-19.66</v>
      </c>
      <c r="AE369">
        <f>ROUND((Source!AU123/100)*((ROUND(ROUND(Source!AO123,2)*Source!I123, 2)+ROUND(ROUND(Source!AN123,2)*Source!I123, 2))), 2)</f>
        <v>-11.7</v>
      </c>
      <c r="AN369">
        <f>L369</f>
        <v>-14.47</v>
      </c>
      <c r="AO369">
        <f>L369</f>
        <v>-14.47</v>
      </c>
      <c r="AT369">
        <f>Source!R123</f>
        <v>-16.25</v>
      </c>
      <c r="AZ369">
        <f>Source!X123</f>
        <v>-19.66</v>
      </c>
      <c r="BA369">
        <f>Source!Y123</f>
        <v>-11.7</v>
      </c>
      <c r="CD369">
        <v>1</v>
      </c>
    </row>
    <row r="370" spans="1:101" ht="89.25" x14ac:dyDescent="0.2">
      <c r="B370" s="61" t="str">
        <f>Source!EO123</f>
        <v>Поправка: 571/пр_2022_п.83_т.2_стр.3_стб.3
Поправка: 421/пр_2020_п.58_пп.б</v>
      </c>
      <c r="C370" s="91" t="s">
        <v>902</v>
      </c>
      <c r="D370" s="91"/>
      <c r="E370" s="91"/>
      <c r="F370" s="91"/>
      <c r="G370" s="91"/>
      <c r="H370" s="91"/>
      <c r="I370" s="91"/>
      <c r="J370" s="91"/>
      <c r="K370" s="91"/>
      <c r="L370" s="91"/>
      <c r="CW370" s="62" t="s">
        <v>902</v>
      </c>
    </row>
    <row r="371" spans="1:101" ht="28.5" x14ac:dyDescent="0.2">
      <c r="A371" s="45"/>
      <c r="B371" s="45" t="s">
        <v>600</v>
      </c>
      <c r="C371" s="45" t="s">
        <v>832</v>
      </c>
      <c r="D371" s="46" t="s">
        <v>541</v>
      </c>
      <c r="E371" s="47">
        <f>SmtRes!DO133*SmtRes!AT133</f>
        <v>-5.0000000000000001E-3</v>
      </c>
      <c r="F371" s="47">
        <f>ROUND((0.4)*1.25,7)</f>
        <v>0.5</v>
      </c>
      <c r="G371" s="47">
        <f>ROUND(E371*F371*G360, 7)</f>
        <v>-2.2499999999999999E-2</v>
      </c>
      <c r="H371" s="49"/>
      <c r="I371" s="48"/>
      <c r="J371" s="49">
        <f>ROUND(SmtRes!AG133/SmtRes!DO133, 2)</f>
        <v>722.05</v>
      </c>
      <c r="K371" s="48"/>
      <c r="L371" s="49">
        <f>SmtRes!DH133</f>
        <v>-16.25</v>
      </c>
      <c r="CE371">
        <v>1</v>
      </c>
    </row>
    <row r="372" spans="1:101" ht="42.75" x14ac:dyDescent="0.2">
      <c r="A372" s="43" t="s">
        <v>904</v>
      </c>
      <c r="B372" s="45" t="str">
        <f>Source!F124</f>
        <v>01.1.01.09-0026</v>
      </c>
      <c r="C372" s="45" t="s">
        <v>905</v>
      </c>
      <c r="D372" s="46" t="str">
        <f>Source!H124</f>
        <v>т</v>
      </c>
      <c r="E372" s="47">
        <f>SmtRes!AT134</f>
        <v>-5.0000000000000002E-5</v>
      </c>
      <c r="F372" s="47"/>
      <c r="G372" s="47">
        <f>Source!I124</f>
        <v>-4.4999999999999999E-4</v>
      </c>
      <c r="H372" s="49">
        <f>Source!AL124+Source!AO124+Source!AM124+Source!AN124</f>
        <v>453122.24</v>
      </c>
      <c r="I372" s="48">
        <f>IF(Source!BC124&lt;&gt; 0, Source!BC124, 1)</f>
        <v>1.25</v>
      </c>
      <c r="J372" s="49">
        <f>ROUND(H372*I372, 2)</f>
        <v>566402.80000000005</v>
      </c>
      <c r="K372" s="48"/>
      <c r="L372" s="49">
        <f>Source!P124</f>
        <v>-254.88</v>
      </c>
      <c r="AD372">
        <f>ROUND((Source!AT124/100)*((ROUND(ROUND(Source!AO124,2)*Source!I124, 2)+ROUND(ROUND(Source!AN124,2)*Source!I124, 2))), 2)</f>
        <v>0</v>
      </c>
      <c r="AE372">
        <f>ROUND((Source!AU124/100)*((ROUND(ROUND(Source!AO124,2)*Source!I124, 2)+ROUND(ROUND(Source!AN124,2)*Source!I124, 2))), 2)</f>
        <v>0</v>
      </c>
      <c r="AN372">
        <f>L372</f>
        <v>-254.88</v>
      </c>
      <c r="AW372">
        <f>L372</f>
        <v>-254.88</v>
      </c>
      <c r="AZ372">
        <f>Source!X124</f>
        <v>0</v>
      </c>
      <c r="BA372">
        <f>Source!Y124</f>
        <v>0</v>
      </c>
      <c r="CD372">
        <v>1</v>
      </c>
    </row>
    <row r="373" spans="1:101" ht="42.75" x14ac:dyDescent="0.2">
      <c r="A373" s="43" t="s">
        <v>906</v>
      </c>
      <c r="B373" s="45" t="str">
        <f>Source!F125</f>
        <v>01.7.15.03-0042</v>
      </c>
      <c r="C373" s="45" t="s">
        <v>907</v>
      </c>
      <c r="D373" s="46" t="str">
        <f>Source!H125</f>
        <v>кг</v>
      </c>
      <c r="E373" s="47">
        <f>SmtRes!AT135</f>
        <v>-0.03</v>
      </c>
      <c r="F373" s="47"/>
      <c r="G373" s="47">
        <f>Source!I125</f>
        <v>-0.27</v>
      </c>
      <c r="H373" s="49">
        <f>Source!AL125+Source!AO125+Source!AM125+Source!AN125</f>
        <v>174.93</v>
      </c>
      <c r="I373" s="48">
        <f>IF(Source!BC125&lt;&gt; 0, Source!BC125, 1)</f>
        <v>1.0900000000000001</v>
      </c>
      <c r="J373" s="49">
        <f>ROUND(H373*I373, 2)</f>
        <v>190.67</v>
      </c>
      <c r="K373" s="48"/>
      <c r="L373" s="49">
        <f>Source!P125</f>
        <v>-51.48</v>
      </c>
      <c r="AD373">
        <f>ROUND((Source!AT125/100)*((ROUND(ROUND(Source!AO125,2)*Source!I125, 2)+ROUND(ROUND(Source!AN125,2)*Source!I125, 2))), 2)</f>
        <v>0</v>
      </c>
      <c r="AE373">
        <f>ROUND((Source!AU125/100)*((ROUND(ROUND(Source!AO125,2)*Source!I125, 2)+ROUND(ROUND(Source!AN125,2)*Source!I125, 2))), 2)</f>
        <v>0</v>
      </c>
      <c r="AN373">
        <f>L373</f>
        <v>-51.48</v>
      </c>
      <c r="AW373">
        <f>L373</f>
        <v>-51.48</v>
      </c>
      <c r="AZ373">
        <f>Source!X125</f>
        <v>0</v>
      </c>
      <c r="BA373">
        <f>Source!Y125</f>
        <v>0</v>
      </c>
      <c r="CD373">
        <v>1</v>
      </c>
    </row>
    <row r="374" spans="1:101" ht="42.75" x14ac:dyDescent="0.2">
      <c r="A374" s="43" t="s">
        <v>908</v>
      </c>
      <c r="B374" s="45" t="str">
        <f>Source!F126</f>
        <v>01.7.19.04-0031</v>
      </c>
      <c r="C374" s="45" t="s">
        <v>909</v>
      </c>
      <c r="D374" s="46" t="str">
        <f>Source!H126</f>
        <v>кг</v>
      </c>
      <c r="E374" s="47">
        <f>SmtRes!AT136</f>
        <v>-0.115</v>
      </c>
      <c r="F374" s="47"/>
      <c r="G374" s="47">
        <f>Source!I126</f>
        <v>-1.0349999999999999</v>
      </c>
      <c r="H374" s="49">
        <f>Source!AL126+Source!AO126+Source!AM126+Source!AN126</f>
        <v>138.5</v>
      </c>
      <c r="I374" s="48">
        <f>IF(Source!BC126&lt;&gt; 0, Source!BC126, 1)</f>
        <v>1.44</v>
      </c>
      <c r="J374" s="49">
        <f>ROUND(H374*I374, 2)</f>
        <v>199.44</v>
      </c>
      <c r="K374" s="48"/>
      <c r="L374" s="49">
        <f>Source!P126</f>
        <v>-206.42</v>
      </c>
      <c r="AD374">
        <f>ROUND((Source!AT126/100)*((ROUND(ROUND(Source!AO126,2)*Source!I126, 2)+ROUND(ROUND(Source!AN126,2)*Source!I126, 2))), 2)</f>
        <v>0</v>
      </c>
      <c r="AE374">
        <f>ROUND((Source!AU126/100)*((ROUND(ROUND(Source!AO126,2)*Source!I126, 2)+ROUND(ROUND(Source!AN126,2)*Source!I126, 2))), 2)</f>
        <v>0</v>
      </c>
      <c r="AN374">
        <f>L374</f>
        <v>-206.42</v>
      </c>
      <c r="AW374">
        <f>L374</f>
        <v>-206.42</v>
      </c>
      <c r="AZ374">
        <f>Source!X126</f>
        <v>0</v>
      </c>
      <c r="BA374">
        <f>Source!Y126</f>
        <v>0</v>
      </c>
      <c r="CD374">
        <v>1</v>
      </c>
    </row>
    <row r="375" spans="1:101" ht="14.25" x14ac:dyDescent="0.2">
      <c r="A375" s="45"/>
      <c r="B375" s="45"/>
      <c r="C375" s="45" t="s">
        <v>790</v>
      </c>
      <c r="D375" s="46"/>
      <c r="E375" s="47"/>
      <c r="F375" s="47"/>
      <c r="G375" s="47"/>
      <c r="H375" s="49"/>
      <c r="I375" s="48"/>
      <c r="J375" s="49"/>
      <c r="K375" s="48"/>
      <c r="L375" s="49">
        <f>SUM(AR360:AR378)+SUM(AS360:AS378)+SUM(AT360:AT378)+SUM(AU360:AU378)+SUM(AV360:AV378)</f>
        <v>7018.57</v>
      </c>
    </row>
    <row r="376" spans="1:101" ht="71.25" x14ac:dyDescent="0.2">
      <c r="A376" s="45"/>
      <c r="B376" s="45" t="s">
        <v>275</v>
      </c>
      <c r="C376" s="45" t="s">
        <v>895</v>
      </c>
      <c r="D376" s="46" t="s">
        <v>57</v>
      </c>
      <c r="E376" s="47">
        <f>Source!BZ119</f>
        <v>121</v>
      </c>
      <c r="F376" s="47"/>
      <c r="G376" s="47">
        <f>Source!AT119</f>
        <v>121</v>
      </c>
      <c r="H376" s="49"/>
      <c r="I376" s="48"/>
      <c r="J376" s="49"/>
      <c r="K376" s="48"/>
      <c r="L376" s="49">
        <f>SUM(AZ360:AZ378)</f>
        <v>8492.4699999999993</v>
      </c>
    </row>
    <row r="377" spans="1:101" ht="71.25" x14ac:dyDescent="0.2">
      <c r="A377" s="53"/>
      <c r="B377" s="53" t="s">
        <v>896</v>
      </c>
      <c r="C377" s="53" t="s">
        <v>897</v>
      </c>
      <c r="D377" s="54" t="s">
        <v>57</v>
      </c>
      <c r="E377" s="55">
        <f>Source!CA119</f>
        <v>72</v>
      </c>
      <c r="F377" s="55">
        <f>ROUND(0.85,7)</f>
        <v>0.85</v>
      </c>
      <c r="G377" s="55">
        <f>Source!AU119</f>
        <v>61.2</v>
      </c>
      <c r="H377" s="56"/>
      <c r="I377" s="57"/>
      <c r="J377" s="56"/>
      <c r="K377" s="57"/>
      <c r="L377" s="56">
        <f>SUM(BA360:BA378)</f>
        <v>4293.6100000000006</v>
      </c>
    </row>
    <row r="378" spans="1:101" ht="15" x14ac:dyDescent="0.2">
      <c r="C378" s="92" t="s">
        <v>793</v>
      </c>
      <c r="D378" s="92"/>
      <c r="E378" s="92"/>
      <c r="F378" s="92"/>
      <c r="G378" s="92"/>
      <c r="H378" s="92"/>
      <c r="I378" s="93">
        <f>IF(E360&lt;&gt;0,K378/E360, 0)</f>
        <v>2141.3577777777778</v>
      </c>
      <c r="J378" s="93"/>
      <c r="K378" s="93">
        <f>L362+L376+L377+SUM(L367:L374)</f>
        <v>19272.22</v>
      </c>
      <c r="L378" s="93"/>
      <c r="AD378">
        <f>ROUND((Source!AT119/100)*((ROUND(SUMIF(SmtRes!AQ130:'SmtRes'!AQ138,"=1",SmtRes!AD130:'SmtRes'!AD138)*Source!I119, 2)+ROUND(SUMIF(SmtRes!AQ130:'SmtRes'!AQ138,"=1",SmtRes!AC130:'SmtRes'!AC138)*Source!I119, 2))), 2)</f>
        <v>6982.89</v>
      </c>
      <c r="AE378">
        <f>ROUND((Source!AU119/100)*((ROUND(SUMIF(SmtRes!AQ130:'SmtRes'!AQ138,"=1",SmtRes!AD130:'SmtRes'!AD138)*Source!I119, 2)+ROUND(SUMIF(SmtRes!AQ130:'SmtRes'!AQ138,"=1",SmtRes!AC130:'SmtRes'!AC138)*Source!I119, 2))), 2)</f>
        <v>3531.84</v>
      </c>
      <c r="AN378" s="58">
        <f>L362+L376+L377</f>
        <v>19820.900000000001</v>
      </c>
      <c r="AO378">
        <f>0</f>
        <v>0</v>
      </c>
      <c r="AQ378" t="s">
        <v>794</v>
      </c>
      <c r="AR378" s="58">
        <f>L362</f>
        <v>7034.82</v>
      </c>
      <c r="AT378">
        <f>0</f>
        <v>0</v>
      </c>
      <c r="AV378" t="s">
        <v>794</v>
      </c>
      <c r="AW378">
        <f>0</f>
        <v>0</v>
      </c>
      <c r="AZ378">
        <f>Source!X119</f>
        <v>8512.1299999999992</v>
      </c>
      <c r="BA378">
        <f>Source!Y119</f>
        <v>4305.3100000000004</v>
      </c>
      <c r="CD378">
        <v>1</v>
      </c>
    </row>
    <row r="379" spans="1:101" ht="57" x14ac:dyDescent="0.2">
      <c r="A379" s="43" t="s">
        <v>308</v>
      </c>
      <c r="B379" s="45" t="s">
        <v>910</v>
      </c>
      <c r="C379" s="45" t="str">
        <f>Source!G127</f>
        <v>Разборка воздуховодов из листовой стали толщиной: 1-2 мм диаметром/периметром до 165 мм /540 мм</v>
      </c>
      <c r="D379" s="46" t="str">
        <f>Source!H127</f>
        <v>100 м2</v>
      </c>
      <c r="E379" s="47">
        <f>Source!K127</f>
        <v>8.4779999999999994E-2</v>
      </c>
      <c r="F379" s="47"/>
      <c r="G379" s="47">
        <f>Source!I127</f>
        <v>8.4779999999999994E-2</v>
      </c>
      <c r="H379" s="49"/>
      <c r="I379" s="48"/>
      <c r="J379" s="49"/>
      <c r="K379" s="48"/>
      <c r="L379" s="49"/>
    </row>
    <row r="380" spans="1:101" x14ac:dyDescent="0.2">
      <c r="C380" s="50" t="str">
        <f>"Объем: "&amp;Source!I127&amp;"=(2,826+"&amp;"3,768+"&amp;"1,884)/"&amp;"100"</f>
        <v>Объем: 0,08478=(2,826+3,768+1,884)/100</v>
      </c>
    </row>
    <row r="381" spans="1:101" ht="15" x14ac:dyDescent="0.2">
      <c r="A381" s="44"/>
      <c r="B381" s="47">
        <v>1</v>
      </c>
      <c r="C381" s="44" t="s">
        <v>786</v>
      </c>
      <c r="D381" s="46" t="s">
        <v>541</v>
      </c>
      <c r="E381" s="51"/>
      <c r="F381" s="47"/>
      <c r="G381" s="47">
        <f>Source!U127</f>
        <v>4.0694400000000002</v>
      </c>
      <c r="H381" s="47"/>
      <c r="I381" s="47"/>
      <c r="J381" s="47"/>
      <c r="K381" s="47"/>
      <c r="L381" s="52">
        <f>SUM(L382:L382)-SUMIF(CE382:CE382, 1, L382:L382)</f>
        <v>2609.41</v>
      </c>
    </row>
    <row r="382" spans="1:101" ht="14.25" x14ac:dyDescent="0.2">
      <c r="A382" s="45"/>
      <c r="B382" s="45" t="s">
        <v>653</v>
      </c>
      <c r="C382" s="53" t="s">
        <v>654</v>
      </c>
      <c r="D382" s="54" t="s">
        <v>541</v>
      </c>
      <c r="E382" s="55">
        <v>48</v>
      </c>
      <c r="F382" s="55"/>
      <c r="G382" s="55">
        <f>SmtRes!CX139</f>
        <v>4.0694400000000002</v>
      </c>
      <c r="H382" s="56"/>
      <c r="I382" s="57"/>
      <c r="J382" s="56">
        <f>SmtRes!CZ139</f>
        <v>641.22</v>
      </c>
      <c r="K382" s="57"/>
      <c r="L382" s="56">
        <f>SmtRes!DI139</f>
        <v>2609.41</v>
      </c>
    </row>
    <row r="383" spans="1:101" ht="15" x14ac:dyDescent="0.2">
      <c r="A383" s="45"/>
      <c r="B383" s="45"/>
      <c r="C383" s="59" t="s">
        <v>787</v>
      </c>
      <c r="D383" s="46"/>
      <c r="E383" s="47"/>
      <c r="F383" s="47"/>
      <c r="G383" s="47"/>
      <c r="H383" s="49"/>
      <c r="I383" s="48"/>
      <c r="J383" s="49"/>
      <c r="K383" s="48"/>
      <c r="L383" s="49">
        <f>L381</f>
        <v>2609.41</v>
      </c>
    </row>
    <row r="384" spans="1:101" ht="57" x14ac:dyDescent="0.2">
      <c r="A384" s="43" t="s">
        <v>911</v>
      </c>
      <c r="B384" s="45" t="str">
        <f>Source!F128</f>
        <v>91.06.06-048</v>
      </c>
      <c r="C384" s="45" t="s">
        <v>788</v>
      </c>
      <c r="D384" s="46" t="str">
        <f>Source!H128</f>
        <v>маш.-ч</v>
      </c>
      <c r="E384" s="47">
        <f>SmtRes!AT141</f>
        <v>-0.75</v>
      </c>
      <c r="F384" s="47"/>
      <c r="G384" s="47">
        <f>Source!I128</f>
        <v>-6.3585000000000003E-2</v>
      </c>
      <c r="H384" s="49">
        <f>Source!AL128+Source!AO128+Source!AM128+Source!AN128</f>
        <v>678.54000000000008</v>
      </c>
      <c r="I384" s="48">
        <f>IF(Source!BB128&lt;&gt; 0, Source!BB128, 1)</f>
        <v>1.54</v>
      </c>
      <c r="J384" s="49">
        <f>ROUND(H384*I384, 2)</f>
        <v>1044.95</v>
      </c>
      <c r="K384" s="48"/>
      <c r="L384" s="49">
        <f>Source!Q128</f>
        <v>-3.65</v>
      </c>
      <c r="AD384">
        <f>ROUND((Source!AT128/100)*((ROUND(ROUND(Source!AO128,2)*Source!I128, 2)+ROUND(ROUND(Source!AN128,2)*Source!I128, 2))), 2)</f>
        <v>-35.47</v>
      </c>
      <c r="AE384">
        <f>ROUND((Source!AU128/100)*((ROUND(ROUND(Source!AO128,2)*Source!I128, 2)+ROUND(ROUND(Source!AN128,2)*Source!I128, 2))), 2)</f>
        <v>-17.940000000000001</v>
      </c>
      <c r="AN384">
        <f>L384</f>
        <v>-3.65</v>
      </c>
      <c r="AO384">
        <f>L384</f>
        <v>-3.65</v>
      </c>
      <c r="AT384">
        <f>Source!R128</f>
        <v>-40.770000000000003</v>
      </c>
      <c r="AZ384">
        <f>Source!X128</f>
        <v>-35.47</v>
      </c>
      <c r="BA384">
        <f>Source!Y128</f>
        <v>-17.940000000000001</v>
      </c>
      <c r="CD384">
        <v>1</v>
      </c>
    </row>
    <row r="385" spans="1:83" ht="28.5" x14ac:dyDescent="0.2">
      <c r="A385" s="45"/>
      <c r="B385" s="45" t="s">
        <v>544</v>
      </c>
      <c r="C385" s="45" t="s">
        <v>789</v>
      </c>
      <c r="D385" s="46" t="s">
        <v>541</v>
      </c>
      <c r="E385" s="47">
        <f>SmtRes!DO141*SmtRes!AT141</f>
        <v>-0.75</v>
      </c>
      <c r="F385" s="47"/>
      <c r="G385" s="47">
        <f>ROUND(E385*G379, 7)</f>
        <v>-6.3585000000000003E-2</v>
      </c>
      <c r="H385" s="49"/>
      <c r="I385" s="48"/>
      <c r="J385" s="49">
        <f>ROUND(SmtRes!AG141/SmtRes!DO141, 2)</f>
        <v>641.22</v>
      </c>
      <c r="K385" s="48"/>
      <c r="L385" s="49">
        <f>SmtRes!DH141</f>
        <v>-40.770000000000003</v>
      </c>
      <c r="CE385">
        <v>1</v>
      </c>
    </row>
    <row r="386" spans="1:83" ht="14.25" x14ac:dyDescent="0.2">
      <c r="A386" s="45"/>
      <c r="B386" s="45"/>
      <c r="C386" s="45" t="s">
        <v>790</v>
      </c>
      <c r="D386" s="46"/>
      <c r="E386" s="47"/>
      <c r="F386" s="47"/>
      <c r="G386" s="47"/>
      <c r="H386" s="49"/>
      <c r="I386" s="48"/>
      <c r="J386" s="49"/>
      <c r="K386" s="48"/>
      <c r="L386" s="49">
        <f>SUM(AR379:AR389)+SUM(AS379:AS389)+SUM(AT379:AT389)+SUM(AU379:AU389)+SUM(AV379:AV389)</f>
        <v>2568.64</v>
      </c>
    </row>
    <row r="387" spans="1:83" ht="28.5" x14ac:dyDescent="0.2">
      <c r="A387" s="45"/>
      <c r="B387" s="45" t="s">
        <v>316</v>
      </c>
      <c r="C387" s="45" t="s">
        <v>912</v>
      </c>
      <c r="D387" s="46" t="s">
        <v>57</v>
      </c>
      <c r="E387" s="47">
        <f>Source!BZ127</f>
        <v>87</v>
      </c>
      <c r="F387" s="47"/>
      <c r="G387" s="47">
        <f>Source!AT127</f>
        <v>87</v>
      </c>
      <c r="H387" s="49"/>
      <c r="I387" s="48"/>
      <c r="J387" s="49"/>
      <c r="K387" s="48"/>
      <c r="L387" s="49">
        <f>SUM(AZ379:AZ389)</f>
        <v>2234.7200000000003</v>
      </c>
    </row>
    <row r="388" spans="1:83" ht="28.5" x14ac:dyDescent="0.2">
      <c r="A388" s="53"/>
      <c r="B388" s="53" t="s">
        <v>317</v>
      </c>
      <c r="C388" s="53" t="s">
        <v>913</v>
      </c>
      <c r="D388" s="54" t="s">
        <v>57</v>
      </c>
      <c r="E388" s="55">
        <f>Source!CA127</f>
        <v>44</v>
      </c>
      <c r="F388" s="55"/>
      <c r="G388" s="55">
        <f>Source!AU127</f>
        <v>44</v>
      </c>
      <c r="H388" s="56"/>
      <c r="I388" s="57"/>
      <c r="J388" s="56"/>
      <c r="K388" s="57"/>
      <c r="L388" s="56">
        <f>SUM(BA379:BA389)</f>
        <v>1130.2</v>
      </c>
    </row>
    <row r="389" spans="1:83" ht="15" x14ac:dyDescent="0.2">
      <c r="C389" s="92" t="s">
        <v>793</v>
      </c>
      <c r="D389" s="92"/>
      <c r="E389" s="92"/>
      <c r="F389" s="92"/>
      <c r="G389" s="92"/>
      <c r="H389" s="92"/>
      <c r="I389" s="93">
        <f>IF(E379&lt;&gt;0,K389/E379, 0)</f>
        <v>69944.680349138944</v>
      </c>
      <c r="J389" s="93"/>
      <c r="K389" s="93">
        <f>L381+L387+L388+SUM(L384:L385)</f>
        <v>5929.91</v>
      </c>
      <c r="L389" s="93"/>
      <c r="AD389">
        <f>ROUND((Source!AT127/100)*((ROUND(SUMIF(SmtRes!AQ139:'SmtRes'!AQ141,"=1",SmtRes!AD139:'SmtRes'!AD141)*Source!I127, 2)+ROUND(SUMIF(SmtRes!AQ139:'SmtRes'!AQ141,"=1",SmtRes!AC139:'SmtRes'!AC141)*Source!I127, 2))), 2)</f>
        <v>47.29</v>
      </c>
      <c r="AE389">
        <f>ROUND((Source!AU127/100)*((ROUND(SUMIF(SmtRes!AQ139:'SmtRes'!AQ141,"=1",SmtRes!AD139:'SmtRes'!AD141)*Source!I127, 2)+ROUND(SUMIF(SmtRes!AQ139:'SmtRes'!AQ141,"=1",SmtRes!AC139:'SmtRes'!AC141)*Source!I127, 2))), 2)</f>
        <v>23.92</v>
      </c>
      <c r="AN389" s="58">
        <f>L381+L387+L388</f>
        <v>5974.33</v>
      </c>
      <c r="AO389">
        <f>0</f>
        <v>0</v>
      </c>
      <c r="AQ389" t="s">
        <v>794</v>
      </c>
      <c r="AR389" s="58">
        <f>L381</f>
        <v>2609.41</v>
      </c>
      <c r="AT389">
        <f>0</f>
        <v>0</v>
      </c>
      <c r="AV389" t="s">
        <v>794</v>
      </c>
      <c r="AW389">
        <f>0</f>
        <v>0</v>
      </c>
      <c r="AZ389">
        <f>Source!X127</f>
        <v>2270.19</v>
      </c>
      <c r="BA389">
        <f>Source!Y127</f>
        <v>1148.1400000000001</v>
      </c>
      <c r="CD389">
        <v>1</v>
      </c>
    </row>
    <row r="390" spans="1:83" ht="57" x14ac:dyDescent="0.2">
      <c r="A390" s="43" t="s">
        <v>319</v>
      </c>
      <c r="B390" s="45" t="s">
        <v>914</v>
      </c>
      <c r="C390" s="45" t="str">
        <f>Source!G129</f>
        <v>Разборка воздуховодов из листовой стали толщиной: 1-2 мм диаметром/периметром до 320 мм /1000 мм</v>
      </c>
      <c r="D390" s="46" t="str">
        <f>Source!H129</f>
        <v>100 м2</v>
      </c>
      <c r="E390" s="47">
        <f>Source!K129</f>
        <v>6.28E-3</v>
      </c>
      <c r="F390" s="47"/>
      <c r="G390" s="47">
        <f>Source!I129</f>
        <v>6.28E-3</v>
      </c>
      <c r="H390" s="49"/>
      <c r="I390" s="48"/>
      <c r="J390" s="49"/>
      <c r="K390" s="48"/>
      <c r="L390" s="49"/>
    </row>
    <row r="391" spans="1:83" x14ac:dyDescent="0.2">
      <c r="C391" s="50" t="str">
        <f>"Объем: "&amp;Source!I129&amp;"=(0,628)/"&amp;"100"</f>
        <v>Объем: 0,00628=(0,628)/100</v>
      </c>
    </row>
    <row r="392" spans="1:83" ht="15" x14ac:dyDescent="0.2">
      <c r="A392" s="44"/>
      <c r="B392" s="47">
        <v>1</v>
      </c>
      <c r="C392" s="44" t="s">
        <v>786</v>
      </c>
      <c r="D392" s="46" t="s">
        <v>541</v>
      </c>
      <c r="E392" s="51"/>
      <c r="F392" s="47"/>
      <c r="G392" s="47">
        <f>Source!U129</f>
        <v>0.22608</v>
      </c>
      <c r="H392" s="47"/>
      <c r="I392" s="47"/>
      <c r="J392" s="47"/>
      <c r="K392" s="47"/>
      <c r="L392" s="52">
        <f>SUM(L393:L393)-SUMIF(CE393:CE393, 1, L393:L393)</f>
        <v>144.97</v>
      </c>
    </row>
    <row r="393" spans="1:83" ht="14.25" x14ac:dyDescent="0.2">
      <c r="A393" s="45"/>
      <c r="B393" s="45" t="s">
        <v>653</v>
      </c>
      <c r="C393" s="53" t="s">
        <v>654</v>
      </c>
      <c r="D393" s="54" t="s">
        <v>541</v>
      </c>
      <c r="E393" s="55">
        <v>36</v>
      </c>
      <c r="F393" s="55"/>
      <c r="G393" s="55">
        <f>SmtRes!CX142</f>
        <v>0.22608</v>
      </c>
      <c r="H393" s="56"/>
      <c r="I393" s="57"/>
      <c r="J393" s="56">
        <f>SmtRes!CZ142</f>
        <v>641.22</v>
      </c>
      <c r="K393" s="57"/>
      <c r="L393" s="56">
        <f>SmtRes!DI142</f>
        <v>144.97</v>
      </c>
    </row>
    <row r="394" spans="1:83" ht="15" x14ac:dyDescent="0.2">
      <c r="A394" s="45"/>
      <c r="B394" s="45"/>
      <c r="C394" s="59" t="s">
        <v>787</v>
      </c>
      <c r="D394" s="46"/>
      <c r="E394" s="47"/>
      <c r="F394" s="47"/>
      <c r="G394" s="47"/>
      <c r="H394" s="49"/>
      <c r="I394" s="48"/>
      <c r="J394" s="49"/>
      <c r="K394" s="48"/>
      <c r="L394" s="49">
        <f>L392</f>
        <v>144.97</v>
      </c>
    </row>
    <row r="395" spans="1:83" ht="57" x14ac:dyDescent="0.2">
      <c r="A395" s="43" t="s">
        <v>915</v>
      </c>
      <c r="B395" s="45" t="str">
        <f>Source!F130</f>
        <v>91.06.06-048</v>
      </c>
      <c r="C395" s="45" t="s">
        <v>788</v>
      </c>
      <c r="D395" s="46" t="str">
        <f>Source!H130</f>
        <v>маш.-ч</v>
      </c>
      <c r="E395" s="47">
        <f>SmtRes!AT144</f>
        <v>-0.75</v>
      </c>
      <c r="F395" s="47"/>
      <c r="G395" s="47">
        <f>Source!I130</f>
        <v>-4.7099999999999998E-3</v>
      </c>
      <c r="H395" s="49">
        <f>Source!AL130+Source!AO130+Source!AM130+Source!AN130</f>
        <v>678.54000000000008</v>
      </c>
      <c r="I395" s="48">
        <f>IF(Source!BB130&lt;&gt; 0, Source!BB130, 1)</f>
        <v>1.54</v>
      </c>
      <c r="J395" s="49">
        <f>ROUND(H395*I395, 2)</f>
        <v>1044.95</v>
      </c>
      <c r="K395" s="48"/>
      <c r="L395" s="49">
        <f>Source!Q130</f>
        <v>-0.27</v>
      </c>
      <c r="AD395">
        <f>ROUND((Source!AT130/100)*((ROUND(ROUND(Source!AO130,2)*Source!I130, 2)+ROUND((ROUND(Source!AN130,2)*ROUND(0,7))*Source!I130, 2))), 2)</f>
        <v>0</v>
      </c>
      <c r="AE395">
        <f>ROUND((Source!AU130/100)*((ROUND(ROUND(Source!AO130,2)*Source!I130, 2)+ROUND((ROUND(Source!AN130,2)*ROUND(0,7))*Source!I130, 2))), 2)</f>
        <v>0</v>
      </c>
      <c r="AN395">
        <f>L395</f>
        <v>-0.27</v>
      </c>
      <c r="AO395">
        <f>L395</f>
        <v>-0.27</v>
      </c>
      <c r="AT395">
        <f>Source!R130</f>
        <v>0</v>
      </c>
      <c r="AZ395">
        <f>Source!X130</f>
        <v>0</v>
      </c>
      <c r="BA395">
        <f>Source!Y130</f>
        <v>0</v>
      </c>
      <c r="CD395">
        <v>1</v>
      </c>
    </row>
    <row r="396" spans="1:83" ht="28.5" x14ac:dyDescent="0.2">
      <c r="A396" s="45"/>
      <c r="B396" s="45" t="s">
        <v>544</v>
      </c>
      <c r="C396" s="45" t="s">
        <v>789</v>
      </c>
      <c r="D396" s="46" t="s">
        <v>541</v>
      </c>
      <c r="E396" s="47">
        <f>SmtRes!DO144*SmtRes!AT144</f>
        <v>-0.75</v>
      </c>
      <c r="F396" s="47"/>
      <c r="G396" s="47">
        <f>ROUND(E396*G390, 7)</f>
        <v>-4.7099999999999998E-3</v>
      </c>
      <c r="H396" s="49"/>
      <c r="I396" s="48"/>
      <c r="J396" s="49">
        <f>ROUND(SmtRes!AG144/SmtRes!DO144, 2)</f>
        <v>641.22</v>
      </c>
      <c r="K396" s="48"/>
      <c r="L396" s="49">
        <f>SmtRes!DH144</f>
        <v>-3.02</v>
      </c>
      <c r="CE396">
        <v>1</v>
      </c>
    </row>
    <row r="397" spans="1:83" ht="14.25" x14ac:dyDescent="0.2">
      <c r="A397" s="45"/>
      <c r="B397" s="45"/>
      <c r="C397" s="45" t="s">
        <v>790</v>
      </c>
      <c r="D397" s="46"/>
      <c r="E397" s="47"/>
      <c r="F397" s="47"/>
      <c r="G397" s="47"/>
      <c r="H397" s="49"/>
      <c r="I397" s="48"/>
      <c r="J397" s="49"/>
      <c r="K397" s="48"/>
      <c r="L397" s="49">
        <f>SUM(AR390:AR400)+SUM(AS390:AS400)+SUM(AT390:AT400)+SUM(AU390:AU400)+SUM(AV390:AV400)</f>
        <v>144.97</v>
      </c>
    </row>
    <row r="398" spans="1:83" ht="28.5" x14ac:dyDescent="0.2">
      <c r="A398" s="45"/>
      <c r="B398" s="45" t="s">
        <v>316</v>
      </c>
      <c r="C398" s="45" t="s">
        <v>912</v>
      </c>
      <c r="D398" s="46" t="s">
        <v>57</v>
      </c>
      <c r="E398" s="47">
        <f>Source!BZ129</f>
        <v>87</v>
      </c>
      <c r="F398" s="47"/>
      <c r="G398" s="47">
        <f>Source!AT129</f>
        <v>87</v>
      </c>
      <c r="H398" s="49"/>
      <c r="I398" s="48"/>
      <c r="J398" s="49"/>
      <c r="K398" s="48"/>
      <c r="L398" s="49">
        <f>SUM(AZ390:AZ400)</f>
        <v>126.12</v>
      </c>
    </row>
    <row r="399" spans="1:83" ht="28.5" x14ac:dyDescent="0.2">
      <c r="A399" s="53"/>
      <c r="B399" s="53" t="s">
        <v>317</v>
      </c>
      <c r="C399" s="53" t="s">
        <v>913</v>
      </c>
      <c r="D399" s="54" t="s">
        <v>57</v>
      </c>
      <c r="E399" s="55">
        <f>Source!CA129</f>
        <v>44</v>
      </c>
      <c r="F399" s="55"/>
      <c r="G399" s="55">
        <f>Source!AU129</f>
        <v>44</v>
      </c>
      <c r="H399" s="56"/>
      <c r="I399" s="57"/>
      <c r="J399" s="56"/>
      <c r="K399" s="57"/>
      <c r="L399" s="56">
        <f>SUM(BA390:BA400)</f>
        <v>63.79</v>
      </c>
    </row>
    <row r="400" spans="1:83" ht="15" x14ac:dyDescent="0.2">
      <c r="C400" s="92" t="s">
        <v>793</v>
      </c>
      <c r="D400" s="92"/>
      <c r="E400" s="92"/>
      <c r="F400" s="92"/>
      <c r="G400" s="92"/>
      <c r="H400" s="92"/>
      <c r="I400" s="93">
        <f>IF(E390&lt;&gt;0,K400/E390, 0)</f>
        <v>52800.955414012744</v>
      </c>
      <c r="J400" s="93"/>
      <c r="K400" s="93">
        <f>L392+L398+L399+SUM(L395:L396)</f>
        <v>331.59000000000003</v>
      </c>
      <c r="L400" s="93"/>
      <c r="AD400">
        <f>ROUND((Source!AT129/100)*((ROUND(SUMIF(SmtRes!AQ142:'SmtRes'!AQ144,"=1",SmtRes!AD142:'SmtRes'!AD144)*Source!I129, 2)+ROUND(SUMIF(SmtRes!AQ142:'SmtRes'!AQ144,"=1",SmtRes!AC142:'SmtRes'!AC144)*Source!I129, 2))), 2)</f>
        <v>3.51</v>
      </c>
      <c r="AE400">
        <f>ROUND((Source!AU129/100)*((ROUND(SUMIF(SmtRes!AQ142:'SmtRes'!AQ144,"=1",SmtRes!AD142:'SmtRes'!AD144)*Source!I129, 2)+ROUND(SUMIF(SmtRes!AQ142:'SmtRes'!AQ144,"=1",SmtRes!AC142:'SmtRes'!AC144)*Source!I129, 2))), 2)</f>
        <v>1.77</v>
      </c>
      <c r="AN400" s="58">
        <f>L392+L398+L399</f>
        <v>334.88000000000005</v>
      </c>
      <c r="AO400">
        <f>0</f>
        <v>0</v>
      </c>
      <c r="AQ400" t="s">
        <v>794</v>
      </c>
      <c r="AR400" s="58">
        <f>L392</f>
        <v>144.97</v>
      </c>
      <c r="AT400">
        <f>0</f>
        <v>0</v>
      </c>
      <c r="AV400" t="s">
        <v>794</v>
      </c>
      <c r="AW400">
        <f>0</f>
        <v>0</v>
      </c>
      <c r="AZ400">
        <f>Source!X129</f>
        <v>126.12</v>
      </c>
      <c r="BA400">
        <f>Source!Y129</f>
        <v>63.79</v>
      </c>
      <c r="CD400">
        <v>1</v>
      </c>
    </row>
    <row r="402" spans="1:12" ht="15" x14ac:dyDescent="0.2">
      <c r="A402" s="64"/>
      <c r="B402" s="65"/>
      <c r="C402" s="86" t="s">
        <v>864</v>
      </c>
      <c r="D402" s="86"/>
      <c r="E402" s="86"/>
      <c r="F402" s="86"/>
      <c r="G402" s="86"/>
      <c r="H402" s="86"/>
      <c r="I402" s="52"/>
      <c r="J402" s="64"/>
      <c r="K402" s="66"/>
      <c r="L402" s="52">
        <f>L404+L405+L411+L415</f>
        <v>14348.609999999997</v>
      </c>
    </row>
    <row r="403" spans="1:12" ht="14.25" x14ac:dyDescent="0.2">
      <c r="A403" s="60"/>
      <c r="B403" s="63"/>
      <c r="C403" s="89" t="s">
        <v>865</v>
      </c>
      <c r="D403" s="87"/>
      <c r="E403" s="87"/>
      <c r="F403" s="87"/>
      <c r="G403" s="87"/>
      <c r="H403" s="87"/>
      <c r="I403" s="49"/>
      <c r="J403" s="60"/>
      <c r="K403" s="47"/>
      <c r="L403" s="49"/>
    </row>
    <row r="404" spans="1:12" ht="14.25" x14ac:dyDescent="0.2">
      <c r="A404" s="60"/>
      <c r="B404" s="63"/>
      <c r="C404" s="87" t="s">
        <v>866</v>
      </c>
      <c r="D404" s="87"/>
      <c r="E404" s="87"/>
      <c r="F404" s="87"/>
      <c r="G404" s="87"/>
      <c r="H404" s="87"/>
      <c r="I404" s="49"/>
      <c r="J404" s="60"/>
      <c r="K404" s="47"/>
      <c r="L404" s="49">
        <f>SUM(AR338:AR400)</f>
        <v>15010.659999999998</v>
      </c>
    </row>
    <row r="405" spans="1:12" ht="14.25" hidden="1" x14ac:dyDescent="0.2">
      <c r="A405" s="60"/>
      <c r="B405" s="63"/>
      <c r="C405" s="87" t="s">
        <v>867</v>
      </c>
      <c r="D405" s="87"/>
      <c r="E405" s="87"/>
      <c r="F405" s="87"/>
      <c r="G405" s="87"/>
      <c r="H405" s="87"/>
      <c r="I405" s="49"/>
      <c r="J405" s="60"/>
      <c r="K405" s="47"/>
      <c r="L405" s="49">
        <f>L407+L410+L409</f>
        <v>-149.27000000000001</v>
      </c>
    </row>
    <row r="406" spans="1:12" ht="14.25" hidden="1" x14ac:dyDescent="0.2">
      <c r="A406" s="60"/>
      <c r="B406" s="63"/>
      <c r="C406" s="89" t="s">
        <v>868</v>
      </c>
      <c r="D406" s="87"/>
      <c r="E406" s="87"/>
      <c r="F406" s="87"/>
      <c r="G406" s="87"/>
      <c r="H406" s="87"/>
      <c r="I406" s="49"/>
      <c r="J406" s="60"/>
      <c r="K406" s="47"/>
      <c r="L406" s="49"/>
    </row>
    <row r="407" spans="1:12" ht="14.25" x14ac:dyDescent="0.2">
      <c r="A407" s="60"/>
      <c r="B407" s="63"/>
      <c r="C407" s="87" t="s">
        <v>867</v>
      </c>
      <c r="D407" s="87"/>
      <c r="E407" s="87"/>
      <c r="F407" s="87"/>
      <c r="G407" s="87"/>
      <c r="H407" s="87"/>
      <c r="I407" s="49"/>
      <c r="J407" s="60"/>
      <c r="K407" s="47"/>
      <c r="L407" s="49">
        <f>SUM(AO338:AO400)</f>
        <v>-42.5</v>
      </c>
    </row>
    <row r="408" spans="1:12" ht="14.25" hidden="1" x14ac:dyDescent="0.2">
      <c r="A408" s="60"/>
      <c r="B408" s="63"/>
      <c r="C408" s="89" t="s">
        <v>869</v>
      </c>
      <c r="D408" s="87"/>
      <c r="E408" s="87"/>
      <c r="F408" s="87"/>
      <c r="G408" s="87"/>
      <c r="H408" s="87"/>
      <c r="I408" s="49"/>
      <c r="J408" s="60"/>
      <c r="K408" s="47"/>
      <c r="L408" s="49"/>
    </row>
    <row r="409" spans="1:12" ht="14.25" x14ac:dyDescent="0.2">
      <c r="A409" s="60"/>
      <c r="B409" s="63"/>
      <c r="C409" s="87" t="s">
        <v>889</v>
      </c>
      <c r="D409" s="87"/>
      <c r="E409" s="87"/>
      <c r="F409" s="87"/>
      <c r="G409" s="87"/>
      <c r="H409" s="87"/>
      <c r="I409" s="49"/>
      <c r="J409" s="60"/>
      <c r="K409" s="47"/>
      <c r="L409" s="49">
        <f>SUM(AT338:AT400)</f>
        <v>-106.77000000000001</v>
      </c>
    </row>
    <row r="410" spans="1:12" ht="14.25" hidden="1" x14ac:dyDescent="0.2">
      <c r="A410" s="60"/>
      <c r="B410" s="63"/>
      <c r="C410" s="87" t="s">
        <v>870</v>
      </c>
      <c r="D410" s="87"/>
      <c r="E410" s="87"/>
      <c r="F410" s="87"/>
      <c r="G410" s="87"/>
      <c r="H410" s="87"/>
      <c r="I410" s="49"/>
      <c r="J410" s="60"/>
      <c r="K410" s="47"/>
      <c r="L410" s="49">
        <f>SUM(AV338:AV400)</f>
        <v>0</v>
      </c>
    </row>
    <row r="411" spans="1:12" ht="14.25" x14ac:dyDescent="0.2">
      <c r="A411" s="60"/>
      <c r="B411" s="63"/>
      <c r="C411" s="87" t="s">
        <v>871</v>
      </c>
      <c r="D411" s="87"/>
      <c r="E411" s="87"/>
      <c r="F411" s="87"/>
      <c r="G411" s="87"/>
      <c r="H411" s="87"/>
      <c r="I411" s="49"/>
      <c r="J411" s="60"/>
      <c r="K411" s="47"/>
      <c r="L411" s="49">
        <f>L413+L414</f>
        <v>-512.78</v>
      </c>
    </row>
    <row r="412" spans="1:12" ht="14.25" x14ac:dyDescent="0.2">
      <c r="A412" s="60"/>
      <c r="B412" s="63"/>
      <c r="C412" s="89" t="s">
        <v>868</v>
      </c>
      <c r="D412" s="87"/>
      <c r="E412" s="87"/>
      <c r="F412" s="87"/>
      <c r="G412" s="87"/>
      <c r="H412" s="87"/>
      <c r="I412" s="49"/>
      <c r="J412" s="60"/>
      <c r="K412" s="47"/>
      <c r="L412" s="49"/>
    </row>
    <row r="413" spans="1:12" ht="14.25" x14ac:dyDescent="0.2">
      <c r="A413" s="60"/>
      <c r="B413" s="63"/>
      <c r="C413" s="87" t="s">
        <v>872</v>
      </c>
      <c r="D413" s="87"/>
      <c r="E413" s="87"/>
      <c r="F413" s="87"/>
      <c r="G413" s="87"/>
      <c r="H413" s="87"/>
      <c r="I413" s="49"/>
      <c r="J413" s="60"/>
      <c r="K413" s="47"/>
      <c r="L413" s="49">
        <f>SUM(AW338:AW400)-SUM(BK338:BK400)</f>
        <v>-512.78</v>
      </c>
    </row>
    <row r="414" spans="1:12" ht="14.25" hidden="1" x14ac:dyDescent="0.2">
      <c r="A414" s="60"/>
      <c r="B414" s="63"/>
      <c r="C414" s="87" t="s">
        <v>873</v>
      </c>
      <c r="D414" s="87"/>
      <c r="E414" s="87"/>
      <c r="F414" s="87"/>
      <c r="G414" s="87"/>
      <c r="H414" s="87"/>
      <c r="I414" s="49"/>
      <c r="J414" s="60"/>
      <c r="K414" s="47"/>
      <c r="L414" s="49">
        <f>SUM(BC338:BC400)</f>
        <v>0</v>
      </c>
    </row>
    <row r="415" spans="1:12" ht="14.25" hidden="1" x14ac:dyDescent="0.2">
      <c r="A415" s="60"/>
      <c r="B415" s="63"/>
      <c r="C415" s="87" t="s">
        <v>874</v>
      </c>
      <c r="D415" s="87"/>
      <c r="E415" s="87"/>
      <c r="F415" s="87"/>
      <c r="G415" s="87"/>
      <c r="H415" s="87"/>
      <c r="I415" s="49"/>
      <c r="J415" s="60"/>
      <c r="K415" s="47"/>
      <c r="L415" s="49">
        <f>SUM(BB338:BB400)</f>
        <v>0</v>
      </c>
    </row>
    <row r="416" spans="1:12" ht="14.25" x14ac:dyDescent="0.2">
      <c r="A416" s="60"/>
      <c r="B416" s="63"/>
      <c r="C416" s="87" t="s">
        <v>875</v>
      </c>
      <c r="D416" s="87"/>
      <c r="E416" s="87"/>
      <c r="F416" s="87"/>
      <c r="G416" s="87"/>
      <c r="H416" s="87"/>
      <c r="I416" s="49"/>
      <c r="J416" s="60"/>
      <c r="K416" s="47"/>
      <c r="L416" s="49">
        <f>SUM(AR338:AR400)+SUM(AT338:AT400)+SUM(AV338:AV400)</f>
        <v>14903.889999999998</v>
      </c>
    </row>
    <row r="417" spans="1:12" ht="14.25" x14ac:dyDescent="0.2">
      <c r="A417" s="60"/>
      <c r="B417" s="63"/>
      <c r="C417" s="87" t="s">
        <v>876</v>
      </c>
      <c r="D417" s="87"/>
      <c r="E417" s="87"/>
      <c r="F417" s="87"/>
      <c r="G417" s="87"/>
      <c r="H417" s="87"/>
      <c r="I417" s="49"/>
      <c r="J417" s="60"/>
      <c r="K417" s="47"/>
      <c r="L417" s="49">
        <f>SUM(AZ338:AZ400)</f>
        <v>17111.079999999998</v>
      </c>
    </row>
    <row r="418" spans="1:12" ht="14.25" x14ac:dyDescent="0.2">
      <c r="A418" s="60"/>
      <c r="B418" s="63"/>
      <c r="C418" s="87" t="s">
        <v>877</v>
      </c>
      <c r="D418" s="87"/>
      <c r="E418" s="87"/>
      <c r="F418" s="87"/>
      <c r="G418" s="87"/>
      <c r="H418" s="87"/>
      <c r="I418" s="49"/>
      <c r="J418" s="60"/>
      <c r="K418" s="47"/>
      <c r="L418" s="49">
        <f>SUM(BA338:BA400)</f>
        <v>8647.3100000000013</v>
      </c>
    </row>
    <row r="419" spans="1:12" ht="14.25" hidden="1" x14ac:dyDescent="0.2">
      <c r="A419" s="60"/>
      <c r="B419" s="63"/>
      <c r="C419" s="87" t="s">
        <v>878</v>
      </c>
      <c r="D419" s="87"/>
      <c r="E419" s="87"/>
      <c r="F419" s="87"/>
      <c r="G419" s="87"/>
      <c r="H419" s="87"/>
      <c r="I419" s="49"/>
      <c r="J419" s="60"/>
      <c r="K419" s="47"/>
      <c r="L419" s="49">
        <f>L421+L422</f>
        <v>0</v>
      </c>
    </row>
    <row r="420" spans="1:12" ht="14.25" hidden="1" x14ac:dyDescent="0.2">
      <c r="A420" s="60"/>
      <c r="B420" s="63"/>
      <c r="C420" s="89" t="s">
        <v>865</v>
      </c>
      <c r="D420" s="87"/>
      <c r="E420" s="87"/>
      <c r="F420" s="87"/>
      <c r="G420" s="87"/>
      <c r="H420" s="87"/>
      <c r="I420" s="49"/>
      <c r="J420" s="60"/>
      <c r="K420" s="47"/>
      <c r="L420" s="49"/>
    </row>
    <row r="421" spans="1:12" ht="14.25" hidden="1" x14ac:dyDescent="0.2">
      <c r="A421" s="60"/>
      <c r="B421" s="63"/>
      <c r="C421" s="87" t="s">
        <v>879</v>
      </c>
      <c r="D421" s="87"/>
      <c r="E421" s="87"/>
      <c r="F421" s="87"/>
      <c r="G421" s="87"/>
      <c r="H421" s="87"/>
      <c r="I421" s="49"/>
      <c r="J421" s="60"/>
      <c r="K421" s="47"/>
      <c r="L421" s="49">
        <f>SUM(BK338:BK400)</f>
        <v>0</v>
      </c>
    </row>
    <row r="422" spans="1:12" ht="14.25" hidden="1" x14ac:dyDescent="0.2">
      <c r="A422" s="60"/>
      <c r="B422" s="63"/>
      <c r="C422" s="87" t="s">
        <v>880</v>
      </c>
      <c r="D422" s="87"/>
      <c r="E422" s="87"/>
      <c r="F422" s="87"/>
      <c r="G422" s="87"/>
      <c r="H422" s="87"/>
      <c r="I422" s="49"/>
      <c r="J422" s="60"/>
      <c r="K422" s="47"/>
      <c r="L422" s="49">
        <f>SUM(BD338:BD400)</f>
        <v>0</v>
      </c>
    </row>
    <row r="423" spans="1:12" ht="14.25" hidden="1" x14ac:dyDescent="0.2">
      <c r="A423" s="60"/>
      <c r="B423" s="63"/>
      <c r="C423" s="87" t="s">
        <v>881</v>
      </c>
      <c r="D423" s="87"/>
      <c r="E423" s="87"/>
      <c r="F423" s="87"/>
      <c r="G423" s="87"/>
      <c r="H423" s="87"/>
      <c r="I423" s="49"/>
      <c r="J423" s="60"/>
      <c r="K423" s="47"/>
      <c r="L423" s="49"/>
    </row>
    <row r="424" spans="1:12" ht="14.25" hidden="1" x14ac:dyDescent="0.2">
      <c r="A424" s="60"/>
      <c r="B424" s="63"/>
      <c r="C424" s="87" t="s">
        <v>881</v>
      </c>
      <c r="D424" s="87"/>
      <c r="E424" s="87"/>
      <c r="F424" s="87"/>
      <c r="G424" s="87"/>
      <c r="H424" s="87"/>
      <c r="I424" s="49"/>
      <c r="J424" s="60"/>
      <c r="K424" s="47"/>
      <c r="L424" s="49">
        <f>SUM(BQ338:BQ400)</f>
        <v>0</v>
      </c>
    </row>
    <row r="425" spans="1:12" ht="14.25" hidden="1" x14ac:dyDescent="0.2">
      <c r="A425" s="60"/>
      <c r="B425" s="63"/>
      <c r="C425" s="87" t="s">
        <v>882</v>
      </c>
      <c r="D425" s="87"/>
      <c r="E425" s="87"/>
      <c r="F425" s="87"/>
      <c r="G425" s="87"/>
      <c r="H425" s="87"/>
      <c r="I425" s="49"/>
      <c r="J425" s="60"/>
      <c r="K425" s="47"/>
      <c r="L425" s="49">
        <f>SUM(BO338:BO400)</f>
        <v>0</v>
      </c>
    </row>
    <row r="426" spans="1:12" ht="15" x14ac:dyDescent="0.2">
      <c r="A426" s="64"/>
      <c r="B426" s="65"/>
      <c r="C426" s="86" t="s">
        <v>883</v>
      </c>
      <c r="D426" s="86"/>
      <c r="E426" s="86"/>
      <c r="F426" s="86"/>
      <c r="G426" s="86"/>
      <c r="H426" s="86"/>
      <c r="I426" s="52"/>
      <c r="J426" s="64"/>
      <c r="K426" s="66"/>
      <c r="L426" s="52">
        <f>L402+L417+L418+L419+L424+L425</f>
        <v>40107</v>
      </c>
    </row>
    <row r="427" spans="1:12" ht="14.25" x14ac:dyDescent="0.2">
      <c r="A427" s="60"/>
      <c r="B427" s="63"/>
      <c r="C427" s="89" t="s">
        <v>884</v>
      </c>
      <c r="D427" s="87"/>
      <c r="E427" s="87"/>
      <c r="F427" s="87"/>
      <c r="G427" s="87"/>
      <c r="H427" s="87"/>
      <c r="I427" s="49"/>
      <c r="J427" s="60"/>
      <c r="K427" s="47"/>
      <c r="L427" s="49"/>
    </row>
    <row r="428" spans="1:12" ht="14.25" hidden="1" x14ac:dyDescent="0.2">
      <c r="A428" s="60"/>
      <c r="B428" s="63"/>
      <c r="C428" s="87" t="s">
        <v>885</v>
      </c>
      <c r="D428" s="87"/>
      <c r="E428" s="87"/>
      <c r="F428" s="87"/>
      <c r="G428" s="87"/>
      <c r="H428" s="87"/>
      <c r="I428" s="49"/>
      <c r="J428" s="60"/>
      <c r="K428" s="47"/>
      <c r="L428" s="49">
        <f>SUM(AX338:AX400)</f>
        <v>0</v>
      </c>
    </row>
    <row r="429" spans="1:12" ht="14.25" hidden="1" x14ac:dyDescent="0.2">
      <c r="A429" s="60"/>
      <c r="B429" s="63"/>
      <c r="C429" s="87" t="s">
        <v>886</v>
      </c>
      <c r="D429" s="87"/>
      <c r="E429" s="87"/>
      <c r="F429" s="87"/>
      <c r="G429" s="87"/>
      <c r="H429" s="87"/>
      <c r="I429" s="49"/>
      <c r="J429" s="60"/>
      <c r="K429" s="47"/>
      <c r="L429" s="49">
        <f>SUM(AY338:AY400)</f>
        <v>0</v>
      </c>
    </row>
    <row r="430" spans="1:12" ht="14.25" x14ac:dyDescent="0.2">
      <c r="A430" s="60"/>
      <c r="B430" s="63"/>
      <c r="C430" s="87" t="s">
        <v>887</v>
      </c>
      <c r="D430" s="87"/>
      <c r="E430" s="87"/>
      <c r="F430" s="88"/>
      <c r="G430" s="51">
        <f>Source!F154</f>
        <v>23.01867</v>
      </c>
      <c r="H430" s="60"/>
      <c r="I430" s="60"/>
      <c r="J430" s="60"/>
      <c r="K430" s="60"/>
      <c r="L430" s="60"/>
    </row>
    <row r="431" spans="1:12" ht="14.25" hidden="1" customHeight="1" x14ac:dyDescent="0.2">
      <c r="A431" s="60"/>
      <c r="B431" s="63"/>
      <c r="C431" s="87" t="s">
        <v>888</v>
      </c>
      <c r="D431" s="87"/>
      <c r="E431" s="87"/>
      <c r="F431" s="88"/>
      <c r="G431" s="51">
        <f>Source!F155</f>
        <v>0</v>
      </c>
      <c r="H431" s="60"/>
      <c r="I431" s="60"/>
      <c r="J431" s="60"/>
      <c r="K431" s="60"/>
      <c r="L431" s="60"/>
    </row>
    <row r="434" spans="1:12" ht="16.5" x14ac:dyDescent="0.2">
      <c r="A434" s="95" t="s">
        <v>916</v>
      </c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</row>
    <row r="435" spans="1:12" ht="120.75" x14ac:dyDescent="0.2">
      <c r="A435" s="43" t="s">
        <v>325</v>
      </c>
      <c r="B435" s="45" t="s">
        <v>917</v>
      </c>
      <c r="C435" s="45" t="s">
        <v>918</v>
      </c>
      <c r="D435" s="46" t="str">
        <f>Source!H166</f>
        <v>100 м2</v>
      </c>
      <c r="E435" s="47">
        <f>Source!K166</f>
        <v>3.2500000000000001E-2</v>
      </c>
      <c r="F435" s="47"/>
      <c r="G435" s="47">
        <f>Source!I166</f>
        <v>3.2500000000000001E-2</v>
      </c>
      <c r="H435" s="49"/>
      <c r="I435" s="48"/>
      <c r="J435" s="49"/>
      <c r="K435" s="48"/>
      <c r="L435" s="49"/>
    </row>
    <row r="436" spans="1:12" ht="331.5" x14ac:dyDescent="0.2">
      <c r="B436" s="61" t="str">
        <f>Source!EO166</f>
        <v>Поправка: 421/пр_2020_прил.10_т.5_п.1.1_гр.3
Поправка: 421/пр_2020_п.58_пп.б</v>
      </c>
      <c r="C436" s="61" t="str">
        <f>Source!CN166</f>
        <v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
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</row>
    <row r="437" spans="1:12" x14ac:dyDescent="0.2">
      <c r="C437" s="50" t="str">
        <f>"Объем: "&amp;Source!I166&amp;"=(1,3*"&amp;"2,5)/"&amp;"100"</f>
        <v>Объем: 0,0325=(1,3*2,5)/100</v>
      </c>
    </row>
    <row r="438" spans="1:12" ht="15" x14ac:dyDescent="0.2">
      <c r="A438" s="44"/>
      <c r="B438" s="47">
        <v>1</v>
      </c>
      <c r="C438" s="44" t="s">
        <v>786</v>
      </c>
      <c r="D438" s="46" t="s">
        <v>541</v>
      </c>
      <c r="E438" s="51"/>
      <c r="F438" s="47"/>
      <c r="G438" s="47">
        <f>Source!U166</f>
        <v>3.5924849999999999</v>
      </c>
      <c r="H438" s="47"/>
      <c r="I438" s="47"/>
      <c r="J438" s="47"/>
      <c r="K438" s="47"/>
      <c r="L438" s="52">
        <f>SUM(L439:L439)-SUMIF(CE439:CE439, 1, L439:L439)</f>
        <v>2535.86</v>
      </c>
    </row>
    <row r="439" spans="1:12" ht="14.25" x14ac:dyDescent="0.2">
      <c r="A439" s="45"/>
      <c r="B439" s="45" t="s">
        <v>547</v>
      </c>
      <c r="C439" s="45" t="s">
        <v>548</v>
      </c>
      <c r="D439" s="46" t="s">
        <v>541</v>
      </c>
      <c r="E439" s="47">
        <v>80.099999999999994</v>
      </c>
      <c r="F439" s="47">
        <f>ROUND((0.2+1)*1.15,7)</f>
        <v>1.38</v>
      </c>
      <c r="G439" s="47">
        <f>SmtRes!CX145</f>
        <v>3.5924849999999999</v>
      </c>
      <c r="H439" s="49"/>
      <c r="I439" s="48"/>
      <c r="J439" s="49">
        <f>SmtRes!CZ145</f>
        <v>705.88</v>
      </c>
      <c r="K439" s="48"/>
      <c r="L439" s="49">
        <f>SmtRes!DI145</f>
        <v>2535.86</v>
      </c>
    </row>
    <row r="440" spans="1:12" ht="15" x14ac:dyDescent="0.2">
      <c r="A440" s="44"/>
      <c r="B440" s="47">
        <v>4</v>
      </c>
      <c r="C440" s="44" t="s">
        <v>802</v>
      </c>
      <c r="D440" s="46"/>
      <c r="E440" s="51"/>
      <c r="F440" s="47"/>
      <c r="G440" s="47"/>
      <c r="H440" s="47"/>
      <c r="I440" s="47"/>
      <c r="J440" s="47"/>
      <c r="K440" s="47"/>
      <c r="L440" s="52">
        <f>SUM(L441:L444)-SUMIF(CE441:CE444, 1, L441:L444)</f>
        <v>219.69</v>
      </c>
    </row>
    <row r="441" spans="1:12" ht="42.75" x14ac:dyDescent="0.2">
      <c r="A441" s="45"/>
      <c r="B441" s="45" t="s">
        <v>655</v>
      </c>
      <c r="C441" s="45" t="s">
        <v>657</v>
      </c>
      <c r="D441" s="46" t="s">
        <v>43</v>
      </c>
      <c r="E441" s="47">
        <v>22.2</v>
      </c>
      <c r="F441" s="47"/>
      <c r="G441" s="47">
        <f>SmtRes!CX151</f>
        <v>0.72150000000000003</v>
      </c>
      <c r="H441" s="49">
        <f>SmtRes!CZ151</f>
        <v>241.35</v>
      </c>
      <c r="I441" s="48">
        <f>SmtRes!AI151</f>
        <v>1.03</v>
      </c>
      <c r="J441" s="49">
        <f>ROUND(H441*I441, 2)</f>
        <v>248.59</v>
      </c>
      <c r="K441" s="48"/>
      <c r="L441" s="49">
        <f>SmtRes!DF151</f>
        <v>179.36</v>
      </c>
    </row>
    <row r="442" spans="1:12" ht="14.25" x14ac:dyDescent="0.2">
      <c r="A442" s="45"/>
      <c r="B442" s="45" t="s">
        <v>658</v>
      </c>
      <c r="C442" s="45" t="s">
        <v>660</v>
      </c>
      <c r="D442" s="46" t="s">
        <v>165</v>
      </c>
      <c r="E442" s="47">
        <v>1.6800000000000001E-3</v>
      </c>
      <c r="F442" s="47"/>
      <c r="G442" s="47">
        <f>SmtRes!CX152</f>
        <v>5.4599999999999999E-5</v>
      </c>
      <c r="H442" s="49">
        <f>SmtRes!CZ152</f>
        <v>70296.2</v>
      </c>
      <c r="I442" s="48">
        <f>SmtRes!AI152</f>
        <v>1.29</v>
      </c>
      <c r="J442" s="49">
        <f>ROUND(H442*I442, 2)</f>
        <v>90682.1</v>
      </c>
      <c r="K442" s="48"/>
      <c r="L442" s="49">
        <f>SmtRes!DF152</f>
        <v>4.95</v>
      </c>
    </row>
    <row r="443" spans="1:12" ht="28.5" x14ac:dyDescent="0.2">
      <c r="A443" s="45"/>
      <c r="B443" s="45" t="s">
        <v>661</v>
      </c>
      <c r="C443" s="45" t="s">
        <v>663</v>
      </c>
      <c r="D443" s="46" t="s">
        <v>649</v>
      </c>
      <c r="E443" s="47">
        <v>7.5999999999999998E-2</v>
      </c>
      <c r="F443" s="47"/>
      <c r="G443" s="47">
        <f>SmtRes!CX154</f>
        <v>2.47E-3</v>
      </c>
      <c r="H443" s="49">
        <f>SmtRes!CZ154</f>
        <v>3878.19</v>
      </c>
      <c r="I443" s="48">
        <f>SmtRes!AI154</f>
        <v>1.38</v>
      </c>
      <c r="J443" s="49">
        <f>ROUND(H443*I443, 2)</f>
        <v>5351.9</v>
      </c>
      <c r="K443" s="48"/>
      <c r="L443" s="49">
        <f>SmtRes!DF154</f>
        <v>13.22</v>
      </c>
    </row>
    <row r="444" spans="1:12" ht="57" x14ac:dyDescent="0.2">
      <c r="A444" s="45"/>
      <c r="B444" s="45" t="s">
        <v>664</v>
      </c>
      <c r="C444" s="45" t="s">
        <v>666</v>
      </c>
      <c r="D444" s="46" t="s">
        <v>649</v>
      </c>
      <c r="E444" s="47">
        <v>7.0000000000000007E-2</v>
      </c>
      <c r="F444" s="47"/>
      <c r="G444" s="47">
        <f>SmtRes!CX155</f>
        <v>2.2750000000000001E-3</v>
      </c>
      <c r="H444" s="49">
        <f>SmtRes!CZ155</f>
        <v>5764.42</v>
      </c>
      <c r="I444" s="48">
        <f>SmtRes!AI155</f>
        <v>1.69</v>
      </c>
      <c r="J444" s="49">
        <f>ROUND(H444*I444, 2)</f>
        <v>9741.8700000000008</v>
      </c>
      <c r="K444" s="48"/>
      <c r="L444" s="49">
        <f>SmtRes!DF155</f>
        <v>22.16</v>
      </c>
    </row>
    <row r="445" spans="1:12" ht="14.25" x14ac:dyDescent="0.2">
      <c r="A445" s="45"/>
      <c r="B445" s="45" t="str">
        <f>EtalonRes!I137</f>
        <v>01.7.04.07</v>
      </c>
      <c r="C445" s="45" t="str">
        <f>EtalonRes!K137</f>
        <v>Скобяные изделия</v>
      </c>
      <c r="D445" s="46" t="str">
        <f>EtalonRes!O137</f>
        <v>КОМПЛ</v>
      </c>
      <c r="E445" s="47">
        <f>EtalonRes!X137</f>
        <v>0</v>
      </c>
      <c r="F445" s="47"/>
      <c r="G445" s="47">
        <f>ROUND(EtalonRes!AG137*Source!I166, 7)</f>
        <v>0</v>
      </c>
      <c r="H445" s="49"/>
      <c r="I445" s="48"/>
      <c r="J445" s="49"/>
      <c r="K445" s="48"/>
      <c r="L445" s="49"/>
    </row>
    <row r="446" spans="1:12" ht="14.25" x14ac:dyDescent="0.2">
      <c r="A446" s="45"/>
      <c r="B446" s="45" t="str">
        <f>EtalonRes!I140</f>
        <v>01.7.15.07</v>
      </c>
      <c r="C446" s="45" t="str">
        <f>EtalonRes!K140</f>
        <v>Крепёжные изделия</v>
      </c>
      <c r="D446" s="46" t="str">
        <f>EtalonRes!O140</f>
        <v>кг</v>
      </c>
      <c r="E446" s="47">
        <f>EtalonRes!X140</f>
        <v>0</v>
      </c>
      <c r="F446" s="47"/>
      <c r="G446" s="47">
        <f>ROUND(EtalonRes!AG140*Source!I166, 7)</f>
        <v>0</v>
      </c>
      <c r="H446" s="49"/>
      <c r="I446" s="48"/>
      <c r="J446" s="49"/>
      <c r="K446" s="48"/>
      <c r="L446" s="49"/>
    </row>
    <row r="447" spans="1:12" ht="14.25" x14ac:dyDescent="0.2">
      <c r="A447" s="45"/>
      <c r="B447" s="45" t="str">
        <f>EtalonRes!I143</f>
        <v>11.2.02.01</v>
      </c>
      <c r="C447" s="53" t="str">
        <f>EtalonRes!K143</f>
        <v>Блоки дверные</v>
      </c>
      <c r="D447" s="54" t="str">
        <f>EtalonRes!O143</f>
        <v>м2</v>
      </c>
      <c r="E447" s="55">
        <f>EtalonRes!X143</f>
        <v>100</v>
      </c>
      <c r="F447" s="55"/>
      <c r="G447" s="55">
        <f>ROUND(EtalonRes!AG143*Source!I166, 7)</f>
        <v>3.25</v>
      </c>
      <c r="H447" s="56"/>
      <c r="I447" s="57"/>
      <c r="J447" s="56"/>
      <c r="K447" s="57"/>
      <c r="L447" s="56"/>
    </row>
    <row r="448" spans="1:12" ht="15" x14ac:dyDescent="0.2">
      <c r="A448" s="45"/>
      <c r="B448" s="45"/>
      <c r="C448" s="59" t="s">
        <v>787</v>
      </c>
      <c r="D448" s="46"/>
      <c r="E448" s="47"/>
      <c r="F448" s="47"/>
      <c r="G448" s="47"/>
      <c r="H448" s="49"/>
      <c r="I448" s="48"/>
      <c r="J448" s="49"/>
      <c r="K448" s="48"/>
      <c r="L448" s="49">
        <f>L438+L440</f>
        <v>2755.55</v>
      </c>
    </row>
    <row r="449" spans="1:101" ht="42.75" x14ac:dyDescent="0.2">
      <c r="A449" s="43" t="s">
        <v>919</v>
      </c>
      <c r="B449" s="45" t="str">
        <f>Source!F170</f>
        <v>91.05.01-017</v>
      </c>
      <c r="C449" s="45" t="s">
        <v>920</v>
      </c>
      <c r="D449" s="46" t="str">
        <f>Source!H170</f>
        <v>маш.-ч</v>
      </c>
      <c r="E449" s="47">
        <f>SmtRes!AT147</f>
        <v>-10.62</v>
      </c>
      <c r="F449" s="47">
        <f>ROUND((0.2+1)*1.25,7)</f>
        <v>1.5</v>
      </c>
      <c r="G449" s="47">
        <f>Source!I170</f>
        <v>-0.51772499999999999</v>
      </c>
      <c r="H449" s="49"/>
      <c r="I449" s="48"/>
      <c r="J449" s="49">
        <f>Source!AK170</f>
        <v>1039.32</v>
      </c>
      <c r="K449" s="48"/>
      <c r="L449" s="49">
        <f>Source!Q170</f>
        <v>-538.08000000000004</v>
      </c>
      <c r="AD449">
        <f>ROUND((Source!AT170/100)*((ROUND(ROUND(Source!AO170,2)*Source!I170, 2)+ROUND(ROUND(Source!AN170,2)*Source!I170, 2))), 2)</f>
        <v>-542.32000000000005</v>
      </c>
      <c r="AE449">
        <f>ROUND((Source!AU170/100)*((ROUND(ROUND(Source!AO170,2)*Source!I170, 2)+ROUND(ROUND(Source!AN170,2)*Source!I170, 2))), 2)</f>
        <v>-276.18</v>
      </c>
      <c r="AN449">
        <f>L449</f>
        <v>-538.08000000000004</v>
      </c>
      <c r="AO449">
        <f>L449</f>
        <v>-538.08000000000004</v>
      </c>
      <c r="AT449">
        <f>Source!R170</f>
        <v>-502.15</v>
      </c>
      <c r="AZ449">
        <f>Source!X170</f>
        <v>-542.32000000000005</v>
      </c>
      <c r="BA449">
        <f>Source!Y170</f>
        <v>-276.18</v>
      </c>
      <c r="CD449">
        <v>1</v>
      </c>
    </row>
    <row r="450" spans="1:101" ht="114.75" x14ac:dyDescent="0.2">
      <c r="B450" s="61" t="str">
        <f>Source!EO170</f>
        <v>Поправка: 421/пр_2020_прил.10_т.5_п.1.1_гр.3
Поправка: 421/пр_2020_п.58_пп.б</v>
      </c>
      <c r="C450" s="91" t="s">
        <v>921</v>
      </c>
      <c r="D450" s="91"/>
      <c r="E450" s="91"/>
      <c r="F450" s="91"/>
      <c r="G450" s="91"/>
      <c r="H450" s="91"/>
      <c r="I450" s="91"/>
      <c r="J450" s="91"/>
      <c r="K450" s="91"/>
      <c r="L450" s="91"/>
      <c r="CW450" s="62" t="s">
        <v>921</v>
      </c>
    </row>
    <row r="451" spans="1:101" ht="28.5" x14ac:dyDescent="0.2">
      <c r="A451" s="45"/>
      <c r="B451" s="45" t="s">
        <v>599</v>
      </c>
      <c r="C451" s="45" t="s">
        <v>829</v>
      </c>
      <c r="D451" s="46" t="s">
        <v>541</v>
      </c>
      <c r="E451" s="47">
        <f>SmtRes!DO147*SmtRes!AT147</f>
        <v>-10.62</v>
      </c>
      <c r="F451" s="47">
        <f>ROUND((0.2+1)*1.25,7)</f>
        <v>1.5</v>
      </c>
      <c r="G451" s="47">
        <f>ROUND(E451*F451*G435, 7)</f>
        <v>-0.51772499999999999</v>
      </c>
      <c r="H451" s="49"/>
      <c r="I451" s="48"/>
      <c r="J451" s="49">
        <f>ROUND(SmtRes!AG147/SmtRes!DO147, 2)</f>
        <v>969.91</v>
      </c>
      <c r="K451" s="48"/>
      <c r="L451" s="49">
        <f>SmtRes!DH147</f>
        <v>-502.15</v>
      </c>
      <c r="CE451">
        <v>1</v>
      </c>
    </row>
    <row r="452" spans="1:101" ht="42.75" x14ac:dyDescent="0.2">
      <c r="A452" s="43" t="s">
        <v>922</v>
      </c>
      <c r="B452" s="45" t="str">
        <f>Source!F171</f>
        <v>91.05.05-015</v>
      </c>
      <c r="C452" s="45" t="s">
        <v>828</v>
      </c>
      <c r="D452" s="46" t="str">
        <f>Source!H171</f>
        <v>маш.-ч</v>
      </c>
      <c r="E452" s="47">
        <f>SmtRes!AT148</f>
        <v>-1.89</v>
      </c>
      <c r="F452" s="47">
        <f>ROUND((0.2+1)*1.25,7)</f>
        <v>1.5</v>
      </c>
      <c r="G452" s="47">
        <f>Source!I171</f>
        <v>-9.2137499999999997E-2</v>
      </c>
      <c r="H452" s="49"/>
      <c r="I452" s="48"/>
      <c r="J452" s="49">
        <f>Source!AK171</f>
        <v>1629.55</v>
      </c>
      <c r="K452" s="48"/>
      <c r="L452" s="49">
        <f>Source!Q171</f>
        <v>-150.13999999999999</v>
      </c>
      <c r="AD452">
        <f>ROUND((Source!AT171/100)*((ROUND(ROUND(Source!AO171,2)*Source!I171, 2)+ROUND(ROUND(Source!AN171,2)*Source!I171, 2))), 2)</f>
        <v>-96.52</v>
      </c>
      <c r="AE452">
        <f>ROUND((Source!AU171/100)*((ROUND(ROUND(Source!AO171,2)*Source!I171, 2)+ROUND(ROUND(Source!AN171,2)*Source!I171, 2))), 2)</f>
        <v>-49.15</v>
      </c>
      <c r="AN452">
        <f>L452</f>
        <v>-150.13999999999999</v>
      </c>
      <c r="AO452">
        <f>L452</f>
        <v>-150.13999999999999</v>
      </c>
      <c r="AT452">
        <f>Source!R171</f>
        <v>-89.37</v>
      </c>
      <c r="AZ452">
        <f>Source!X171</f>
        <v>-96.52</v>
      </c>
      <c r="BA452">
        <f>Source!Y171</f>
        <v>-49.15</v>
      </c>
      <c r="CD452">
        <v>1</v>
      </c>
    </row>
    <row r="453" spans="1:101" ht="114.75" x14ac:dyDescent="0.2">
      <c r="B453" s="61" t="str">
        <f>Source!EO171</f>
        <v>Поправка: 421/пр_2020_прил.10_т.5_п.1.1_гр.3
Поправка: 421/пр_2020_п.58_пп.б</v>
      </c>
      <c r="C453" s="91" t="s">
        <v>921</v>
      </c>
      <c r="D453" s="91"/>
      <c r="E453" s="91"/>
      <c r="F453" s="91"/>
      <c r="G453" s="91"/>
      <c r="H453" s="91"/>
      <c r="I453" s="91"/>
      <c r="J453" s="91"/>
      <c r="K453" s="91"/>
      <c r="L453" s="91"/>
      <c r="CW453" s="62" t="s">
        <v>921</v>
      </c>
    </row>
    <row r="454" spans="1:101" ht="28.5" x14ac:dyDescent="0.2">
      <c r="A454" s="45"/>
      <c r="B454" s="45" t="s">
        <v>599</v>
      </c>
      <c r="C454" s="45" t="s">
        <v>829</v>
      </c>
      <c r="D454" s="46" t="s">
        <v>541</v>
      </c>
      <c r="E454" s="47">
        <f>SmtRes!DO148*SmtRes!AT148</f>
        <v>-1.89</v>
      </c>
      <c r="F454" s="47">
        <f>ROUND((0.2+1)*1.25,7)</f>
        <v>1.5</v>
      </c>
      <c r="G454" s="47">
        <f>ROUND(E454*F454*G435, 7)</f>
        <v>-9.2137499999999997E-2</v>
      </c>
      <c r="H454" s="49"/>
      <c r="I454" s="48"/>
      <c r="J454" s="49">
        <f>ROUND(SmtRes!AG148/SmtRes!DO148, 2)</f>
        <v>969.91</v>
      </c>
      <c r="K454" s="48"/>
      <c r="L454" s="49">
        <f>SmtRes!DH148</f>
        <v>-89.37</v>
      </c>
      <c r="CE454">
        <v>1</v>
      </c>
    </row>
    <row r="455" spans="1:101" ht="42.75" x14ac:dyDescent="0.2">
      <c r="A455" s="43" t="s">
        <v>923</v>
      </c>
      <c r="B455" s="45" t="str">
        <f>Source!F172</f>
        <v>91.14.02-001</v>
      </c>
      <c r="C455" s="45" t="s">
        <v>831</v>
      </c>
      <c r="D455" s="46" t="str">
        <f>Source!H172</f>
        <v>маш.-ч</v>
      </c>
      <c r="E455" s="47">
        <f>SmtRes!AT149</f>
        <v>-2.85</v>
      </c>
      <c r="F455" s="47">
        <f>ROUND((0.2+1)*1.25,7)</f>
        <v>1.5</v>
      </c>
      <c r="G455" s="47">
        <f>Source!I172</f>
        <v>-0.13893749999999999</v>
      </c>
      <c r="H455" s="49"/>
      <c r="I455" s="48"/>
      <c r="J455" s="49">
        <f>Source!AK172</f>
        <v>643.29</v>
      </c>
      <c r="K455" s="48"/>
      <c r="L455" s="49">
        <f>Source!Q172</f>
        <v>-89.38</v>
      </c>
      <c r="AD455">
        <f>ROUND((Source!AT172/100)*((ROUND(ROUND(Source!AO172,2)*Source!I172, 2)+ROUND(ROUND(Source!AN172,2)*Source!I172, 2))), 2)</f>
        <v>-108.35</v>
      </c>
      <c r="AE455">
        <f>ROUND((Source!AU172/100)*((ROUND(ROUND(Source!AO172,2)*Source!I172, 2)+ROUND(ROUND(Source!AN172,2)*Source!I172, 2))), 2)</f>
        <v>-55.18</v>
      </c>
      <c r="AN455">
        <f>L455</f>
        <v>-89.38</v>
      </c>
      <c r="AO455">
        <f>L455</f>
        <v>-89.38</v>
      </c>
      <c r="AT455">
        <f>Source!R172</f>
        <v>-100.32</v>
      </c>
      <c r="AZ455">
        <f>Source!X172</f>
        <v>-108.35</v>
      </c>
      <c r="BA455">
        <f>Source!Y172</f>
        <v>-55.18</v>
      </c>
      <c r="CD455">
        <v>1</v>
      </c>
    </row>
    <row r="456" spans="1:101" ht="114.75" x14ac:dyDescent="0.2">
      <c r="B456" s="61" t="str">
        <f>Source!EO172</f>
        <v>Поправка: 421/пр_2020_прил.10_т.5_п.1.1_гр.3
Поправка: 421/пр_2020_п.58_пп.б</v>
      </c>
      <c r="C456" s="91" t="s">
        <v>921</v>
      </c>
      <c r="D456" s="91"/>
      <c r="E456" s="91"/>
      <c r="F456" s="91"/>
      <c r="G456" s="91"/>
      <c r="H456" s="91"/>
      <c r="I456" s="91"/>
      <c r="J456" s="91"/>
      <c r="K456" s="91"/>
      <c r="L456" s="91"/>
      <c r="CW456" s="62" t="s">
        <v>921</v>
      </c>
    </row>
    <row r="457" spans="1:101" ht="28.5" x14ac:dyDescent="0.2">
      <c r="A457" s="45"/>
      <c r="B457" s="45" t="s">
        <v>600</v>
      </c>
      <c r="C457" s="45" t="s">
        <v>832</v>
      </c>
      <c r="D457" s="46" t="s">
        <v>541</v>
      </c>
      <c r="E457" s="47">
        <f>SmtRes!DO149*SmtRes!AT149</f>
        <v>-2.85</v>
      </c>
      <c r="F457" s="47">
        <f>ROUND((0.2+1)*1.25,7)</f>
        <v>1.5</v>
      </c>
      <c r="G457" s="47">
        <f>ROUND(E457*F457*G435, 7)</f>
        <v>-0.13893749999999999</v>
      </c>
      <c r="H457" s="49"/>
      <c r="I457" s="48"/>
      <c r="J457" s="49">
        <f>ROUND(SmtRes!AG149/SmtRes!DO149, 2)</f>
        <v>722.05</v>
      </c>
      <c r="K457" s="48"/>
      <c r="L457" s="49">
        <f>SmtRes!DH149</f>
        <v>-100.32</v>
      </c>
      <c r="CE457">
        <v>1</v>
      </c>
    </row>
    <row r="458" spans="1:101" ht="14.25" x14ac:dyDescent="0.2">
      <c r="A458" s="45"/>
      <c r="B458" s="45"/>
      <c r="C458" s="45" t="s">
        <v>790</v>
      </c>
      <c r="D458" s="46"/>
      <c r="E458" s="47"/>
      <c r="F458" s="47"/>
      <c r="G458" s="47"/>
      <c r="H458" s="49"/>
      <c r="I458" s="48"/>
      <c r="J458" s="49"/>
      <c r="K458" s="48"/>
      <c r="L458" s="49">
        <f>SUM(AR435:AR461)+SUM(AS435:AS461)+SUM(AT435:AT461)+SUM(AU435:AU461)+SUM(AV435:AV461)</f>
        <v>1844.0200000000002</v>
      </c>
    </row>
    <row r="459" spans="1:101" ht="14.25" x14ac:dyDescent="0.2">
      <c r="A459" s="45"/>
      <c r="B459" s="45" t="s">
        <v>334</v>
      </c>
      <c r="C459" s="45" t="s">
        <v>924</v>
      </c>
      <c r="D459" s="46" t="s">
        <v>57</v>
      </c>
      <c r="E459" s="47">
        <f>Source!BZ166</f>
        <v>108</v>
      </c>
      <c r="F459" s="47"/>
      <c r="G459" s="47">
        <f>Source!AT166</f>
        <v>108</v>
      </c>
      <c r="H459" s="49"/>
      <c r="I459" s="48"/>
      <c r="J459" s="49"/>
      <c r="K459" s="48"/>
      <c r="L459" s="49">
        <f>SUM(AZ435:AZ461)</f>
        <v>1991.54</v>
      </c>
    </row>
    <row r="460" spans="1:101" ht="28.5" x14ac:dyDescent="0.2">
      <c r="A460" s="53"/>
      <c r="B460" s="53" t="s">
        <v>925</v>
      </c>
      <c r="C460" s="53" t="s">
        <v>926</v>
      </c>
      <c r="D460" s="54" t="s">
        <v>57</v>
      </c>
      <c r="E460" s="55">
        <f>Source!CA166</f>
        <v>55</v>
      </c>
      <c r="F460" s="55">
        <f>ROUND(0.85,7)</f>
        <v>0.85</v>
      </c>
      <c r="G460" s="55">
        <f>Source!AU166</f>
        <v>46.75</v>
      </c>
      <c r="H460" s="56"/>
      <c r="I460" s="57"/>
      <c r="J460" s="56"/>
      <c r="K460" s="57"/>
      <c r="L460" s="56">
        <f>SUM(BA435:BA461)</f>
        <v>805</v>
      </c>
    </row>
    <row r="461" spans="1:101" ht="15" x14ac:dyDescent="0.2">
      <c r="C461" s="92" t="s">
        <v>793</v>
      </c>
      <c r="D461" s="92"/>
      <c r="E461" s="92"/>
      <c r="F461" s="92"/>
      <c r="G461" s="92"/>
      <c r="H461" s="92"/>
      <c r="I461" s="93">
        <f>IF(E435&lt;&gt;0,K461/E435, 0)</f>
        <v>125620.00000000001</v>
      </c>
      <c r="J461" s="93"/>
      <c r="K461" s="93">
        <f>L438+L440+L459+L460+SUM(L449:L457)</f>
        <v>4082.6500000000005</v>
      </c>
      <c r="L461" s="93"/>
      <c r="AD461">
        <f>ROUND((Source!AT166/100)*((ROUND(SUMIF(SmtRes!AQ145:'SmtRes'!AQ156,"=1",SmtRes!AD145:'SmtRes'!AD156)*Source!I166, 2)+ROUND(SUMIF(SmtRes!AQ145:'SmtRes'!AQ156,"=1",SmtRes!AC145:'SmtRes'!AC156)*Source!I166, 2))), 2)</f>
        <v>24.78</v>
      </c>
      <c r="AE461">
        <f>ROUND((Source!AU166/100)*((ROUND(SUMIF(SmtRes!AQ145:'SmtRes'!AQ156,"=1",SmtRes!AD145:'SmtRes'!AD156)*Source!I166, 2)+ROUND(SUMIF(SmtRes!AQ145:'SmtRes'!AQ156,"=1",SmtRes!AC145:'SmtRes'!AC156)*Source!I166, 2))), 2)</f>
        <v>10.72</v>
      </c>
      <c r="AN461" s="58">
        <f>L438+L440+L459+L460</f>
        <v>5552.09</v>
      </c>
      <c r="AO461">
        <f>0</f>
        <v>0</v>
      </c>
      <c r="AQ461" t="s">
        <v>794</v>
      </c>
      <c r="AR461" s="58">
        <f>L438</f>
        <v>2535.86</v>
      </c>
      <c r="AT461">
        <f>0</f>
        <v>0</v>
      </c>
      <c r="AV461" t="s">
        <v>794</v>
      </c>
      <c r="AW461" s="58">
        <f>L440</f>
        <v>219.69</v>
      </c>
      <c r="AZ461">
        <f>Source!X166</f>
        <v>2738.73</v>
      </c>
      <c r="BA461">
        <f>Source!Y166</f>
        <v>1185.51</v>
      </c>
      <c r="CD461">
        <v>1</v>
      </c>
    </row>
    <row r="462" spans="1:101" ht="42.75" x14ac:dyDescent="0.2">
      <c r="A462" s="67" t="s">
        <v>352</v>
      </c>
      <c r="B462" s="53" t="str">
        <f>Source!F173</f>
        <v>ТЦ_11.2.02.01_50_5001057175_22.04.2026_01_1.1</v>
      </c>
      <c r="C462" s="53" t="str">
        <f>Source!G173</f>
        <v>Двухстворчатая дверь с дверным блоком Размер 1.30/2,5 с установкой</v>
      </c>
      <c r="D462" s="54" t="str">
        <f>Source!H173</f>
        <v>ШТ</v>
      </c>
      <c r="E462" s="55">
        <f>Source!K173</f>
        <v>1</v>
      </c>
      <c r="F462" s="55"/>
      <c r="G462" s="55">
        <f>Source!I173</f>
        <v>1</v>
      </c>
      <c r="H462" s="56"/>
      <c r="I462" s="57"/>
      <c r="J462" s="56">
        <f>Source!AL173</f>
        <v>68647.539999999994</v>
      </c>
      <c r="K462" s="57"/>
      <c r="L462" s="56">
        <f>Source!HG173</f>
        <v>68647.539999999994</v>
      </c>
    </row>
    <row r="463" spans="1:101" ht="15" x14ac:dyDescent="0.2">
      <c r="C463" s="92" t="s">
        <v>793</v>
      </c>
      <c r="D463" s="92"/>
      <c r="E463" s="92"/>
      <c r="F463" s="92"/>
      <c r="G463" s="92"/>
      <c r="H463" s="92"/>
      <c r="I463" s="93">
        <f>IF(E462&lt;&gt;0,K463/E462, 0)</f>
        <v>68647.539999999994</v>
      </c>
      <c r="J463" s="93"/>
      <c r="K463" s="93">
        <f>L462</f>
        <v>68647.539999999994</v>
      </c>
      <c r="L463" s="93"/>
      <c r="AD463">
        <f>ROUND((Source!AT173/100)*((ROUND(ROUND(Source!AO173,2)*Source!I173, 2)+ROUND(ROUND(Source!AN173,2)*Source!I173, 2))), 2)</f>
        <v>0</v>
      </c>
      <c r="AE463">
        <f>ROUND((Source!AU173/100)*((ROUND(ROUND(Source!AO173,2)*Source!I173, 2)+ROUND(ROUND(Source!AN173,2)*Source!I173, 2))), 2)</f>
        <v>0</v>
      </c>
      <c r="AN463" s="58">
        <f>L462</f>
        <v>68647.539999999994</v>
      </c>
      <c r="AO463">
        <f>0</f>
        <v>0</v>
      </c>
      <c r="AQ463" t="s">
        <v>794</v>
      </c>
      <c r="AR463">
        <f>0</f>
        <v>0</v>
      </c>
      <c r="AT463">
        <f>0</f>
        <v>0</v>
      </c>
      <c r="AV463" t="s">
        <v>794</v>
      </c>
      <c r="AW463" s="58">
        <f>L462</f>
        <v>68647.539999999994</v>
      </c>
      <c r="AX463" s="58">
        <f>L462</f>
        <v>68647.539999999994</v>
      </c>
      <c r="AZ463">
        <f>Source!X173</f>
        <v>0</v>
      </c>
      <c r="BA463">
        <f>Source!Y173</f>
        <v>0</v>
      </c>
      <c r="CD463">
        <v>1</v>
      </c>
    </row>
    <row r="464" spans="1:101" ht="78" x14ac:dyDescent="0.2">
      <c r="A464" s="43" t="s">
        <v>357</v>
      </c>
      <c r="B464" s="45" t="s">
        <v>927</v>
      </c>
      <c r="C464" s="45" t="s">
        <v>928</v>
      </c>
      <c r="D464" s="46" t="str">
        <f>Source!H174</f>
        <v>100 м</v>
      </c>
      <c r="E464" s="47">
        <f>Source!K174</f>
        <v>6.3E-2</v>
      </c>
      <c r="F464" s="47"/>
      <c r="G464" s="47">
        <f>Source!I174</f>
        <v>6.3E-2</v>
      </c>
      <c r="H464" s="49"/>
      <c r="I464" s="48"/>
      <c r="J464" s="49"/>
      <c r="K464" s="48"/>
      <c r="L464" s="49"/>
    </row>
    <row r="465" spans="1:101" ht="331.5" x14ac:dyDescent="0.2">
      <c r="B465" s="61" t="str">
        <f>Source!EO174</f>
        <v>Поправка: 421/пр_2020_прил.10_т.5_п.1.1_гр.3
Поправка: 421/пр_2020_п.58_пп.б</v>
      </c>
      <c r="C465" s="61" t="str">
        <f>Source!CN174</f>
        <v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
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</row>
    <row r="466" spans="1:101" x14ac:dyDescent="0.2">
      <c r="C466" s="50" t="str">
        <f>"Объем: "&amp;Source!I174&amp;"=(2,5+"&amp;"1,3+"&amp;"2,5)/"&amp;"100"</f>
        <v>Объем: 0,063=(2,5+1,3+2,5)/100</v>
      </c>
    </row>
    <row r="467" spans="1:101" ht="15" x14ac:dyDescent="0.2">
      <c r="A467" s="44"/>
      <c r="B467" s="47">
        <v>1</v>
      </c>
      <c r="C467" s="44" t="s">
        <v>786</v>
      </c>
      <c r="D467" s="46" t="s">
        <v>541</v>
      </c>
      <c r="E467" s="51"/>
      <c r="F467" s="47"/>
      <c r="G467" s="47">
        <f>Source!U174</f>
        <v>0.6798708</v>
      </c>
      <c r="H467" s="47"/>
      <c r="I467" s="47"/>
      <c r="J467" s="47"/>
      <c r="K467" s="47"/>
      <c r="L467" s="52">
        <f>SUM(L468:L468)-SUMIF(CE468:CE468, 1, L468:L468)</f>
        <v>417.63</v>
      </c>
    </row>
    <row r="468" spans="1:101" ht="14.25" x14ac:dyDescent="0.2">
      <c r="A468" s="45"/>
      <c r="B468" s="45" t="s">
        <v>667</v>
      </c>
      <c r="C468" s="45" t="s">
        <v>668</v>
      </c>
      <c r="D468" s="46" t="s">
        <v>541</v>
      </c>
      <c r="E468" s="47">
        <v>7.82</v>
      </c>
      <c r="F468" s="47">
        <f>ROUND((0.2+1)*1.15,7)</f>
        <v>1.38</v>
      </c>
      <c r="G468" s="47">
        <f>SmtRes!CX157</f>
        <v>0.6798708</v>
      </c>
      <c r="H468" s="49"/>
      <c r="I468" s="48"/>
      <c r="J468" s="49">
        <f>SmtRes!CZ157</f>
        <v>614.28</v>
      </c>
      <c r="K468" s="48"/>
      <c r="L468" s="49">
        <f>SmtRes!DI157</f>
        <v>417.63</v>
      </c>
    </row>
    <row r="469" spans="1:101" ht="15" x14ac:dyDescent="0.2">
      <c r="A469" s="44"/>
      <c r="B469" s="47">
        <v>4</v>
      </c>
      <c r="C469" s="44" t="s">
        <v>802</v>
      </c>
      <c r="D469" s="46"/>
      <c r="E469" s="51"/>
      <c r="F469" s="47"/>
      <c r="G469" s="47"/>
      <c r="H469" s="47"/>
      <c r="I469" s="47"/>
      <c r="J469" s="47"/>
      <c r="K469" s="47"/>
      <c r="L469" s="52">
        <f>SUM(L470:L470)-SUMIF(CE470:CE470, 1, L470:L470)</f>
        <v>4.05</v>
      </c>
    </row>
    <row r="470" spans="1:101" ht="14.25" x14ac:dyDescent="0.2">
      <c r="A470" s="45"/>
      <c r="B470" s="45" t="s">
        <v>658</v>
      </c>
      <c r="C470" s="45" t="s">
        <v>660</v>
      </c>
      <c r="D470" s="46" t="s">
        <v>165</v>
      </c>
      <c r="E470" s="47">
        <v>7.1000000000000002E-4</v>
      </c>
      <c r="F470" s="47"/>
      <c r="G470" s="47">
        <f>SmtRes!CX160</f>
        <v>4.4700000000000002E-5</v>
      </c>
      <c r="H470" s="49">
        <f>SmtRes!CZ160</f>
        <v>70296.2</v>
      </c>
      <c r="I470" s="48">
        <f>SmtRes!AI160</f>
        <v>1.29</v>
      </c>
      <c r="J470" s="49">
        <f>ROUND(H470*I470, 2)</f>
        <v>90682.1</v>
      </c>
      <c r="K470" s="48"/>
      <c r="L470" s="49">
        <f>SmtRes!DF160</f>
        <v>4.05</v>
      </c>
    </row>
    <row r="471" spans="1:101" ht="14.25" x14ac:dyDescent="0.2">
      <c r="A471" s="45"/>
      <c r="B471" s="45" t="str">
        <f>EtalonRes!I148</f>
        <v>11.1.01.10</v>
      </c>
      <c r="C471" s="53" t="str">
        <f>EtalonRes!K148</f>
        <v>Наличники</v>
      </c>
      <c r="D471" s="54" t="str">
        <f>EtalonRes!O148</f>
        <v>м</v>
      </c>
      <c r="E471" s="55">
        <f>EtalonRes!X148</f>
        <v>112</v>
      </c>
      <c r="F471" s="55"/>
      <c r="G471" s="55">
        <f>ROUND(EtalonRes!AG148*Source!I174, 7)</f>
        <v>7.056</v>
      </c>
      <c r="H471" s="56"/>
      <c r="I471" s="57"/>
      <c r="J471" s="56"/>
      <c r="K471" s="57"/>
      <c r="L471" s="56"/>
    </row>
    <row r="472" spans="1:101" ht="15" x14ac:dyDescent="0.2">
      <c r="A472" s="45"/>
      <c r="B472" s="45"/>
      <c r="C472" s="59" t="s">
        <v>787</v>
      </c>
      <c r="D472" s="46"/>
      <c r="E472" s="47"/>
      <c r="F472" s="47"/>
      <c r="G472" s="47"/>
      <c r="H472" s="49"/>
      <c r="I472" s="48"/>
      <c r="J472" s="49"/>
      <c r="K472" s="48"/>
      <c r="L472" s="49">
        <f>L467+L469</f>
        <v>421.68</v>
      </c>
    </row>
    <row r="473" spans="1:101" ht="42.75" x14ac:dyDescent="0.2">
      <c r="A473" s="43" t="s">
        <v>929</v>
      </c>
      <c r="B473" s="45" t="str">
        <f>Source!F175</f>
        <v>11.1.01.10-0064</v>
      </c>
      <c r="C473" s="45" t="str">
        <f>Source!G175</f>
        <v>Наличник гладкий из древесины твердолиственных пород, сечение 70х15 мм</v>
      </c>
      <c r="D473" s="46" t="str">
        <f>Source!H175</f>
        <v>м</v>
      </c>
      <c r="E473" s="47">
        <f>SmtRes!AT161</f>
        <v>112</v>
      </c>
      <c r="F473" s="47"/>
      <c r="G473" s="47">
        <f>Source!I175</f>
        <v>7.056</v>
      </c>
      <c r="H473" s="49">
        <f>Source!AL175+Source!AO175+Source!AM175+Source!AN175</f>
        <v>387.85</v>
      </c>
      <c r="I473" s="48">
        <f>IF(Source!BC175&lt;&gt; 0, Source!BC175, 1)</f>
        <v>1.69</v>
      </c>
      <c r="J473" s="49">
        <f>ROUND(H473*I473, 2)</f>
        <v>655.47</v>
      </c>
      <c r="K473" s="48"/>
      <c r="L473" s="49">
        <f>Source!P175</f>
        <v>4625</v>
      </c>
      <c r="AD473">
        <f>ROUND((Source!AT175/100)*((ROUND(ROUND(Source!AO175,2)*Source!I175, 2)+ROUND(ROUND(Source!AN175,2)*Source!I175, 2))), 2)</f>
        <v>0</v>
      </c>
      <c r="AE473">
        <f>ROUND((Source!AU175/100)*((ROUND(ROUND(Source!AO175,2)*Source!I175, 2)+ROUND(ROUND(Source!AN175,2)*Source!I175, 2))), 2)</f>
        <v>0</v>
      </c>
      <c r="AN473">
        <f>L473</f>
        <v>4625</v>
      </c>
      <c r="AW473">
        <f>L473</f>
        <v>4625</v>
      </c>
      <c r="AZ473">
        <f>Source!X175</f>
        <v>0</v>
      </c>
      <c r="BA473">
        <f>Source!Y175</f>
        <v>0</v>
      </c>
      <c r="CD473">
        <v>1</v>
      </c>
    </row>
    <row r="474" spans="1:101" ht="42.75" x14ac:dyDescent="0.2">
      <c r="A474" s="43" t="s">
        <v>930</v>
      </c>
      <c r="B474" s="45" t="str">
        <f>Source!F176</f>
        <v>91.14.02-001</v>
      </c>
      <c r="C474" s="45" t="s">
        <v>831</v>
      </c>
      <c r="D474" s="46" t="str">
        <f>Source!H176</f>
        <v>маш.-ч</v>
      </c>
      <c r="E474" s="47">
        <f>SmtRes!AT159</f>
        <v>-0.06</v>
      </c>
      <c r="F474" s="47">
        <f>ROUND((0.2+1)*1.25,7)</f>
        <v>1.5</v>
      </c>
      <c r="G474" s="47">
        <f>Source!I176</f>
        <v>-5.6699999999999997E-3</v>
      </c>
      <c r="H474" s="49"/>
      <c r="I474" s="48"/>
      <c r="J474" s="49">
        <f>Source!AK176</f>
        <v>643.29</v>
      </c>
      <c r="K474" s="48"/>
      <c r="L474" s="49">
        <f>Source!Q176</f>
        <v>-3.65</v>
      </c>
      <c r="AD474">
        <f>ROUND((Source!AT176/100)*((ROUND(ROUND(Source!AO176,2)*Source!I176, 2)+ROUND(ROUND(Source!AN176,2)*Source!I176, 2))), 2)</f>
        <v>-4.42</v>
      </c>
      <c r="AE474">
        <f>ROUND((Source!AU176/100)*((ROUND(ROUND(Source!AO176,2)*Source!I176, 2)+ROUND(ROUND(Source!AN176,2)*Source!I176, 2))), 2)</f>
        <v>-2.25</v>
      </c>
      <c r="AN474">
        <f>L474</f>
        <v>-3.65</v>
      </c>
      <c r="AO474">
        <f>L474</f>
        <v>-3.65</v>
      </c>
      <c r="AT474">
        <f>Source!R176</f>
        <v>-4.09</v>
      </c>
      <c r="AZ474">
        <f>Source!X176</f>
        <v>-4.42</v>
      </c>
      <c r="BA474">
        <f>Source!Y176</f>
        <v>-2.25</v>
      </c>
      <c r="CD474">
        <v>1</v>
      </c>
    </row>
    <row r="475" spans="1:101" ht="114.75" x14ac:dyDescent="0.2">
      <c r="B475" s="61" t="str">
        <f>Source!EO176</f>
        <v>Поправка: 421/пр_2020_прил.10_т.5_п.1.1_гр.3
Поправка: 421/пр_2020_п.58_пп.б</v>
      </c>
      <c r="C475" s="91" t="s">
        <v>921</v>
      </c>
      <c r="D475" s="91"/>
      <c r="E475" s="91"/>
      <c r="F475" s="91"/>
      <c r="G475" s="91"/>
      <c r="H475" s="91"/>
      <c r="I475" s="91"/>
      <c r="J475" s="91"/>
      <c r="K475" s="91"/>
      <c r="L475" s="91"/>
      <c r="CW475" s="62" t="s">
        <v>921</v>
      </c>
    </row>
    <row r="476" spans="1:101" ht="28.5" x14ac:dyDescent="0.2">
      <c r="A476" s="45"/>
      <c r="B476" s="45" t="s">
        <v>600</v>
      </c>
      <c r="C476" s="45" t="s">
        <v>832</v>
      </c>
      <c r="D476" s="46" t="s">
        <v>541</v>
      </c>
      <c r="E476" s="47">
        <f>SmtRes!DO159*SmtRes!AT159</f>
        <v>-0.06</v>
      </c>
      <c r="F476" s="47">
        <f>ROUND((0.2+1)*1.25,7)</f>
        <v>1.5</v>
      </c>
      <c r="G476" s="47">
        <f>ROUND(E476*F476*G464, 7)</f>
        <v>-5.6699999999999997E-3</v>
      </c>
      <c r="H476" s="49"/>
      <c r="I476" s="48"/>
      <c r="J476" s="49">
        <f>ROUND(SmtRes!AG159/SmtRes!DO159, 2)</f>
        <v>722.05</v>
      </c>
      <c r="K476" s="48"/>
      <c r="L476" s="49">
        <f>SmtRes!DH159</f>
        <v>-4.09</v>
      </c>
      <c r="CE476">
        <v>1</v>
      </c>
    </row>
    <row r="477" spans="1:101" ht="14.25" x14ac:dyDescent="0.2">
      <c r="A477" s="45"/>
      <c r="B477" s="45"/>
      <c r="C477" s="45" t="s">
        <v>790</v>
      </c>
      <c r="D477" s="46"/>
      <c r="E477" s="47"/>
      <c r="F477" s="47"/>
      <c r="G477" s="47"/>
      <c r="H477" s="49"/>
      <c r="I477" s="48"/>
      <c r="J477" s="49"/>
      <c r="K477" s="48"/>
      <c r="L477" s="49">
        <f>SUM(AR464:AR480)+SUM(AS464:AS480)+SUM(AT464:AT480)+SUM(AU464:AU480)+SUM(AV464:AV480)</f>
        <v>413.54</v>
      </c>
    </row>
    <row r="478" spans="1:101" ht="14.25" x14ac:dyDescent="0.2">
      <c r="A478" s="45"/>
      <c r="B478" s="45" t="s">
        <v>334</v>
      </c>
      <c r="C478" s="45" t="s">
        <v>924</v>
      </c>
      <c r="D478" s="46" t="s">
        <v>57</v>
      </c>
      <c r="E478" s="47">
        <f>Source!BZ174</f>
        <v>108</v>
      </c>
      <c r="F478" s="47"/>
      <c r="G478" s="47">
        <f>Source!AT174</f>
        <v>108</v>
      </c>
      <c r="H478" s="49"/>
      <c r="I478" s="48"/>
      <c r="J478" s="49"/>
      <c r="K478" s="48"/>
      <c r="L478" s="49">
        <f>SUM(AZ464:AZ480)</f>
        <v>446.62</v>
      </c>
    </row>
    <row r="479" spans="1:101" ht="28.5" x14ac:dyDescent="0.2">
      <c r="A479" s="53"/>
      <c r="B479" s="53" t="s">
        <v>925</v>
      </c>
      <c r="C479" s="53" t="s">
        <v>926</v>
      </c>
      <c r="D479" s="54" t="s">
        <v>57</v>
      </c>
      <c r="E479" s="55">
        <f>Source!CA174</f>
        <v>55</v>
      </c>
      <c r="F479" s="55">
        <f>ROUND(0.85,7)</f>
        <v>0.85</v>
      </c>
      <c r="G479" s="55">
        <f>Source!AU174</f>
        <v>46.75</v>
      </c>
      <c r="H479" s="56"/>
      <c r="I479" s="57"/>
      <c r="J479" s="56"/>
      <c r="K479" s="57"/>
      <c r="L479" s="56">
        <f>SUM(BA464:BA480)</f>
        <v>192.99</v>
      </c>
    </row>
    <row r="480" spans="1:101" ht="15" x14ac:dyDescent="0.2">
      <c r="C480" s="92" t="s">
        <v>793</v>
      </c>
      <c r="D480" s="92"/>
      <c r="E480" s="92"/>
      <c r="F480" s="92"/>
      <c r="G480" s="92"/>
      <c r="H480" s="92"/>
      <c r="I480" s="93">
        <f>IF(E464&lt;&gt;0,K480/E464, 0)</f>
        <v>90135.71428571429</v>
      </c>
      <c r="J480" s="93"/>
      <c r="K480" s="93">
        <f>L467+L469+L478+L479+SUM(L473:L476)</f>
        <v>5678.55</v>
      </c>
      <c r="L480" s="93"/>
      <c r="AD480">
        <f>ROUND((Source!AT174/100)*((ROUND(SUMIF(SmtRes!AQ157:'SmtRes'!AQ161,"=1",SmtRes!AD157:'SmtRes'!AD161)*Source!I174, 2)+ROUND(SUMIF(SmtRes!AQ157:'SmtRes'!AQ161,"=1",SmtRes!AC157:'SmtRes'!AC161)*Source!I174, 2))), 2)</f>
        <v>41.8</v>
      </c>
      <c r="AE480">
        <f>ROUND((Source!AU174/100)*((ROUND(SUMIF(SmtRes!AQ157:'SmtRes'!AQ161,"=1",SmtRes!AD157:'SmtRes'!AD161)*Source!I174, 2)+ROUND(SUMIF(SmtRes!AQ157:'SmtRes'!AQ161,"=1",SmtRes!AC157:'SmtRes'!AC161)*Source!I174, 2))), 2)</f>
        <v>18.09</v>
      </c>
      <c r="AN480" s="58">
        <f>L467+L469+L478+L479</f>
        <v>1061.29</v>
      </c>
      <c r="AO480">
        <f>0</f>
        <v>0</v>
      </c>
      <c r="AQ480" t="s">
        <v>794</v>
      </c>
      <c r="AR480" s="58">
        <f>L467</f>
        <v>417.63</v>
      </c>
      <c r="AT480">
        <f>0</f>
        <v>0</v>
      </c>
      <c r="AV480" t="s">
        <v>794</v>
      </c>
      <c r="AW480" s="58">
        <f>L469</f>
        <v>4.05</v>
      </c>
      <c r="AZ480">
        <f>Source!X174</f>
        <v>451.04</v>
      </c>
      <c r="BA480">
        <f>Source!Y174</f>
        <v>195.24</v>
      </c>
      <c r="CD480">
        <v>1</v>
      </c>
    </row>
    <row r="482" spans="1:12" ht="15" x14ac:dyDescent="0.2">
      <c r="A482" s="64"/>
      <c r="B482" s="65"/>
      <c r="C482" s="86" t="s">
        <v>864</v>
      </c>
      <c r="D482" s="86"/>
      <c r="E482" s="86"/>
      <c r="F482" s="86"/>
      <c r="G482" s="86"/>
      <c r="H482" s="86"/>
      <c r="I482" s="52"/>
      <c r="J482" s="64"/>
      <c r="K482" s="66"/>
      <c r="L482" s="52">
        <f>L484+L485+L491+L495</f>
        <v>74972.59</v>
      </c>
    </row>
    <row r="483" spans="1:12" ht="14.25" x14ac:dyDescent="0.2">
      <c r="A483" s="60"/>
      <c r="B483" s="63"/>
      <c r="C483" s="89" t="s">
        <v>865</v>
      </c>
      <c r="D483" s="87"/>
      <c r="E483" s="87"/>
      <c r="F483" s="87"/>
      <c r="G483" s="87"/>
      <c r="H483" s="87"/>
      <c r="I483" s="49"/>
      <c r="J483" s="60"/>
      <c r="K483" s="47"/>
      <c r="L483" s="49"/>
    </row>
    <row r="484" spans="1:12" ht="14.25" x14ac:dyDescent="0.2">
      <c r="A484" s="60"/>
      <c r="B484" s="63"/>
      <c r="C484" s="87" t="s">
        <v>866</v>
      </c>
      <c r="D484" s="87"/>
      <c r="E484" s="87"/>
      <c r="F484" s="87"/>
      <c r="G484" s="87"/>
      <c r="H484" s="87"/>
      <c r="I484" s="49"/>
      <c r="J484" s="60"/>
      <c r="K484" s="47"/>
      <c r="L484" s="49">
        <f>SUM(AR434:AR480)</f>
        <v>2953.4900000000002</v>
      </c>
    </row>
    <row r="485" spans="1:12" ht="14.25" hidden="1" x14ac:dyDescent="0.2">
      <c r="A485" s="60"/>
      <c r="B485" s="63"/>
      <c r="C485" s="87" t="s">
        <v>867</v>
      </c>
      <c r="D485" s="87"/>
      <c r="E485" s="87"/>
      <c r="F485" s="87"/>
      <c r="G485" s="87"/>
      <c r="H485" s="87"/>
      <c r="I485" s="49"/>
      <c r="J485" s="60"/>
      <c r="K485" s="47"/>
      <c r="L485" s="49">
        <f>L487+L490+L489</f>
        <v>-1477.1799999999998</v>
      </c>
    </row>
    <row r="486" spans="1:12" ht="14.25" hidden="1" x14ac:dyDescent="0.2">
      <c r="A486" s="60"/>
      <c r="B486" s="63"/>
      <c r="C486" s="89" t="s">
        <v>868</v>
      </c>
      <c r="D486" s="87"/>
      <c r="E486" s="87"/>
      <c r="F486" s="87"/>
      <c r="G486" s="87"/>
      <c r="H486" s="87"/>
      <c r="I486" s="49"/>
      <c r="J486" s="60"/>
      <c r="K486" s="47"/>
      <c r="L486" s="49"/>
    </row>
    <row r="487" spans="1:12" ht="14.25" x14ac:dyDescent="0.2">
      <c r="A487" s="60"/>
      <c r="B487" s="63"/>
      <c r="C487" s="87" t="s">
        <v>867</v>
      </c>
      <c r="D487" s="87"/>
      <c r="E487" s="87"/>
      <c r="F487" s="87"/>
      <c r="G487" s="87"/>
      <c r="H487" s="87"/>
      <c r="I487" s="49"/>
      <c r="J487" s="60"/>
      <c r="K487" s="47"/>
      <c r="L487" s="49">
        <f>SUM(AO434:AO480)</f>
        <v>-781.25</v>
      </c>
    </row>
    <row r="488" spans="1:12" ht="14.25" hidden="1" x14ac:dyDescent="0.2">
      <c r="A488" s="60"/>
      <c r="B488" s="63"/>
      <c r="C488" s="89" t="s">
        <v>869</v>
      </c>
      <c r="D488" s="87"/>
      <c r="E488" s="87"/>
      <c r="F488" s="87"/>
      <c r="G488" s="87"/>
      <c r="H488" s="87"/>
      <c r="I488" s="49"/>
      <c r="J488" s="60"/>
      <c r="K488" s="47"/>
      <c r="L488" s="49"/>
    </row>
    <row r="489" spans="1:12" ht="14.25" x14ac:dyDescent="0.2">
      <c r="A489" s="60"/>
      <c r="B489" s="63"/>
      <c r="C489" s="87" t="s">
        <v>889</v>
      </c>
      <c r="D489" s="87"/>
      <c r="E489" s="87"/>
      <c r="F489" s="87"/>
      <c r="G489" s="87"/>
      <c r="H489" s="87"/>
      <c r="I489" s="49"/>
      <c r="J489" s="60"/>
      <c r="K489" s="47"/>
      <c r="L489" s="49">
        <f>SUM(AT434:AT480)</f>
        <v>-695.93</v>
      </c>
    </row>
    <row r="490" spans="1:12" ht="14.25" hidden="1" x14ac:dyDescent="0.2">
      <c r="A490" s="60"/>
      <c r="B490" s="63"/>
      <c r="C490" s="87" t="s">
        <v>870</v>
      </c>
      <c r="D490" s="87"/>
      <c r="E490" s="87"/>
      <c r="F490" s="87"/>
      <c r="G490" s="87"/>
      <c r="H490" s="87"/>
      <c r="I490" s="49"/>
      <c r="J490" s="60"/>
      <c r="K490" s="47"/>
      <c r="L490" s="49">
        <f>SUM(AV434:AV480)</f>
        <v>0</v>
      </c>
    </row>
    <row r="491" spans="1:12" ht="14.25" x14ac:dyDescent="0.2">
      <c r="A491" s="60"/>
      <c r="B491" s="63"/>
      <c r="C491" s="87" t="s">
        <v>871</v>
      </c>
      <c r="D491" s="87"/>
      <c r="E491" s="87"/>
      <c r="F491" s="87"/>
      <c r="G491" s="87"/>
      <c r="H491" s="87"/>
      <c r="I491" s="49"/>
      <c r="J491" s="60"/>
      <c r="K491" s="47"/>
      <c r="L491" s="49">
        <f>L493+L494</f>
        <v>73496.28</v>
      </c>
    </row>
    <row r="492" spans="1:12" ht="14.25" x14ac:dyDescent="0.2">
      <c r="A492" s="60"/>
      <c r="B492" s="63"/>
      <c r="C492" s="89" t="s">
        <v>868</v>
      </c>
      <c r="D492" s="87"/>
      <c r="E492" s="87"/>
      <c r="F492" s="87"/>
      <c r="G492" s="87"/>
      <c r="H492" s="87"/>
      <c r="I492" s="49"/>
      <c r="J492" s="60"/>
      <c r="K492" s="47"/>
      <c r="L492" s="49"/>
    </row>
    <row r="493" spans="1:12" ht="14.25" x14ac:dyDescent="0.2">
      <c r="A493" s="60"/>
      <c r="B493" s="63"/>
      <c r="C493" s="87" t="s">
        <v>872</v>
      </c>
      <c r="D493" s="87"/>
      <c r="E493" s="87"/>
      <c r="F493" s="87"/>
      <c r="G493" s="87"/>
      <c r="H493" s="87"/>
      <c r="I493" s="49"/>
      <c r="J493" s="60"/>
      <c r="K493" s="47"/>
      <c r="L493" s="49">
        <f>SUM(AW434:AW480)-SUM(BK434:BK480)</f>
        <v>73496.28</v>
      </c>
    </row>
    <row r="494" spans="1:12" ht="14.25" hidden="1" x14ac:dyDescent="0.2">
      <c r="A494" s="60"/>
      <c r="B494" s="63"/>
      <c r="C494" s="87" t="s">
        <v>873</v>
      </c>
      <c r="D494" s="87"/>
      <c r="E494" s="87"/>
      <c r="F494" s="87"/>
      <c r="G494" s="87"/>
      <c r="H494" s="87"/>
      <c r="I494" s="49"/>
      <c r="J494" s="60"/>
      <c r="K494" s="47"/>
      <c r="L494" s="49">
        <f>SUM(BC434:BC480)</f>
        <v>0</v>
      </c>
    </row>
    <row r="495" spans="1:12" ht="14.25" hidden="1" x14ac:dyDescent="0.2">
      <c r="A495" s="60"/>
      <c r="B495" s="63"/>
      <c r="C495" s="87" t="s">
        <v>874</v>
      </c>
      <c r="D495" s="87"/>
      <c r="E495" s="87"/>
      <c r="F495" s="87"/>
      <c r="G495" s="87"/>
      <c r="H495" s="87"/>
      <c r="I495" s="49"/>
      <c r="J495" s="60"/>
      <c r="K495" s="47"/>
      <c r="L495" s="49">
        <f>SUM(BB434:BB480)</f>
        <v>0</v>
      </c>
    </row>
    <row r="496" spans="1:12" ht="14.25" x14ac:dyDescent="0.2">
      <c r="A496" s="60"/>
      <c r="B496" s="63"/>
      <c r="C496" s="87" t="s">
        <v>875</v>
      </c>
      <c r="D496" s="87"/>
      <c r="E496" s="87"/>
      <c r="F496" s="87"/>
      <c r="G496" s="87"/>
      <c r="H496" s="87"/>
      <c r="I496" s="49"/>
      <c r="J496" s="60"/>
      <c r="K496" s="47"/>
      <c r="L496" s="49">
        <f>SUM(AR434:AR480)+SUM(AT434:AT480)+SUM(AV434:AV480)</f>
        <v>2257.5600000000004</v>
      </c>
    </row>
    <row r="497" spans="1:12" ht="14.25" x14ac:dyDescent="0.2">
      <c r="A497" s="60"/>
      <c r="B497" s="63"/>
      <c r="C497" s="87" t="s">
        <v>876</v>
      </c>
      <c r="D497" s="87"/>
      <c r="E497" s="87"/>
      <c r="F497" s="87"/>
      <c r="G497" s="87"/>
      <c r="H497" s="87"/>
      <c r="I497" s="49"/>
      <c r="J497" s="60"/>
      <c r="K497" s="47"/>
      <c r="L497" s="49">
        <f>SUM(AZ434:AZ480)</f>
        <v>2438.16</v>
      </c>
    </row>
    <row r="498" spans="1:12" ht="14.25" x14ac:dyDescent="0.2">
      <c r="A498" s="60"/>
      <c r="B498" s="63"/>
      <c r="C498" s="87" t="s">
        <v>877</v>
      </c>
      <c r="D498" s="87"/>
      <c r="E498" s="87"/>
      <c r="F498" s="87"/>
      <c r="G498" s="87"/>
      <c r="H498" s="87"/>
      <c r="I498" s="49"/>
      <c r="J498" s="60"/>
      <c r="K498" s="47"/>
      <c r="L498" s="49">
        <f>SUM(BA434:BA480)</f>
        <v>997.99</v>
      </c>
    </row>
    <row r="499" spans="1:12" ht="14.25" hidden="1" x14ac:dyDescent="0.2">
      <c r="A499" s="60"/>
      <c r="B499" s="63"/>
      <c r="C499" s="87" t="s">
        <v>878</v>
      </c>
      <c r="D499" s="87"/>
      <c r="E499" s="87"/>
      <c r="F499" s="87"/>
      <c r="G499" s="87"/>
      <c r="H499" s="87"/>
      <c r="I499" s="49"/>
      <c r="J499" s="60"/>
      <c r="K499" s="47"/>
      <c r="L499" s="49">
        <f>L501+L502</f>
        <v>0</v>
      </c>
    </row>
    <row r="500" spans="1:12" ht="14.25" hidden="1" x14ac:dyDescent="0.2">
      <c r="A500" s="60"/>
      <c r="B500" s="63"/>
      <c r="C500" s="89" t="s">
        <v>865</v>
      </c>
      <c r="D500" s="87"/>
      <c r="E500" s="87"/>
      <c r="F500" s="87"/>
      <c r="G500" s="87"/>
      <c r="H500" s="87"/>
      <c r="I500" s="49"/>
      <c r="J500" s="60"/>
      <c r="K500" s="47"/>
      <c r="L500" s="49"/>
    </row>
    <row r="501" spans="1:12" ht="14.25" hidden="1" x14ac:dyDescent="0.2">
      <c r="A501" s="60"/>
      <c r="B501" s="63"/>
      <c r="C501" s="87" t="s">
        <v>879</v>
      </c>
      <c r="D501" s="87"/>
      <c r="E501" s="87"/>
      <c r="F501" s="87"/>
      <c r="G501" s="87"/>
      <c r="H501" s="87"/>
      <c r="I501" s="49"/>
      <c r="J501" s="60"/>
      <c r="K501" s="47"/>
      <c r="L501" s="49">
        <f>SUM(BK434:BK480)</f>
        <v>0</v>
      </c>
    </row>
    <row r="502" spans="1:12" ht="14.25" hidden="1" x14ac:dyDescent="0.2">
      <c r="A502" s="60"/>
      <c r="B502" s="63"/>
      <c r="C502" s="87" t="s">
        <v>880</v>
      </c>
      <c r="D502" s="87"/>
      <c r="E502" s="87"/>
      <c r="F502" s="87"/>
      <c r="G502" s="87"/>
      <c r="H502" s="87"/>
      <c r="I502" s="49"/>
      <c r="J502" s="60"/>
      <c r="K502" s="47"/>
      <c r="L502" s="49">
        <f>SUM(BD434:BD480)</f>
        <v>0</v>
      </c>
    </row>
    <row r="503" spans="1:12" ht="14.25" hidden="1" x14ac:dyDescent="0.2">
      <c r="A503" s="60"/>
      <c r="B503" s="63"/>
      <c r="C503" s="87" t="s">
        <v>881</v>
      </c>
      <c r="D503" s="87"/>
      <c r="E503" s="87"/>
      <c r="F503" s="87"/>
      <c r="G503" s="87"/>
      <c r="H503" s="87"/>
      <c r="I503" s="49"/>
      <c r="J503" s="60"/>
      <c r="K503" s="47"/>
      <c r="L503" s="49"/>
    </row>
    <row r="504" spans="1:12" ht="14.25" hidden="1" x14ac:dyDescent="0.2">
      <c r="A504" s="60"/>
      <c r="B504" s="63"/>
      <c r="C504" s="87" t="s">
        <v>881</v>
      </c>
      <c r="D504" s="87"/>
      <c r="E504" s="87"/>
      <c r="F504" s="87"/>
      <c r="G504" s="87"/>
      <c r="H504" s="87"/>
      <c r="I504" s="49"/>
      <c r="J504" s="60"/>
      <c r="K504" s="47"/>
      <c r="L504" s="49">
        <f>SUM(BQ434:BQ480)</f>
        <v>0</v>
      </c>
    </row>
    <row r="505" spans="1:12" ht="14.25" hidden="1" x14ac:dyDescent="0.2">
      <c r="A505" s="60"/>
      <c r="B505" s="63"/>
      <c r="C505" s="87" t="s">
        <v>882</v>
      </c>
      <c r="D505" s="87"/>
      <c r="E505" s="87"/>
      <c r="F505" s="87"/>
      <c r="G505" s="87"/>
      <c r="H505" s="87"/>
      <c r="I505" s="49"/>
      <c r="J505" s="60"/>
      <c r="K505" s="47"/>
      <c r="L505" s="49">
        <f>SUM(BO434:BO480)</f>
        <v>0</v>
      </c>
    </row>
    <row r="506" spans="1:12" ht="15" x14ac:dyDescent="0.2">
      <c r="A506" s="64"/>
      <c r="B506" s="65"/>
      <c r="C506" s="86" t="s">
        <v>883</v>
      </c>
      <c r="D506" s="86"/>
      <c r="E506" s="86"/>
      <c r="F506" s="86"/>
      <c r="G506" s="86"/>
      <c r="H506" s="86"/>
      <c r="I506" s="52"/>
      <c r="J506" s="64"/>
      <c r="K506" s="66"/>
      <c r="L506" s="52">
        <f>L482+L497+L498+L499+L504+L505</f>
        <v>78408.740000000005</v>
      </c>
    </row>
    <row r="507" spans="1:12" ht="14.25" x14ac:dyDescent="0.2">
      <c r="A507" s="60"/>
      <c r="B507" s="63"/>
      <c r="C507" s="89" t="s">
        <v>884</v>
      </c>
      <c r="D507" s="87"/>
      <c r="E507" s="87"/>
      <c r="F507" s="87"/>
      <c r="G507" s="87"/>
      <c r="H507" s="87"/>
      <c r="I507" s="49"/>
      <c r="J507" s="60"/>
      <c r="K507" s="47"/>
      <c r="L507" s="49"/>
    </row>
    <row r="508" spans="1:12" ht="14.25" x14ac:dyDescent="0.2">
      <c r="A508" s="60"/>
      <c r="B508" s="63"/>
      <c r="C508" s="87" t="s">
        <v>885</v>
      </c>
      <c r="D508" s="87"/>
      <c r="E508" s="87"/>
      <c r="F508" s="87"/>
      <c r="G508" s="87"/>
      <c r="H508" s="87"/>
      <c r="I508" s="49"/>
      <c r="J508" s="60"/>
      <c r="K508" s="47"/>
      <c r="L508" s="49">
        <f>SUM(AX434:AX480)</f>
        <v>68647.539999999994</v>
      </c>
    </row>
    <row r="509" spans="1:12" ht="14.25" hidden="1" x14ac:dyDescent="0.2">
      <c r="A509" s="60"/>
      <c r="B509" s="63"/>
      <c r="C509" s="87" t="s">
        <v>886</v>
      </c>
      <c r="D509" s="87"/>
      <c r="E509" s="87"/>
      <c r="F509" s="87"/>
      <c r="G509" s="87"/>
      <c r="H509" s="87"/>
      <c r="I509" s="49"/>
      <c r="J509" s="60"/>
      <c r="K509" s="47"/>
      <c r="L509" s="49">
        <f>SUM(AY434:AY480)</f>
        <v>0</v>
      </c>
    </row>
    <row r="510" spans="1:12" ht="14.25" x14ac:dyDescent="0.2">
      <c r="A510" s="60"/>
      <c r="B510" s="63"/>
      <c r="C510" s="87" t="s">
        <v>887</v>
      </c>
      <c r="D510" s="87"/>
      <c r="E510" s="87"/>
      <c r="F510" s="88"/>
      <c r="G510" s="51">
        <f>Source!F200</f>
        <v>4.2723557999999997</v>
      </c>
      <c r="H510" s="60"/>
      <c r="I510" s="60"/>
      <c r="J510" s="60"/>
      <c r="K510" s="60"/>
      <c r="L510" s="60"/>
    </row>
    <row r="511" spans="1:12" ht="14.25" hidden="1" customHeight="1" x14ac:dyDescent="0.2">
      <c r="A511" s="60"/>
      <c r="B511" s="63"/>
      <c r="C511" s="87" t="s">
        <v>888</v>
      </c>
      <c r="D511" s="87"/>
      <c r="E511" s="87"/>
      <c r="F511" s="88"/>
      <c r="G511" s="51">
        <f>Source!F201</f>
        <v>0</v>
      </c>
      <c r="H511" s="60"/>
      <c r="I511" s="60"/>
      <c r="J511" s="60"/>
      <c r="K511" s="60"/>
      <c r="L511" s="60"/>
    </row>
    <row r="514" spans="1:101" ht="16.5" x14ac:dyDescent="0.2">
      <c r="A514" s="95" t="s">
        <v>931</v>
      </c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</row>
    <row r="515" spans="1:101" ht="106.5" x14ac:dyDescent="0.2">
      <c r="A515" s="43" t="s">
        <v>368</v>
      </c>
      <c r="B515" s="45" t="s">
        <v>815</v>
      </c>
      <c r="C515" s="45" t="s">
        <v>932</v>
      </c>
      <c r="D515" s="46" t="str">
        <f>Source!H212</f>
        <v>100 м</v>
      </c>
      <c r="E515" s="47">
        <f>Source!K212</f>
        <v>0.12</v>
      </c>
      <c r="F515" s="47"/>
      <c r="G515" s="47">
        <f>Source!I212</f>
        <v>0.12</v>
      </c>
      <c r="H515" s="49"/>
      <c r="I515" s="48"/>
      <c r="J515" s="49"/>
      <c r="K515" s="48"/>
      <c r="L515" s="49"/>
    </row>
    <row r="516" spans="1:101" ht="153" x14ac:dyDescent="0.2">
      <c r="B516" s="61" t="str">
        <f>Source!EO212</f>
        <v>Поправка: 571/пр_2022_п.84_т.3_стр.4_стб.3
Поправка:
Поправка:
Поправка:</v>
      </c>
      <c r="C516" s="61" t="str">
        <f>Source!CN212</f>
        <v>Поправка: 571/пр_2022_п.84_т.3_стр.4_стб.3
Наименование: Демонтаж оборудования, не пригодного для дальнейшего использования (предназначено в лом), без разборки и резки
Поправка: 
Наименование:
Поправка: 
Наименование:
Поправка: 
Наименование:</v>
      </c>
    </row>
    <row r="517" spans="1:101" x14ac:dyDescent="0.2">
      <c r="C517" s="50" t="str">
        <f>"Объем: "&amp;Source!I212&amp;"=(12)/"&amp;"100"</f>
        <v>Объем: 0,12=(12)/100</v>
      </c>
    </row>
    <row r="518" spans="1:101" ht="15" x14ac:dyDescent="0.2">
      <c r="A518" s="44"/>
      <c r="B518" s="47">
        <v>1</v>
      </c>
      <c r="C518" s="44" t="s">
        <v>786</v>
      </c>
      <c r="D518" s="46" t="s">
        <v>541</v>
      </c>
      <c r="E518" s="51"/>
      <c r="F518" s="47"/>
      <c r="G518" s="47">
        <f>Source!U212</f>
        <v>2.4396</v>
      </c>
      <c r="H518" s="47"/>
      <c r="I518" s="47"/>
      <c r="J518" s="47"/>
      <c r="K518" s="47"/>
      <c r="L518" s="52">
        <f>SUM(L519:L519)-SUMIF(CE519:CE519, 1, L519:L519)</f>
        <v>1741.78</v>
      </c>
    </row>
    <row r="519" spans="1:101" ht="14.25" x14ac:dyDescent="0.2">
      <c r="A519" s="45"/>
      <c r="B519" s="45" t="s">
        <v>590</v>
      </c>
      <c r="C519" s="45" t="s">
        <v>591</v>
      </c>
      <c r="D519" s="46" t="s">
        <v>541</v>
      </c>
      <c r="E519" s="47">
        <v>20.329999999999998</v>
      </c>
      <c r="F519" s="47"/>
      <c r="G519" s="47">
        <f>SmtRes!CX162</f>
        <v>2.4396</v>
      </c>
      <c r="H519" s="49"/>
      <c r="I519" s="48"/>
      <c r="J519" s="49">
        <f>SmtRes!CZ162</f>
        <v>713.96</v>
      </c>
      <c r="K519" s="48"/>
      <c r="L519" s="49">
        <f>SmtRes!DI162</f>
        <v>1741.78</v>
      </c>
    </row>
    <row r="520" spans="1:101" ht="15" x14ac:dyDescent="0.2">
      <c r="A520" s="44"/>
      <c r="B520" s="47">
        <v>4</v>
      </c>
      <c r="C520" s="44" t="s">
        <v>802</v>
      </c>
      <c r="D520" s="46"/>
      <c r="E520" s="51"/>
      <c r="F520" s="47"/>
      <c r="G520" s="47"/>
      <c r="H520" s="47"/>
      <c r="I520" s="47"/>
      <c r="J520" s="47"/>
      <c r="K520" s="47"/>
      <c r="L520" s="52">
        <f>SUM(L521:L523)-SUMIF(CE521:CE523, 1, L521:L523)</f>
        <v>44.370000000000005</v>
      </c>
    </row>
    <row r="521" spans="1:101" ht="14.25" x14ac:dyDescent="0.2">
      <c r="A521" s="45"/>
      <c r="B521" s="45" t="s">
        <v>558</v>
      </c>
      <c r="C521" s="45" t="s">
        <v>560</v>
      </c>
      <c r="D521" s="46" t="s">
        <v>561</v>
      </c>
      <c r="E521" s="47">
        <v>8.2403999999999993</v>
      </c>
      <c r="F521" s="47"/>
      <c r="G521" s="47">
        <f>SmtRes!CX165</f>
        <v>0.98884799999999995</v>
      </c>
      <c r="H521" s="49"/>
      <c r="I521" s="48"/>
      <c r="J521" s="49">
        <f>SmtRes!CZ165</f>
        <v>6.78</v>
      </c>
      <c r="K521" s="48"/>
      <c r="L521" s="49">
        <f>SmtRes!DF165</f>
        <v>6.7</v>
      </c>
    </row>
    <row r="522" spans="1:101" ht="28.5" x14ac:dyDescent="0.2">
      <c r="A522" s="45"/>
      <c r="B522" s="45" t="s">
        <v>592</v>
      </c>
      <c r="C522" s="45" t="s">
        <v>594</v>
      </c>
      <c r="D522" s="46" t="s">
        <v>595</v>
      </c>
      <c r="E522" s="47">
        <v>0.4</v>
      </c>
      <c r="F522" s="47"/>
      <c r="G522" s="47">
        <f>SmtRes!CX166</f>
        <v>4.8000000000000001E-2</v>
      </c>
      <c r="H522" s="49">
        <f>SmtRes!CZ166</f>
        <v>261.08999999999997</v>
      </c>
      <c r="I522" s="48">
        <f>SmtRes!AI166</f>
        <v>1.29</v>
      </c>
      <c r="J522" s="49">
        <f>ROUND(H522*I522, 2)</f>
        <v>336.81</v>
      </c>
      <c r="K522" s="48"/>
      <c r="L522" s="49">
        <f>SmtRes!DF166</f>
        <v>16.170000000000002</v>
      </c>
    </row>
    <row r="523" spans="1:101" ht="57" x14ac:dyDescent="0.2">
      <c r="A523" s="45"/>
      <c r="B523" s="45" t="s">
        <v>596</v>
      </c>
      <c r="C523" s="53" t="s">
        <v>598</v>
      </c>
      <c r="D523" s="54" t="s">
        <v>165</v>
      </c>
      <c r="E523" s="55">
        <v>1.4E-3</v>
      </c>
      <c r="F523" s="55"/>
      <c r="G523" s="55">
        <f>SmtRes!CX167</f>
        <v>1.6799999999999999E-4</v>
      </c>
      <c r="H523" s="56">
        <f>SmtRes!CZ167</f>
        <v>99190.96</v>
      </c>
      <c r="I523" s="57">
        <f>SmtRes!AI167</f>
        <v>1.29</v>
      </c>
      <c r="J523" s="56">
        <f>ROUND(H523*I523, 2)</f>
        <v>127956.34</v>
      </c>
      <c r="K523" s="57"/>
      <c r="L523" s="56">
        <f>SmtRes!DF167</f>
        <v>21.5</v>
      </c>
    </row>
    <row r="524" spans="1:101" ht="15" x14ac:dyDescent="0.2">
      <c r="A524" s="45"/>
      <c r="B524" s="45"/>
      <c r="C524" s="59" t="s">
        <v>787</v>
      </c>
      <c r="D524" s="46"/>
      <c r="E524" s="47"/>
      <c r="F524" s="47"/>
      <c r="G524" s="47"/>
      <c r="H524" s="49"/>
      <c r="I524" s="48"/>
      <c r="J524" s="49"/>
      <c r="K524" s="48"/>
      <c r="L524" s="49">
        <f>L518+L520</f>
        <v>1786.15</v>
      </c>
    </row>
    <row r="525" spans="1:101" ht="57" x14ac:dyDescent="0.2">
      <c r="A525" s="43" t="s">
        <v>933</v>
      </c>
      <c r="B525" s="45" t="str">
        <f>Source!F213</f>
        <v>421/пр_2020_п.75_пп.а</v>
      </c>
      <c r="C525" s="45" t="str">
        <f>Source!G213</f>
        <v>Сметная стоимость вспомогательных ненормируемых материальных ресурсов, не учтенная в сметной норме, 2%</v>
      </c>
      <c r="D525" s="46" t="str">
        <f>Source!H213</f>
        <v>%</v>
      </c>
      <c r="E525" s="47">
        <f>SmtRes!AT168</f>
        <v>2</v>
      </c>
      <c r="F525" s="47"/>
      <c r="G525" s="47">
        <f>Source!I213</f>
        <v>2</v>
      </c>
      <c r="H525" s="49"/>
      <c r="I525" s="48"/>
      <c r="J525" s="49"/>
      <c r="K525" s="48">
        <f>ROUND(0.3,7)</f>
        <v>0.3</v>
      </c>
      <c r="L525" s="49">
        <f>Source!P213</f>
        <v>10.45</v>
      </c>
      <c r="AD525">
        <f>ROUND((Source!AT213/100)*((ROUND(0*Source!I213, 2)+ROUND(0*Source!I213, 2))), 2)</f>
        <v>0</v>
      </c>
      <c r="AE525">
        <f>ROUND((Source!AU213/100)*((ROUND(0*Source!I213, 2)+ROUND(0*Source!I213, 2))), 2)</f>
        <v>0</v>
      </c>
      <c r="AN525">
        <f>L525</f>
        <v>10.45</v>
      </c>
      <c r="AW525">
        <f>L525</f>
        <v>10.45</v>
      </c>
      <c r="AZ525">
        <f>Source!X213</f>
        <v>0</v>
      </c>
      <c r="BA525">
        <f>Source!Y213</f>
        <v>0</v>
      </c>
      <c r="CD525">
        <v>2</v>
      </c>
    </row>
    <row r="526" spans="1:101" ht="42.75" x14ac:dyDescent="0.2">
      <c r="A526" s="43" t="s">
        <v>934</v>
      </c>
      <c r="B526" s="45" t="str">
        <f>Source!F214</f>
        <v>91.06.06-048</v>
      </c>
      <c r="C526" s="45" t="str">
        <f>Source!G214</f>
        <v>Подъемники одномачтовые, грузоподъемность до 500 кг, высота подъема 45 м</v>
      </c>
      <c r="D526" s="46" t="str">
        <f>Source!H214</f>
        <v>маш.-ч</v>
      </c>
      <c r="E526" s="47">
        <f>SmtRes!AT164</f>
        <v>0.01</v>
      </c>
      <c r="F526" s="47">
        <f>ROUND(0.3,7)</f>
        <v>0.3</v>
      </c>
      <c r="G526" s="47">
        <f>Source!I214</f>
        <v>3.6000000000000002E-4</v>
      </c>
      <c r="H526" s="49">
        <f>Source!AL214+Source!AO214+Source!AM214+Source!AN214</f>
        <v>678.54000000000008</v>
      </c>
      <c r="I526" s="48">
        <f>IF(Source!BB214&lt;&gt; 0, Source!BB214, 1)</f>
        <v>1.54</v>
      </c>
      <c r="J526" s="49">
        <f>ROUND(H526*I526, 2)</f>
        <v>1044.95</v>
      </c>
      <c r="K526" s="48"/>
      <c r="L526" s="49">
        <f>Source!Q214</f>
        <v>0.02</v>
      </c>
      <c r="AD526">
        <f>ROUND((Source!AT214/100)*((ROUND(ROUND(Source!AO214,2)*Source!I214, 2)+ROUND(ROUND(Source!AN214,2)*Source!I214, 2))), 2)</f>
        <v>0.22</v>
      </c>
      <c r="AE526">
        <f>ROUND((Source!AU214/100)*((ROUND(ROUND(Source!AO214,2)*Source!I214, 2)+ROUND(ROUND(Source!AN214,2)*Source!I214, 2))), 2)</f>
        <v>0.12</v>
      </c>
      <c r="AN526">
        <f>L526</f>
        <v>0.02</v>
      </c>
      <c r="AO526">
        <f>L526</f>
        <v>0.02</v>
      </c>
      <c r="AT526">
        <f>Source!R214</f>
        <v>0.23</v>
      </c>
      <c r="AZ526">
        <f>Source!X214</f>
        <v>0.22</v>
      </c>
      <c r="BA526">
        <f>Source!Y214</f>
        <v>0.12</v>
      </c>
      <c r="CD526">
        <v>2</v>
      </c>
    </row>
    <row r="527" spans="1:101" ht="89.25" x14ac:dyDescent="0.2">
      <c r="B527" s="61" t="str">
        <f>Source!EO214</f>
        <v>Поправка: 571/пр_2022_п.84_т.3_стр.4_стб.3
Поправка:
Поправка:</v>
      </c>
      <c r="C527" s="91" t="s">
        <v>935</v>
      </c>
      <c r="D527" s="91"/>
      <c r="E527" s="91"/>
      <c r="F527" s="91"/>
      <c r="G527" s="91"/>
      <c r="H527" s="91"/>
      <c r="I527" s="91"/>
      <c r="J527" s="91"/>
      <c r="K527" s="91"/>
      <c r="L527" s="91"/>
      <c r="CW527" s="62" t="s">
        <v>935</v>
      </c>
    </row>
    <row r="528" spans="1:101" ht="28.5" x14ac:dyDescent="0.2">
      <c r="A528" s="45"/>
      <c r="B528" s="45" t="s">
        <v>544</v>
      </c>
      <c r="C528" s="45" t="s">
        <v>789</v>
      </c>
      <c r="D528" s="46" t="s">
        <v>541</v>
      </c>
      <c r="E528" s="47">
        <f>SmtRes!DO164*SmtRes!AT164</f>
        <v>0.01</v>
      </c>
      <c r="F528" s="47">
        <f>ROUND(0.3,7)</f>
        <v>0.3</v>
      </c>
      <c r="G528" s="47">
        <f>ROUND(E528*F528*G515, 7)</f>
        <v>3.6000000000000002E-4</v>
      </c>
      <c r="H528" s="49"/>
      <c r="I528" s="48"/>
      <c r="J528" s="49">
        <f>ROUND(SmtRes!AG164/SmtRes!DO164, 2)</f>
        <v>641.22</v>
      </c>
      <c r="K528" s="48"/>
      <c r="L528" s="49">
        <f>SmtRes!DH164</f>
        <v>0.23</v>
      </c>
      <c r="CE528">
        <v>1</v>
      </c>
    </row>
    <row r="529" spans="1:83" ht="14.25" x14ac:dyDescent="0.2">
      <c r="A529" s="45"/>
      <c r="B529" s="45"/>
      <c r="C529" s="45" t="s">
        <v>790</v>
      </c>
      <c r="D529" s="46"/>
      <c r="E529" s="47"/>
      <c r="F529" s="47"/>
      <c r="G529" s="47"/>
      <c r="H529" s="49"/>
      <c r="I529" s="48"/>
      <c r="J529" s="49"/>
      <c r="K529" s="48"/>
      <c r="L529" s="49">
        <f>SUM(AR515:AR532)+SUM(AS515:AS532)+SUM(AT515:AT532)+SUM(AU515:AU532)+SUM(AV515:AV532)</f>
        <v>1742.01</v>
      </c>
    </row>
    <row r="530" spans="1:83" ht="28.5" x14ac:dyDescent="0.2">
      <c r="A530" s="45"/>
      <c r="B530" s="45" t="s">
        <v>52</v>
      </c>
      <c r="C530" s="45" t="s">
        <v>804</v>
      </c>
      <c r="D530" s="46" t="s">
        <v>57</v>
      </c>
      <c r="E530" s="47">
        <f>Source!BZ212</f>
        <v>97</v>
      </c>
      <c r="F530" s="47"/>
      <c r="G530" s="47">
        <f>Source!AT212</f>
        <v>97</v>
      </c>
      <c r="H530" s="49"/>
      <c r="I530" s="48"/>
      <c r="J530" s="49"/>
      <c r="K530" s="48"/>
      <c r="L530" s="49">
        <f>SUM(AZ515:AZ532)</f>
        <v>1689.75</v>
      </c>
    </row>
    <row r="531" spans="1:83" ht="28.5" x14ac:dyDescent="0.2">
      <c r="A531" s="53"/>
      <c r="B531" s="53" t="s">
        <v>53</v>
      </c>
      <c r="C531" s="53" t="s">
        <v>805</v>
      </c>
      <c r="D531" s="54" t="s">
        <v>57</v>
      </c>
      <c r="E531" s="55">
        <f>Source!CA212</f>
        <v>51</v>
      </c>
      <c r="F531" s="55"/>
      <c r="G531" s="55">
        <f>Source!AU212</f>
        <v>51</v>
      </c>
      <c r="H531" s="56"/>
      <c r="I531" s="57"/>
      <c r="J531" s="56"/>
      <c r="K531" s="57"/>
      <c r="L531" s="56">
        <f>SUM(BA515:BA532)</f>
        <v>888.43</v>
      </c>
    </row>
    <row r="532" spans="1:83" ht="15" x14ac:dyDescent="0.2">
      <c r="C532" s="92" t="s">
        <v>793</v>
      </c>
      <c r="D532" s="92"/>
      <c r="E532" s="92"/>
      <c r="F532" s="92"/>
      <c r="G532" s="92"/>
      <c r="H532" s="92"/>
      <c r="I532" s="93">
        <f>IF(E515&lt;&gt;0,K532/E515, 0)</f>
        <v>36458.583333333336</v>
      </c>
      <c r="J532" s="93"/>
      <c r="K532" s="93">
        <f>L518+L520+L530+L531+SUM(L525:L528)</f>
        <v>4375.03</v>
      </c>
      <c r="L532" s="93"/>
      <c r="AD532">
        <f>ROUND((Source!AT212/100)*((ROUND(SUMIF(SmtRes!AQ162:'SmtRes'!AQ168,"=1",SmtRes!AD162:'SmtRes'!AD168)*Source!I212, 2)+ROUND(SUMIF(SmtRes!AQ162:'SmtRes'!AQ168,"=1",SmtRes!AC162:'SmtRes'!AC168)*Source!I212, 2))), 2)</f>
        <v>83.11</v>
      </c>
      <c r="AE532">
        <f>ROUND((Source!AU212/100)*((ROUND(SUMIF(SmtRes!AQ162:'SmtRes'!AQ168,"=1",SmtRes!AD162:'SmtRes'!AD168)*Source!I212, 2)+ROUND(SUMIF(SmtRes!AQ162:'SmtRes'!AQ168,"=1",SmtRes!AC162:'SmtRes'!AC168)*Source!I212, 2))), 2)</f>
        <v>43.7</v>
      </c>
      <c r="AN532" s="58">
        <f>L518+L520+L530+L531</f>
        <v>4364.33</v>
      </c>
      <c r="AO532">
        <f>0</f>
        <v>0</v>
      </c>
      <c r="AQ532" t="s">
        <v>794</v>
      </c>
      <c r="AR532" s="58">
        <f>L518</f>
        <v>1741.78</v>
      </c>
      <c r="AT532">
        <f>0</f>
        <v>0</v>
      </c>
      <c r="AV532" t="s">
        <v>794</v>
      </c>
      <c r="AW532" s="58">
        <f>L520</f>
        <v>44.370000000000005</v>
      </c>
      <c r="AZ532">
        <f>Source!X212</f>
        <v>1689.53</v>
      </c>
      <c r="BA532">
        <f>Source!Y212</f>
        <v>888.31</v>
      </c>
      <c r="CD532">
        <v>2</v>
      </c>
    </row>
    <row r="533" spans="1:83" ht="28.5" x14ac:dyDescent="0.2">
      <c r="A533" s="43" t="s">
        <v>374</v>
      </c>
      <c r="B533" s="45" t="s">
        <v>810</v>
      </c>
      <c r="C533" s="45" t="str">
        <f>Source!G215</f>
        <v>Демонтаж кабеля</v>
      </c>
      <c r="D533" s="46" t="str">
        <f>Source!H215</f>
        <v>100 м</v>
      </c>
      <c r="E533" s="47">
        <f>Source!K215</f>
        <v>0.15</v>
      </c>
      <c r="F533" s="47"/>
      <c r="G533" s="47">
        <f>Source!I215</f>
        <v>0.15</v>
      </c>
      <c r="H533" s="49"/>
      <c r="I533" s="48"/>
      <c r="J533" s="49"/>
      <c r="K533" s="48"/>
      <c r="L533" s="49"/>
    </row>
    <row r="534" spans="1:83" x14ac:dyDescent="0.2">
      <c r="C534" s="50" t="str">
        <f>"Объем: "&amp;Source!I215&amp;"=(15)/"&amp;"100"</f>
        <v>Объем: 0,15=(15)/100</v>
      </c>
    </row>
    <row r="535" spans="1:83" ht="15" x14ac:dyDescent="0.2">
      <c r="A535" s="44"/>
      <c r="B535" s="47">
        <v>1</v>
      </c>
      <c r="C535" s="44" t="s">
        <v>786</v>
      </c>
      <c r="D535" s="46" t="s">
        <v>541</v>
      </c>
      <c r="E535" s="51"/>
      <c r="F535" s="47"/>
      <c r="G535" s="47">
        <f>Source!U215</f>
        <v>1.446</v>
      </c>
      <c r="H535" s="47"/>
      <c r="I535" s="47"/>
      <c r="J535" s="47"/>
      <c r="K535" s="47"/>
      <c r="L535" s="52">
        <f>SUM(L536:L536)-SUMIF(CE536:CE536, 1, L536:L536)</f>
        <v>849.29</v>
      </c>
    </row>
    <row r="536" spans="1:83" ht="14.25" x14ac:dyDescent="0.2">
      <c r="A536" s="45"/>
      <c r="B536" s="45" t="s">
        <v>539</v>
      </c>
      <c r="C536" s="45" t="s">
        <v>540</v>
      </c>
      <c r="D536" s="46" t="s">
        <v>541</v>
      </c>
      <c r="E536" s="47">
        <v>9.64</v>
      </c>
      <c r="F536" s="47"/>
      <c r="G536" s="47">
        <f>SmtRes!CX169</f>
        <v>1.446</v>
      </c>
      <c r="H536" s="49"/>
      <c r="I536" s="48"/>
      <c r="J536" s="49">
        <f>SmtRes!CZ169</f>
        <v>587.34</v>
      </c>
      <c r="K536" s="48"/>
      <c r="L536" s="49">
        <f>SmtRes!DI169</f>
        <v>849.29</v>
      </c>
    </row>
    <row r="537" spans="1:83" ht="15" x14ac:dyDescent="0.2">
      <c r="A537" s="44"/>
      <c r="B537" s="47">
        <v>2</v>
      </c>
      <c r="C537" s="44" t="s">
        <v>800</v>
      </c>
      <c r="D537" s="46"/>
      <c r="E537" s="51"/>
      <c r="F537" s="47"/>
      <c r="G537" s="47"/>
      <c r="H537" s="47"/>
      <c r="I537" s="47"/>
      <c r="J537" s="47"/>
      <c r="K537" s="47"/>
      <c r="L537" s="52">
        <f>SUM(L538:L540)-SUMIF(CE538:CE540, 1, L538:L540)</f>
        <v>8.9999999999999858E-2</v>
      </c>
    </row>
    <row r="538" spans="1:83" ht="15" x14ac:dyDescent="0.2">
      <c r="A538" s="44"/>
      <c r="B538" s="47"/>
      <c r="C538" s="44" t="s">
        <v>801</v>
      </c>
      <c r="D538" s="46" t="s">
        <v>541</v>
      </c>
      <c r="E538" s="51"/>
      <c r="F538" s="47"/>
      <c r="G538" s="47">
        <f>Source!V215</f>
        <v>1.5E-3</v>
      </c>
      <c r="H538" s="47"/>
      <c r="I538" s="47"/>
      <c r="J538" s="47"/>
      <c r="K538" s="47"/>
      <c r="L538" s="52">
        <f>SUMIF(CE539:CE540, 1, L539:L540)</f>
        <v>0.96</v>
      </c>
      <c r="CE538">
        <v>1</v>
      </c>
    </row>
    <row r="539" spans="1:83" ht="42.75" x14ac:dyDescent="0.2">
      <c r="A539" s="45"/>
      <c r="B539" s="45" t="s">
        <v>27</v>
      </c>
      <c r="C539" s="45" t="s">
        <v>28</v>
      </c>
      <c r="D539" s="46" t="s">
        <v>29</v>
      </c>
      <c r="E539" s="47">
        <v>0.01</v>
      </c>
      <c r="F539" s="47"/>
      <c r="G539" s="47">
        <f>SmtRes!CX171</f>
        <v>1.5E-3</v>
      </c>
      <c r="H539" s="49">
        <f>SmtRes!CZ171</f>
        <v>37.32</v>
      </c>
      <c r="I539" s="48">
        <f>SmtRes!AJ171</f>
        <v>1.54</v>
      </c>
      <c r="J539" s="49">
        <f>ROUND(H539*I539, 2)</f>
        <v>57.47</v>
      </c>
      <c r="K539" s="48"/>
      <c r="L539" s="49">
        <f>SmtRes!DG171</f>
        <v>0.09</v>
      </c>
    </row>
    <row r="540" spans="1:83" ht="28.5" x14ac:dyDescent="0.2">
      <c r="A540" s="45"/>
      <c r="B540" s="45" t="s">
        <v>544</v>
      </c>
      <c r="C540" s="53" t="s">
        <v>789</v>
      </c>
      <c r="D540" s="54" t="s">
        <v>541</v>
      </c>
      <c r="E540" s="55">
        <f>SmtRes!DO171*SmtRes!AT171</f>
        <v>0.01</v>
      </c>
      <c r="F540" s="55"/>
      <c r="G540" s="55">
        <f>ROUND(E540*G533, 7)</f>
        <v>1.5E-3</v>
      </c>
      <c r="H540" s="56"/>
      <c r="I540" s="57"/>
      <c r="J540" s="56">
        <f>ROUND(SmtRes!AG171/SmtRes!DO171, 2)</f>
        <v>641.22</v>
      </c>
      <c r="K540" s="57"/>
      <c r="L540" s="56">
        <f>SmtRes!DH171</f>
        <v>0.96</v>
      </c>
      <c r="CE540">
        <v>1</v>
      </c>
    </row>
    <row r="541" spans="1:83" ht="15" x14ac:dyDescent="0.2">
      <c r="A541" s="45"/>
      <c r="B541" s="45"/>
      <c r="C541" s="59" t="s">
        <v>787</v>
      </c>
      <c r="D541" s="46"/>
      <c r="E541" s="47"/>
      <c r="F541" s="47"/>
      <c r="G541" s="47"/>
      <c r="H541" s="49"/>
      <c r="I541" s="48"/>
      <c r="J541" s="49"/>
      <c r="K541" s="48"/>
      <c r="L541" s="49">
        <f>L535+L537+L538</f>
        <v>850.34</v>
      </c>
    </row>
    <row r="542" spans="1:83" ht="14.25" x14ac:dyDescent="0.2">
      <c r="A542" s="45"/>
      <c r="B542" s="45"/>
      <c r="C542" s="45" t="s">
        <v>790</v>
      </c>
      <c r="D542" s="46"/>
      <c r="E542" s="47"/>
      <c r="F542" s="47"/>
      <c r="G542" s="47"/>
      <c r="H542" s="49"/>
      <c r="I542" s="48"/>
      <c r="J542" s="49"/>
      <c r="K542" s="48"/>
      <c r="L542" s="49">
        <f>SUM(AR533:AR545)+SUM(AS533:AS545)+SUM(AT533:AT545)+SUM(AU533:AU545)+SUM(AV533:AV545)</f>
        <v>850.25</v>
      </c>
    </row>
    <row r="543" spans="1:83" ht="14.25" x14ac:dyDescent="0.2">
      <c r="A543" s="45"/>
      <c r="B543" s="45" t="s">
        <v>24</v>
      </c>
      <c r="C543" s="45" t="s">
        <v>791</v>
      </c>
      <c r="D543" s="46" t="s">
        <v>57</v>
      </c>
      <c r="E543" s="47">
        <f>Source!BZ215</f>
        <v>91</v>
      </c>
      <c r="F543" s="47"/>
      <c r="G543" s="47">
        <f>Source!AT215</f>
        <v>91</v>
      </c>
      <c r="H543" s="49"/>
      <c r="I543" s="48"/>
      <c r="J543" s="49"/>
      <c r="K543" s="48"/>
      <c r="L543" s="49">
        <f>SUM(AZ533:AZ545)</f>
        <v>773.73</v>
      </c>
    </row>
    <row r="544" spans="1:83" ht="14.25" x14ac:dyDescent="0.2">
      <c r="A544" s="53"/>
      <c r="B544" s="53" t="s">
        <v>25</v>
      </c>
      <c r="C544" s="53" t="s">
        <v>792</v>
      </c>
      <c r="D544" s="54" t="s">
        <v>57</v>
      </c>
      <c r="E544" s="55">
        <f>Source!CA215</f>
        <v>48</v>
      </c>
      <c r="F544" s="55"/>
      <c r="G544" s="55">
        <f>Source!AU215</f>
        <v>48</v>
      </c>
      <c r="H544" s="56"/>
      <c r="I544" s="57"/>
      <c r="J544" s="56"/>
      <c r="K544" s="57"/>
      <c r="L544" s="56">
        <f>SUM(BA533:BA545)</f>
        <v>408.12</v>
      </c>
    </row>
    <row r="545" spans="1:82" ht="15" x14ac:dyDescent="0.2">
      <c r="C545" s="92" t="s">
        <v>793</v>
      </c>
      <c r="D545" s="92"/>
      <c r="E545" s="92"/>
      <c r="F545" s="92"/>
      <c r="G545" s="92"/>
      <c r="H545" s="92"/>
      <c r="I545" s="93">
        <f>IF(E533&lt;&gt;0,K545/E533, 0)</f>
        <v>13547.933333333334</v>
      </c>
      <c r="J545" s="93"/>
      <c r="K545" s="93">
        <f>L535+L537+L543+L544+L538</f>
        <v>2032.19</v>
      </c>
      <c r="L545" s="93"/>
      <c r="AD545">
        <f>ROUND((Source!AT215/100)*((ROUND(SUMIF(SmtRes!AQ169:'SmtRes'!AQ171,"=1",SmtRes!AD169:'SmtRes'!AD171)*Source!I215, 2)+ROUND(SUMIF(SmtRes!AQ169:'SmtRes'!AQ171,"=1",SmtRes!AC169:'SmtRes'!AC171)*Source!I215, 2))), 2)</f>
        <v>167.69</v>
      </c>
      <c r="AE545">
        <f>ROUND((Source!AU215/100)*((ROUND(SUMIF(SmtRes!AQ169:'SmtRes'!AQ171,"=1",SmtRes!AD169:'SmtRes'!AD171)*Source!I215, 2)+ROUND(SUMIF(SmtRes!AQ169:'SmtRes'!AQ171,"=1",SmtRes!AC169:'SmtRes'!AC171)*Source!I215, 2))), 2)</f>
        <v>88.45</v>
      </c>
      <c r="AN545" s="58">
        <f>L535+L537+L543+L544+L538</f>
        <v>2032.19</v>
      </c>
      <c r="AO545" s="58">
        <f>L537</f>
        <v>8.9999999999999858E-2</v>
      </c>
      <c r="AQ545" t="s">
        <v>794</v>
      </c>
      <c r="AR545" s="58">
        <f>L535</f>
        <v>849.29</v>
      </c>
      <c r="AT545" s="58">
        <f>L538</f>
        <v>0.96</v>
      </c>
      <c r="AV545" t="s">
        <v>794</v>
      </c>
      <c r="AW545">
        <f>0</f>
        <v>0</v>
      </c>
      <c r="AZ545">
        <f>Source!X215</f>
        <v>773.73</v>
      </c>
      <c r="BA545">
        <f>Source!Y215</f>
        <v>408.12</v>
      </c>
      <c r="CD545">
        <v>1</v>
      </c>
    </row>
    <row r="546" spans="1:82" ht="28.5" x14ac:dyDescent="0.2">
      <c r="A546" s="43" t="s">
        <v>375</v>
      </c>
      <c r="B546" s="45" t="s">
        <v>797</v>
      </c>
      <c r="C546" s="45" t="str">
        <f>Source!G216</f>
        <v>Демонтаж: выключателей, розеток</v>
      </c>
      <c r="D546" s="46" t="str">
        <f>Source!H216</f>
        <v>100 ШТ</v>
      </c>
      <c r="E546" s="47">
        <f>Source!K216</f>
        <v>0.17</v>
      </c>
      <c r="F546" s="47"/>
      <c r="G546" s="47">
        <f>Source!I216</f>
        <v>0.17</v>
      </c>
      <c r="H546" s="49"/>
      <c r="I546" s="48"/>
      <c r="J546" s="49"/>
      <c r="K546" s="48"/>
      <c r="L546" s="49"/>
    </row>
    <row r="547" spans="1:82" x14ac:dyDescent="0.2">
      <c r="C547" s="50" t="str">
        <f>"Объем: "&amp;Source!I216&amp;"=(16+"&amp;"1)/"&amp;"100"</f>
        <v>Объем: 0,17=(16+1)/100</v>
      </c>
    </row>
    <row r="548" spans="1:82" ht="15" x14ac:dyDescent="0.2">
      <c r="A548" s="44"/>
      <c r="B548" s="47">
        <v>1</v>
      </c>
      <c r="C548" s="44" t="s">
        <v>786</v>
      </c>
      <c r="D548" s="46" t="s">
        <v>541</v>
      </c>
      <c r="E548" s="51"/>
      <c r="F548" s="47"/>
      <c r="G548" s="47">
        <f>Source!U216</f>
        <v>0.99280000000000002</v>
      </c>
      <c r="H548" s="47"/>
      <c r="I548" s="47"/>
      <c r="J548" s="47"/>
      <c r="K548" s="47"/>
      <c r="L548" s="52">
        <f>SUM(L549:L549)-SUMIF(CE549:CE549, 1, L549:L549)</f>
        <v>583.11</v>
      </c>
    </row>
    <row r="549" spans="1:82" ht="14.25" x14ac:dyDescent="0.2">
      <c r="A549" s="45"/>
      <c r="B549" s="45" t="s">
        <v>539</v>
      </c>
      <c r="C549" s="53" t="s">
        <v>540</v>
      </c>
      <c r="D549" s="54" t="s">
        <v>541</v>
      </c>
      <c r="E549" s="55">
        <v>5.84</v>
      </c>
      <c r="F549" s="55"/>
      <c r="G549" s="55">
        <f>SmtRes!CX172</f>
        <v>0.99280000000000002</v>
      </c>
      <c r="H549" s="56"/>
      <c r="I549" s="57"/>
      <c r="J549" s="56">
        <f>SmtRes!CZ172</f>
        <v>587.34</v>
      </c>
      <c r="K549" s="57"/>
      <c r="L549" s="56">
        <f>SmtRes!DI172</f>
        <v>583.11</v>
      </c>
    </row>
    <row r="550" spans="1:82" ht="15" x14ac:dyDescent="0.2">
      <c r="A550" s="45"/>
      <c r="B550" s="45"/>
      <c r="C550" s="59" t="s">
        <v>787</v>
      </c>
      <c r="D550" s="46"/>
      <c r="E550" s="47"/>
      <c r="F550" s="47"/>
      <c r="G550" s="47"/>
      <c r="H550" s="49"/>
      <c r="I550" s="48"/>
      <c r="J550" s="49"/>
      <c r="K550" s="48"/>
      <c r="L550" s="49">
        <f>L548</f>
        <v>583.11</v>
      </c>
    </row>
    <row r="551" spans="1:82" ht="14.25" x14ac:dyDescent="0.2">
      <c r="A551" s="45"/>
      <c r="B551" s="45"/>
      <c r="C551" s="45" t="s">
        <v>790</v>
      </c>
      <c r="D551" s="46"/>
      <c r="E551" s="47"/>
      <c r="F551" s="47"/>
      <c r="G551" s="47"/>
      <c r="H551" s="49"/>
      <c r="I551" s="48"/>
      <c r="J551" s="49"/>
      <c r="K551" s="48"/>
      <c r="L551" s="49">
        <f>SUM(AR546:AR554)+SUM(AS546:AS554)+SUM(AT546:AT554)+SUM(AU546:AU554)+SUM(AV546:AV554)</f>
        <v>583.11</v>
      </c>
    </row>
    <row r="552" spans="1:82" ht="14.25" x14ac:dyDescent="0.2">
      <c r="A552" s="45"/>
      <c r="B552" s="45" t="s">
        <v>24</v>
      </c>
      <c r="C552" s="45" t="s">
        <v>791</v>
      </c>
      <c r="D552" s="46" t="s">
        <v>57</v>
      </c>
      <c r="E552" s="47">
        <f>Source!BZ216</f>
        <v>91</v>
      </c>
      <c r="F552" s="47"/>
      <c r="G552" s="47">
        <f>Source!AT216</f>
        <v>91</v>
      </c>
      <c r="H552" s="49"/>
      <c r="I552" s="48"/>
      <c r="J552" s="49"/>
      <c r="K552" s="48"/>
      <c r="L552" s="49">
        <f>SUM(AZ546:AZ554)</f>
        <v>530.63</v>
      </c>
    </row>
    <row r="553" spans="1:82" ht="14.25" x14ac:dyDescent="0.2">
      <c r="A553" s="53"/>
      <c r="B553" s="53" t="s">
        <v>25</v>
      </c>
      <c r="C553" s="53" t="s">
        <v>792</v>
      </c>
      <c r="D553" s="54" t="s">
        <v>57</v>
      </c>
      <c r="E553" s="55">
        <f>Source!CA216</f>
        <v>48</v>
      </c>
      <c r="F553" s="55"/>
      <c r="G553" s="55">
        <f>Source!AU216</f>
        <v>48</v>
      </c>
      <c r="H553" s="56"/>
      <c r="I553" s="57"/>
      <c r="J553" s="56"/>
      <c r="K553" s="57"/>
      <c r="L553" s="56">
        <f>SUM(BA546:BA554)</f>
        <v>279.89</v>
      </c>
    </row>
    <row r="554" spans="1:82" ht="15" x14ac:dyDescent="0.2">
      <c r="C554" s="92" t="s">
        <v>793</v>
      </c>
      <c r="D554" s="92"/>
      <c r="E554" s="92"/>
      <c r="F554" s="92"/>
      <c r="G554" s="92"/>
      <c r="H554" s="92"/>
      <c r="I554" s="93">
        <f>IF(E546&lt;&gt;0,K554/E546, 0)</f>
        <v>8197.823529411764</v>
      </c>
      <c r="J554" s="93"/>
      <c r="K554" s="93">
        <f>L548+L552+L553</f>
        <v>1393.63</v>
      </c>
      <c r="L554" s="93"/>
      <c r="AD554">
        <f>ROUND((Source!AT216/100)*((ROUND(SUMIF(SmtRes!AQ172:'SmtRes'!AQ172,"=1",SmtRes!AD172:'SmtRes'!AD172)*Source!I216, 2)+ROUND(SUMIF(SmtRes!AQ172:'SmtRes'!AQ172,"=1",SmtRes!AC172:'SmtRes'!AC172)*Source!I216, 2))), 2)</f>
        <v>90.86</v>
      </c>
      <c r="AE554">
        <f>ROUND((Source!AU216/100)*((ROUND(SUMIF(SmtRes!AQ172:'SmtRes'!AQ172,"=1",SmtRes!AD172:'SmtRes'!AD172)*Source!I216, 2)+ROUND(SUMIF(SmtRes!AQ172:'SmtRes'!AQ172,"=1",SmtRes!AC172:'SmtRes'!AC172)*Source!I216, 2))), 2)</f>
        <v>47.93</v>
      </c>
      <c r="AN554" s="58">
        <f>L548+L552+L553</f>
        <v>1393.63</v>
      </c>
      <c r="AO554">
        <f>0</f>
        <v>0</v>
      </c>
      <c r="AQ554" t="s">
        <v>794</v>
      </c>
      <c r="AR554" s="58">
        <f>L548</f>
        <v>583.11</v>
      </c>
      <c r="AT554">
        <f>0</f>
        <v>0</v>
      </c>
      <c r="AV554" t="s">
        <v>794</v>
      </c>
      <c r="AW554">
        <f>0</f>
        <v>0</v>
      </c>
      <c r="AZ554">
        <f>Source!X216</f>
        <v>530.63</v>
      </c>
      <c r="BA554">
        <f>Source!Y216</f>
        <v>279.89</v>
      </c>
      <c r="CD554">
        <v>1</v>
      </c>
    </row>
    <row r="555" spans="1:82" ht="42.75" x14ac:dyDescent="0.2">
      <c r="A555" s="43" t="s">
        <v>376</v>
      </c>
      <c r="B555" s="45" t="s">
        <v>815</v>
      </c>
      <c r="C555" s="45" t="str">
        <f>Source!G217</f>
        <v>Короба пластмассовые: шириной до 120 мм (Монтаж кабельного канала 40х120 мм)</v>
      </c>
      <c r="D555" s="46" t="str">
        <f>Source!H217</f>
        <v>100 м</v>
      </c>
      <c r="E555" s="47">
        <f>Source!K217</f>
        <v>0.15</v>
      </c>
      <c r="F555" s="47"/>
      <c r="G555" s="47">
        <f>Source!I217</f>
        <v>0.15</v>
      </c>
      <c r="H555" s="49"/>
      <c r="I555" s="48"/>
      <c r="J555" s="49"/>
      <c r="K555" s="48"/>
      <c r="L555" s="49"/>
    </row>
    <row r="556" spans="1:82" x14ac:dyDescent="0.2">
      <c r="C556" s="50" t="str">
        <f>"Объем: "&amp;Source!I217&amp;"=(15)/"&amp;"100"</f>
        <v>Объем: 0,15=(15)/100</v>
      </c>
    </row>
    <row r="557" spans="1:82" ht="15" x14ac:dyDescent="0.2">
      <c r="A557" s="44"/>
      <c r="B557" s="47">
        <v>1</v>
      </c>
      <c r="C557" s="44" t="s">
        <v>786</v>
      </c>
      <c r="D557" s="46" t="s">
        <v>541</v>
      </c>
      <c r="E557" s="51"/>
      <c r="F557" s="47"/>
      <c r="G557" s="47">
        <f>Source!U217</f>
        <v>3.0495000000000001</v>
      </c>
      <c r="H557" s="47"/>
      <c r="I557" s="47"/>
      <c r="J557" s="47"/>
      <c r="K557" s="47"/>
      <c r="L557" s="52">
        <f>SUM(L558:L558)-SUMIF(CE558:CE558, 1, L558:L558)</f>
        <v>2177.2199999999998</v>
      </c>
    </row>
    <row r="558" spans="1:82" ht="14.25" x14ac:dyDescent="0.2">
      <c r="A558" s="45"/>
      <c r="B558" s="45" t="s">
        <v>590</v>
      </c>
      <c r="C558" s="45" t="s">
        <v>591</v>
      </c>
      <c r="D558" s="46" t="s">
        <v>541</v>
      </c>
      <c r="E558" s="47">
        <v>20.329999999999998</v>
      </c>
      <c r="F558" s="47"/>
      <c r="G558" s="47">
        <f>SmtRes!CX173</f>
        <v>3.0495000000000001</v>
      </c>
      <c r="H558" s="49"/>
      <c r="I558" s="48"/>
      <c r="J558" s="49">
        <f>SmtRes!CZ173</f>
        <v>713.96</v>
      </c>
      <c r="K558" s="48"/>
      <c r="L558" s="49">
        <f>SmtRes!DI173</f>
        <v>2177.2199999999998</v>
      </c>
    </row>
    <row r="559" spans="1:82" ht="15" x14ac:dyDescent="0.2">
      <c r="A559" s="44"/>
      <c r="B559" s="47">
        <v>4</v>
      </c>
      <c r="C559" s="44" t="s">
        <v>802</v>
      </c>
      <c r="D559" s="46"/>
      <c r="E559" s="51"/>
      <c r="F559" s="47"/>
      <c r="G559" s="47"/>
      <c r="H559" s="47"/>
      <c r="I559" s="47"/>
      <c r="J559" s="47"/>
      <c r="K559" s="47"/>
      <c r="L559" s="52">
        <f>SUM(L560:L562)-SUMIF(CE560:CE562, 1, L560:L562)</f>
        <v>55.460000000000008</v>
      </c>
    </row>
    <row r="560" spans="1:82" ht="14.25" x14ac:dyDescent="0.2">
      <c r="A560" s="45"/>
      <c r="B560" s="45" t="s">
        <v>558</v>
      </c>
      <c r="C560" s="45" t="s">
        <v>560</v>
      </c>
      <c r="D560" s="46" t="s">
        <v>561</v>
      </c>
      <c r="E560" s="47">
        <v>8.2403999999999993</v>
      </c>
      <c r="F560" s="47"/>
      <c r="G560" s="47">
        <f>SmtRes!CX176</f>
        <v>1.2360599999999999</v>
      </c>
      <c r="H560" s="49"/>
      <c r="I560" s="48"/>
      <c r="J560" s="49">
        <f>SmtRes!CZ176</f>
        <v>6.78</v>
      </c>
      <c r="K560" s="48"/>
      <c r="L560" s="49">
        <f>SmtRes!DF176</f>
        <v>8.3800000000000008</v>
      </c>
    </row>
    <row r="561" spans="1:83" ht="28.5" x14ac:dyDescent="0.2">
      <c r="A561" s="45"/>
      <c r="B561" s="45" t="s">
        <v>592</v>
      </c>
      <c r="C561" s="45" t="s">
        <v>594</v>
      </c>
      <c r="D561" s="46" t="s">
        <v>595</v>
      </c>
      <c r="E561" s="47">
        <v>0.4</v>
      </c>
      <c r="F561" s="47"/>
      <c r="G561" s="47">
        <f>SmtRes!CX177</f>
        <v>0.06</v>
      </c>
      <c r="H561" s="49">
        <f>SmtRes!CZ177</f>
        <v>261.08999999999997</v>
      </c>
      <c r="I561" s="48">
        <f>SmtRes!AI177</f>
        <v>1.29</v>
      </c>
      <c r="J561" s="49">
        <f>ROUND(H561*I561, 2)</f>
        <v>336.81</v>
      </c>
      <c r="K561" s="48"/>
      <c r="L561" s="49">
        <f>SmtRes!DF177</f>
        <v>20.21</v>
      </c>
    </row>
    <row r="562" spans="1:83" ht="57" x14ac:dyDescent="0.2">
      <c r="A562" s="45"/>
      <c r="B562" s="45" t="s">
        <v>596</v>
      </c>
      <c r="C562" s="53" t="s">
        <v>598</v>
      </c>
      <c r="D562" s="54" t="s">
        <v>165</v>
      </c>
      <c r="E562" s="55">
        <v>1.4E-3</v>
      </c>
      <c r="F562" s="55"/>
      <c r="G562" s="55">
        <f>SmtRes!CX178</f>
        <v>2.1000000000000001E-4</v>
      </c>
      <c r="H562" s="56">
        <f>SmtRes!CZ178</f>
        <v>99190.96</v>
      </c>
      <c r="I562" s="57">
        <f>SmtRes!AI178</f>
        <v>1.29</v>
      </c>
      <c r="J562" s="56">
        <f>ROUND(H562*I562, 2)</f>
        <v>127956.34</v>
      </c>
      <c r="K562" s="57"/>
      <c r="L562" s="56">
        <f>SmtRes!DF178</f>
        <v>26.87</v>
      </c>
    </row>
    <row r="563" spans="1:83" ht="15" x14ac:dyDescent="0.2">
      <c r="A563" s="45"/>
      <c r="B563" s="45"/>
      <c r="C563" s="59" t="s">
        <v>787</v>
      </c>
      <c r="D563" s="46"/>
      <c r="E563" s="47"/>
      <c r="F563" s="47"/>
      <c r="G563" s="47"/>
      <c r="H563" s="49"/>
      <c r="I563" s="48"/>
      <c r="J563" s="49"/>
      <c r="K563" s="48"/>
      <c r="L563" s="49">
        <f>L557+L559</f>
        <v>2232.6799999999998</v>
      </c>
    </row>
    <row r="564" spans="1:83" ht="57" x14ac:dyDescent="0.2">
      <c r="A564" s="43" t="s">
        <v>936</v>
      </c>
      <c r="B564" s="45" t="str">
        <f>Source!F218</f>
        <v>20.2.05.04-0094</v>
      </c>
      <c r="C564" s="45" t="str">
        <f>Source!G218</f>
        <v>Короб кабельный (кабель-канал) ПВХ с крышкой, с направляющими, размеры 120х60 мм (применительно 40х120 мм)</v>
      </c>
      <c r="D564" s="46" t="str">
        <f>Source!H218</f>
        <v>100 м</v>
      </c>
      <c r="E564" s="47">
        <f>SmtRes!AT180</f>
        <v>1</v>
      </c>
      <c r="F564" s="47"/>
      <c r="G564" s="47">
        <f>Source!I218</f>
        <v>0.15</v>
      </c>
      <c r="H564" s="49">
        <f>Source!AL218+Source!AO218+Source!AM218+Source!AN218</f>
        <v>49885.38</v>
      </c>
      <c r="I564" s="48">
        <f>IF(Source!BC218&lt;&gt; 0, Source!BC218, 1)</f>
        <v>1.24</v>
      </c>
      <c r="J564" s="49">
        <f>ROUND(H564*I564, 2)</f>
        <v>61857.87</v>
      </c>
      <c r="K564" s="48"/>
      <c r="L564" s="49">
        <f>Source!P218</f>
        <v>9278.68</v>
      </c>
      <c r="AD564">
        <f>ROUND((Source!AT218/100)*((ROUND(ROUND(Source!AO218,2)*Source!I218, 2)+ROUND(ROUND(Source!AN218,2)*Source!I218, 2))), 2)</f>
        <v>0</v>
      </c>
      <c r="AE564">
        <f>ROUND((Source!AU218/100)*((ROUND(ROUND(Source!AO218,2)*Source!I218, 2)+ROUND(ROUND(Source!AN218,2)*Source!I218, 2))), 2)</f>
        <v>0</v>
      </c>
      <c r="AN564">
        <f t="shared" ref="AN564:AN570" si="5">L564</f>
        <v>9278.68</v>
      </c>
      <c r="AW564">
        <f t="shared" ref="AW564:AW569" si="6">L564</f>
        <v>9278.68</v>
      </c>
      <c r="AZ564">
        <f>Source!X218</f>
        <v>0</v>
      </c>
      <c r="BA564">
        <f>Source!Y218</f>
        <v>0</v>
      </c>
      <c r="CD564">
        <v>2</v>
      </c>
    </row>
    <row r="565" spans="1:83" ht="28.5" x14ac:dyDescent="0.2">
      <c r="A565" s="43" t="s">
        <v>937</v>
      </c>
      <c r="B565" s="45" t="str">
        <f>Source!F219</f>
        <v>20.2.05.03-0011</v>
      </c>
      <c r="C565" s="45" t="str">
        <f>Source!G219</f>
        <v>Заглушки для коробов, размеры 130х60 мм (применительно 40х120 мм)</v>
      </c>
      <c r="D565" s="46" t="str">
        <f>Source!H219</f>
        <v>100 ШТ</v>
      </c>
      <c r="E565" s="47">
        <f>SmtRes!AT179</f>
        <v>0.13333329999999999</v>
      </c>
      <c r="F565" s="47"/>
      <c r="G565" s="47">
        <f>Source!I219</f>
        <v>0.02</v>
      </c>
      <c r="H565" s="49">
        <f>Source!AL219+Source!AO219+Source!AM219+Source!AN219</f>
        <v>8531.39</v>
      </c>
      <c r="I565" s="48">
        <f>IF(Source!BC219&lt;&gt; 0, Source!BC219, 1)</f>
        <v>1.24</v>
      </c>
      <c r="J565" s="49">
        <f>ROUND(H565*I565, 2)</f>
        <v>10578.92</v>
      </c>
      <c r="K565" s="48"/>
      <c r="L565" s="49">
        <f>Source!P219</f>
        <v>211.58</v>
      </c>
      <c r="AD565">
        <f>ROUND((Source!AT219/100)*((ROUND(ROUND(Source!AO219,2)*Source!I219, 2)+ROUND(ROUND(Source!AN219,2)*Source!I219, 2))), 2)</f>
        <v>0</v>
      </c>
      <c r="AE565">
        <f>ROUND((Source!AU219/100)*((ROUND(ROUND(Source!AO219,2)*Source!I219, 2)+ROUND(ROUND(Source!AN219,2)*Source!I219, 2))), 2)</f>
        <v>0</v>
      </c>
      <c r="AN565">
        <f t="shared" si="5"/>
        <v>211.58</v>
      </c>
      <c r="AW565">
        <f t="shared" si="6"/>
        <v>211.58</v>
      </c>
      <c r="AZ565">
        <f>Source!X219</f>
        <v>0</v>
      </c>
      <c r="BA565">
        <f>Source!Y219</f>
        <v>0</v>
      </c>
      <c r="CD565">
        <v>2</v>
      </c>
    </row>
    <row r="566" spans="1:83" ht="42.75" x14ac:dyDescent="0.2">
      <c r="A566" s="43" t="s">
        <v>938</v>
      </c>
      <c r="B566" s="45" t="str">
        <f>Source!F220</f>
        <v>20.2.05.09-1088</v>
      </c>
      <c r="C566" s="45" t="str">
        <f>Source!G220</f>
        <v>Угол внутренний для кабель-канала, размеры 100х60 мм (применительно 40х120 мм)</v>
      </c>
      <c r="D566" s="46" t="str">
        <f>Source!H220</f>
        <v>100 ШТ</v>
      </c>
      <c r="E566" s="47">
        <f>SmtRes!AT183</f>
        <v>0.13333329999999999</v>
      </c>
      <c r="F566" s="47"/>
      <c r="G566" s="47">
        <f>Source!I220</f>
        <v>0.02</v>
      </c>
      <c r="H566" s="49">
        <f>Source!AL220+Source!AO220+Source!AM220+Source!AN220</f>
        <v>8105.46</v>
      </c>
      <c r="I566" s="48">
        <f>IF(Source!BC220&lt;&gt; 0, Source!BC220, 1)</f>
        <v>1.24</v>
      </c>
      <c r="J566" s="49">
        <f>ROUND(H566*I566, 2)</f>
        <v>10050.77</v>
      </c>
      <c r="K566" s="48"/>
      <c r="L566" s="49">
        <f>Source!P220</f>
        <v>201.02</v>
      </c>
      <c r="AD566">
        <f>ROUND((Source!AT220/100)*((ROUND(ROUND(Source!AO220,2)*Source!I220, 2)+ROUND(ROUND(Source!AN220,2)*Source!I220, 2))), 2)</f>
        <v>0</v>
      </c>
      <c r="AE566">
        <f>ROUND((Source!AU220/100)*((ROUND(ROUND(Source!AO220,2)*Source!I220, 2)+ROUND(ROUND(Source!AN220,2)*Source!I220, 2))), 2)</f>
        <v>0</v>
      </c>
      <c r="AN566">
        <f t="shared" si="5"/>
        <v>201.02</v>
      </c>
      <c r="AW566">
        <f t="shared" si="6"/>
        <v>201.02</v>
      </c>
      <c r="AZ566">
        <f>Source!X220</f>
        <v>0</v>
      </c>
      <c r="BA566">
        <f>Source!Y220</f>
        <v>0</v>
      </c>
      <c r="CD566">
        <v>2</v>
      </c>
    </row>
    <row r="567" spans="1:83" ht="28.5" x14ac:dyDescent="0.2">
      <c r="A567" s="43" t="s">
        <v>939</v>
      </c>
      <c r="B567" s="45" t="str">
        <f>Source!F221</f>
        <v>20.2.05.09-0017</v>
      </c>
      <c r="C567" s="45" t="str">
        <f>Source!G221</f>
        <v>Углы внешние изменяемые для кабель-канала, размеры 80х50 мм</v>
      </c>
      <c r="D567" s="46" t="str">
        <f>Source!H221</f>
        <v>100 ШТ</v>
      </c>
      <c r="E567" s="47">
        <f>SmtRes!AT181</f>
        <v>0.13333329999999999</v>
      </c>
      <c r="F567" s="47"/>
      <c r="G567" s="47">
        <f>Source!I221</f>
        <v>0.02</v>
      </c>
      <c r="H567" s="49">
        <f>Source!AL221+Source!AO221+Source!AM221+Source!AN221</f>
        <v>50097.78</v>
      </c>
      <c r="I567" s="48">
        <f>IF(Source!BC221&lt;&gt; 0, Source!BC221, 1)</f>
        <v>1.24</v>
      </c>
      <c r="J567" s="49">
        <f>ROUND(H567*I567, 2)</f>
        <v>62121.25</v>
      </c>
      <c r="K567" s="48"/>
      <c r="L567" s="49">
        <f>Source!P221</f>
        <v>1242.43</v>
      </c>
      <c r="AD567">
        <f>ROUND((Source!AT221/100)*((ROUND(ROUND(Source!AO221,2)*Source!I221, 2)+ROUND(ROUND(Source!AN221,2)*Source!I221, 2))), 2)</f>
        <v>0</v>
      </c>
      <c r="AE567">
        <f>ROUND((Source!AU221/100)*((ROUND(ROUND(Source!AO221,2)*Source!I221, 2)+ROUND(ROUND(Source!AN221,2)*Source!I221, 2))), 2)</f>
        <v>0</v>
      </c>
      <c r="AN567">
        <f t="shared" si="5"/>
        <v>1242.43</v>
      </c>
      <c r="AW567">
        <f t="shared" si="6"/>
        <v>1242.43</v>
      </c>
      <c r="AZ567">
        <f>Source!X221</f>
        <v>0</v>
      </c>
      <c r="BA567">
        <f>Source!Y221</f>
        <v>0</v>
      </c>
      <c r="CD567">
        <v>2</v>
      </c>
    </row>
    <row r="568" spans="1:83" ht="28.5" x14ac:dyDescent="0.2">
      <c r="A568" s="43" t="s">
        <v>940</v>
      </c>
      <c r="B568" s="45" t="str">
        <f>Source!F222</f>
        <v>20.2.05.09-1016</v>
      </c>
      <c r="C568" s="45" t="str">
        <f>Source!G222</f>
        <v>Углы плоские для кабель-канала, размеры 100х40 мм</v>
      </c>
      <c r="D568" s="46" t="str">
        <f>Source!H222</f>
        <v>100 ШТ</v>
      </c>
      <c r="E568" s="47">
        <f>SmtRes!AT182</f>
        <v>0.13333329999999999</v>
      </c>
      <c r="F568" s="47"/>
      <c r="G568" s="47">
        <f>Source!I222</f>
        <v>0.02</v>
      </c>
      <c r="H568" s="49">
        <f>Source!AL222+Source!AO222+Source!AM222+Source!AN222</f>
        <v>38805.71</v>
      </c>
      <c r="I568" s="48">
        <f>IF(Source!BC222&lt;&gt; 0, Source!BC222, 1)</f>
        <v>1.24</v>
      </c>
      <c r="J568" s="49">
        <f>ROUND(H568*I568, 2)</f>
        <v>48119.08</v>
      </c>
      <c r="K568" s="48"/>
      <c r="L568" s="49">
        <f>Source!P222</f>
        <v>962.38</v>
      </c>
      <c r="AD568">
        <f>ROUND((Source!AT222/100)*((ROUND(ROUND(Source!AO222,2)*Source!I222, 2)+ROUND(ROUND(Source!AN222,2)*Source!I222, 2))), 2)</f>
        <v>0</v>
      </c>
      <c r="AE568">
        <f>ROUND((Source!AU222/100)*((ROUND(ROUND(Source!AO222,2)*Source!I222, 2)+ROUND(ROUND(Source!AN222,2)*Source!I222, 2))), 2)</f>
        <v>0</v>
      </c>
      <c r="AN568">
        <f t="shared" si="5"/>
        <v>962.38</v>
      </c>
      <c r="AW568">
        <f t="shared" si="6"/>
        <v>962.38</v>
      </c>
      <c r="AZ568">
        <f>Source!X222</f>
        <v>0</v>
      </c>
      <c r="BA568">
        <f>Source!Y222</f>
        <v>0</v>
      </c>
      <c r="CD568">
        <v>2</v>
      </c>
    </row>
    <row r="569" spans="1:83" ht="57" x14ac:dyDescent="0.2">
      <c r="A569" s="43" t="s">
        <v>941</v>
      </c>
      <c r="B569" s="45" t="str">
        <f>Source!F223</f>
        <v>421/пр_2020_п.75_пп.а</v>
      </c>
      <c r="C569" s="45" t="str">
        <f>Source!G223</f>
        <v>Сметная стоимость вспомогательных ненормируемых материальных ресурсов, не учтенная в сметной норме, 2%</v>
      </c>
      <c r="D569" s="46" t="str">
        <f>Source!H223</f>
        <v>%</v>
      </c>
      <c r="E569" s="47">
        <f>SmtRes!AT184</f>
        <v>2</v>
      </c>
      <c r="F569" s="47"/>
      <c r="G569" s="47">
        <f>Source!I223</f>
        <v>2</v>
      </c>
      <c r="H569" s="49"/>
      <c r="I569" s="48"/>
      <c r="J569" s="49"/>
      <c r="K569" s="48"/>
      <c r="L569" s="49">
        <f>Source!P223</f>
        <v>43.54</v>
      </c>
      <c r="AD569">
        <f>ROUND((Source!AT223/100)*((ROUND(0*Source!I223, 2)+ROUND(0*Source!I223, 2))), 2)</f>
        <v>0</v>
      </c>
      <c r="AE569">
        <f>ROUND((Source!AU223/100)*((ROUND(0*Source!I223, 2)+ROUND(0*Source!I223, 2))), 2)</f>
        <v>0</v>
      </c>
      <c r="AN569">
        <f t="shared" si="5"/>
        <v>43.54</v>
      </c>
      <c r="AW569">
        <f t="shared" si="6"/>
        <v>43.54</v>
      </c>
      <c r="AZ569">
        <f>Source!X223</f>
        <v>0</v>
      </c>
      <c r="BA569">
        <f>Source!Y223</f>
        <v>0</v>
      </c>
      <c r="CD569">
        <v>2</v>
      </c>
    </row>
    <row r="570" spans="1:83" ht="57" x14ac:dyDescent="0.2">
      <c r="A570" s="43" t="s">
        <v>942</v>
      </c>
      <c r="B570" s="45" t="str">
        <f>Source!F224</f>
        <v>91.06.06-048</v>
      </c>
      <c r="C570" s="45" t="s">
        <v>788</v>
      </c>
      <c r="D570" s="46" t="str">
        <f>Source!H224</f>
        <v>маш.-ч</v>
      </c>
      <c r="E570" s="47">
        <f>SmtRes!AT175</f>
        <v>-0.01</v>
      </c>
      <c r="F570" s="47"/>
      <c r="G570" s="47">
        <f>Source!I224</f>
        <v>-1.5E-3</v>
      </c>
      <c r="H570" s="49">
        <f>Source!AL224+Source!AO224+Source!AM224+Source!AN224</f>
        <v>678.54000000000008</v>
      </c>
      <c r="I570" s="48">
        <f>IF(Source!BB224&lt;&gt; 0, Source!BB224, 1)</f>
        <v>1.54</v>
      </c>
      <c r="J570" s="49">
        <f>ROUND(H570*I570, 2)</f>
        <v>1044.95</v>
      </c>
      <c r="K570" s="48"/>
      <c r="L570" s="49">
        <f>Source!Q224</f>
        <v>-0.09</v>
      </c>
      <c r="AD570">
        <f>ROUND((Source!AT224/100)*((ROUND(ROUND(Source!AO224,2)*Source!I224, 2)+ROUND(ROUND(Source!AN224,2)*Source!I224, 2))), 2)</f>
        <v>-0.93</v>
      </c>
      <c r="AE570">
        <f>ROUND((Source!AU224/100)*((ROUND(ROUND(Source!AO224,2)*Source!I224, 2)+ROUND(ROUND(Source!AN224,2)*Source!I224, 2))), 2)</f>
        <v>-0.49</v>
      </c>
      <c r="AN570">
        <f t="shared" si="5"/>
        <v>-0.09</v>
      </c>
      <c r="AO570">
        <f>L570</f>
        <v>-0.09</v>
      </c>
      <c r="AT570">
        <f>Source!R224</f>
        <v>-0.96</v>
      </c>
      <c r="AZ570">
        <f>Source!X224</f>
        <v>-0.93</v>
      </c>
      <c r="BA570">
        <f>Source!Y224</f>
        <v>-0.49</v>
      </c>
      <c r="CD570">
        <v>2</v>
      </c>
    </row>
    <row r="571" spans="1:83" ht="28.5" x14ac:dyDescent="0.2">
      <c r="A571" s="45"/>
      <c r="B571" s="45" t="s">
        <v>544</v>
      </c>
      <c r="C571" s="45" t="s">
        <v>789</v>
      </c>
      <c r="D571" s="46" t="s">
        <v>541</v>
      </c>
      <c r="E571" s="47">
        <f>SmtRes!DO175*SmtRes!AT175</f>
        <v>-0.01</v>
      </c>
      <c r="F571" s="47"/>
      <c r="G571" s="47">
        <f>ROUND(E571*G555, 7)</f>
        <v>-1.5E-3</v>
      </c>
      <c r="H571" s="49"/>
      <c r="I571" s="48"/>
      <c r="J571" s="49">
        <f>ROUND(SmtRes!AG175/SmtRes!DO175, 2)</f>
        <v>641.22</v>
      </c>
      <c r="K571" s="48"/>
      <c r="L571" s="49">
        <f>SmtRes!DH175</f>
        <v>-0.96</v>
      </c>
      <c r="CE571">
        <v>1</v>
      </c>
    </row>
    <row r="572" spans="1:83" ht="14.25" x14ac:dyDescent="0.2">
      <c r="A572" s="45"/>
      <c r="B572" s="45"/>
      <c r="C572" s="45" t="s">
        <v>790</v>
      </c>
      <c r="D572" s="46"/>
      <c r="E572" s="47"/>
      <c r="F572" s="47"/>
      <c r="G572" s="47"/>
      <c r="H572" s="49"/>
      <c r="I572" s="48"/>
      <c r="J572" s="49"/>
      <c r="K572" s="48"/>
      <c r="L572" s="49">
        <f>SUM(AR555:AR575)+SUM(AS555:AS575)+SUM(AT555:AT575)+SUM(AU555:AU575)+SUM(AV555:AV575)</f>
        <v>2176.2599999999998</v>
      </c>
    </row>
    <row r="573" spans="1:83" ht="28.5" x14ac:dyDescent="0.2">
      <c r="A573" s="45"/>
      <c r="B573" s="45" t="s">
        <v>52</v>
      </c>
      <c r="C573" s="45" t="s">
        <v>804</v>
      </c>
      <c r="D573" s="46" t="s">
        <v>57</v>
      </c>
      <c r="E573" s="47">
        <f>Source!BZ217</f>
        <v>97</v>
      </c>
      <c r="F573" s="47"/>
      <c r="G573" s="47">
        <f>Source!AT217</f>
        <v>97</v>
      </c>
      <c r="H573" s="49"/>
      <c r="I573" s="48"/>
      <c r="J573" s="49"/>
      <c r="K573" s="48"/>
      <c r="L573" s="49">
        <f>SUM(AZ555:AZ575)</f>
        <v>2110.9700000000003</v>
      </c>
    </row>
    <row r="574" spans="1:83" ht="28.5" x14ac:dyDescent="0.2">
      <c r="A574" s="53"/>
      <c r="B574" s="53" t="s">
        <v>53</v>
      </c>
      <c r="C574" s="53" t="s">
        <v>805</v>
      </c>
      <c r="D574" s="54" t="s">
        <v>57</v>
      </c>
      <c r="E574" s="55">
        <f>Source!CA217</f>
        <v>51</v>
      </c>
      <c r="F574" s="55"/>
      <c r="G574" s="55">
        <f>Source!AU217</f>
        <v>51</v>
      </c>
      <c r="H574" s="56"/>
      <c r="I574" s="57"/>
      <c r="J574" s="56"/>
      <c r="K574" s="57"/>
      <c r="L574" s="56">
        <f>SUM(BA555:BA575)</f>
        <v>1109.8900000000001</v>
      </c>
    </row>
    <row r="575" spans="1:83" ht="15" x14ac:dyDescent="0.2">
      <c r="C575" s="92" t="s">
        <v>793</v>
      </c>
      <c r="D575" s="92"/>
      <c r="E575" s="92"/>
      <c r="F575" s="92"/>
      <c r="G575" s="92"/>
      <c r="H575" s="92"/>
      <c r="I575" s="93">
        <f>IF(E555&lt;&gt;0,K575/E555, 0)</f>
        <v>115947.46666666669</v>
      </c>
      <c r="J575" s="93"/>
      <c r="K575" s="93">
        <f>L557+L559+L573+L574+SUM(L564:L571)</f>
        <v>17392.120000000003</v>
      </c>
      <c r="L575" s="93"/>
      <c r="AD575">
        <f>ROUND((Source!AT217/100)*((ROUND(SUMIF(SmtRes!AQ173:'SmtRes'!AQ184,"=1",SmtRes!AD173:'SmtRes'!AD184)*Source!I217, 2)+ROUND(SUMIF(SmtRes!AQ173:'SmtRes'!AQ184,"=1",SmtRes!AC173:'SmtRes'!AC184)*Source!I217, 2))), 2)</f>
        <v>103.88</v>
      </c>
      <c r="AE575">
        <f>ROUND((Source!AU217/100)*((ROUND(SUMIF(SmtRes!AQ173:'SmtRes'!AQ184,"=1",SmtRes!AD173:'SmtRes'!AD184)*Source!I217, 2)+ROUND(SUMIF(SmtRes!AQ173:'SmtRes'!AQ184,"=1",SmtRes!AC173:'SmtRes'!AC184)*Source!I217, 2))), 2)</f>
        <v>54.62</v>
      </c>
      <c r="AN575" s="58">
        <f>L557+L559+L573+L574</f>
        <v>5453.54</v>
      </c>
      <c r="AO575">
        <f>0</f>
        <v>0</v>
      </c>
      <c r="AQ575" t="s">
        <v>794</v>
      </c>
      <c r="AR575" s="58">
        <f>L557</f>
        <v>2177.2199999999998</v>
      </c>
      <c r="AT575">
        <f>0</f>
        <v>0</v>
      </c>
      <c r="AV575" t="s">
        <v>794</v>
      </c>
      <c r="AW575" s="58">
        <f>L559</f>
        <v>55.460000000000008</v>
      </c>
      <c r="AZ575">
        <f>Source!X217</f>
        <v>2111.9</v>
      </c>
      <c r="BA575">
        <f>Source!Y217</f>
        <v>1110.3800000000001</v>
      </c>
      <c r="CD575">
        <v>2</v>
      </c>
    </row>
    <row r="576" spans="1:83" ht="65.25" x14ac:dyDescent="0.2">
      <c r="A576" s="43" t="s">
        <v>397</v>
      </c>
      <c r="B576" s="45" t="s">
        <v>823</v>
      </c>
      <c r="C576" s="45" t="s">
        <v>943</v>
      </c>
      <c r="D576" s="46" t="str">
        <f>Source!H225</f>
        <v>100 м</v>
      </c>
      <c r="E576" s="47">
        <f>Source!K225</f>
        <v>0.2</v>
      </c>
      <c r="F576" s="47"/>
      <c r="G576" s="47">
        <f>Source!I225</f>
        <v>0.2</v>
      </c>
      <c r="H576" s="49"/>
      <c r="I576" s="48"/>
      <c r="J576" s="49"/>
      <c r="K576" s="48"/>
      <c r="L576" s="49"/>
    </row>
    <row r="577" spans="1:101" ht="165.75" x14ac:dyDescent="0.2">
      <c r="B577" s="61" t="str">
        <f>Source!EO225</f>
        <v>Поправка: 421/пр_2020_прил.10_т.5_п.1.1_гр.3</v>
      </c>
      <c r="C577" s="61" t="str">
        <f>Source!CN225</f>
        <v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</row>
    <row r="578" spans="1:101" x14ac:dyDescent="0.2">
      <c r="C578" s="50" t="str">
        <f>"Объем: "&amp;Source!I225&amp;"=(20)/"&amp;"100"</f>
        <v>Объем: 0,2=(20)/100</v>
      </c>
    </row>
    <row r="579" spans="1:101" ht="15" x14ac:dyDescent="0.2">
      <c r="A579" s="44"/>
      <c r="B579" s="47">
        <v>1</v>
      </c>
      <c r="C579" s="44" t="s">
        <v>786</v>
      </c>
      <c r="D579" s="46" t="s">
        <v>541</v>
      </c>
      <c r="E579" s="51"/>
      <c r="F579" s="47"/>
      <c r="G579" s="47">
        <f>Source!U225</f>
        <v>0.67679999999999996</v>
      </c>
      <c r="H579" s="47"/>
      <c r="I579" s="47"/>
      <c r="J579" s="47"/>
      <c r="K579" s="47"/>
      <c r="L579" s="52">
        <f>SUM(L580:L580)-SUMIF(CE580:CE580, 1, L580:L580)</f>
        <v>477.74</v>
      </c>
    </row>
    <row r="580" spans="1:101" ht="14.25" x14ac:dyDescent="0.2">
      <c r="A580" s="45"/>
      <c r="B580" s="45" t="s">
        <v>547</v>
      </c>
      <c r="C580" s="45" t="s">
        <v>548</v>
      </c>
      <c r="D580" s="46" t="s">
        <v>541</v>
      </c>
      <c r="E580" s="47">
        <v>2.82</v>
      </c>
      <c r="F580" s="47">
        <f>ROUND((0.2+1),7)</f>
        <v>1.2</v>
      </c>
      <c r="G580" s="47">
        <f>SmtRes!CX185</f>
        <v>0.67679999999999996</v>
      </c>
      <c r="H580" s="49"/>
      <c r="I580" s="48"/>
      <c r="J580" s="49">
        <f>SmtRes!CZ185</f>
        <v>705.88</v>
      </c>
      <c r="K580" s="48"/>
      <c r="L580" s="49">
        <f>SmtRes!DI185</f>
        <v>477.74</v>
      </c>
    </row>
    <row r="581" spans="1:101" ht="15" x14ac:dyDescent="0.2">
      <c r="A581" s="44"/>
      <c r="B581" s="47">
        <v>4</v>
      </c>
      <c r="C581" s="44" t="s">
        <v>802</v>
      </c>
      <c r="D581" s="46"/>
      <c r="E581" s="51"/>
      <c r="F581" s="47"/>
      <c r="G581" s="47"/>
      <c r="H581" s="47"/>
      <c r="I581" s="47"/>
      <c r="J581" s="47"/>
      <c r="K581" s="47"/>
      <c r="L581" s="52">
        <f>SUM(L582:L584)-SUMIF(CE582:CE584, 1, L582:L584)</f>
        <v>20.669999999999998</v>
      </c>
    </row>
    <row r="582" spans="1:101" ht="71.25" x14ac:dyDescent="0.2">
      <c r="A582" s="45"/>
      <c r="B582" s="45" t="s">
        <v>562</v>
      </c>
      <c r="C582" s="45" t="s">
        <v>564</v>
      </c>
      <c r="D582" s="46" t="s">
        <v>364</v>
      </c>
      <c r="E582" s="47">
        <v>13.33</v>
      </c>
      <c r="F582" s="47"/>
      <c r="G582" s="47">
        <f>SmtRes!CX189</f>
        <v>2.6659999999999999</v>
      </c>
      <c r="H582" s="49">
        <f>SmtRes!CZ189</f>
        <v>5.87</v>
      </c>
      <c r="I582" s="48">
        <f>SmtRes!AI189</f>
        <v>0.88</v>
      </c>
      <c r="J582" s="49">
        <f>ROUND(H582*I582, 2)</f>
        <v>5.17</v>
      </c>
      <c r="K582" s="48"/>
      <c r="L582" s="49">
        <f>SmtRes!DF189</f>
        <v>13.78</v>
      </c>
    </row>
    <row r="583" spans="1:101" ht="57" x14ac:dyDescent="0.2">
      <c r="A583" s="45"/>
      <c r="B583" s="45" t="s">
        <v>601</v>
      </c>
      <c r="C583" s="45" t="s">
        <v>603</v>
      </c>
      <c r="D583" s="46" t="s">
        <v>604</v>
      </c>
      <c r="E583" s="47">
        <v>0.5</v>
      </c>
      <c r="F583" s="47"/>
      <c r="G583" s="47">
        <f>SmtRes!CX190</f>
        <v>0.1</v>
      </c>
      <c r="H583" s="49">
        <f>SmtRes!CZ190</f>
        <v>37.71</v>
      </c>
      <c r="I583" s="48">
        <f>SmtRes!AI190</f>
        <v>1.53</v>
      </c>
      <c r="J583" s="49">
        <f>ROUND(H583*I583, 2)</f>
        <v>57.7</v>
      </c>
      <c r="K583" s="48"/>
      <c r="L583" s="49">
        <f>SmtRes!DF190</f>
        <v>5.77</v>
      </c>
    </row>
    <row r="584" spans="1:101" ht="28.5" x14ac:dyDescent="0.2">
      <c r="A584" s="45"/>
      <c r="B584" s="45" t="s">
        <v>577</v>
      </c>
      <c r="C584" s="53" t="s">
        <v>579</v>
      </c>
      <c r="D584" s="54" t="s">
        <v>170</v>
      </c>
      <c r="E584" s="55">
        <v>0.05</v>
      </c>
      <c r="F584" s="55"/>
      <c r="G584" s="55">
        <f>SmtRes!CX191</f>
        <v>0.01</v>
      </c>
      <c r="H584" s="56">
        <f>SmtRes!CZ191</f>
        <v>79.88</v>
      </c>
      <c r="I584" s="57">
        <f>SmtRes!AI191</f>
        <v>1.4</v>
      </c>
      <c r="J584" s="56">
        <f>ROUND(H584*I584, 2)</f>
        <v>111.83</v>
      </c>
      <c r="K584" s="57"/>
      <c r="L584" s="56">
        <f>SmtRes!DF191</f>
        <v>1.1200000000000001</v>
      </c>
    </row>
    <row r="585" spans="1:101" ht="15" x14ac:dyDescent="0.2">
      <c r="A585" s="45"/>
      <c r="B585" s="45"/>
      <c r="C585" s="59" t="s">
        <v>787</v>
      </c>
      <c r="D585" s="46"/>
      <c r="E585" s="47"/>
      <c r="F585" s="47"/>
      <c r="G585" s="47"/>
      <c r="H585" s="49"/>
      <c r="I585" s="48"/>
      <c r="J585" s="49"/>
      <c r="K585" s="48"/>
      <c r="L585" s="49">
        <f>L579+L581</f>
        <v>498.41</v>
      </c>
    </row>
    <row r="586" spans="1:101" ht="28.5" x14ac:dyDescent="0.2">
      <c r="A586" s="43" t="s">
        <v>944</v>
      </c>
      <c r="B586" s="45" t="str">
        <f>Source!F226</f>
        <v>21.1.06.09-0152</v>
      </c>
      <c r="C586" s="45" t="str">
        <f>Source!G226</f>
        <v>Кабель силовой с медными жилами ВВГнг(A)-LS 3х2,5ок(N, PE)-660</v>
      </c>
      <c r="D586" s="46" t="str">
        <f>Source!H226</f>
        <v>1000 м</v>
      </c>
      <c r="E586" s="47">
        <f>SmtRes!AT192</f>
        <v>0.1</v>
      </c>
      <c r="F586" s="47"/>
      <c r="G586" s="47">
        <f>Source!I226</f>
        <v>0.02</v>
      </c>
      <c r="H586" s="49"/>
      <c r="I586" s="48"/>
      <c r="J586" s="49">
        <f>Source!AK226</f>
        <v>70449.91</v>
      </c>
      <c r="K586" s="48"/>
      <c r="L586" s="49">
        <f>Source!P226</f>
        <v>1409</v>
      </c>
      <c r="AD586">
        <f>ROUND((Source!AT226/100)*((ROUND(ROUND(Source!AO226,2)*Source!I226, 2)+ROUND(ROUND(Source!AN226,2)*Source!I226, 2))), 2)</f>
        <v>0</v>
      </c>
      <c r="AE586">
        <f>ROUND((Source!AU226/100)*((ROUND(ROUND(Source!AO226,2)*Source!I226, 2)+ROUND(ROUND(Source!AN226,2)*Source!I226, 2))), 2)</f>
        <v>0</v>
      </c>
      <c r="AN586">
        <f>L586</f>
        <v>1409</v>
      </c>
      <c r="AW586">
        <f>L586</f>
        <v>1409</v>
      </c>
      <c r="AZ586">
        <f>Source!X226</f>
        <v>0</v>
      </c>
      <c r="BA586">
        <f>Source!Y226</f>
        <v>0</v>
      </c>
      <c r="CD586">
        <v>2</v>
      </c>
    </row>
    <row r="587" spans="1:101" ht="57" x14ac:dyDescent="0.2">
      <c r="A587" s="43" t="s">
        <v>945</v>
      </c>
      <c r="B587" s="45" t="str">
        <f>Source!F227</f>
        <v>421/пр_2020_п.75_пп.а</v>
      </c>
      <c r="C587" s="45" t="str">
        <f>Source!G227</f>
        <v>Сметная стоимость вспомогательных ненормируемых материальных ресурсов, не учтенная в сметной норме, 2%</v>
      </c>
      <c r="D587" s="46" t="str">
        <f>Source!H227</f>
        <v>%</v>
      </c>
      <c r="E587" s="47">
        <f>SmtRes!AT193</f>
        <v>2</v>
      </c>
      <c r="F587" s="47"/>
      <c r="G587" s="47">
        <f>Source!I227</f>
        <v>2</v>
      </c>
      <c r="H587" s="49"/>
      <c r="I587" s="48"/>
      <c r="J587" s="49"/>
      <c r="K587" s="48"/>
      <c r="L587" s="49">
        <f>Source!P227</f>
        <v>7.96</v>
      </c>
      <c r="AD587">
        <f>ROUND((Source!AT227/100)*((ROUND(0*Source!I227, 2)+ROUND(0*Source!I227, 2))), 2)</f>
        <v>0</v>
      </c>
      <c r="AE587">
        <f>ROUND((Source!AU227/100)*((ROUND(0*Source!I227, 2)+ROUND(0*Source!I227, 2))), 2)</f>
        <v>0</v>
      </c>
      <c r="AN587">
        <f>L587</f>
        <v>7.96</v>
      </c>
      <c r="AW587">
        <f>L587</f>
        <v>7.96</v>
      </c>
      <c r="AZ587">
        <f>Source!X227</f>
        <v>0</v>
      </c>
      <c r="BA587">
        <f>Source!Y227</f>
        <v>0</v>
      </c>
      <c r="CD587">
        <v>2</v>
      </c>
    </row>
    <row r="588" spans="1:101" ht="42.75" x14ac:dyDescent="0.2">
      <c r="A588" s="43" t="s">
        <v>946</v>
      </c>
      <c r="B588" s="45" t="str">
        <f>Source!F228</f>
        <v>91.05.05-015</v>
      </c>
      <c r="C588" s="45" t="s">
        <v>828</v>
      </c>
      <c r="D588" s="46" t="str">
        <f>Source!H228</f>
        <v>маш.-ч</v>
      </c>
      <c r="E588" s="47">
        <f>SmtRes!AT187</f>
        <v>-1.2E-2</v>
      </c>
      <c r="F588" s="47">
        <f>ROUND((0.2+1),7)</f>
        <v>1.2</v>
      </c>
      <c r="G588" s="47">
        <f>Source!I228</f>
        <v>-2.8800000000000002E-3</v>
      </c>
      <c r="H588" s="49"/>
      <c r="I588" s="48"/>
      <c r="J588" s="49">
        <f>Source!AK228</f>
        <v>1629.55</v>
      </c>
      <c r="K588" s="48"/>
      <c r="L588" s="49">
        <f>Source!Q228</f>
        <v>-4.6900000000000004</v>
      </c>
      <c r="AD588">
        <f>ROUND((Source!AT228/100)*((ROUND(ROUND(Source!AO228,2)*Source!I228, 2)+ROUND(ROUND(Source!AN228,2)*Source!I228, 2))), 2)</f>
        <v>-2.71</v>
      </c>
      <c r="AE588">
        <f>ROUND((Source!AU228/100)*((ROUND(ROUND(Source!AO228,2)*Source!I228, 2)+ROUND(ROUND(Source!AN228,2)*Source!I228, 2))), 2)</f>
        <v>-1.42</v>
      </c>
      <c r="AN588">
        <f>L588</f>
        <v>-4.6900000000000004</v>
      </c>
      <c r="AO588">
        <f>L588</f>
        <v>-4.6900000000000004</v>
      </c>
      <c r="AT588">
        <f>Source!R228</f>
        <v>-2.79</v>
      </c>
      <c r="AZ588">
        <f>Source!X228</f>
        <v>-2.71</v>
      </c>
      <c r="BA588">
        <f>Source!Y228</f>
        <v>-1.42</v>
      </c>
      <c r="CD588">
        <v>2</v>
      </c>
    </row>
    <row r="589" spans="1:101" ht="63.75" x14ac:dyDescent="0.2">
      <c r="B589" s="61" t="str">
        <f>Source!EO228</f>
        <v>Поправка: 421/пр_2020_прил.10_т.5_п.1.1_гр.3</v>
      </c>
      <c r="C589" s="91" t="s">
        <v>947</v>
      </c>
      <c r="D589" s="91"/>
      <c r="E589" s="91"/>
      <c r="F589" s="91"/>
      <c r="G589" s="91"/>
      <c r="H589" s="91"/>
      <c r="I589" s="91"/>
      <c r="J589" s="91"/>
      <c r="K589" s="91"/>
      <c r="L589" s="91"/>
      <c r="CW589" s="62" t="s">
        <v>947</v>
      </c>
    </row>
    <row r="590" spans="1:101" ht="28.5" x14ac:dyDescent="0.2">
      <c r="A590" s="45"/>
      <c r="B590" s="45" t="s">
        <v>599</v>
      </c>
      <c r="C590" s="45" t="s">
        <v>829</v>
      </c>
      <c r="D590" s="46" t="s">
        <v>541</v>
      </c>
      <c r="E590" s="47">
        <f>SmtRes!DO187*SmtRes!AT187</f>
        <v>-1.2E-2</v>
      </c>
      <c r="F590" s="47">
        <f>ROUND((0.2+1),7)</f>
        <v>1.2</v>
      </c>
      <c r="G590" s="47">
        <f>ROUND(E590*F590*G576, 7)</f>
        <v>-2.8800000000000002E-3</v>
      </c>
      <c r="H590" s="49"/>
      <c r="I590" s="48"/>
      <c r="J590" s="49">
        <f>ROUND(SmtRes!AG187/SmtRes!DO187, 2)</f>
        <v>969.91</v>
      </c>
      <c r="K590" s="48"/>
      <c r="L590" s="49">
        <f>SmtRes!DH187</f>
        <v>-2.79</v>
      </c>
      <c r="CE590">
        <v>1</v>
      </c>
    </row>
    <row r="591" spans="1:101" ht="42.75" x14ac:dyDescent="0.2">
      <c r="A591" s="43" t="s">
        <v>948</v>
      </c>
      <c r="B591" s="45" t="str">
        <f>Source!F229</f>
        <v>91.14.02-001</v>
      </c>
      <c r="C591" s="45" t="s">
        <v>831</v>
      </c>
      <c r="D591" s="46" t="str">
        <f>Source!H229</f>
        <v>маш.-ч</v>
      </c>
      <c r="E591" s="47">
        <f>SmtRes!AT188</f>
        <v>-1.2E-2</v>
      </c>
      <c r="F591" s="47">
        <f>ROUND((0.2+1),7)</f>
        <v>1.2</v>
      </c>
      <c r="G591" s="47">
        <f>Source!I229</f>
        <v>-2.8800000000000002E-3</v>
      </c>
      <c r="H591" s="49"/>
      <c r="I591" s="48"/>
      <c r="J591" s="49">
        <f>Source!AK229</f>
        <v>643.29</v>
      </c>
      <c r="K591" s="48"/>
      <c r="L591" s="49">
        <f>Source!Q229</f>
        <v>-1.85</v>
      </c>
      <c r="AD591">
        <f>ROUND((Source!AT229/100)*((ROUND(ROUND(Source!AO229,2)*Source!I229, 2)+ROUND(ROUND(Source!AN229,2)*Source!I229, 2))), 2)</f>
        <v>-2.02</v>
      </c>
      <c r="AE591">
        <f>ROUND((Source!AU229/100)*((ROUND(ROUND(Source!AO229,2)*Source!I229, 2)+ROUND(ROUND(Source!AN229,2)*Source!I229, 2))), 2)</f>
        <v>-1.06</v>
      </c>
      <c r="AN591">
        <f>L591</f>
        <v>-1.85</v>
      </c>
      <c r="AO591">
        <f>L591</f>
        <v>-1.85</v>
      </c>
      <c r="AT591">
        <f>Source!R229</f>
        <v>-2.08</v>
      </c>
      <c r="AZ591">
        <f>Source!X229</f>
        <v>-2.02</v>
      </c>
      <c r="BA591">
        <f>Source!Y229</f>
        <v>-1.06</v>
      </c>
      <c r="CD591">
        <v>2</v>
      </c>
    </row>
    <row r="592" spans="1:101" ht="63.75" x14ac:dyDescent="0.2">
      <c r="B592" s="61" t="str">
        <f>Source!EO229</f>
        <v>Поправка: 421/пр_2020_прил.10_т.5_п.1.1_гр.3</v>
      </c>
      <c r="C592" s="91" t="s">
        <v>947</v>
      </c>
      <c r="D592" s="91"/>
      <c r="E592" s="91"/>
      <c r="F592" s="91"/>
      <c r="G592" s="91"/>
      <c r="H592" s="91"/>
      <c r="I592" s="91"/>
      <c r="J592" s="91"/>
      <c r="K592" s="91"/>
      <c r="L592" s="91"/>
      <c r="CW592" s="62" t="s">
        <v>947</v>
      </c>
    </row>
    <row r="593" spans="1:83" ht="28.5" x14ac:dyDescent="0.2">
      <c r="A593" s="45"/>
      <c r="B593" s="45" t="s">
        <v>600</v>
      </c>
      <c r="C593" s="45" t="s">
        <v>832</v>
      </c>
      <c r="D593" s="46" t="s">
        <v>541</v>
      </c>
      <c r="E593" s="47">
        <f>SmtRes!DO188*SmtRes!AT188</f>
        <v>-1.2E-2</v>
      </c>
      <c r="F593" s="47">
        <f>ROUND((0.2+1),7)</f>
        <v>1.2</v>
      </c>
      <c r="G593" s="47">
        <f>ROUND(E593*F593*G576, 7)</f>
        <v>-2.8800000000000002E-3</v>
      </c>
      <c r="H593" s="49"/>
      <c r="I593" s="48"/>
      <c r="J593" s="49">
        <f>ROUND(SmtRes!AG188/SmtRes!DO188, 2)</f>
        <v>722.05</v>
      </c>
      <c r="K593" s="48"/>
      <c r="L593" s="49">
        <f>SmtRes!DH188</f>
        <v>-2.08</v>
      </c>
      <c r="CE593">
        <v>1</v>
      </c>
    </row>
    <row r="594" spans="1:83" ht="14.25" x14ac:dyDescent="0.2">
      <c r="A594" s="45"/>
      <c r="B594" s="45"/>
      <c r="C594" s="45" t="s">
        <v>790</v>
      </c>
      <c r="D594" s="46"/>
      <c r="E594" s="47"/>
      <c r="F594" s="47"/>
      <c r="G594" s="47"/>
      <c r="H594" s="49"/>
      <c r="I594" s="48"/>
      <c r="J594" s="49"/>
      <c r="K594" s="48"/>
      <c r="L594" s="49">
        <f>SUM(AR576:AR597)+SUM(AS576:AS597)+SUM(AT576:AT597)+SUM(AU576:AU597)+SUM(AV576:AV597)</f>
        <v>472.87</v>
      </c>
    </row>
    <row r="595" spans="1:83" ht="28.5" x14ac:dyDescent="0.2">
      <c r="A595" s="45"/>
      <c r="B595" s="45" t="s">
        <v>52</v>
      </c>
      <c r="C595" s="45" t="s">
        <v>804</v>
      </c>
      <c r="D595" s="46" t="s">
        <v>57</v>
      </c>
      <c r="E595" s="47">
        <f>Source!BZ225</f>
        <v>97</v>
      </c>
      <c r="F595" s="47"/>
      <c r="G595" s="47">
        <f>Source!AT225</f>
        <v>97</v>
      </c>
      <c r="H595" s="49"/>
      <c r="I595" s="48"/>
      <c r="J595" s="49"/>
      <c r="K595" s="48"/>
      <c r="L595" s="49">
        <f>SUM(AZ576:AZ597)</f>
        <v>458.68</v>
      </c>
    </row>
    <row r="596" spans="1:83" ht="28.5" x14ac:dyDescent="0.2">
      <c r="A596" s="53"/>
      <c r="B596" s="53" t="s">
        <v>53</v>
      </c>
      <c r="C596" s="53" t="s">
        <v>805</v>
      </c>
      <c r="D596" s="54" t="s">
        <v>57</v>
      </c>
      <c r="E596" s="55">
        <f>Source!CA225</f>
        <v>51</v>
      </c>
      <c r="F596" s="55"/>
      <c r="G596" s="55">
        <f>Source!AU225</f>
        <v>51</v>
      </c>
      <c r="H596" s="56"/>
      <c r="I596" s="57"/>
      <c r="J596" s="56"/>
      <c r="K596" s="57"/>
      <c r="L596" s="56">
        <f>SUM(BA576:BA597)</f>
        <v>241.17000000000002</v>
      </c>
    </row>
    <row r="597" spans="1:83" ht="15" x14ac:dyDescent="0.2">
      <c r="C597" s="92" t="s">
        <v>793</v>
      </c>
      <c r="D597" s="92"/>
      <c r="E597" s="92"/>
      <c r="F597" s="92"/>
      <c r="G597" s="92"/>
      <c r="H597" s="92"/>
      <c r="I597" s="93">
        <f>IF(E576&lt;&gt;0,K597/E576, 0)</f>
        <v>13019.050000000001</v>
      </c>
      <c r="J597" s="93"/>
      <c r="K597" s="93">
        <f>L579+L581+L595+L596+SUM(L586:L593)</f>
        <v>2603.8100000000004</v>
      </c>
      <c r="L597" s="93"/>
      <c r="AD597">
        <f>ROUND((Source!AT225/100)*((ROUND(SUMIF(SmtRes!AQ185:'SmtRes'!AQ193,"=1",SmtRes!AD185:'SmtRes'!AD193)*Source!I225, 2)+ROUND(SUMIF(SmtRes!AQ185:'SmtRes'!AQ193,"=1",SmtRes!AC185:'SmtRes'!AC193)*Source!I225, 2))), 2)</f>
        <v>136.94</v>
      </c>
      <c r="AE597">
        <f>ROUND((Source!AU225/100)*((ROUND(SUMIF(SmtRes!AQ185:'SmtRes'!AQ193,"=1",SmtRes!AD185:'SmtRes'!AD193)*Source!I225, 2)+ROUND(SUMIF(SmtRes!AQ185:'SmtRes'!AQ193,"=1",SmtRes!AC185:'SmtRes'!AC193)*Source!I225, 2))), 2)</f>
        <v>72</v>
      </c>
      <c r="AN597" s="58">
        <f>L579+L581+L595+L596</f>
        <v>1198.26</v>
      </c>
      <c r="AO597">
        <f>0</f>
        <v>0</v>
      </c>
      <c r="AQ597" t="s">
        <v>794</v>
      </c>
      <c r="AR597" s="58">
        <f>L579</f>
        <v>477.74</v>
      </c>
      <c r="AT597">
        <f>0</f>
        <v>0</v>
      </c>
      <c r="AV597" t="s">
        <v>794</v>
      </c>
      <c r="AW597" s="58">
        <f>L581</f>
        <v>20.669999999999998</v>
      </c>
      <c r="AZ597">
        <f>Source!X225</f>
        <v>463.41</v>
      </c>
      <c r="BA597">
        <f>Source!Y225</f>
        <v>243.65</v>
      </c>
      <c r="CD597">
        <v>2</v>
      </c>
    </row>
    <row r="598" spans="1:83" ht="79.5" x14ac:dyDescent="0.2">
      <c r="A598" s="43" t="s">
        <v>404</v>
      </c>
      <c r="B598" s="45" t="s">
        <v>833</v>
      </c>
      <c r="C598" s="45" t="s">
        <v>949</v>
      </c>
      <c r="D598" s="46" t="str">
        <f>Source!H230</f>
        <v>100 ШТ</v>
      </c>
      <c r="E598" s="47">
        <f>Source!K230</f>
        <v>0.15</v>
      </c>
      <c r="F598" s="47"/>
      <c r="G598" s="47">
        <f>Source!I230</f>
        <v>0.15</v>
      </c>
      <c r="H598" s="49"/>
      <c r="I598" s="48"/>
      <c r="J598" s="49"/>
      <c r="K598" s="48"/>
      <c r="L598" s="49"/>
    </row>
    <row r="599" spans="1:83" ht="165.75" x14ac:dyDescent="0.2">
      <c r="B599" s="61" t="str">
        <f>Source!EO230</f>
        <v>Поправка: 421/пр_2020_прил.10_т.5_п.1.1_гр.3</v>
      </c>
      <c r="C599" s="61" t="str">
        <f>Source!CN230</f>
        <v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</row>
    <row r="600" spans="1:83" x14ac:dyDescent="0.2">
      <c r="C600" s="50" t="str">
        <f>"Объем: "&amp;Source!I230&amp;"=(15)/"&amp;"100"</f>
        <v>Объем: 0,15=(15)/100</v>
      </c>
    </row>
    <row r="601" spans="1:83" ht="15" x14ac:dyDescent="0.2">
      <c r="A601" s="44"/>
      <c r="B601" s="47">
        <v>1</v>
      </c>
      <c r="C601" s="44" t="s">
        <v>786</v>
      </c>
      <c r="D601" s="46" t="s">
        <v>541</v>
      </c>
      <c r="E601" s="51"/>
      <c r="F601" s="47"/>
      <c r="G601" s="47">
        <f>Source!U230</f>
        <v>5.4863999999999997</v>
      </c>
      <c r="H601" s="47"/>
      <c r="I601" s="47"/>
      <c r="J601" s="47"/>
      <c r="K601" s="47"/>
      <c r="L601" s="52">
        <f>SUM(L602:L602)-SUMIF(CE602:CE602, 1, L602:L602)</f>
        <v>4079.69</v>
      </c>
    </row>
    <row r="602" spans="1:83" ht="14.25" x14ac:dyDescent="0.2">
      <c r="A602" s="45"/>
      <c r="B602" s="45" t="s">
        <v>605</v>
      </c>
      <c r="C602" s="45" t="s">
        <v>606</v>
      </c>
      <c r="D602" s="46" t="s">
        <v>541</v>
      </c>
      <c r="E602" s="47">
        <v>30.48</v>
      </c>
      <c r="F602" s="47">
        <f>ROUND((0.2+1),7)</f>
        <v>1.2</v>
      </c>
      <c r="G602" s="47">
        <f>SmtRes!CX194</f>
        <v>5.4863999999999997</v>
      </c>
      <c r="H602" s="49"/>
      <c r="I602" s="48"/>
      <c r="J602" s="49">
        <f>SmtRes!CZ194</f>
        <v>743.6</v>
      </c>
      <c r="K602" s="48"/>
      <c r="L602" s="49">
        <f>SmtRes!DI194</f>
        <v>4079.69</v>
      </c>
    </row>
    <row r="603" spans="1:83" ht="15" x14ac:dyDescent="0.2">
      <c r="A603" s="44"/>
      <c r="B603" s="47">
        <v>4</v>
      </c>
      <c r="C603" s="44" t="s">
        <v>802</v>
      </c>
      <c r="D603" s="46"/>
      <c r="E603" s="51"/>
      <c r="F603" s="47"/>
      <c r="G603" s="47"/>
      <c r="H603" s="47"/>
      <c r="I603" s="47"/>
      <c r="J603" s="47"/>
      <c r="K603" s="47"/>
      <c r="L603" s="52">
        <f>SUM(L604:L607)-SUMIF(CE604:CE607, 1, L604:L607)</f>
        <v>150.16</v>
      </c>
    </row>
    <row r="604" spans="1:83" ht="71.25" x14ac:dyDescent="0.2">
      <c r="A604" s="45"/>
      <c r="B604" s="45" t="s">
        <v>562</v>
      </c>
      <c r="C604" s="45" t="s">
        <v>564</v>
      </c>
      <c r="D604" s="46" t="s">
        <v>364</v>
      </c>
      <c r="E604" s="47">
        <v>35</v>
      </c>
      <c r="F604" s="47"/>
      <c r="G604" s="47">
        <f>SmtRes!CX198</f>
        <v>5.25</v>
      </c>
      <c r="H604" s="49">
        <f>SmtRes!CZ198</f>
        <v>5.87</v>
      </c>
      <c r="I604" s="48">
        <f>SmtRes!AI198</f>
        <v>0.88</v>
      </c>
      <c r="J604" s="49">
        <f>ROUND(H604*I604, 2)</f>
        <v>5.17</v>
      </c>
      <c r="K604" s="48"/>
      <c r="L604" s="49">
        <f>SmtRes!DF198</f>
        <v>27.14</v>
      </c>
    </row>
    <row r="605" spans="1:83" ht="28.5" x14ac:dyDescent="0.2">
      <c r="A605" s="45"/>
      <c r="B605" s="45" t="s">
        <v>301</v>
      </c>
      <c r="C605" s="45" t="s">
        <v>302</v>
      </c>
      <c r="D605" s="46" t="s">
        <v>170</v>
      </c>
      <c r="E605" s="47">
        <v>1.5</v>
      </c>
      <c r="F605" s="47"/>
      <c r="G605" s="47">
        <f>SmtRes!CX199</f>
        <v>0.22500000000000001</v>
      </c>
      <c r="H605" s="49">
        <f>SmtRes!CZ199</f>
        <v>174.93</v>
      </c>
      <c r="I605" s="48">
        <f>SmtRes!AI199</f>
        <v>1.0900000000000001</v>
      </c>
      <c r="J605" s="49">
        <f>ROUND(H605*I605, 2)</f>
        <v>190.67</v>
      </c>
      <c r="K605" s="48"/>
      <c r="L605" s="49">
        <f>SmtRes!DF199</f>
        <v>42.9</v>
      </c>
    </row>
    <row r="606" spans="1:83" ht="14.25" x14ac:dyDescent="0.2">
      <c r="A606" s="45"/>
      <c r="B606" s="45" t="s">
        <v>607</v>
      </c>
      <c r="C606" s="45" t="s">
        <v>609</v>
      </c>
      <c r="D606" s="46" t="s">
        <v>165</v>
      </c>
      <c r="E606" s="47">
        <v>3.15E-3</v>
      </c>
      <c r="F606" s="47"/>
      <c r="G606" s="47">
        <f>SmtRes!CX200</f>
        <v>4.7249999999999999E-4</v>
      </c>
      <c r="H606" s="49">
        <f>SmtRes!CZ200</f>
        <v>4338.2700000000004</v>
      </c>
      <c r="I606" s="48">
        <f>SmtRes!AI200</f>
        <v>1.4</v>
      </c>
      <c r="J606" s="49">
        <f>ROUND(H606*I606, 2)</f>
        <v>6073.58</v>
      </c>
      <c r="K606" s="48"/>
      <c r="L606" s="49">
        <f>SmtRes!DF200</f>
        <v>2.87</v>
      </c>
    </row>
    <row r="607" spans="1:83" ht="28.5" x14ac:dyDescent="0.2">
      <c r="A607" s="45"/>
      <c r="B607" s="45" t="s">
        <v>610</v>
      </c>
      <c r="C607" s="53" t="s">
        <v>612</v>
      </c>
      <c r="D607" s="54" t="s">
        <v>595</v>
      </c>
      <c r="E607" s="55">
        <v>0.10199999999999999</v>
      </c>
      <c r="F607" s="55"/>
      <c r="G607" s="55">
        <f>SmtRes!CX201</f>
        <v>1.5299999999999999E-2</v>
      </c>
      <c r="H607" s="56">
        <f>SmtRes!CZ201</f>
        <v>3658.94</v>
      </c>
      <c r="I607" s="57">
        <f>SmtRes!AI201</f>
        <v>1.38</v>
      </c>
      <c r="J607" s="56">
        <f>ROUND(H607*I607, 2)</f>
        <v>5049.34</v>
      </c>
      <c r="K607" s="57"/>
      <c r="L607" s="56">
        <f>SmtRes!DF201</f>
        <v>77.25</v>
      </c>
    </row>
    <row r="608" spans="1:83" ht="15" x14ac:dyDescent="0.2">
      <c r="A608" s="45"/>
      <c r="B608" s="45"/>
      <c r="C608" s="59" t="s">
        <v>787</v>
      </c>
      <c r="D608" s="46"/>
      <c r="E608" s="47"/>
      <c r="F608" s="47"/>
      <c r="G608" s="47"/>
      <c r="H608" s="49"/>
      <c r="I608" s="48"/>
      <c r="J608" s="49"/>
      <c r="K608" s="48"/>
      <c r="L608" s="49">
        <f>L601+L603</f>
        <v>4229.8500000000004</v>
      </c>
    </row>
    <row r="609" spans="1:101" ht="71.25" x14ac:dyDescent="0.2">
      <c r="A609" s="43" t="s">
        <v>950</v>
      </c>
      <c r="B609" s="45" t="str">
        <f>Source!F231</f>
        <v>20.4.03.06-1034</v>
      </c>
      <c r="C609" s="45" t="str">
        <f>Source!G231</f>
        <v>Розетка скрытого монтажа, одноместная, с заземляющим контактом, без защитной шторки, 16 А, цвет белый, IP20 (применительно. серый)</v>
      </c>
      <c r="D609" s="46" t="str">
        <f>Source!H231</f>
        <v>ШТ</v>
      </c>
      <c r="E609" s="47">
        <f>SmtRes!AT202</f>
        <v>100</v>
      </c>
      <c r="F609" s="47"/>
      <c r="G609" s="47">
        <f>Source!I231</f>
        <v>15</v>
      </c>
      <c r="H609" s="49">
        <f>Source!AL231+Source!AO231+Source!AM231+Source!AN231</f>
        <v>74.94</v>
      </c>
      <c r="I609" s="48">
        <f>IF(Source!BC231&lt;&gt; 0, Source!BC231, 1)</f>
        <v>0.91</v>
      </c>
      <c r="J609" s="49">
        <f>ROUND(H609*I609, 2)</f>
        <v>68.2</v>
      </c>
      <c r="K609" s="48"/>
      <c r="L609" s="49">
        <f>Source!P231</f>
        <v>1023</v>
      </c>
      <c r="AD609">
        <f>ROUND((Source!AT231/100)*((ROUND(ROUND(Source!AO231,2)*Source!I231, 2)+ROUND(ROUND(Source!AN231,2)*Source!I231, 2))), 2)</f>
        <v>0</v>
      </c>
      <c r="AE609">
        <f>ROUND((Source!AU231/100)*((ROUND(ROUND(Source!AO231,2)*Source!I231, 2)+ROUND(ROUND(Source!AN231,2)*Source!I231, 2))), 2)</f>
        <v>0</v>
      </c>
      <c r="AN609">
        <f>L609</f>
        <v>1023</v>
      </c>
      <c r="AW609">
        <f>L609</f>
        <v>1023</v>
      </c>
      <c r="AZ609">
        <f>Source!X231</f>
        <v>0</v>
      </c>
      <c r="BA609">
        <f>Source!Y231</f>
        <v>0</v>
      </c>
      <c r="CD609">
        <v>2</v>
      </c>
    </row>
    <row r="610" spans="1:101" ht="57" x14ac:dyDescent="0.2">
      <c r="A610" s="43" t="s">
        <v>951</v>
      </c>
      <c r="B610" s="45" t="str">
        <f>Source!F232</f>
        <v>421/пр_2020_п.75_пп.а</v>
      </c>
      <c r="C610" s="45" t="str">
        <f>Source!G232</f>
        <v>Сметная стоимость вспомогательных ненормируемых материальных ресурсов, не учтенная в сметной норме, 2%</v>
      </c>
      <c r="D610" s="46" t="str">
        <f>Source!H232</f>
        <v>%</v>
      </c>
      <c r="E610" s="47">
        <f>SmtRes!AT203</f>
        <v>2</v>
      </c>
      <c r="F610" s="47"/>
      <c r="G610" s="47">
        <f>Source!I232</f>
        <v>2</v>
      </c>
      <c r="H610" s="49"/>
      <c r="I610" s="48"/>
      <c r="J610" s="49"/>
      <c r="K610" s="48"/>
      <c r="L610" s="49">
        <f>Source!P232</f>
        <v>67.989999999999995</v>
      </c>
      <c r="AD610">
        <f>ROUND((Source!AT232/100)*((ROUND(0*Source!I232, 2)+ROUND(0*Source!I232, 2))), 2)</f>
        <v>0</v>
      </c>
      <c r="AE610">
        <f>ROUND((Source!AU232/100)*((ROUND(0*Source!I232, 2)+ROUND(0*Source!I232, 2))), 2)</f>
        <v>0</v>
      </c>
      <c r="AN610">
        <f>L610</f>
        <v>67.989999999999995</v>
      </c>
      <c r="AW610">
        <f>L610</f>
        <v>67.989999999999995</v>
      </c>
      <c r="AZ610">
        <f>Source!X232</f>
        <v>0</v>
      </c>
      <c r="BA610">
        <f>Source!Y232</f>
        <v>0</v>
      </c>
      <c r="CD610">
        <v>2</v>
      </c>
    </row>
    <row r="611" spans="1:101" ht="42.75" x14ac:dyDescent="0.2">
      <c r="A611" s="43" t="s">
        <v>952</v>
      </c>
      <c r="B611" s="45" t="str">
        <f>Source!F233</f>
        <v>91.05.05-015</v>
      </c>
      <c r="C611" s="45" t="s">
        <v>828</v>
      </c>
      <c r="D611" s="46" t="str">
        <f>Source!H233</f>
        <v>маш.-ч</v>
      </c>
      <c r="E611" s="47">
        <f>SmtRes!AT196</f>
        <v>-3.5999999999999997E-2</v>
      </c>
      <c r="F611" s="47">
        <f>ROUND((0.2+1),7)</f>
        <v>1.2</v>
      </c>
      <c r="G611" s="47">
        <f>Source!I233</f>
        <v>-6.4800000000000005E-3</v>
      </c>
      <c r="H611" s="49"/>
      <c r="I611" s="48"/>
      <c r="J611" s="49">
        <f>Source!AK233</f>
        <v>1629.55</v>
      </c>
      <c r="K611" s="48"/>
      <c r="L611" s="49">
        <f>Source!Q233</f>
        <v>-10.56</v>
      </c>
      <c r="AD611">
        <f>ROUND((Source!AT233/100)*((ROUND(ROUND(Source!AO233,2)*Source!I233, 2)+ROUND((ROUND(Source!AN233,2)*ROUND(0,7))*Source!I233, 2))), 2)</f>
        <v>0</v>
      </c>
      <c r="AE611">
        <f>ROUND((Source!AU233/100)*((ROUND(ROUND(Source!AO233,2)*Source!I233, 2)+ROUND((ROUND(Source!AN233,2)*ROUND(0,7))*Source!I233, 2))), 2)</f>
        <v>0</v>
      </c>
      <c r="AN611">
        <f>L611</f>
        <v>-10.56</v>
      </c>
      <c r="AO611">
        <f>L611</f>
        <v>-10.56</v>
      </c>
      <c r="AT611">
        <f>Source!R233</f>
        <v>0</v>
      </c>
      <c r="AZ611">
        <f>Source!X233</f>
        <v>0</v>
      </c>
      <c r="BA611">
        <f>Source!Y233</f>
        <v>0</v>
      </c>
      <c r="CD611">
        <v>2</v>
      </c>
    </row>
    <row r="612" spans="1:101" ht="63.75" x14ac:dyDescent="0.2">
      <c r="B612" s="61" t="str">
        <f>Source!EO233</f>
        <v>Поправка: 421/пр_2020_прил.10_т.5_п.1.1_гр.3</v>
      </c>
      <c r="C612" s="91" t="s">
        <v>947</v>
      </c>
      <c r="D612" s="91"/>
      <c r="E612" s="91"/>
      <c r="F612" s="91"/>
      <c r="G612" s="91"/>
      <c r="H612" s="91"/>
      <c r="I612" s="91"/>
      <c r="J612" s="91"/>
      <c r="K612" s="91"/>
      <c r="L612" s="91"/>
      <c r="CW612" s="62" t="s">
        <v>947</v>
      </c>
    </row>
    <row r="613" spans="1:101" ht="28.5" x14ac:dyDescent="0.2">
      <c r="A613" s="45"/>
      <c r="B613" s="45" t="s">
        <v>599</v>
      </c>
      <c r="C613" s="45" t="s">
        <v>829</v>
      </c>
      <c r="D613" s="46" t="s">
        <v>541</v>
      </c>
      <c r="E613" s="47">
        <f>SmtRes!DO196*SmtRes!AT196</f>
        <v>-3.5999999999999997E-2</v>
      </c>
      <c r="F613" s="47">
        <f>ROUND((0.2+1),7)</f>
        <v>1.2</v>
      </c>
      <c r="G613" s="47">
        <f>ROUND(E613*F613*G598, 7)</f>
        <v>-6.4799999999999996E-3</v>
      </c>
      <c r="H613" s="49"/>
      <c r="I613" s="48"/>
      <c r="J613" s="49">
        <f>ROUND(SmtRes!AG196/SmtRes!DO196, 2)</f>
        <v>969.91</v>
      </c>
      <c r="K613" s="48"/>
      <c r="L613" s="49">
        <f>SmtRes!DH196</f>
        <v>-6.29</v>
      </c>
      <c r="CE613">
        <v>1</v>
      </c>
    </row>
    <row r="614" spans="1:101" ht="42.75" x14ac:dyDescent="0.2">
      <c r="A614" s="43" t="s">
        <v>953</v>
      </c>
      <c r="B614" s="45" t="str">
        <f>Source!F234</f>
        <v>91.14.02-001</v>
      </c>
      <c r="C614" s="45" t="s">
        <v>831</v>
      </c>
      <c r="D614" s="46" t="str">
        <f>Source!H234</f>
        <v>маш.-ч</v>
      </c>
      <c r="E614" s="47">
        <f>SmtRes!AT197</f>
        <v>-2.4E-2</v>
      </c>
      <c r="F614" s="47">
        <f>ROUND((0.2+1),7)</f>
        <v>1.2</v>
      </c>
      <c r="G614" s="47">
        <f>Source!I234</f>
        <v>-4.3200000000000001E-3</v>
      </c>
      <c r="H614" s="49"/>
      <c r="I614" s="48"/>
      <c r="J614" s="49">
        <f>Source!AK234</f>
        <v>643.29</v>
      </c>
      <c r="K614" s="48"/>
      <c r="L614" s="49">
        <f>Source!Q234</f>
        <v>-2.78</v>
      </c>
      <c r="AD614">
        <f>ROUND((Source!AT234/100)*((ROUND(ROUND(Source!AO234,2)*Source!I234, 2)+ROUND((ROUND(Source!AN234,2)*ROUND(0,7))*Source!I234, 2))), 2)</f>
        <v>0</v>
      </c>
      <c r="AE614">
        <f>ROUND((Source!AU234/100)*((ROUND(ROUND(Source!AO234,2)*Source!I234, 2)+ROUND((ROUND(Source!AN234,2)*ROUND(0,7))*Source!I234, 2))), 2)</f>
        <v>0</v>
      </c>
      <c r="AN614">
        <f>L614</f>
        <v>-2.78</v>
      </c>
      <c r="AO614">
        <f>L614</f>
        <v>-2.78</v>
      </c>
      <c r="AT614">
        <f>Source!R234</f>
        <v>0</v>
      </c>
      <c r="AZ614">
        <f>Source!X234</f>
        <v>0</v>
      </c>
      <c r="BA614">
        <f>Source!Y234</f>
        <v>0</v>
      </c>
      <c r="CD614">
        <v>2</v>
      </c>
    </row>
    <row r="615" spans="1:101" ht="63.75" x14ac:dyDescent="0.2">
      <c r="B615" s="61" t="str">
        <f>Source!EO234</f>
        <v>Поправка: 421/пр_2020_прил.10_т.5_п.1.1_гр.3</v>
      </c>
      <c r="C615" s="91" t="s">
        <v>947</v>
      </c>
      <c r="D615" s="91"/>
      <c r="E615" s="91"/>
      <c r="F615" s="91"/>
      <c r="G615" s="91"/>
      <c r="H615" s="91"/>
      <c r="I615" s="91"/>
      <c r="J615" s="91"/>
      <c r="K615" s="91"/>
      <c r="L615" s="91"/>
      <c r="CW615" s="62" t="s">
        <v>947</v>
      </c>
    </row>
    <row r="616" spans="1:101" ht="28.5" x14ac:dyDescent="0.2">
      <c r="A616" s="45"/>
      <c r="B616" s="45" t="s">
        <v>600</v>
      </c>
      <c r="C616" s="45" t="s">
        <v>832</v>
      </c>
      <c r="D616" s="46" t="s">
        <v>541</v>
      </c>
      <c r="E616" s="47">
        <f>SmtRes!DO197*SmtRes!AT197</f>
        <v>-2.4E-2</v>
      </c>
      <c r="F616" s="47">
        <f>ROUND((0.2+1),7)</f>
        <v>1.2</v>
      </c>
      <c r="G616" s="47">
        <f>ROUND(E616*F616*G598, 7)</f>
        <v>-4.3200000000000001E-3</v>
      </c>
      <c r="H616" s="49"/>
      <c r="I616" s="48"/>
      <c r="J616" s="49">
        <f>ROUND(SmtRes!AG197/SmtRes!DO197, 2)</f>
        <v>722.05</v>
      </c>
      <c r="K616" s="48"/>
      <c r="L616" s="49">
        <f>SmtRes!DH197</f>
        <v>-3.12</v>
      </c>
      <c r="CE616">
        <v>1</v>
      </c>
    </row>
    <row r="617" spans="1:101" ht="14.25" x14ac:dyDescent="0.2">
      <c r="A617" s="45"/>
      <c r="B617" s="45"/>
      <c r="C617" s="45" t="s">
        <v>790</v>
      </c>
      <c r="D617" s="46"/>
      <c r="E617" s="47"/>
      <c r="F617" s="47"/>
      <c r="G617" s="47"/>
      <c r="H617" s="49"/>
      <c r="I617" s="48"/>
      <c r="J617" s="49"/>
      <c r="K617" s="48"/>
      <c r="L617" s="49">
        <f>SUM(AR598:AR620)+SUM(AS598:AS620)+SUM(AT598:AT620)+SUM(AU598:AU620)+SUM(AV598:AV620)</f>
        <v>4079.69</v>
      </c>
    </row>
    <row r="618" spans="1:101" ht="28.5" x14ac:dyDescent="0.2">
      <c r="A618" s="45"/>
      <c r="B618" s="45" t="s">
        <v>52</v>
      </c>
      <c r="C618" s="45" t="s">
        <v>804</v>
      </c>
      <c r="D618" s="46" t="s">
        <v>57</v>
      </c>
      <c r="E618" s="47">
        <f>Source!BZ230</f>
        <v>97</v>
      </c>
      <c r="F618" s="47"/>
      <c r="G618" s="47">
        <f>Source!AT230</f>
        <v>97</v>
      </c>
      <c r="H618" s="49"/>
      <c r="I618" s="48"/>
      <c r="J618" s="49"/>
      <c r="K618" s="48"/>
      <c r="L618" s="49">
        <f>SUM(AZ598:AZ620)</f>
        <v>3957.3</v>
      </c>
    </row>
    <row r="619" spans="1:101" ht="28.5" x14ac:dyDescent="0.2">
      <c r="A619" s="53"/>
      <c r="B619" s="53" t="s">
        <v>53</v>
      </c>
      <c r="C619" s="53" t="s">
        <v>805</v>
      </c>
      <c r="D619" s="54" t="s">
        <v>57</v>
      </c>
      <c r="E619" s="55">
        <f>Source!CA230</f>
        <v>51</v>
      </c>
      <c r="F619" s="55"/>
      <c r="G619" s="55">
        <f>Source!AU230</f>
        <v>51</v>
      </c>
      <c r="H619" s="56"/>
      <c r="I619" s="57"/>
      <c r="J619" s="56"/>
      <c r="K619" s="57"/>
      <c r="L619" s="56">
        <f>SUM(BA598:BA620)</f>
        <v>2080.64</v>
      </c>
    </row>
    <row r="620" spans="1:101" ht="15" x14ac:dyDescent="0.2">
      <c r="C620" s="92" t="s">
        <v>793</v>
      </c>
      <c r="D620" s="92"/>
      <c r="E620" s="92"/>
      <c r="F620" s="92"/>
      <c r="G620" s="92"/>
      <c r="H620" s="92"/>
      <c r="I620" s="93">
        <f>IF(E598&lt;&gt;0,K620/E598, 0)</f>
        <v>75573.53333333334</v>
      </c>
      <c r="J620" s="93"/>
      <c r="K620" s="93">
        <f>L601+L603+L618+L619+SUM(L609:L616)</f>
        <v>11336.03</v>
      </c>
      <c r="L620" s="93"/>
      <c r="AD620">
        <f>ROUND((Source!AT230/100)*((ROUND(SUMIF(SmtRes!AQ194:'SmtRes'!AQ203,"=1",SmtRes!AD194:'SmtRes'!AD203)*Source!I230, 2)+ROUND(SUMIF(SmtRes!AQ194:'SmtRes'!AQ203,"=1",SmtRes!AC194:'SmtRes'!AC203)*Source!I230, 2))), 2)</f>
        <v>108.19</v>
      </c>
      <c r="AE620">
        <f>ROUND((Source!AU230/100)*((ROUND(SUMIF(SmtRes!AQ194:'SmtRes'!AQ203,"=1",SmtRes!AD194:'SmtRes'!AD203)*Source!I230, 2)+ROUND(SUMIF(SmtRes!AQ194:'SmtRes'!AQ203,"=1",SmtRes!AC194:'SmtRes'!AC203)*Source!I230, 2))), 2)</f>
        <v>56.89</v>
      </c>
      <c r="AN620" s="58">
        <f>L601+L603+L618+L619</f>
        <v>10267.790000000001</v>
      </c>
      <c r="AO620">
        <f>0</f>
        <v>0</v>
      </c>
      <c r="AQ620" t="s">
        <v>794</v>
      </c>
      <c r="AR620" s="58">
        <f>L601</f>
        <v>4079.69</v>
      </c>
      <c r="AT620">
        <f>0</f>
        <v>0</v>
      </c>
      <c r="AV620" t="s">
        <v>794</v>
      </c>
      <c r="AW620" s="58">
        <f>L603</f>
        <v>150.16</v>
      </c>
      <c r="AZ620">
        <f>Source!X230</f>
        <v>3957.3</v>
      </c>
      <c r="BA620">
        <f>Source!Y230</f>
        <v>2080.64</v>
      </c>
      <c r="CD620">
        <v>2</v>
      </c>
    </row>
    <row r="621" spans="1:101" ht="93.75" x14ac:dyDescent="0.2">
      <c r="A621" s="43" t="s">
        <v>410</v>
      </c>
      <c r="B621" s="45" t="s">
        <v>852</v>
      </c>
      <c r="C621" s="45" t="s">
        <v>954</v>
      </c>
      <c r="D621" s="46" t="str">
        <f>Source!H235</f>
        <v>100 ШТ</v>
      </c>
      <c r="E621" s="47">
        <f>Source!K235</f>
        <v>0.01</v>
      </c>
      <c r="F621" s="47"/>
      <c r="G621" s="47">
        <f>Source!I235</f>
        <v>0.01</v>
      </c>
      <c r="H621" s="49"/>
      <c r="I621" s="48"/>
      <c r="J621" s="49"/>
      <c r="K621" s="48"/>
      <c r="L621" s="49"/>
    </row>
    <row r="622" spans="1:101" ht="165.75" x14ac:dyDescent="0.2">
      <c r="B622" s="61" t="str">
        <f>Source!EO235</f>
        <v>Поправка: 421/пр_2020_прил.10_т.5_п.1.1_гр.3</v>
      </c>
      <c r="C622" s="61" t="str">
        <f>Source!CN235</f>
        <v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</v>
      </c>
    </row>
    <row r="623" spans="1:101" x14ac:dyDescent="0.2">
      <c r="C623" s="50" t="str">
        <f>"Объем: "&amp;Source!I235&amp;"=(1)/"&amp;"100"</f>
        <v>Объем: 0,01=(1)/100</v>
      </c>
    </row>
    <row r="624" spans="1:101" ht="15" x14ac:dyDescent="0.2">
      <c r="A624" s="44"/>
      <c r="B624" s="47">
        <v>1</v>
      </c>
      <c r="C624" s="44" t="s">
        <v>786</v>
      </c>
      <c r="D624" s="46" t="s">
        <v>541</v>
      </c>
      <c r="E624" s="51"/>
      <c r="F624" s="47"/>
      <c r="G624" s="47">
        <f>Source!U235</f>
        <v>0.30912000000000001</v>
      </c>
      <c r="H624" s="47"/>
      <c r="I624" s="47"/>
      <c r="J624" s="47"/>
      <c r="K624" s="47"/>
      <c r="L624" s="52">
        <f>SUM(L625:L625)-SUMIF(CE625:CE625, 1, L625:L625)</f>
        <v>229.86</v>
      </c>
    </row>
    <row r="625" spans="1:101" ht="14.25" x14ac:dyDescent="0.2">
      <c r="A625" s="45"/>
      <c r="B625" s="45" t="s">
        <v>605</v>
      </c>
      <c r="C625" s="45" t="s">
        <v>606</v>
      </c>
      <c r="D625" s="46" t="s">
        <v>541</v>
      </c>
      <c r="E625" s="47">
        <v>25.76</v>
      </c>
      <c r="F625" s="47">
        <f>ROUND((0.2+1),7)</f>
        <v>1.2</v>
      </c>
      <c r="G625" s="47">
        <f>SmtRes!CX204</f>
        <v>0.30912000000000001</v>
      </c>
      <c r="H625" s="49"/>
      <c r="I625" s="48"/>
      <c r="J625" s="49">
        <f>SmtRes!CZ204</f>
        <v>743.6</v>
      </c>
      <c r="K625" s="48"/>
      <c r="L625" s="49">
        <f>SmtRes!DI204</f>
        <v>229.86</v>
      </c>
    </row>
    <row r="626" spans="1:101" ht="15" x14ac:dyDescent="0.2">
      <c r="A626" s="44"/>
      <c r="B626" s="47">
        <v>4</v>
      </c>
      <c r="C626" s="44" t="s">
        <v>802</v>
      </c>
      <c r="D626" s="46"/>
      <c r="E626" s="51"/>
      <c r="F626" s="47"/>
      <c r="G626" s="47"/>
      <c r="H626" s="47"/>
      <c r="I626" s="47"/>
      <c r="J626" s="47"/>
      <c r="K626" s="47"/>
      <c r="L626" s="52">
        <f>SUM(L627:L628)-SUMIF(CE627:CE628, 1, L627:L628)</f>
        <v>5.3400000000000007</v>
      </c>
    </row>
    <row r="627" spans="1:101" ht="14.25" x14ac:dyDescent="0.2">
      <c r="A627" s="45"/>
      <c r="B627" s="45" t="s">
        <v>607</v>
      </c>
      <c r="C627" s="45" t="s">
        <v>609</v>
      </c>
      <c r="D627" s="46" t="s">
        <v>165</v>
      </c>
      <c r="E627" s="47">
        <v>3.15E-3</v>
      </c>
      <c r="F627" s="47"/>
      <c r="G627" s="47">
        <f>SmtRes!CX208</f>
        <v>3.15E-5</v>
      </c>
      <c r="H627" s="49">
        <f>SmtRes!CZ208</f>
        <v>4338.2700000000004</v>
      </c>
      <c r="I627" s="48">
        <f>SmtRes!AI208</f>
        <v>1.4</v>
      </c>
      <c r="J627" s="49">
        <f>ROUND(H627*I627, 2)</f>
        <v>6073.58</v>
      </c>
      <c r="K627" s="48"/>
      <c r="L627" s="49">
        <f>SmtRes!DF208</f>
        <v>0.19</v>
      </c>
    </row>
    <row r="628" spans="1:101" ht="28.5" x14ac:dyDescent="0.2">
      <c r="A628" s="45"/>
      <c r="B628" s="45" t="s">
        <v>610</v>
      </c>
      <c r="C628" s="53" t="s">
        <v>612</v>
      </c>
      <c r="D628" s="54" t="s">
        <v>595</v>
      </c>
      <c r="E628" s="55">
        <v>0.10199999999999999</v>
      </c>
      <c r="F628" s="55"/>
      <c r="G628" s="55">
        <f>SmtRes!CX209</f>
        <v>1.0200000000000001E-3</v>
      </c>
      <c r="H628" s="56">
        <f>SmtRes!CZ209</f>
        <v>3658.94</v>
      </c>
      <c r="I628" s="57">
        <f>SmtRes!AI209</f>
        <v>1.38</v>
      </c>
      <c r="J628" s="56">
        <f>ROUND(H628*I628, 2)</f>
        <v>5049.34</v>
      </c>
      <c r="K628" s="57"/>
      <c r="L628" s="56">
        <f>SmtRes!DF209</f>
        <v>5.15</v>
      </c>
    </row>
    <row r="629" spans="1:101" ht="15" x14ac:dyDescent="0.2">
      <c r="A629" s="45"/>
      <c r="B629" s="45"/>
      <c r="C629" s="59" t="s">
        <v>787</v>
      </c>
      <c r="D629" s="46"/>
      <c r="E629" s="47"/>
      <c r="F629" s="47"/>
      <c r="G629" s="47"/>
      <c r="H629" s="49"/>
      <c r="I629" s="48"/>
      <c r="J629" s="49"/>
      <c r="K629" s="48"/>
      <c r="L629" s="49">
        <f>L624+L626</f>
        <v>235.20000000000002</v>
      </c>
    </row>
    <row r="630" spans="1:101" ht="57" x14ac:dyDescent="0.2">
      <c r="A630" s="43" t="s">
        <v>955</v>
      </c>
      <c r="B630" s="45" t="str">
        <f>Source!F236</f>
        <v>421/пр_2020_п.75_пп.а</v>
      </c>
      <c r="C630" s="45" t="str">
        <f>Source!G236</f>
        <v>Сметная стоимость вспомогательных ненормируемых материальных ресурсов, не учтенная в сметной норме, 2%</v>
      </c>
      <c r="D630" s="46" t="str">
        <f>Source!H236</f>
        <v>%</v>
      </c>
      <c r="E630" s="47">
        <f>SmtRes!AT211</f>
        <v>2</v>
      </c>
      <c r="F630" s="47"/>
      <c r="G630" s="47">
        <f>Source!I236</f>
        <v>2</v>
      </c>
      <c r="H630" s="49"/>
      <c r="I630" s="48"/>
      <c r="J630" s="49"/>
      <c r="K630" s="48"/>
      <c r="L630" s="49">
        <f>Source!P236</f>
        <v>3.83</v>
      </c>
      <c r="AD630">
        <f>ROUND((Source!AT236/100)*((ROUND(0*Source!I236, 2)+ROUND(0*Source!I236, 2))), 2)</f>
        <v>0</v>
      </c>
      <c r="AE630">
        <f>ROUND((Source!AU236/100)*((ROUND(0*Source!I236, 2)+ROUND(0*Source!I236, 2))), 2)</f>
        <v>0</v>
      </c>
      <c r="AN630">
        <f>L630</f>
        <v>3.83</v>
      </c>
      <c r="AW630">
        <f>L630</f>
        <v>3.83</v>
      </c>
      <c r="AZ630">
        <f>Source!X236</f>
        <v>0</v>
      </c>
      <c r="BA630">
        <f>Source!Y236</f>
        <v>0</v>
      </c>
      <c r="CD630">
        <v>2</v>
      </c>
    </row>
    <row r="631" spans="1:101" ht="42.75" x14ac:dyDescent="0.2">
      <c r="A631" s="43" t="s">
        <v>956</v>
      </c>
      <c r="B631" s="45" t="str">
        <f>Source!F237</f>
        <v>20.4.01.02-1023</v>
      </c>
      <c r="C631" s="45" t="str">
        <f>Source!G237</f>
        <v>Выключатель скрытого монтажа, одноклавишный, 10 А, цвет белый, IP20</v>
      </c>
      <c r="D631" s="46" t="str">
        <f>Source!H237</f>
        <v>ШТ</v>
      </c>
      <c r="E631" s="47">
        <f>SmtRes!AT210</f>
        <v>100</v>
      </c>
      <c r="F631" s="47"/>
      <c r="G631" s="47">
        <f>Source!I237</f>
        <v>1</v>
      </c>
      <c r="H631" s="49"/>
      <c r="I631" s="48"/>
      <c r="J631" s="49">
        <f>Source!AK237</f>
        <v>53.22</v>
      </c>
      <c r="K631" s="48"/>
      <c r="L631" s="49">
        <f>Source!P237</f>
        <v>53.22</v>
      </c>
      <c r="AD631">
        <f>ROUND((Source!AT237/100)*((ROUND(ROUND(Source!AO237,2)*Source!I237, 2)+ROUND(ROUND(Source!AN237,2)*Source!I237, 2))), 2)</f>
        <v>0</v>
      </c>
      <c r="AE631">
        <f>ROUND((Source!AU237/100)*((ROUND(ROUND(Source!AO237,2)*Source!I237, 2)+ROUND(ROUND(Source!AN237,2)*Source!I237, 2))), 2)</f>
        <v>0</v>
      </c>
      <c r="AN631">
        <f>L631</f>
        <v>53.22</v>
      </c>
      <c r="AW631">
        <f>L631</f>
        <v>53.22</v>
      </c>
      <c r="AZ631">
        <f>Source!X237</f>
        <v>0</v>
      </c>
      <c r="BA631">
        <f>Source!Y237</f>
        <v>0</v>
      </c>
      <c r="CD631">
        <v>2</v>
      </c>
    </row>
    <row r="632" spans="1:101" ht="42.75" x14ac:dyDescent="0.2">
      <c r="A632" s="43" t="s">
        <v>957</v>
      </c>
      <c r="B632" s="45" t="str">
        <f>Source!F238</f>
        <v>91.05.05-015</v>
      </c>
      <c r="C632" s="45" t="s">
        <v>828</v>
      </c>
      <c r="D632" s="46" t="str">
        <f>Source!H238</f>
        <v>маш.-ч</v>
      </c>
      <c r="E632" s="47">
        <f>SmtRes!AT206</f>
        <v>-3.5999999999999997E-2</v>
      </c>
      <c r="F632" s="47">
        <f>ROUND((0.2+1),7)</f>
        <v>1.2</v>
      </c>
      <c r="G632" s="47">
        <f>Source!I238</f>
        <v>-4.3199999999999998E-4</v>
      </c>
      <c r="H632" s="49"/>
      <c r="I632" s="48"/>
      <c r="J632" s="49">
        <f>Source!AK238</f>
        <v>1629.55</v>
      </c>
      <c r="K632" s="48"/>
      <c r="L632" s="49">
        <f>Source!Q238</f>
        <v>-0.7</v>
      </c>
      <c r="AD632">
        <f>ROUND((Source!AT238/100)*((ROUND(ROUND(Source!AO238,2)*Source!I238, 2)+ROUND(ROUND(Source!AN238,2)*Source!I238, 2))), 2)</f>
        <v>-0.41</v>
      </c>
      <c r="AE632">
        <f>ROUND((Source!AU238/100)*((ROUND(ROUND(Source!AO238,2)*Source!I238, 2)+ROUND(ROUND(Source!AN238,2)*Source!I238, 2))), 2)</f>
        <v>-0.21</v>
      </c>
      <c r="AN632">
        <f>L632</f>
        <v>-0.7</v>
      </c>
      <c r="AO632">
        <f>L632</f>
        <v>-0.7</v>
      </c>
      <c r="AT632">
        <f>Source!R238</f>
        <v>-0.42</v>
      </c>
      <c r="AZ632">
        <f>Source!X238</f>
        <v>-0.41</v>
      </c>
      <c r="BA632">
        <f>Source!Y238</f>
        <v>-0.21</v>
      </c>
      <c r="CD632">
        <v>2</v>
      </c>
    </row>
    <row r="633" spans="1:101" ht="63.75" x14ac:dyDescent="0.2">
      <c r="B633" s="61" t="str">
        <f>Source!EO238</f>
        <v>Поправка: 421/пр_2020_прил.10_т.5_п.1.1_гр.3</v>
      </c>
      <c r="C633" s="91" t="s">
        <v>947</v>
      </c>
      <c r="D633" s="91"/>
      <c r="E633" s="91"/>
      <c r="F633" s="91"/>
      <c r="G633" s="91"/>
      <c r="H633" s="91"/>
      <c r="I633" s="91"/>
      <c r="J633" s="91"/>
      <c r="K633" s="91"/>
      <c r="L633" s="91"/>
      <c r="CW633" s="62" t="s">
        <v>947</v>
      </c>
    </row>
    <row r="634" spans="1:101" ht="28.5" x14ac:dyDescent="0.2">
      <c r="A634" s="45"/>
      <c r="B634" s="45" t="s">
        <v>599</v>
      </c>
      <c r="C634" s="45" t="s">
        <v>829</v>
      </c>
      <c r="D634" s="46" t="s">
        <v>541</v>
      </c>
      <c r="E634" s="47">
        <f>SmtRes!DO206*SmtRes!AT206</f>
        <v>-3.5999999999999997E-2</v>
      </c>
      <c r="F634" s="47">
        <f>ROUND((0.2+1),7)</f>
        <v>1.2</v>
      </c>
      <c r="G634" s="47">
        <f>ROUND(E634*F634*G621, 7)</f>
        <v>-4.3199999999999998E-4</v>
      </c>
      <c r="H634" s="49"/>
      <c r="I634" s="48"/>
      <c r="J634" s="49">
        <f>ROUND(SmtRes!AG206/SmtRes!DO206, 2)</f>
        <v>969.91</v>
      </c>
      <c r="K634" s="48"/>
      <c r="L634" s="49">
        <f>SmtRes!DH206</f>
        <v>-0.42</v>
      </c>
      <c r="CE634">
        <v>1</v>
      </c>
    </row>
    <row r="635" spans="1:101" ht="42.75" x14ac:dyDescent="0.2">
      <c r="A635" s="43" t="s">
        <v>958</v>
      </c>
      <c r="B635" s="45" t="str">
        <f>Source!F239</f>
        <v>91.14.02-001</v>
      </c>
      <c r="C635" s="45" t="s">
        <v>831</v>
      </c>
      <c r="D635" s="46" t="str">
        <f>Source!H239</f>
        <v>маш.-ч</v>
      </c>
      <c r="E635" s="47">
        <f>SmtRes!AT207</f>
        <v>-2.4E-2</v>
      </c>
      <c r="F635" s="47">
        <f>ROUND((0.2+1),7)</f>
        <v>1.2</v>
      </c>
      <c r="G635" s="47">
        <f>Source!I239</f>
        <v>-2.8800000000000001E-4</v>
      </c>
      <c r="H635" s="49"/>
      <c r="I635" s="48"/>
      <c r="J635" s="49">
        <f>Source!AK239</f>
        <v>643.29</v>
      </c>
      <c r="K635" s="48"/>
      <c r="L635" s="49">
        <f>Source!Q239</f>
        <v>-0.19</v>
      </c>
      <c r="AD635">
        <f>ROUND((Source!AT239/100)*((ROUND(ROUND(Source!AO239,2)*Source!I239, 2)+ROUND(ROUND(Source!AN239,2)*Source!I239, 2))), 2)</f>
        <v>-0.2</v>
      </c>
      <c r="AE635">
        <f>ROUND((Source!AU239/100)*((ROUND(ROUND(Source!AO239,2)*Source!I239, 2)+ROUND(ROUND(Source!AN239,2)*Source!I239, 2))), 2)</f>
        <v>-0.11</v>
      </c>
      <c r="AN635">
        <f>L635</f>
        <v>-0.19</v>
      </c>
      <c r="AO635">
        <f>L635</f>
        <v>-0.19</v>
      </c>
      <c r="AT635">
        <f>Source!R239</f>
        <v>-0.21</v>
      </c>
      <c r="AZ635">
        <f>Source!X239</f>
        <v>-0.2</v>
      </c>
      <c r="BA635">
        <f>Source!Y239</f>
        <v>-0.11</v>
      </c>
      <c r="CD635">
        <v>2</v>
      </c>
    </row>
    <row r="636" spans="1:101" ht="63.75" x14ac:dyDescent="0.2">
      <c r="B636" s="61" t="str">
        <f>Source!EO239</f>
        <v>Поправка: 421/пр_2020_прил.10_т.5_п.1.1_гр.3</v>
      </c>
      <c r="C636" s="91" t="s">
        <v>947</v>
      </c>
      <c r="D636" s="91"/>
      <c r="E636" s="91"/>
      <c r="F636" s="91"/>
      <c r="G636" s="91"/>
      <c r="H636" s="91"/>
      <c r="I636" s="91"/>
      <c r="J636" s="91"/>
      <c r="K636" s="91"/>
      <c r="L636" s="91"/>
      <c r="CW636" s="62" t="s">
        <v>947</v>
      </c>
    </row>
    <row r="637" spans="1:101" ht="28.5" x14ac:dyDescent="0.2">
      <c r="A637" s="45"/>
      <c r="B637" s="45" t="s">
        <v>600</v>
      </c>
      <c r="C637" s="45" t="s">
        <v>832</v>
      </c>
      <c r="D637" s="46" t="s">
        <v>541</v>
      </c>
      <c r="E637" s="47">
        <f>SmtRes!DO207*SmtRes!AT207</f>
        <v>-2.4E-2</v>
      </c>
      <c r="F637" s="47">
        <f>ROUND((0.2+1),7)</f>
        <v>1.2</v>
      </c>
      <c r="G637" s="47">
        <f>ROUND(E637*F637*G621, 7)</f>
        <v>-2.8800000000000001E-4</v>
      </c>
      <c r="H637" s="49"/>
      <c r="I637" s="48"/>
      <c r="J637" s="49">
        <f>ROUND(SmtRes!AG207/SmtRes!DO207, 2)</f>
        <v>722.05</v>
      </c>
      <c r="K637" s="48"/>
      <c r="L637" s="49">
        <f>SmtRes!DH207</f>
        <v>-0.21</v>
      </c>
      <c r="CE637">
        <v>1</v>
      </c>
    </row>
    <row r="638" spans="1:101" ht="14.25" x14ac:dyDescent="0.2">
      <c r="A638" s="45"/>
      <c r="B638" s="45"/>
      <c r="C638" s="45" t="s">
        <v>790</v>
      </c>
      <c r="D638" s="46"/>
      <c r="E638" s="47"/>
      <c r="F638" s="47"/>
      <c r="G638" s="47"/>
      <c r="H638" s="49"/>
      <c r="I638" s="48"/>
      <c r="J638" s="49"/>
      <c r="K638" s="48"/>
      <c r="L638" s="49">
        <f>SUM(AR621:AR641)+SUM(AS621:AS641)+SUM(AT621:AT641)+SUM(AU621:AU641)+SUM(AV621:AV641)</f>
        <v>229.23000000000002</v>
      </c>
    </row>
    <row r="639" spans="1:101" ht="28.5" x14ac:dyDescent="0.2">
      <c r="A639" s="45"/>
      <c r="B639" s="45" t="s">
        <v>52</v>
      </c>
      <c r="C639" s="45" t="s">
        <v>804</v>
      </c>
      <c r="D639" s="46" t="s">
        <v>57</v>
      </c>
      <c r="E639" s="47">
        <f>Source!BZ235</f>
        <v>97</v>
      </c>
      <c r="F639" s="47"/>
      <c r="G639" s="47">
        <f>Source!AT235</f>
        <v>97</v>
      </c>
      <c r="H639" s="49"/>
      <c r="I639" s="48"/>
      <c r="J639" s="49"/>
      <c r="K639" s="48"/>
      <c r="L639" s="49">
        <f>SUM(AZ621:AZ641)</f>
        <v>222.35</v>
      </c>
    </row>
    <row r="640" spans="1:101" ht="28.5" x14ac:dyDescent="0.2">
      <c r="A640" s="53"/>
      <c r="B640" s="53" t="s">
        <v>53</v>
      </c>
      <c r="C640" s="53" t="s">
        <v>805</v>
      </c>
      <c r="D640" s="54" t="s">
        <v>57</v>
      </c>
      <c r="E640" s="55">
        <f>Source!CA235</f>
        <v>51</v>
      </c>
      <c r="F640" s="55"/>
      <c r="G640" s="55">
        <f>Source!AU235</f>
        <v>51</v>
      </c>
      <c r="H640" s="56"/>
      <c r="I640" s="57"/>
      <c r="J640" s="56"/>
      <c r="K640" s="57"/>
      <c r="L640" s="56">
        <f>SUM(BA621:BA641)</f>
        <v>116.91000000000001</v>
      </c>
    </row>
    <row r="641" spans="1:101" ht="15" x14ac:dyDescent="0.2">
      <c r="C641" s="92" t="s">
        <v>793</v>
      </c>
      <c r="D641" s="92"/>
      <c r="E641" s="92"/>
      <c r="F641" s="92"/>
      <c r="G641" s="92"/>
      <c r="H641" s="92"/>
      <c r="I641" s="93">
        <f>IF(E621&lt;&gt;0,K641/E621, 0)</f>
        <v>62999</v>
      </c>
      <c r="J641" s="93"/>
      <c r="K641" s="93">
        <f>L624+L626+L639+L640+SUM(L630:L637)</f>
        <v>629.99</v>
      </c>
      <c r="L641" s="93"/>
      <c r="AD641">
        <f>ROUND((Source!AT235/100)*((ROUND(SUMIF(SmtRes!AQ204:'SmtRes'!AQ211,"=1",SmtRes!AD204:'SmtRes'!AD211)*Source!I235, 2)+ROUND(SUMIF(SmtRes!AQ204:'SmtRes'!AQ211,"=1",SmtRes!AC204:'SmtRes'!AC211)*Source!I235, 2))), 2)</f>
        <v>7.22</v>
      </c>
      <c r="AE641">
        <f>ROUND((Source!AU235/100)*((ROUND(SUMIF(SmtRes!AQ204:'SmtRes'!AQ211,"=1",SmtRes!AD204:'SmtRes'!AD211)*Source!I235, 2)+ROUND(SUMIF(SmtRes!AQ204:'SmtRes'!AQ211,"=1",SmtRes!AC204:'SmtRes'!AC211)*Source!I235, 2))), 2)</f>
        <v>3.79</v>
      </c>
      <c r="AN641" s="58">
        <f>L624+L626+L639+L640</f>
        <v>574.46</v>
      </c>
      <c r="AO641">
        <f>0</f>
        <v>0</v>
      </c>
      <c r="AQ641" t="s">
        <v>794</v>
      </c>
      <c r="AR641" s="58">
        <f>L624</f>
        <v>229.86</v>
      </c>
      <c r="AT641">
        <f>0</f>
        <v>0</v>
      </c>
      <c r="AV641" t="s">
        <v>794</v>
      </c>
      <c r="AW641" s="58">
        <f>L626</f>
        <v>5.3400000000000007</v>
      </c>
      <c r="AZ641">
        <f>Source!X235</f>
        <v>222.96</v>
      </c>
      <c r="BA641">
        <f>Source!Y235</f>
        <v>117.23</v>
      </c>
      <c r="CD641">
        <v>2</v>
      </c>
    </row>
    <row r="642" spans="1:101" ht="57" x14ac:dyDescent="0.2">
      <c r="A642" s="43" t="s">
        <v>415</v>
      </c>
      <c r="B642" s="45" t="s">
        <v>959</v>
      </c>
      <c r="C642" s="45" t="str">
        <f>Source!G240</f>
        <v>Покрытие поверхностей грунтовкой глубокого проникновения: за 2 раза стен (огрунтовка кабель-канала 120*40 l=30 м)</v>
      </c>
      <c r="D642" s="46" t="str">
        <f>Source!H240</f>
        <v>100 м2</v>
      </c>
      <c r="E642" s="47">
        <f>Source!K240</f>
        <v>0.06</v>
      </c>
      <c r="F642" s="47"/>
      <c r="G642" s="47">
        <f>Source!I240</f>
        <v>0.06</v>
      </c>
      <c r="H642" s="49"/>
      <c r="I642" s="48"/>
      <c r="J642" s="49"/>
      <c r="K642" s="48"/>
      <c r="L642" s="49"/>
    </row>
    <row r="643" spans="1:101" ht="51" x14ac:dyDescent="0.2">
      <c r="B643" s="61" t="s">
        <v>705</v>
      </c>
      <c r="C643" s="91" t="s">
        <v>960</v>
      </c>
      <c r="D643" s="91"/>
      <c r="E643" s="91"/>
      <c r="F643" s="91"/>
      <c r="G643" s="91"/>
      <c r="H643" s="91"/>
      <c r="I643" s="91"/>
      <c r="J643" s="91"/>
      <c r="K643" s="91"/>
      <c r="L643" s="91"/>
      <c r="CW643" s="62" t="s">
        <v>960</v>
      </c>
    </row>
    <row r="644" spans="1:101" ht="51" x14ac:dyDescent="0.2">
      <c r="B644" s="61" t="s">
        <v>709</v>
      </c>
      <c r="C644" s="91" t="s">
        <v>961</v>
      </c>
      <c r="D644" s="91"/>
      <c r="E644" s="91"/>
      <c r="F644" s="91"/>
      <c r="G644" s="91"/>
      <c r="H644" s="91"/>
      <c r="I644" s="91"/>
      <c r="J644" s="91"/>
      <c r="K644" s="91"/>
      <c r="L644" s="91"/>
      <c r="CW644" s="62" t="s">
        <v>961</v>
      </c>
    </row>
    <row r="645" spans="1:101" ht="63.75" x14ac:dyDescent="0.2">
      <c r="C645" s="94" t="s">
        <v>962</v>
      </c>
      <c r="D645" s="94"/>
      <c r="E645" s="94"/>
      <c r="F645" s="94"/>
      <c r="CW645" s="68" t="s">
        <v>962</v>
      </c>
    </row>
    <row r="646" spans="1:101" x14ac:dyDescent="0.2">
      <c r="C646" s="50" t="str">
        <f>"Объем: "&amp;Source!I240&amp;"=((0,04+"&amp;"0,12+"&amp;"0,04)*"&amp;"30)/"&amp;"100"</f>
        <v>Объем: 0,06=((0,04+0,12+0,04)*30)/100</v>
      </c>
    </row>
    <row r="647" spans="1:101" ht="15" x14ac:dyDescent="0.2">
      <c r="A647" s="44"/>
      <c r="B647" s="47">
        <v>1</v>
      </c>
      <c r="C647" s="44" t="s">
        <v>786</v>
      </c>
      <c r="D647" s="46" t="s">
        <v>541</v>
      </c>
      <c r="E647" s="51"/>
      <c r="F647" s="47"/>
      <c r="G647" s="47">
        <f>Source!U240</f>
        <v>1.3512960000000001</v>
      </c>
      <c r="H647" s="47"/>
      <c r="I647" s="47"/>
      <c r="J647" s="47"/>
      <c r="K647" s="47"/>
      <c r="L647" s="52">
        <f>SUM(L648:L648)-SUMIF(CE648:CE648, 1, L648:L648)</f>
        <v>975.7</v>
      </c>
    </row>
    <row r="648" spans="1:101" ht="14.25" x14ac:dyDescent="0.2">
      <c r="A648" s="45"/>
      <c r="B648" s="45" t="s">
        <v>613</v>
      </c>
      <c r="C648" s="45" t="s">
        <v>614</v>
      </c>
      <c r="D648" s="46" t="s">
        <v>541</v>
      </c>
      <c r="E648" s="47">
        <v>16.32</v>
      </c>
      <c r="F648" s="47">
        <f>ROUND((0.2+1)*1.15,7)</f>
        <v>1.38</v>
      </c>
      <c r="G648" s="47">
        <f>SmtRes!CX212</f>
        <v>1.3512960000000001</v>
      </c>
      <c r="H648" s="49"/>
      <c r="I648" s="48"/>
      <c r="J648" s="49">
        <f>SmtRes!CZ212</f>
        <v>722.05</v>
      </c>
      <c r="K648" s="48"/>
      <c r="L648" s="49">
        <f>SmtRes!DI212</f>
        <v>975.7</v>
      </c>
    </row>
    <row r="649" spans="1:101" ht="15" x14ac:dyDescent="0.2">
      <c r="A649" s="44"/>
      <c r="B649" s="47">
        <v>2</v>
      </c>
      <c r="C649" s="44" t="s">
        <v>800</v>
      </c>
      <c r="D649" s="46"/>
      <c r="E649" s="51"/>
      <c r="F649" s="47"/>
      <c r="G649" s="47"/>
      <c r="H649" s="47"/>
      <c r="I649" s="47"/>
      <c r="J649" s="47"/>
      <c r="K649" s="47"/>
      <c r="L649" s="52">
        <f>SUM(L650:L654)-SUMIF(CE650:CE654, 1, L650:L654)</f>
        <v>1.21</v>
      </c>
    </row>
    <row r="650" spans="1:101" ht="15" x14ac:dyDescent="0.2">
      <c r="A650" s="44"/>
      <c r="B650" s="47"/>
      <c r="C650" s="44" t="s">
        <v>801</v>
      </c>
      <c r="D650" s="46" t="s">
        <v>541</v>
      </c>
      <c r="E650" s="51"/>
      <c r="F650" s="47"/>
      <c r="G650" s="47">
        <f>Source!V240</f>
        <v>2.7000000000000001E-3</v>
      </c>
      <c r="H650" s="47"/>
      <c r="I650" s="47"/>
      <c r="J650" s="47"/>
      <c r="K650" s="47"/>
      <c r="L650" s="52">
        <f>SUMIF(CE651:CE654, 1, L651:L654)</f>
        <v>1.88</v>
      </c>
      <c r="CE650">
        <v>1</v>
      </c>
    </row>
    <row r="651" spans="1:101" ht="42.75" x14ac:dyDescent="0.2">
      <c r="A651" s="45"/>
      <c r="B651" s="45" t="s">
        <v>27</v>
      </c>
      <c r="C651" s="45" t="s">
        <v>28</v>
      </c>
      <c r="D651" s="46" t="s">
        <v>29</v>
      </c>
      <c r="E651" s="47">
        <v>0.01</v>
      </c>
      <c r="F651" s="47">
        <f>ROUND((0.2+1)*1.25,7)</f>
        <v>1.5</v>
      </c>
      <c r="G651" s="47">
        <f>SmtRes!CX214</f>
        <v>8.9999999999999998E-4</v>
      </c>
      <c r="H651" s="49">
        <f>SmtRes!CZ214</f>
        <v>37.32</v>
      </c>
      <c r="I651" s="48">
        <f>SmtRes!AJ214</f>
        <v>1.54</v>
      </c>
      <c r="J651" s="49">
        <f>ROUND(H651*I651, 2)</f>
        <v>57.47</v>
      </c>
      <c r="K651" s="48"/>
      <c r="L651" s="49">
        <f>SmtRes!DG214</f>
        <v>0.05</v>
      </c>
    </row>
    <row r="652" spans="1:101" ht="28.5" x14ac:dyDescent="0.2">
      <c r="A652" s="45"/>
      <c r="B652" s="45" t="s">
        <v>544</v>
      </c>
      <c r="C652" s="45" t="s">
        <v>789</v>
      </c>
      <c r="D652" s="46" t="s">
        <v>541</v>
      </c>
      <c r="E652" s="47">
        <f>SmtRes!DO214*SmtRes!AT214</f>
        <v>0.01</v>
      </c>
      <c r="F652" s="47">
        <f>ROUND((0.2+1)*1.25,7)</f>
        <v>1.5</v>
      </c>
      <c r="G652" s="47">
        <f>ROUND(E652*F652*G642, 7)</f>
        <v>8.9999999999999998E-4</v>
      </c>
      <c r="H652" s="49"/>
      <c r="I652" s="48"/>
      <c r="J652" s="49">
        <f>ROUND(SmtRes!AG214/SmtRes!DO214, 2)</f>
        <v>641.22</v>
      </c>
      <c r="K652" s="48"/>
      <c r="L652" s="49">
        <f>SmtRes!DH214</f>
        <v>0.57999999999999996</v>
      </c>
      <c r="CE652">
        <v>1</v>
      </c>
    </row>
    <row r="653" spans="1:101" ht="28.5" x14ac:dyDescent="0.2">
      <c r="A653" s="45"/>
      <c r="B653" s="45" t="s">
        <v>127</v>
      </c>
      <c r="C653" s="45" t="s">
        <v>128</v>
      </c>
      <c r="D653" s="46" t="s">
        <v>29</v>
      </c>
      <c r="E653" s="47">
        <v>0.02</v>
      </c>
      <c r="F653" s="47">
        <f>ROUND((0.2+1)*1.25,7)</f>
        <v>1.5</v>
      </c>
      <c r="G653" s="47">
        <f>SmtRes!CX215</f>
        <v>1.8E-3</v>
      </c>
      <c r="H653" s="49"/>
      <c r="I653" s="48"/>
      <c r="J653" s="49">
        <f>SmtRes!CZ215</f>
        <v>643.29</v>
      </c>
      <c r="K653" s="48"/>
      <c r="L653" s="49">
        <f>SmtRes!DG215</f>
        <v>1.1599999999999999</v>
      </c>
    </row>
    <row r="654" spans="1:101" ht="28.5" x14ac:dyDescent="0.2">
      <c r="A654" s="45"/>
      <c r="B654" s="45" t="s">
        <v>600</v>
      </c>
      <c r="C654" s="45" t="s">
        <v>832</v>
      </c>
      <c r="D654" s="46" t="s">
        <v>541</v>
      </c>
      <c r="E654" s="47">
        <f>SmtRes!DO215*SmtRes!AT215</f>
        <v>0.02</v>
      </c>
      <c r="F654" s="47">
        <f>ROUND((0.2+1)*1.25,7)</f>
        <v>1.5</v>
      </c>
      <c r="G654" s="47">
        <f>ROUND(E654*F654*G642, 7)</f>
        <v>1.8E-3</v>
      </c>
      <c r="H654" s="49"/>
      <c r="I654" s="48"/>
      <c r="J654" s="49">
        <f>ROUND(SmtRes!AG215/SmtRes!DO215, 2)</f>
        <v>722.05</v>
      </c>
      <c r="K654" s="48"/>
      <c r="L654" s="49">
        <f>SmtRes!DH215</f>
        <v>1.3</v>
      </c>
      <c r="CE654">
        <v>1</v>
      </c>
    </row>
    <row r="655" spans="1:101" ht="15" x14ac:dyDescent="0.2">
      <c r="A655" s="44"/>
      <c r="B655" s="47">
        <v>4</v>
      </c>
      <c r="C655" s="44" t="s">
        <v>802</v>
      </c>
      <c r="D655" s="46"/>
      <c r="E655" s="51"/>
      <c r="F655" s="47"/>
      <c r="G655" s="47"/>
      <c r="H655" s="47"/>
      <c r="I655" s="47"/>
      <c r="J655" s="47"/>
      <c r="K655" s="47"/>
      <c r="L655" s="52">
        <f>SUM(L656:L656)-SUMIF(CE656:CE656, 1, L656:L656)</f>
        <v>1.04</v>
      </c>
    </row>
    <row r="656" spans="1:101" ht="14.25" x14ac:dyDescent="0.2">
      <c r="A656" s="45"/>
      <c r="B656" s="45" t="s">
        <v>669</v>
      </c>
      <c r="C656" s="45" t="s">
        <v>671</v>
      </c>
      <c r="D656" s="46" t="s">
        <v>170</v>
      </c>
      <c r="E656" s="47">
        <v>0.2</v>
      </c>
      <c r="F656" s="47"/>
      <c r="G656" s="47">
        <f>SmtRes!CX216</f>
        <v>1.2E-2</v>
      </c>
      <c r="H656" s="49">
        <f>SmtRes!CZ216</f>
        <v>56.11</v>
      </c>
      <c r="I656" s="48">
        <f>SmtRes!AI216</f>
        <v>1.54</v>
      </c>
      <c r="J656" s="49">
        <f>ROUND(H656*I656, 2)</f>
        <v>86.41</v>
      </c>
      <c r="K656" s="48"/>
      <c r="L656" s="49">
        <f>SmtRes!DF216</f>
        <v>1.04</v>
      </c>
    </row>
    <row r="657" spans="1:82" ht="14.25" x14ac:dyDescent="0.2">
      <c r="A657" s="45"/>
      <c r="B657" s="45" t="str">
        <f>EtalonRes!I196</f>
        <v>14.3.01.03</v>
      </c>
      <c r="C657" s="53" t="str">
        <f>EtalonRes!K196</f>
        <v>Грунтовка</v>
      </c>
      <c r="D657" s="54" t="str">
        <f>EtalonRes!O196</f>
        <v>т</v>
      </c>
      <c r="E657" s="55">
        <f>EtalonRes!X196</f>
        <v>0.02</v>
      </c>
      <c r="F657" s="55"/>
      <c r="G657" s="55">
        <f>ROUND(EtalonRes!AG196*Source!I240, 7)</f>
        <v>1.1999999999999999E-3</v>
      </c>
      <c r="H657" s="56"/>
      <c r="I657" s="57"/>
      <c r="J657" s="56"/>
      <c r="K657" s="57"/>
      <c r="L657" s="56"/>
    </row>
    <row r="658" spans="1:82" ht="15" x14ac:dyDescent="0.2">
      <c r="A658" s="45"/>
      <c r="B658" s="45"/>
      <c r="C658" s="59" t="s">
        <v>787</v>
      </c>
      <c r="D658" s="46"/>
      <c r="E658" s="47"/>
      <c r="F658" s="47"/>
      <c r="G658" s="47"/>
      <c r="H658" s="49"/>
      <c r="I658" s="48"/>
      <c r="J658" s="49"/>
      <c r="K658" s="48"/>
      <c r="L658" s="49">
        <f>L647+L649+L650+L655</f>
        <v>979.83</v>
      </c>
    </row>
    <row r="659" spans="1:82" ht="42.75" x14ac:dyDescent="0.2">
      <c r="A659" s="43" t="s">
        <v>963</v>
      </c>
      <c r="B659" s="45" t="str">
        <f>Source!F241</f>
        <v>14.3.01.01-0001</v>
      </c>
      <c r="C659" s="45" t="str">
        <f>Source!G241</f>
        <v>Грунтовка адгезионная для обработки плотных, гладких, слабо- и не впитывающих влагу оснований</v>
      </c>
      <c r="D659" s="46" t="str">
        <f>Source!H241</f>
        <v>кг</v>
      </c>
      <c r="E659" s="47">
        <f>SmtRes!AT217</f>
        <v>20</v>
      </c>
      <c r="F659" s="47"/>
      <c r="G659" s="47">
        <f>Source!I241</f>
        <v>1.2</v>
      </c>
      <c r="H659" s="49">
        <f>Source!AL241+Source!AO241+Source!AM241+Source!AN241</f>
        <v>144.12</v>
      </c>
      <c r="I659" s="48">
        <f>IF(Source!BC241&lt;&gt; 0, Source!BC241, 1)</f>
        <v>1.25</v>
      </c>
      <c r="J659" s="49">
        <f>ROUND(H659*I659, 2)</f>
        <v>180.15</v>
      </c>
      <c r="K659" s="48"/>
      <c r="L659" s="49">
        <f>Source!P241</f>
        <v>216.18</v>
      </c>
      <c r="AD659">
        <f>ROUND((Source!AT241/100)*((ROUND(ROUND(Source!AO241,2)*Source!I241, 2)+ROUND(ROUND(Source!AN241,2)*Source!I241, 2))), 2)</f>
        <v>0</v>
      </c>
      <c r="AE659">
        <f>ROUND((Source!AU241/100)*((ROUND(ROUND(Source!AO241,2)*Source!I241, 2)+ROUND(ROUND(Source!AN241,2)*Source!I241, 2))), 2)</f>
        <v>0</v>
      </c>
      <c r="AN659">
        <f>L659</f>
        <v>216.18</v>
      </c>
      <c r="AW659">
        <f>L659</f>
        <v>216.18</v>
      </c>
      <c r="AZ659">
        <f>Source!X241</f>
        <v>0</v>
      </c>
      <c r="BA659">
        <f>Source!Y241</f>
        <v>0</v>
      </c>
      <c r="CD659">
        <v>1</v>
      </c>
    </row>
    <row r="660" spans="1:82" ht="14.25" x14ac:dyDescent="0.2">
      <c r="A660" s="45"/>
      <c r="B660" s="45"/>
      <c r="C660" s="45" t="s">
        <v>790</v>
      </c>
      <c r="D660" s="46"/>
      <c r="E660" s="47"/>
      <c r="F660" s="47"/>
      <c r="G660" s="47"/>
      <c r="H660" s="49"/>
      <c r="I660" s="48"/>
      <c r="J660" s="49"/>
      <c r="K660" s="48"/>
      <c r="L660" s="49">
        <f>SUM(AR642:AR663)+SUM(AS642:AS663)+SUM(AT642:AT663)+SUM(AU642:AU663)+SUM(AV642:AV663)</f>
        <v>977.58</v>
      </c>
    </row>
    <row r="661" spans="1:82" ht="14.25" x14ac:dyDescent="0.2">
      <c r="A661" s="45"/>
      <c r="B661" s="45" t="s">
        <v>421</v>
      </c>
      <c r="C661" s="45" t="s">
        <v>964</v>
      </c>
      <c r="D661" s="46" t="s">
        <v>57</v>
      </c>
      <c r="E661" s="47">
        <f>Source!BZ240</f>
        <v>100</v>
      </c>
      <c r="F661" s="47"/>
      <c r="G661" s="47">
        <f>Source!AT240</f>
        <v>100</v>
      </c>
      <c r="H661" s="49"/>
      <c r="I661" s="48"/>
      <c r="J661" s="49"/>
      <c r="K661" s="48"/>
      <c r="L661" s="49">
        <f>SUM(AZ642:AZ663)</f>
        <v>977.58</v>
      </c>
    </row>
    <row r="662" spans="1:82" ht="28.5" x14ac:dyDescent="0.2">
      <c r="A662" s="53"/>
      <c r="B662" s="53" t="s">
        <v>965</v>
      </c>
      <c r="C662" s="53" t="s">
        <v>966</v>
      </c>
      <c r="D662" s="54" t="s">
        <v>57</v>
      </c>
      <c r="E662" s="55">
        <f>Source!CA240</f>
        <v>49</v>
      </c>
      <c r="F662" s="55">
        <f>ROUND(0.85,7)</f>
        <v>0.85</v>
      </c>
      <c r="G662" s="55">
        <f>Source!AU240</f>
        <v>41.65</v>
      </c>
      <c r="H662" s="56"/>
      <c r="I662" s="57"/>
      <c r="J662" s="56"/>
      <c r="K662" s="57"/>
      <c r="L662" s="56">
        <f>SUM(BA642:BA663)</f>
        <v>407.16</v>
      </c>
    </row>
    <row r="663" spans="1:82" ht="15" x14ac:dyDescent="0.2">
      <c r="C663" s="92" t="s">
        <v>793</v>
      </c>
      <c r="D663" s="92"/>
      <c r="E663" s="92"/>
      <c r="F663" s="92"/>
      <c r="G663" s="92"/>
      <c r="H663" s="92"/>
      <c r="I663" s="93">
        <f>IF(E642&lt;&gt;0,K663/E642, 0)</f>
        <v>43012.5</v>
      </c>
      <c r="J663" s="93"/>
      <c r="K663" s="93">
        <f>L647+L649+L655+L661+L662+L650+SUM(L659:L659)</f>
        <v>2580.75</v>
      </c>
      <c r="L663" s="93"/>
      <c r="AD663">
        <f>ROUND((Source!AT240/100)*((ROUND(SUMIF(SmtRes!AQ212:'SmtRes'!AQ217,"=1",SmtRes!AD212:'SmtRes'!AD217)*Source!I240, 2)+ROUND(SUMIF(SmtRes!AQ212:'SmtRes'!AQ217,"=1",SmtRes!AC212:'SmtRes'!AC217)*Source!I240, 2))), 2)</f>
        <v>125.12</v>
      </c>
      <c r="AE663">
        <f>ROUND((Source!AU240/100)*((ROUND(SUMIF(SmtRes!AQ212:'SmtRes'!AQ217,"=1",SmtRes!AD212:'SmtRes'!AD217)*Source!I240, 2)+ROUND(SUMIF(SmtRes!AQ212:'SmtRes'!AQ217,"=1",SmtRes!AC212:'SmtRes'!AC217)*Source!I240, 2))), 2)</f>
        <v>52.11</v>
      </c>
      <c r="AN663" s="58">
        <f>L647+L649+L655+L661+L662+L650</f>
        <v>2364.5700000000002</v>
      </c>
      <c r="AO663" s="58">
        <f>L649</f>
        <v>1.21</v>
      </c>
      <c r="AQ663" t="s">
        <v>794</v>
      </c>
      <c r="AR663" s="58">
        <f>L647</f>
        <v>975.7</v>
      </c>
      <c r="AT663" s="58">
        <f>L650</f>
        <v>1.88</v>
      </c>
      <c r="AV663" t="s">
        <v>794</v>
      </c>
      <c r="AW663" s="58">
        <f>L655</f>
        <v>1.04</v>
      </c>
      <c r="AZ663">
        <f>Source!X240</f>
        <v>977.58</v>
      </c>
      <c r="BA663">
        <f>Source!Y240</f>
        <v>407.16</v>
      </c>
      <c r="CD663">
        <v>1</v>
      </c>
    </row>
    <row r="664" spans="1:82" ht="135" x14ac:dyDescent="0.2">
      <c r="A664" s="43" t="s">
        <v>427</v>
      </c>
      <c r="B664" s="45" t="s">
        <v>967</v>
      </c>
      <c r="C664" s="45" t="s">
        <v>968</v>
      </c>
      <c r="D664" s="46" t="str">
        <f>Source!H242</f>
        <v>100 м2</v>
      </c>
      <c r="E664" s="47">
        <f>Source!K242</f>
        <v>0.06</v>
      </c>
      <c r="F664" s="47"/>
      <c r="G664" s="47">
        <f>Source!I242</f>
        <v>0.06</v>
      </c>
      <c r="H664" s="49"/>
      <c r="I664" s="48"/>
      <c r="J664" s="49"/>
      <c r="K664" s="48"/>
      <c r="L664" s="49"/>
    </row>
    <row r="665" spans="1:82" ht="331.5" x14ac:dyDescent="0.2">
      <c r="B665" s="61" t="str">
        <f>Source!EO242</f>
        <v>Поправка: 421/пр_2020_прил.10_т.5_п.1.1_гр.3
Поправка: 421/пр_2020_п.58_пп.б</v>
      </c>
      <c r="C665" s="61" t="str">
        <f>Source!CN242</f>
        <v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
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</row>
    <row r="666" spans="1:82" x14ac:dyDescent="0.2">
      <c r="C666" s="50" t="str">
        <f>"Объем: "&amp;Source!I242&amp;"=((0,04+"&amp;"0,12+"&amp;"0,04)*"&amp;"30)/"&amp;"100"</f>
        <v>Объем: 0,06=((0,04+0,12+0,04)*30)/100</v>
      </c>
    </row>
    <row r="667" spans="1:82" ht="15" x14ac:dyDescent="0.2">
      <c r="A667" s="44"/>
      <c r="B667" s="47">
        <v>1</v>
      </c>
      <c r="C667" s="44" t="s">
        <v>786</v>
      </c>
      <c r="D667" s="46" t="s">
        <v>541</v>
      </c>
      <c r="E667" s="51"/>
      <c r="F667" s="47"/>
      <c r="G667" s="47">
        <f>Source!U242</f>
        <v>1.9126799999999999</v>
      </c>
      <c r="H667" s="47"/>
      <c r="I667" s="47"/>
      <c r="J667" s="47"/>
      <c r="K667" s="47"/>
      <c r="L667" s="52">
        <f>SUM(L668:L668)-SUMIF(CE668:CE668, 1, L668:L668)</f>
        <v>1288.29</v>
      </c>
    </row>
    <row r="668" spans="1:82" ht="14.25" x14ac:dyDescent="0.2">
      <c r="A668" s="45"/>
      <c r="B668" s="45" t="s">
        <v>644</v>
      </c>
      <c r="C668" s="45" t="s">
        <v>645</v>
      </c>
      <c r="D668" s="46" t="s">
        <v>541</v>
      </c>
      <c r="E668" s="47">
        <v>23.1</v>
      </c>
      <c r="F668" s="47">
        <f>ROUND((0.2+1)*1.15,7)</f>
        <v>1.38</v>
      </c>
      <c r="G668" s="47">
        <f>SmtRes!CX218</f>
        <v>1.9126799999999999</v>
      </c>
      <c r="H668" s="49"/>
      <c r="I668" s="48"/>
      <c r="J668" s="49">
        <f>SmtRes!CZ218</f>
        <v>673.55</v>
      </c>
      <c r="K668" s="48"/>
      <c r="L668" s="49">
        <f>SmtRes!DI218</f>
        <v>1288.29</v>
      </c>
    </row>
    <row r="669" spans="1:82" ht="15" x14ac:dyDescent="0.2">
      <c r="A669" s="44"/>
      <c r="B669" s="47">
        <v>4</v>
      </c>
      <c r="C669" s="44" t="s">
        <v>802</v>
      </c>
      <c r="D669" s="46"/>
      <c r="E669" s="51"/>
      <c r="F669" s="47"/>
      <c r="G669" s="47"/>
      <c r="H669" s="47"/>
      <c r="I669" s="47"/>
      <c r="J669" s="47"/>
      <c r="K669" s="47"/>
      <c r="L669" s="52">
        <f>SUM(L670:L672)-SUMIF(CE670:CE672, 1, L670:L672)</f>
        <v>48.28</v>
      </c>
    </row>
    <row r="670" spans="1:82" ht="28.5" x14ac:dyDescent="0.2">
      <c r="A670" s="45"/>
      <c r="B670" s="45" t="s">
        <v>672</v>
      </c>
      <c r="C670" s="45" t="s">
        <v>674</v>
      </c>
      <c r="D670" s="46" t="s">
        <v>675</v>
      </c>
      <c r="E670" s="47">
        <v>0.84</v>
      </c>
      <c r="F670" s="47"/>
      <c r="G670" s="47">
        <f>SmtRes!CX222</f>
        <v>5.04E-2</v>
      </c>
      <c r="H670" s="49">
        <f>SmtRes!CZ222</f>
        <v>531.44000000000005</v>
      </c>
      <c r="I670" s="48">
        <f>SmtRes!AI222</f>
        <v>1.33</v>
      </c>
      <c r="J670" s="49">
        <f>ROUND(H670*I670, 2)</f>
        <v>706.82</v>
      </c>
      <c r="K670" s="48"/>
      <c r="L670" s="49">
        <f>SmtRes!DF222</f>
        <v>35.619999999999997</v>
      </c>
    </row>
    <row r="671" spans="1:82" ht="14.25" x14ac:dyDescent="0.2">
      <c r="A671" s="45"/>
      <c r="B671" s="45" t="s">
        <v>669</v>
      </c>
      <c r="C671" s="45" t="s">
        <v>671</v>
      </c>
      <c r="D671" s="46" t="s">
        <v>170</v>
      </c>
      <c r="E671" s="47">
        <v>0.31</v>
      </c>
      <c r="F671" s="47"/>
      <c r="G671" s="47">
        <f>SmtRes!CX223</f>
        <v>1.8599999999999998E-2</v>
      </c>
      <c r="H671" s="49">
        <f>SmtRes!CZ223</f>
        <v>56.11</v>
      </c>
      <c r="I671" s="48">
        <f>SmtRes!AI223</f>
        <v>1.54</v>
      </c>
      <c r="J671" s="49">
        <f>ROUND(H671*I671, 2)</f>
        <v>86.41</v>
      </c>
      <c r="K671" s="48"/>
      <c r="L671" s="49">
        <f>SmtRes!DF223</f>
        <v>1.61</v>
      </c>
    </row>
    <row r="672" spans="1:82" ht="14.25" x14ac:dyDescent="0.2">
      <c r="A672" s="45"/>
      <c r="B672" s="45" t="s">
        <v>676</v>
      </c>
      <c r="C672" s="45" t="s">
        <v>678</v>
      </c>
      <c r="D672" s="46" t="s">
        <v>165</v>
      </c>
      <c r="E672" s="47">
        <v>5.0000000000000001E-3</v>
      </c>
      <c r="F672" s="47"/>
      <c r="G672" s="47">
        <f>SmtRes!CX225</f>
        <v>2.9999999999999997E-4</v>
      </c>
      <c r="H672" s="49">
        <f>SmtRes!CZ225</f>
        <v>25237.94</v>
      </c>
      <c r="I672" s="48">
        <f>SmtRes!AI225</f>
        <v>1.46</v>
      </c>
      <c r="J672" s="49">
        <f>ROUND(H672*I672, 2)</f>
        <v>36847.39</v>
      </c>
      <c r="K672" s="48"/>
      <c r="L672" s="49">
        <f>SmtRes!DF225</f>
        <v>11.05</v>
      </c>
    </row>
    <row r="673" spans="1:101" ht="14.25" x14ac:dyDescent="0.2">
      <c r="A673" s="45"/>
      <c r="B673" s="45" t="str">
        <f>EtalonRes!I203</f>
        <v>14.3.02.01</v>
      </c>
      <c r="C673" s="53" t="str">
        <f>EtalonRes!K203</f>
        <v>Краска водоэмульсионная</v>
      </c>
      <c r="D673" s="54" t="str">
        <f>EtalonRes!O203</f>
        <v>т</v>
      </c>
      <c r="E673" s="55">
        <f>EtalonRes!X203</f>
        <v>6.3E-2</v>
      </c>
      <c r="F673" s="55"/>
      <c r="G673" s="55">
        <f>ROUND(EtalonRes!AG203*Source!I242, 7)</f>
        <v>3.7799999999999999E-3</v>
      </c>
      <c r="H673" s="56"/>
      <c r="I673" s="57"/>
      <c r="J673" s="56"/>
      <c r="K673" s="57"/>
      <c r="L673" s="56"/>
    </row>
    <row r="674" spans="1:101" ht="15" x14ac:dyDescent="0.2">
      <c r="A674" s="45"/>
      <c r="B674" s="45"/>
      <c r="C674" s="59" t="s">
        <v>787</v>
      </c>
      <c r="D674" s="46"/>
      <c r="E674" s="47"/>
      <c r="F674" s="47"/>
      <c r="G674" s="47"/>
      <c r="H674" s="49"/>
      <c r="I674" s="48"/>
      <c r="J674" s="49"/>
      <c r="K674" s="48"/>
      <c r="L674" s="49">
        <f>L667+L669</f>
        <v>1336.57</v>
      </c>
    </row>
    <row r="675" spans="1:101" ht="57" x14ac:dyDescent="0.2">
      <c r="A675" s="43" t="s">
        <v>969</v>
      </c>
      <c r="B675" s="45" t="str">
        <f>Source!F243</f>
        <v>14.3.02.01-0392</v>
      </c>
      <c r="C675" s="45" t="str">
        <f>Source!G243</f>
        <v>Краска водно-дисперсионная акрилатная ВД-АК-116 (Применительно Краска моющаяся "Tikkurila Euro Power 7")</v>
      </c>
      <c r="D675" s="46" t="str">
        <f>Source!H243</f>
        <v>кг</v>
      </c>
      <c r="E675" s="47">
        <f>SmtRes!AT224</f>
        <v>63</v>
      </c>
      <c r="F675" s="47"/>
      <c r="G675" s="47">
        <f>Source!I243</f>
        <v>3.78</v>
      </c>
      <c r="H675" s="49">
        <f>Source!AL243+Source!AO243+Source!AM243+Source!AN243</f>
        <v>456.84</v>
      </c>
      <c r="I675" s="48">
        <f>IF(Source!BC243&lt;&gt; 0, Source!BC243, 1)</f>
        <v>1.77</v>
      </c>
      <c r="J675" s="49">
        <f>ROUND(H675*I675, 2)</f>
        <v>808.61</v>
      </c>
      <c r="K675" s="48"/>
      <c r="L675" s="49">
        <f>Source!P243</f>
        <v>3056.55</v>
      </c>
      <c r="AD675">
        <f>ROUND((Source!AT243/100)*((ROUND(ROUND(Source!AO243,2)*Source!I243, 2)+ROUND(ROUND(Source!AN243,2)*Source!I243, 2))), 2)</f>
        <v>0</v>
      </c>
      <c r="AE675">
        <f>ROUND((Source!AU243/100)*((ROUND(ROUND(Source!AO243,2)*Source!I243, 2)+ROUND(ROUND(Source!AN243,2)*Source!I243, 2))), 2)</f>
        <v>0</v>
      </c>
      <c r="AN675">
        <f>L675</f>
        <v>3056.55</v>
      </c>
      <c r="AW675">
        <f>L675</f>
        <v>3056.55</v>
      </c>
      <c r="AZ675">
        <f>Source!X243</f>
        <v>0</v>
      </c>
      <c r="BA675">
        <f>Source!Y243</f>
        <v>0</v>
      </c>
      <c r="CD675">
        <v>1</v>
      </c>
    </row>
    <row r="676" spans="1:101" ht="57" x14ac:dyDescent="0.2">
      <c r="A676" s="43" t="s">
        <v>970</v>
      </c>
      <c r="B676" s="45" t="str">
        <f>Source!F244</f>
        <v>91.06.06-048</v>
      </c>
      <c r="C676" s="45" t="s">
        <v>788</v>
      </c>
      <c r="D676" s="46" t="str">
        <f>Source!H244</f>
        <v>маш.-ч</v>
      </c>
      <c r="E676" s="47">
        <f>SmtRes!AT220</f>
        <v>-1.4999999999999999E-2</v>
      </c>
      <c r="F676" s="47">
        <f>ROUND((0.2+1)*1.25,7)</f>
        <v>1.5</v>
      </c>
      <c r="G676" s="47">
        <f>Source!I244</f>
        <v>-1.3500000000000001E-3</v>
      </c>
      <c r="H676" s="49">
        <f>Source!AL244+Source!AO244+Source!AM244+Source!AN244</f>
        <v>678.54000000000008</v>
      </c>
      <c r="I676" s="48">
        <f>IF(Source!BB244&lt;&gt; 0, Source!BB244, 1)</f>
        <v>1.54</v>
      </c>
      <c r="J676" s="49">
        <f>ROUND(H676*I676, 2)</f>
        <v>1044.95</v>
      </c>
      <c r="K676" s="48"/>
      <c r="L676" s="49">
        <f>Source!Q244</f>
        <v>-0.08</v>
      </c>
      <c r="AD676">
        <f>ROUND((Source!AT244/100)*((ROUND(ROUND(Source!AO244,2)*Source!I244, 2)+ROUND((ROUND(Source!AN244,2)*ROUND(0,7))*Source!I244, 2))), 2)</f>
        <v>0</v>
      </c>
      <c r="AE676">
        <f>ROUND((Source!AU244/100)*((ROUND(ROUND(Source!AO244,2)*Source!I244, 2)+ROUND((ROUND(Source!AN244,2)*ROUND(0,7))*Source!I244, 2))), 2)</f>
        <v>0</v>
      </c>
      <c r="AN676">
        <f>L676</f>
        <v>-0.08</v>
      </c>
      <c r="AO676">
        <f>L676</f>
        <v>-0.08</v>
      </c>
      <c r="AT676">
        <f>Source!R244</f>
        <v>0</v>
      </c>
      <c r="AZ676">
        <f>Source!X244</f>
        <v>0</v>
      </c>
      <c r="BA676">
        <f>Source!Y244</f>
        <v>0</v>
      </c>
      <c r="CD676">
        <v>1</v>
      </c>
    </row>
    <row r="677" spans="1:101" ht="114.75" x14ac:dyDescent="0.2">
      <c r="B677" s="61" t="str">
        <f>Source!EO244</f>
        <v>Поправка: 421/пр_2020_прил.10_т.5_п.1.1_гр.3
Поправка: 421/пр_2020_п.58_пп.б</v>
      </c>
      <c r="C677" s="91" t="s">
        <v>921</v>
      </c>
      <c r="D677" s="91"/>
      <c r="E677" s="91"/>
      <c r="F677" s="91"/>
      <c r="G677" s="91"/>
      <c r="H677" s="91"/>
      <c r="I677" s="91"/>
      <c r="J677" s="91"/>
      <c r="K677" s="91"/>
      <c r="L677" s="91"/>
      <c r="CW677" s="62" t="s">
        <v>921</v>
      </c>
    </row>
    <row r="678" spans="1:101" ht="28.5" x14ac:dyDescent="0.2">
      <c r="A678" s="45"/>
      <c r="B678" s="45" t="s">
        <v>544</v>
      </c>
      <c r="C678" s="45" t="s">
        <v>789</v>
      </c>
      <c r="D678" s="46" t="s">
        <v>541</v>
      </c>
      <c r="E678" s="47">
        <f>SmtRes!DO220*SmtRes!AT220</f>
        <v>-1.4999999999999999E-2</v>
      </c>
      <c r="F678" s="47">
        <f>ROUND((0.2+1)*1.25,7)</f>
        <v>1.5</v>
      </c>
      <c r="G678" s="47">
        <f>ROUND(E678*F678*G664, 7)</f>
        <v>-1.3500000000000001E-3</v>
      </c>
      <c r="H678" s="49"/>
      <c r="I678" s="48"/>
      <c r="J678" s="49">
        <f>ROUND(SmtRes!AG220/SmtRes!DO220, 2)</f>
        <v>641.22</v>
      </c>
      <c r="K678" s="48"/>
      <c r="L678" s="49">
        <f>SmtRes!DH220</f>
        <v>-0.87</v>
      </c>
      <c r="CE678">
        <v>1</v>
      </c>
    </row>
    <row r="679" spans="1:101" ht="42.75" x14ac:dyDescent="0.2">
      <c r="A679" s="43" t="s">
        <v>971</v>
      </c>
      <c r="B679" s="45" t="str">
        <f>Source!F245</f>
        <v>91.14.02-001</v>
      </c>
      <c r="C679" s="45" t="s">
        <v>831</v>
      </c>
      <c r="D679" s="46" t="str">
        <f>Source!H245</f>
        <v>маш.-ч</v>
      </c>
      <c r="E679" s="47">
        <f>SmtRes!AT221</f>
        <v>-0.15</v>
      </c>
      <c r="F679" s="47">
        <f>ROUND((0.2+1)*1.25,7)</f>
        <v>1.5</v>
      </c>
      <c r="G679" s="47">
        <f>Source!I245</f>
        <v>-1.35E-2</v>
      </c>
      <c r="H679" s="49"/>
      <c r="I679" s="48"/>
      <c r="J679" s="49">
        <f>Source!AK245</f>
        <v>643.29</v>
      </c>
      <c r="K679" s="48"/>
      <c r="L679" s="49">
        <f>Source!Q245</f>
        <v>-8.68</v>
      </c>
      <c r="AD679">
        <f>ROUND((Source!AT245/100)*((ROUND(ROUND(Source!AO245,2)*Source!I245, 2)+ROUND((ROUND(Source!AN245,2)*ROUND(0,7))*Source!I245, 2))), 2)</f>
        <v>0</v>
      </c>
      <c r="AE679">
        <f>ROUND((Source!AU245/100)*((ROUND(ROUND(Source!AO245,2)*Source!I245, 2)+ROUND((ROUND(Source!AN245,2)*ROUND(0,7))*Source!I245, 2))), 2)</f>
        <v>0</v>
      </c>
      <c r="AN679">
        <f>L679</f>
        <v>-8.68</v>
      </c>
      <c r="AO679">
        <f>L679</f>
        <v>-8.68</v>
      </c>
      <c r="AT679">
        <f>Source!R245</f>
        <v>0</v>
      </c>
      <c r="AZ679">
        <f>Source!X245</f>
        <v>0</v>
      </c>
      <c r="BA679">
        <f>Source!Y245</f>
        <v>0</v>
      </c>
      <c r="CD679">
        <v>1</v>
      </c>
    </row>
    <row r="680" spans="1:101" ht="114.75" x14ac:dyDescent="0.2">
      <c r="B680" s="61" t="str">
        <f>Source!EO245</f>
        <v>Поправка: 421/пр_2020_прил.10_т.5_п.1.1_гр.3
Поправка: 421/пр_2020_п.58_пп.б</v>
      </c>
      <c r="C680" s="91" t="s">
        <v>921</v>
      </c>
      <c r="D680" s="91"/>
      <c r="E680" s="91"/>
      <c r="F680" s="91"/>
      <c r="G680" s="91"/>
      <c r="H680" s="91"/>
      <c r="I680" s="91"/>
      <c r="J680" s="91"/>
      <c r="K680" s="91"/>
      <c r="L680" s="91"/>
      <c r="CW680" s="62" t="s">
        <v>921</v>
      </c>
    </row>
    <row r="681" spans="1:101" ht="28.5" x14ac:dyDescent="0.2">
      <c r="A681" s="45"/>
      <c r="B681" s="45" t="s">
        <v>600</v>
      </c>
      <c r="C681" s="45" t="s">
        <v>832</v>
      </c>
      <c r="D681" s="46" t="s">
        <v>541</v>
      </c>
      <c r="E681" s="47">
        <f>SmtRes!DO221*SmtRes!AT221</f>
        <v>-0.15</v>
      </c>
      <c r="F681" s="47">
        <f>ROUND((0.2+1)*1.25,7)</f>
        <v>1.5</v>
      </c>
      <c r="G681" s="47">
        <f>ROUND(E681*F681*G664, 7)</f>
        <v>-1.35E-2</v>
      </c>
      <c r="H681" s="49"/>
      <c r="I681" s="48"/>
      <c r="J681" s="49">
        <f>ROUND(SmtRes!AG221/SmtRes!DO221, 2)</f>
        <v>722.05</v>
      </c>
      <c r="K681" s="48"/>
      <c r="L681" s="49">
        <f>SmtRes!DH221</f>
        <v>-9.75</v>
      </c>
      <c r="CE681">
        <v>1</v>
      </c>
    </row>
    <row r="682" spans="1:101" ht="14.25" x14ac:dyDescent="0.2">
      <c r="A682" s="45"/>
      <c r="B682" s="45"/>
      <c r="C682" s="45" t="s">
        <v>790</v>
      </c>
      <c r="D682" s="46"/>
      <c r="E682" s="47"/>
      <c r="F682" s="47"/>
      <c r="G682" s="47"/>
      <c r="H682" s="49"/>
      <c r="I682" s="48"/>
      <c r="J682" s="49"/>
      <c r="K682" s="48"/>
      <c r="L682" s="49">
        <f>SUM(AR664:AR685)+SUM(AS664:AS685)+SUM(AT664:AT685)+SUM(AU664:AU685)+SUM(AV664:AV685)</f>
        <v>1288.29</v>
      </c>
    </row>
    <row r="683" spans="1:101" ht="14.25" x14ac:dyDescent="0.2">
      <c r="A683" s="45"/>
      <c r="B683" s="45" t="s">
        <v>421</v>
      </c>
      <c r="C683" s="45" t="s">
        <v>964</v>
      </c>
      <c r="D683" s="46" t="s">
        <v>57</v>
      </c>
      <c r="E683" s="47">
        <f>Source!BZ242</f>
        <v>100</v>
      </c>
      <c r="F683" s="47"/>
      <c r="G683" s="47">
        <f>Source!AT242</f>
        <v>100</v>
      </c>
      <c r="H683" s="49"/>
      <c r="I683" s="48"/>
      <c r="J683" s="49"/>
      <c r="K683" s="48"/>
      <c r="L683" s="49">
        <f>SUM(AZ664:AZ685)</f>
        <v>1288.29</v>
      </c>
    </row>
    <row r="684" spans="1:101" ht="28.5" x14ac:dyDescent="0.2">
      <c r="A684" s="53"/>
      <c r="B684" s="53" t="s">
        <v>965</v>
      </c>
      <c r="C684" s="53" t="s">
        <v>966</v>
      </c>
      <c r="D684" s="54" t="s">
        <v>57</v>
      </c>
      <c r="E684" s="55">
        <f>Source!CA242</f>
        <v>49</v>
      </c>
      <c r="F684" s="55">
        <f>ROUND(0.85,7)</f>
        <v>0.85</v>
      </c>
      <c r="G684" s="55">
        <f>Source!AU242</f>
        <v>41.65</v>
      </c>
      <c r="H684" s="56"/>
      <c r="I684" s="57"/>
      <c r="J684" s="56"/>
      <c r="K684" s="57"/>
      <c r="L684" s="56">
        <f>SUM(BA664:BA685)</f>
        <v>536.57000000000005</v>
      </c>
    </row>
    <row r="685" spans="1:101" ht="15" x14ac:dyDescent="0.2">
      <c r="C685" s="92" t="s">
        <v>793</v>
      </c>
      <c r="D685" s="92"/>
      <c r="E685" s="92"/>
      <c r="F685" s="92"/>
      <c r="G685" s="92"/>
      <c r="H685" s="92"/>
      <c r="I685" s="93">
        <f>IF(E664&lt;&gt;0,K685/E664, 0)</f>
        <v>103310.00000000001</v>
      </c>
      <c r="J685" s="93"/>
      <c r="K685" s="93">
        <f>L667+L669+L683+L684+SUM(L675:L681)</f>
        <v>6198.6</v>
      </c>
      <c r="L685" s="93"/>
      <c r="AD685">
        <f>ROUND((Source!AT242/100)*((ROUND(SUMIF(SmtRes!AQ218:'SmtRes'!AQ225,"=1",SmtRes!AD218:'SmtRes'!AD225)*Source!I242, 2)+ROUND(SUMIF(SmtRes!AQ218:'SmtRes'!AQ225,"=1",SmtRes!AC218:'SmtRes'!AC225)*Source!I242, 2))), 2)</f>
        <v>40.409999999999997</v>
      </c>
      <c r="AE685">
        <f>ROUND((Source!AU242/100)*((ROUND(SUMIF(SmtRes!AQ218:'SmtRes'!AQ225,"=1",SmtRes!AD218:'SmtRes'!AD225)*Source!I242, 2)+ROUND(SUMIF(SmtRes!AQ218:'SmtRes'!AQ225,"=1",SmtRes!AC218:'SmtRes'!AC225)*Source!I242, 2))), 2)</f>
        <v>16.829999999999998</v>
      </c>
      <c r="AN685" s="58">
        <f>L667+L669+L683+L684</f>
        <v>3161.43</v>
      </c>
      <c r="AO685">
        <f>0</f>
        <v>0</v>
      </c>
      <c r="AQ685" t="s">
        <v>794</v>
      </c>
      <c r="AR685" s="58">
        <f>L667</f>
        <v>1288.29</v>
      </c>
      <c r="AT685">
        <f>0</f>
        <v>0</v>
      </c>
      <c r="AV685" t="s">
        <v>794</v>
      </c>
      <c r="AW685" s="58">
        <f>L669</f>
        <v>48.28</v>
      </c>
      <c r="AZ685">
        <f>Source!X242</f>
        <v>1288.29</v>
      </c>
      <c r="BA685">
        <f>Source!Y242</f>
        <v>536.57000000000005</v>
      </c>
      <c r="CD685">
        <v>1</v>
      </c>
    </row>
    <row r="686" spans="1:101" ht="106.5" x14ac:dyDescent="0.2">
      <c r="A686" s="43" t="s">
        <v>437</v>
      </c>
      <c r="B686" s="45" t="s">
        <v>972</v>
      </c>
      <c r="C686" s="45" t="s">
        <v>973</v>
      </c>
      <c r="D686" s="46" t="str">
        <f>Source!H246</f>
        <v>100 м2</v>
      </c>
      <c r="E686" s="47">
        <f>Source!K246</f>
        <v>0.1</v>
      </c>
      <c r="F686" s="47"/>
      <c r="G686" s="47">
        <f>Source!I246</f>
        <v>0.1</v>
      </c>
      <c r="H686" s="49"/>
      <c r="I686" s="48"/>
      <c r="J686" s="49"/>
      <c r="K686" s="48"/>
      <c r="L686" s="49"/>
    </row>
    <row r="687" spans="1:101" ht="331.5" x14ac:dyDescent="0.2">
      <c r="B687" s="61" t="str">
        <f>Source!EO246</f>
        <v>Поправка: 421/пр_2020_прил.10_т.5_п.1.1_гр.3
Поправка: 421/пр_2020_п.58_пп.б</v>
      </c>
      <c r="C687" s="61" t="str">
        <f>Source!CN246</f>
        <v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
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</row>
    <row r="688" spans="1:101" x14ac:dyDescent="0.2">
      <c r="C688" s="50" t="str">
        <f>"Объем: "&amp;Source!I246&amp;"=(10)/"&amp;"100"</f>
        <v>Объем: 0,1=(10)/100</v>
      </c>
    </row>
    <row r="689" spans="1:101" ht="15" x14ac:dyDescent="0.2">
      <c r="A689" s="44"/>
      <c r="B689" s="47">
        <v>1</v>
      </c>
      <c r="C689" s="44" t="s">
        <v>786</v>
      </c>
      <c r="D689" s="46" t="s">
        <v>541</v>
      </c>
      <c r="E689" s="51"/>
      <c r="F689" s="47"/>
      <c r="G689" s="47">
        <f>Source!U246</f>
        <v>6.0112800000000002</v>
      </c>
      <c r="H689" s="47"/>
      <c r="I689" s="47"/>
      <c r="J689" s="47"/>
      <c r="K689" s="47"/>
      <c r="L689" s="52">
        <f>SUM(L690:L690)-SUMIF(CE690:CE690, 1, L690:L690)</f>
        <v>3951.7</v>
      </c>
    </row>
    <row r="690" spans="1:101" ht="14.25" x14ac:dyDescent="0.2">
      <c r="A690" s="45"/>
      <c r="B690" s="45" t="s">
        <v>679</v>
      </c>
      <c r="C690" s="45" t="s">
        <v>680</v>
      </c>
      <c r="D690" s="46" t="s">
        <v>541</v>
      </c>
      <c r="E690" s="47">
        <v>43.56</v>
      </c>
      <c r="F690" s="47">
        <f>ROUND((0.2+1)*1.15,7)</f>
        <v>1.38</v>
      </c>
      <c r="G690" s="47">
        <f>SmtRes!CX226</f>
        <v>6.0112800000000002</v>
      </c>
      <c r="H690" s="49"/>
      <c r="I690" s="48"/>
      <c r="J690" s="49">
        <f>SmtRes!CZ226</f>
        <v>657.38</v>
      </c>
      <c r="K690" s="48"/>
      <c r="L690" s="49">
        <f>SmtRes!DI226</f>
        <v>3951.7</v>
      </c>
    </row>
    <row r="691" spans="1:101" ht="15" x14ac:dyDescent="0.2">
      <c r="A691" s="44"/>
      <c r="B691" s="47">
        <v>4</v>
      </c>
      <c r="C691" s="44" t="s">
        <v>802</v>
      </c>
      <c r="D691" s="46"/>
      <c r="E691" s="51"/>
      <c r="F691" s="47"/>
      <c r="G691" s="47"/>
      <c r="H691" s="47"/>
      <c r="I691" s="47"/>
      <c r="J691" s="47"/>
      <c r="K691" s="47"/>
      <c r="L691" s="52">
        <f>SUM(L692:L694)-SUMIF(CE692:CE694, 1, L692:L694)</f>
        <v>455.13</v>
      </c>
    </row>
    <row r="692" spans="1:101" ht="28.5" x14ac:dyDescent="0.2">
      <c r="A692" s="45"/>
      <c r="B692" s="45" t="s">
        <v>672</v>
      </c>
      <c r="C692" s="45" t="s">
        <v>674</v>
      </c>
      <c r="D692" s="46" t="s">
        <v>675</v>
      </c>
      <c r="E692" s="47">
        <v>0.84</v>
      </c>
      <c r="F692" s="47"/>
      <c r="G692" s="47">
        <f>SmtRes!CX230</f>
        <v>8.4000000000000005E-2</v>
      </c>
      <c r="H692" s="49">
        <f>SmtRes!CZ230</f>
        <v>531.44000000000005</v>
      </c>
      <c r="I692" s="48">
        <f>SmtRes!AI230</f>
        <v>1.33</v>
      </c>
      <c r="J692" s="49">
        <f>ROUND(H692*I692, 2)</f>
        <v>706.82</v>
      </c>
      <c r="K692" s="48"/>
      <c r="L692" s="49">
        <f>SmtRes!DF230</f>
        <v>59.37</v>
      </c>
    </row>
    <row r="693" spans="1:101" ht="14.25" x14ac:dyDescent="0.2">
      <c r="A693" s="45"/>
      <c r="B693" s="45" t="s">
        <v>669</v>
      </c>
      <c r="C693" s="45" t="s">
        <v>671</v>
      </c>
      <c r="D693" s="46" t="s">
        <v>170</v>
      </c>
      <c r="E693" s="47">
        <v>0.31</v>
      </c>
      <c r="F693" s="47"/>
      <c r="G693" s="47">
        <f>SmtRes!CX231</f>
        <v>3.1E-2</v>
      </c>
      <c r="H693" s="49">
        <f>SmtRes!CZ231</f>
        <v>56.11</v>
      </c>
      <c r="I693" s="48">
        <f>SmtRes!AI231</f>
        <v>1.54</v>
      </c>
      <c r="J693" s="49">
        <f>ROUND(H693*I693, 2)</f>
        <v>86.41</v>
      </c>
      <c r="K693" s="48"/>
      <c r="L693" s="49">
        <f>SmtRes!DF231</f>
        <v>2.68</v>
      </c>
    </row>
    <row r="694" spans="1:101" ht="14.25" x14ac:dyDescent="0.2">
      <c r="A694" s="45"/>
      <c r="B694" s="45" t="s">
        <v>681</v>
      </c>
      <c r="C694" s="45" t="s">
        <v>683</v>
      </c>
      <c r="D694" s="46" t="s">
        <v>165</v>
      </c>
      <c r="E694" s="47">
        <v>5.0999999999999997E-2</v>
      </c>
      <c r="F694" s="47"/>
      <c r="G694" s="47">
        <f>SmtRes!CX234</f>
        <v>5.1000000000000004E-3</v>
      </c>
      <c r="H694" s="49">
        <f>SmtRes!CZ234</f>
        <v>52790.33</v>
      </c>
      <c r="I694" s="48">
        <f>SmtRes!AI234</f>
        <v>1.46</v>
      </c>
      <c r="J694" s="49">
        <f>ROUND(H694*I694, 2)</f>
        <v>77073.88</v>
      </c>
      <c r="K694" s="48"/>
      <c r="L694" s="49">
        <f>SmtRes!DF234</f>
        <v>393.08</v>
      </c>
    </row>
    <row r="695" spans="1:101" ht="14.25" x14ac:dyDescent="0.2">
      <c r="A695" s="45"/>
      <c r="B695" s="45" t="str">
        <f>EtalonRes!I211</f>
        <v>14.3.02.01</v>
      </c>
      <c r="C695" s="45" t="str">
        <f>EtalonRes!K211</f>
        <v>Краска акриловая</v>
      </c>
      <c r="D695" s="46" t="str">
        <f>EtalonRes!O211</f>
        <v>т</v>
      </c>
      <c r="E695" s="47">
        <f>EtalonRes!X211</f>
        <v>0.03</v>
      </c>
      <c r="F695" s="47"/>
      <c r="G695" s="47">
        <f>ROUND(EtalonRes!AG211*Source!I246, 7)</f>
        <v>3.0000000000000001E-3</v>
      </c>
      <c r="H695" s="49"/>
      <c r="I695" s="48"/>
      <c r="J695" s="49"/>
      <c r="K695" s="48"/>
      <c r="L695" s="49"/>
    </row>
    <row r="696" spans="1:101" ht="14.25" x14ac:dyDescent="0.2">
      <c r="A696" s="45"/>
      <c r="B696" s="45" t="str">
        <f>EtalonRes!I212</f>
        <v>14.4.01.02</v>
      </c>
      <c r="C696" s="53" t="str">
        <f>EtalonRes!K212</f>
        <v>Грунтовка</v>
      </c>
      <c r="D696" s="54" t="str">
        <f>EtalonRes!O212</f>
        <v>т</v>
      </c>
      <c r="E696" s="55">
        <f>EtalonRes!X212</f>
        <v>0.02</v>
      </c>
      <c r="F696" s="55"/>
      <c r="G696" s="55">
        <f>ROUND(EtalonRes!AG212*Source!I246, 7)</f>
        <v>2E-3</v>
      </c>
      <c r="H696" s="56"/>
      <c r="I696" s="57"/>
      <c r="J696" s="56"/>
      <c r="K696" s="57"/>
      <c r="L696" s="56"/>
    </row>
    <row r="697" spans="1:101" ht="15" x14ac:dyDescent="0.2">
      <c r="A697" s="45"/>
      <c r="B697" s="45"/>
      <c r="C697" s="59" t="s">
        <v>787</v>
      </c>
      <c r="D697" s="46"/>
      <c r="E697" s="47"/>
      <c r="F697" s="47"/>
      <c r="G697" s="47"/>
      <c r="H697" s="49"/>
      <c r="I697" s="48"/>
      <c r="J697" s="49"/>
      <c r="K697" s="48"/>
      <c r="L697" s="49">
        <f>L689+L691</f>
        <v>4406.83</v>
      </c>
    </row>
    <row r="698" spans="1:101" ht="57" x14ac:dyDescent="0.2">
      <c r="A698" s="43" t="s">
        <v>974</v>
      </c>
      <c r="B698" s="45" t="str">
        <f>Source!F247</f>
        <v>14.3.02.01-0392</v>
      </c>
      <c r="C698" s="45" t="str">
        <f>Source!G247</f>
        <v>Краска водно-дисперсионная акрилатная ВД-АК-116 (Применительно Краска моющаяся "Tikkurila Euro Power 7")</v>
      </c>
      <c r="D698" s="46" t="str">
        <f>Source!H247</f>
        <v>кг</v>
      </c>
      <c r="E698" s="47">
        <f>SmtRes!AT232</f>
        <v>30</v>
      </c>
      <c r="F698" s="47"/>
      <c r="G698" s="47">
        <f>Source!I247</f>
        <v>3</v>
      </c>
      <c r="H698" s="49">
        <f>Source!AL247+Source!AO247+Source!AM247+Source!AN247</f>
        <v>456.84</v>
      </c>
      <c r="I698" s="48">
        <f>IF(Source!BC247&lt;&gt; 0, Source!BC247, 1)</f>
        <v>1.77</v>
      </c>
      <c r="J698" s="49">
        <f>ROUND(H698*I698, 2)</f>
        <v>808.61</v>
      </c>
      <c r="K698" s="48"/>
      <c r="L698" s="49">
        <f>Source!P247</f>
        <v>2425.83</v>
      </c>
      <c r="AD698">
        <f>ROUND((Source!AT247/100)*((ROUND(ROUND(Source!AO247,2)*Source!I247, 2)+ROUND(ROUND(Source!AN247,2)*Source!I247, 2))), 2)</f>
        <v>0</v>
      </c>
      <c r="AE698">
        <f>ROUND((Source!AU247/100)*((ROUND(ROUND(Source!AO247,2)*Source!I247, 2)+ROUND(ROUND(Source!AN247,2)*Source!I247, 2))), 2)</f>
        <v>0</v>
      </c>
      <c r="AN698">
        <f>L698</f>
        <v>2425.83</v>
      </c>
      <c r="AW698">
        <f>L698</f>
        <v>2425.83</v>
      </c>
      <c r="AZ698">
        <f>Source!X247</f>
        <v>0</v>
      </c>
      <c r="BA698">
        <f>Source!Y247</f>
        <v>0</v>
      </c>
      <c r="CD698">
        <v>1</v>
      </c>
    </row>
    <row r="699" spans="1:101" ht="42.75" x14ac:dyDescent="0.2">
      <c r="A699" s="43" t="s">
        <v>975</v>
      </c>
      <c r="B699" s="45" t="str">
        <f>Source!F248</f>
        <v>14.4.01.02-0012</v>
      </c>
      <c r="C699" s="45" t="str">
        <f>Source!G248</f>
        <v>Грунтовка укрепляющая, глубокого проникновения, быстросохнущая, паропроницаемая</v>
      </c>
      <c r="D699" s="46" t="str">
        <f>Source!H248</f>
        <v>кг</v>
      </c>
      <c r="E699" s="47">
        <f>SmtRes!AT233</f>
        <v>20</v>
      </c>
      <c r="F699" s="47"/>
      <c r="G699" s="47">
        <f>Source!I248</f>
        <v>2</v>
      </c>
      <c r="H699" s="49">
        <f>Source!AL248+Source!AO248+Source!AM248+Source!AN248</f>
        <v>68.290000000000006</v>
      </c>
      <c r="I699" s="48">
        <f>IF(Source!BC248&lt;&gt; 0, Source!BC248, 1)</f>
        <v>1.54</v>
      </c>
      <c r="J699" s="49">
        <f>ROUND(H699*I699, 2)</f>
        <v>105.17</v>
      </c>
      <c r="K699" s="48"/>
      <c r="L699" s="49">
        <f>Source!P248</f>
        <v>210.34</v>
      </c>
      <c r="AD699">
        <f>ROUND((Source!AT248/100)*((ROUND(ROUND(Source!AO248,2)*Source!I248, 2)+ROUND(ROUND(Source!AN248,2)*Source!I248, 2))), 2)</f>
        <v>0</v>
      </c>
      <c r="AE699">
        <f>ROUND((Source!AU248/100)*((ROUND(ROUND(Source!AO248,2)*Source!I248, 2)+ROUND(ROUND(Source!AN248,2)*Source!I248, 2))), 2)</f>
        <v>0</v>
      </c>
      <c r="AN699">
        <f>L699</f>
        <v>210.34</v>
      </c>
      <c r="AW699">
        <f>L699</f>
        <v>210.34</v>
      </c>
      <c r="AZ699">
        <f>Source!X248</f>
        <v>0</v>
      </c>
      <c r="BA699">
        <f>Source!Y248</f>
        <v>0</v>
      </c>
      <c r="CD699">
        <v>1</v>
      </c>
    </row>
    <row r="700" spans="1:101" ht="57" x14ac:dyDescent="0.2">
      <c r="A700" s="43" t="s">
        <v>976</v>
      </c>
      <c r="B700" s="45" t="str">
        <f>Source!F249</f>
        <v>91.06.06-046</v>
      </c>
      <c r="C700" s="45" t="s">
        <v>977</v>
      </c>
      <c r="D700" s="46" t="str">
        <f>Source!H249</f>
        <v>маш.-ч</v>
      </c>
      <c r="E700" s="47">
        <f>SmtRes!AT228</f>
        <v>-0.03</v>
      </c>
      <c r="F700" s="47">
        <f>ROUND((0.2+1)*1.25,7)</f>
        <v>1.5</v>
      </c>
      <c r="G700" s="47">
        <f>Source!I249</f>
        <v>-4.4999999999999997E-3</v>
      </c>
      <c r="H700" s="49">
        <f>Source!AL249+Source!AO249+Source!AM249+Source!AN249</f>
        <v>671.83</v>
      </c>
      <c r="I700" s="48">
        <f>IF(Source!BB249&lt;&gt; 0, Source!BB249, 1)</f>
        <v>1.54</v>
      </c>
      <c r="J700" s="49">
        <f>ROUND(H700*I700, 2)</f>
        <v>1034.6199999999999</v>
      </c>
      <c r="K700" s="48"/>
      <c r="L700" s="49">
        <f>Source!Q249</f>
        <v>-0.21</v>
      </c>
      <c r="AD700">
        <f>ROUND((Source!AT249/100)*((ROUND(ROUND(Source!AO249,2)*Source!I249, 2)+ROUND((ROUND(Source!AN249,2)*ROUND(0,7))*Source!I249, 2))), 2)</f>
        <v>0</v>
      </c>
      <c r="AE700">
        <f>ROUND((Source!AU249/100)*((ROUND(ROUND(Source!AO249,2)*Source!I249, 2)+ROUND((ROUND(Source!AN249,2)*ROUND(0,7))*Source!I249, 2))), 2)</f>
        <v>0</v>
      </c>
      <c r="AN700">
        <f>L700</f>
        <v>-0.21</v>
      </c>
      <c r="AO700">
        <f>L700</f>
        <v>-0.21</v>
      </c>
      <c r="AT700">
        <f>Source!R249</f>
        <v>0</v>
      </c>
      <c r="AZ700">
        <f>Source!X249</f>
        <v>0</v>
      </c>
      <c r="BA700">
        <f>Source!Y249</f>
        <v>0</v>
      </c>
      <c r="CD700">
        <v>1</v>
      </c>
    </row>
    <row r="701" spans="1:101" ht="114.75" x14ac:dyDescent="0.2">
      <c r="B701" s="61" t="str">
        <f>Source!EO249</f>
        <v>Поправка: 421/пр_2020_прил.10_т.5_п.1.1_гр.3
Поправка: 421/пр_2020_п.58_пп.б</v>
      </c>
      <c r="C701" s="91" t="s">
        <v>921</v>
      </c>
      <c r="D701" s="91"/>
      <c r="E701" s="91"/>
      <c r="F701" s="91"/>
      <c r="G701" s="91"/>
      <c r="H701" s="91"/>
      <c r="I701" s="91"/>
      <c r="J701" s="91"/>
      <c r="K701" s="91"/>
      <c r="L701" s="91"/>
      <c r="CW701" s="62" t="s">
        <v>921</v>
      </c>
    </row>
    <row r="702" spans="1:101" ht="28.5" x14ac:dyDescent="0.2">
      <c r="A702" s="45"/>
      <c r="B702" s="45" t="s">
        <v>544</v>
      </c>
      <c r="C702" s="45" t="s">
        <v>789</v>
      </c>
      <c r="D702" s="46" t="s">
        <v>541</v>
      </c>
      <c r="E702" s="47">
        <f>SmtRes!DO228*SmtRes!AT228</f>
        <v>-0.03</v>
      </c>
      <c r="F702" s="47">
        <f>ROUND((0.2+1)*1.25,7)</f>
        <v>1.5</v>
      </c>
      <c r="G702" s="47">
        <f>ROUND(E702*F702*G686, 7)</f>
        <v>-4.4999999999999997E-3</v>
      </c>
      <c r="H702" s="49"/>
      <c r="I702" s="48"/>
      <c r="J702" s="49">
        <f>ROUND(SmtRes!AG228/SmtRes!DO228, 2)</f>
        <v>641.22</v>
      </c>
      <c r="K702" s="48"/>
      <c r="L702" s="49">
        <f>SmtRes!DH228</f>
        <v>-2.89</v>
      </c>
      <c r="CE702">
        <v>1</v>
      </c>
    </row>
    <row r="703" spans="1:101" ht="42.75" x14ac:dyDescent="0.2">
      <c r="A703" s="43" t="s">
        <v>978</v>
      </c>
      <c r="B703" s="45" t="str">
        <f>Source!F250</f>
        <v>91.14.02-001</v>
      </c>
      <c r="C703" s="45" t="s">
        <v>831</v>
      </c>
      <c r="D703" s="46" t="str">
        <f>Source!H250</f>
        <v>маш.-ч</v>
      </c>
      <c r="E703" s="47">
        <f>SmtRes!AT229</f>
        <v>-0.22500000000000001</v>
      </c>
      <c r="F703" s="47">
        <f>ROUND((0.2+1)*1.25,7)</f>
        <v>1.5</v>
      </c>
      <c r="G703" s="47">
        <f>Source!I250</f>
        <v>-3.3750000000000002E-2</v>
      </c>
      <c r="H703" s="49"/>
      <c r="I703" s="48"/>
      <c r="J703" s="49">
        <f>Source!AK250</f>
        <v>643.29</v>
      </c>
      <c r="K703" s="48"/>
      <c r="L703" s="49">
        <f>Source!Q250</f>
        <v>-21.71</v>
      </c>
      <c r="AD703">
        <f>ROUND((Source!AT250/100)*((ROUND(ROUND(Source!AO250,2)*Source!I250, 2)+ROUND((ROUND(Source!AN250,2)*ROUND(0,7))*Source!I250, 2))), 2)</f>
        <v>0</v>
      </c>
      <c r="AE703">
        <f>ROUND((Source!AU250/100)*((ROUND(ROUND(Source!AO250,2)*Source!I250, 2)+ROUND((ROUND(Source!AN250,2)*ROUND(0,7))*Source!I250, 2))), 2)</f>
        <v>0</v>
      </c>
      <c r="AN703">
        <f>L703</f>
        <v>-21.71</v>
      </c>
      <c r="AO703">
        <f>L703</f>
        <v>-21.71</v>
      </c>
      <c r="AT703">
        <f>Source!R250</f>
        <v>0</v>
      </c>
      <c r="AZ703">
        <f>Source!X250</f>
        <v>0</v>
      </c>
      <c r="BA703">
        <f>Source!Y250</f>
        <v>0</v>
      </c>
      <c r="CD703">
        <v>1</v>
      </c>
    </row>
    <row r="704" spans="1:101" ht="114.75" x14ac:dyDescent="0.2">
      <c r="B704" s="61" t="str">
        <f>Source!EO250</f>
        <v>Поправка: 421/пр_2020_прил.10_т.5_п.1.1_гр.3
Поправка: 421/пр_2020_п.58_пп.б</v>
      </c>
      <c r="C704" s="91" t="s">
        <v>921</v>
      </c>
      <c r="D704" s="91"/>
      <c r="E704" s="91"/>
      <c r="F704" s="91"/>
      <c r="G704" s="91"/>
      <c r="H704" s="91"/>
      <c r="I704" s="91"/>
      <c r="J704" s="91"/>
      <c r="K704" s="91"/>
      <c r="L704" s="91"/>
      <c r="CW704" s="62" t="s">
        <v>921</v>
      </c>
    </row>
    <row r="705" spans="1:83" ht="28.5" x14ac:dyDescent="0.2">
      <c r="A705" s="45"/>
      <c r="B705" s="45" t="s">
        <v>600</v>
      </c>
      <c r="C705" s="45" t="s">
        <v>832</v>
      </c>
      <c r="D705" s="46" t="s">
        <v>541</v>
      </c>
      <c r="E705" s="47">
        <f>SmtRes!DO229*SmtRes!AT229</f>
        <v>-0.22500000000000001</v>
      </c>
      <c r="F705" s="47">
        <f>ROUND((0.2+1)*1.25,7)</f>
        <v>1.5</v>
      </c>
      <c r="G705" s="47">
        <f>ROUND(E705*F705*G686, 7)</f>
        <v>-3.3750000000000002E-2</v>
      </c>
      <c r="H705" s="49"/>
      <c r="I705" s="48"/>
      <c r="J705" s="49">
        <f>ROUND(SmtRes!AG229/SmtRes!DO229, 2)</f>
        <v>722.05</v>
      </c>
      <c r="K705" s="48"/>
      <c r="L705" s="49">
        <f>SmtRes!DH229</f>
        <v>-24.37</v>
      </c>
      <c r="CE705">
        <v>1</v>
      </c>
    </row>
    <row r="706" spans="1:83" ht="14.25" x14ac:dyDescent="0.2">
      <c r="A706" s="45"/>
      <c r="B706" s="45"/>
      <c r="C706" s="45" t="s">
        <v>790</v>
      </c>
      <c r="D706" s="46"/>
      <c r="E706" s="47"/>
      <c r="F706" s="47"/>
      <c r="G706" s="47"/>
      <c r="H706" s="49"/>
      <c r="I706" s="48"/>
      <c r="J706" s="49"/>
      <c r="K706" s="48"/>
      <c r="L706" s="49">
        <f>SUM(AR686:AR709)+SUM(AS686:AS709)+SUM(AT686:AT709)+SUM(AU686:AU709)+SUM(AV686:AV709)</f>
        <v>3951.7</v>
      </c>
    </row>
    <row r="707" spans="1:83" ht="14.25" x14ac:dyDescent="0.2">
      <c r="A707" s="45"/>
      <c r="B707" s="45" t="s">
        <v>421</v>
      </c>
      <c r="C707" s="45" t="s">
        <v>964</v>
      </c>
      <c r="D707" s="46" t="s">
        <v>57</v>
      </c>
      <c r="E707" s="47">
        <f>Source!BZ246</f>
        <v>100</v>
      </c>
      <c r="F707" s="47"/>
      <c r="G707" s="47">
        <f>Source!AT246</f>
        <v>100</v>
      </c>
      <c r="H707" s="49"/>
      <c r="I707" s="48"/>
      <c r="J707" s="49"/>
      <c r="K707" s="48"/>
      <c r="L707" s="49">
        <f>SUM(AZ686:AZ709)</f>
        <v>3951.7</v>
      </c>
    </row>
    <row r="708" spans="1:83" ht="28.5" x14ac:dyDescent="0.2">
      <c r="A708" s="53"/>
      <c r="B708" s="53" t="s">
        <v>965</v>
      </c>
      <c r="C708" s="53" t="s">
        <v>966</v>
      </c>
      <c r="D708" s="54" t="s">
        <v>57</v>
      </c>
      <c r="E708" s="55">
        <f>Source!CA246</f>
        <v>49</v>
      </c>
      <c r="F708" s="55">
        <f>ROUND(0.85,7)</f>
        <v>0.85</v>
      </c>
      <c r="G708" s="55">
        <f>Source!AU246</f>
        <v>41.65</v>
      </c>
      <c r="H708" s="56"/>
      <c r="I708" s="57"/>
      <c r="J708" s="56"/>
      <c r="K708" s="57"/>
      <c r="L708" s="56">
        <f>SUM(BA686:BA709)</f>
        <v>1645.88</v>
      </c>
    </row>
    <row r="709" spans="1:83" ht="15" x14ac:dyDescent="0.2">
      <c r="C709" s="92" t="s">
        <v>793</v>
      </c>
      <c r="D709" s="92"/>
      <c r="E709" s="92"/>
      <c r="F709" s="92"/>
      <c r="G709" s="92"/>
      <c r="H709" s="92"/>
      <c r="I709" s="93">
        <f>IF(E686&lt;&gt;0,K709/E686, 0)</f>
        <v>125913.99999999999</v>
      </c>
      <c r="J709" s="93"/>
      <c r="K709" s="93">
        <f>L689+L691+L707+L708+SUM(L698:L705)</f>
        <v>12591.4</v>
      </c>
      <c r="L709" s="93"/>
      <c r="AD709">
        <f>ROUND((Source!AT246/100)*((ROUND(SUMIF(SmtRes!AQ226:'SmtRes'!AQ234,"=1",SmtRes!AD226:'SmtRes'!AD234)*Source!I246, 2)+ROUND(SUMIF(SmtRes!AQ226:'SmtRes'!AQ234,"=1",SmtRes!AC226:'SmtRes'!AC234)*Source!I246, 2))), 2)</f>
        <v>65.739999999999995</v>
      </c>
      <c r="AE709">
        <f>ROUND((Source!AU246/100)*((ROUND(SUMIF(SmtRes!AQ226:'SmtRes'!AQ234,"=1",SmtRes!AD226:'SmtRes'!AD234)*Source!I246, 2)+ROUND(SUMIF(SmtRes!AQ226:'SmtRes'!AQ234,"=1",SmtRes!AC226:'SmtRes'!AC234)*Source!I246, 2))), 2)</f>
        <v>27.38</v>
      </c>
      <c r="AN709" s="58">
        <f>L689+L691+L707+L708</f>
        <v>10004.41</v>
      </c>
      <c r="AO709">
        <f>0</f>
        <v>0</v>
      </c>
      <c r="AQ709" t="s">
        <v>794</v>
      </c>
      <c r="AR709" s="58">
        <f>L689</f>
        <v>3951.7</v>
      </c>
      <c r="AT709">
        <f>0</f>
        <v>0</v>
      </c>
      <c r="AV709" t="s">
        <v>794</v>
      </c>
      <c r="AW709" s="58">
        <f>L691</f>
        <v>455.13</v>
      </c>
      <c r="AZ709">
        <f>Source!X246</f>
        <v>3951.7</v>
      </c>
      <c r="BA709">
        <f>Source!Y246</f>
        <v>1645.88</v>
      </c>
      <c r="CD709">
        <v>1</v>
      </c>
    </row>
    <row r="710" spans="1:83" ht="106.5" x14ac:dyDescent="0.2">
      <c r="A710" s="43" t="s">
        <v>451</v>
      </c>
      <c r="B710" s="45" t="s">
        <v>979</v>
      </c>
      <c r="C710" s="45" t="s">
        <v>980</v>
      </c>
      <c r="D710" s="46" t="str">
        <f>Source!H251</f>
        <v>1000 м</v>
      </c>
      <c r="E710" s="47">
        <f>Source!K251</f>
        <v>1.7999999999999999E-2</v>
      </c>
      <c r="F710" s="47"/>
      <c r="G710" s="47">
        <f>Source!I251</f>
        <v>1.7999999999999999E-2</v>
      </c>
      <c r="H710" s="49"/>
      <c r="I710" s="48"/>
      <c r="J710" s="49"/>
      <c r="K710" s="48"/>
      <c r="L710" s="49"/>
    </row>
    <row r="711" spans="1:83" ht="331.5" x14ac:dyDescent="0.2">
      <c r="B711" s="61" t="str">
        <f>Source!EO251</f>
        <v>Поправка: 421/пр_2020_прил.10_т.5_п.1.1_гр.3
Поправка: 421/пр_2020_п.58_пп.б</v>
      </c>
      <c r="C711" s="61" t="str">
        <f>Source!CN251</f>
        <v>Поправка: 421/пр_2020_прил.10_т.5_п.1.1_гр.3
Наименование: Производство ремонтно-строительных работ осуществляется в помещениях эксплуатируемого объекта капитального строительства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
Поправка: 421/пр_2020_п.58_пп.б
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v>
      </c>
    </row>
    <row r="712" spans="1:83" x14ac:dyDescent="0.2">
      <c r="C712" s="50" t="str">
        <f>"Объем: "&amp;Source!I251&amp;"=(18)/"&amp;"1000"</f>
        <v>Объем: 0,018=(18)/1000</v>
      </c>
    </row>
    <row r="713" spans="1:83" ht="15" x14ac:dyDescent="0.2">
      <c r="A713" s="44"/>
      <c r="B713" s="47">
        <v>1</v>
      </c>
      <c r="C713" s="44" t="s">
        <v>786</v>
      </c>
      <c r="D713" s="46" t="s">
        <v>541</v>
      </c>
      <c r="E713" s="51"/>
      <c r="F713" s="47"/>
      <c r="G713" s="47">
        <f>Source!U251</f>
        <v>0.40166279999999999</v>
      </c>
      <c r="H713" s="47"/>
      <c r="I713" s="47"/>
      <c r="J713" s="47"/>
      <c r="K713" s="47"/>
      <c r="L713" s="52">
        <f>SUM(L714:L714)-SUMIF(CE714:CE714, 1, L714:L714)</f>
        <v>248.9</v>
      </c>
    </row>
    <row r="714" spans="1:83" ht="14.25" x14ac:dyDescent="0.2">
      <c r="A714" s="45"/>
      <c r="B714" s="45" t="s">
        <v>684</v>
      </c>
      <c r="C714" s="45" t="s">
        <v>685</v>
      </c>
      <c r="D714" s="46" t="s">
        <v>541</v>
      </c>
      <c r="E714" s="47">
        <v>16.170000000000002</v>
      </c>
      <c r="F714" s="47">
        <f>ROUND((0.2+1)*1.15,7)</f>
        <v>1.38</v>
      </c>
      <c r="G714" s="47">
        <f>SmtRes!CX235</f>
        <v>0.40166279999999999</v>
      </c>
      <c r="H714" s="49"/>
      <c r="I714" s="48"/>
      <c r="J714" s="49">
        <f>SmtRes!CZ235</f>
        <v>619.66999999999996</v>
      </c>
      <c r="K714" s="48"/>
      <c r="L714" s="49">
        <f>SmtRes!DI235</f>
        <v>248.9</v>
      </c>
    </row>
    <row r="715" spans="1:83" ht="15" x14ac:dyDescent="0.2">
      <c r="A715" s="44"/>
      <c r="B715" s="47">
        <v>4</v>
      </c>
      <c r="C715" s="44" t="s">
        <v>802</v>
      </c>
      <c r="D715" s="46"/>
      <c r="E715" s="51"/>
      <c r="F715" s="47"/>
      <c r="G715" s="47"/>
      <c r="H715" s="47"/>
      <c r="I715" s="47"/>
      <c r="J715" s="47"/>
      <c r="K715" s="47"/>
      <c r="L715" s="52">
        <f>SUM(L716:L717)-SUMIF(CE716:CE717, 1, L716:L717)</f>
        <v>0.36</v>
      </c>
    </row>
    <row r="716" spans="1:83" ht="14.25" x14ac:dyDescent="0.2">
      <c r="A716" s="45"/>
      <c r="B716" s="45" t="s">
        <v>686</v>
      </c>
      <c r="C716" s="45" t="s">
        <v>688</v>
      </c>
      <c r="D716" s="46" t="s">
        <v>649</v>
      </c>
      <c r="E716" s="47">
        <v>0.06</v>
      </c>
      <c r="F716" s="47"/>
      <c r="G716" s="47">
        <f>SmtRes!CX239</f>
        <v>1.08E-3</v>
      </c>
      <c r="H716" s="49">
        <f>SmtRes!CZ239</f>
        <v>35.71</v>
      </c>
      <c r="I716" s="48">
        <f>SmtRes!AI239</f>
        <v>1.53</v>
      </c>
      <c r="J716" s="49">
        <f>ROUND(H716*I716, 2)</f>
        <v>54.64</v>
      </c>
      <c r="K716" s="48"/>
      <c r="L716" s="49">
        <f>SmtRes!DF239</f>
        <v>0.06</v>
      </c>
    </row>
    <row r="717" spans="1:83" ht="14.25" x14ac:dyDescent="0.2">
      <c r="A717" s="45"/>
      <c r="B717" s="45" t="s">
        <v>669</v>
      </c>
      <c r="C717" s="45" t="s">
        <v>671</v>
      </c>
      <c r="D717" s="46" t="s">
        <v>170</v>
      </c>
      <c r="E717" s="47">
        <v>0.19</v>
      </c>
      <c r="F717" s="47"/>
      <c r="G717" s="47">
        <f>SmtRes!CX240</f>
        <v>3.4199999999999999E-3</v>
      </c>
      <c r="H717" s="49">
        <f>SmtRes!CZ240</f>
        <v>56.11</v>
      </c>
      <c r="I717" s="48">
        <f>SmtRes!AI240</f>
        <v>1.54</v>
      </c>
      <c r="J717" s="49">
        <f>ROUND(H717*I717, 2)</f>
        <v>86.41</v>
      </c>
      <c r="K717" s="48"/>
      <c r="L717" s="49">
        <f>SmtRes!DF240</f>
        <v>0.3</v>
      </c>
    </row>
    <row r="718" spans="1:83" ht="14.25" x14ac:dyDescent="0.2">
      <c r="A718" s="45"/>
      <c r="B718" s="45" t="str">
        <f>EtalonRes!I220</f>
        <v>04.3.02.09</v>
      </c>
      <c r="C718" s="53" t="str">
        <f>EtalonRes!K220</f>
        <v>Смеси сухие фуговочные</v>
      </c>
      <c r="D718" s="54" t="str">
        <f>EtalonRes!O220</f>
        <v>т</v>
      </c>
      <c r="E718" s="55">
        <f>EtalonRes!X220</f>
        <v>0.05</v>
      </c>
      <c r="F718" s="55"/>
      <c r="G718" s="55">
        <f>ROUND(EtalonRes!AG220*Source!I251, 7)</f>
        <v>8.9999999999999998E-4</v>
      </c>
      <c r="H718" s="56"/>
      <c r="I718" s="57"/>
      <c r="J718" s="56"/>
      <c r="K718" s="57"/>
      <c r="L718" s="56"/>
    </row>
    <row r="719" spans="1:83" ht="15" x14ac:dyDescent="0.2">
      <c r="A719" s="45"/>
      <c r="B719" s="45"/>
      <c r="C719" s="59" t="s">
        <v>787</v>
      </c>
      <c r="D719" s="46"/>
      <c r="E719" s="47"/>
      <c r="F719" s="47"/>
      <c r="G719" s="47"/>
      <c r="H719" s="49"/>
      <c r="I719" s="48"/>
      <c r="J719" s="49"/>
      <c r="K719" s="48"/>
      <c r="L719" s="49">
        <f>L713+L715</f>
        <v>249.26000000000002</v>
      </c>
    </row>
    <row r="720" spans="1:83" ht="114" x14ac:dyDescent="0.2">
      <c r="A720" s="43" t="s">
        <v>981</v>
      </c>
      <c r="B720" s="45" t="str">
        <f>Source!F252</f>
        <v>04.3.02.09-1206</v>
      </c>
      <c r="C720" s="45" t="str">
        <f>Source!G252</f>
        <v>Смеси сухие фуговочные на цементной основе и модифицирующих добавок для заполнения широких и узких швов между клинкерным кирпичом и плиткой из натурального, искусственного камня, керамики, бетона и керамогранита, расход 0,4-0,6 кг/м2, цветные</v>
      </c>
      <c r="D720" s="46" t="str">
        <f>Source!H252</f>
        <v>кг</v>
      </c>
      <c r="E720" s="47">
        <f>SmtRes!AT241</f>
        <v>50</v>
      </c>
      <c r="F720" s="47"/>
      <c r="G720" s="47">
        <f>Source!I252</f>
        <v>0.9</v>
      </c>
      <c r="H720" s="49">
        <f>Source!AL252+Source!AO252+Source!AM252+Source!AN252</f>
        <v>63.18</v>
      </c>
      <c r="I720" s="48">
        <f>IF(Source!BC252&lt;&gt; 0, Source!BC252, 1)</f>
        <v>1.96</v>
      </c>
      <c r="J720" s="49">
        <f>ROUND(H720*I720, 2)</f>
        <v>123.83</v>
      </c>
      <c r="K720" s="48"/>
      <c r="L720" s="49">
        <f>Source!P252</f>
        <v>111.45</v>
      </c>
      <c r="AD720">
        <f>ROUND((Source!AT252/100)*((ROUND(ROUND(Source!AO252,2)*Source!I252, 2)+ROUND(ROUND(Source!AN252,2)*Source!I252, 2))), 2)</f>
        <v>0</v>
      </c>
      <c r="AE720">
        <f>ROUND((Source!AU252/100)*((ROUND(ROUND(Source!AO252,2)*Source!I252, 2)+ROUND(ROUND(Source!AN252,2)*Source!I252, 2))), 2)</f>
        <v>0</v>
      </c>
      <c r="AN720">
        <f>L720</f>
        <v>111.45</v>
      </c>
      <c r="AW720">
        <f>L720</f>
        <v>111.45</v>
      </c>
      <c r="AZ720">
        <f>Source!X252</f>
        <v>0</v>
      </c>
      <c r="BA720">
        <f>Source!Y252</f>
        <v>0</v>
      </c>
      <c r="CD720">
        <v>1</v>
      </c>
    </row>
    <row r="721" spans="1:101" ht="57" x14ac:dyDescent="0.2">
      <c r="A721" s="43" t="s">
        <v>982</v>
      </c>
      <c r="B721" s="45" t="str">
        <f>Source!F253</f>
        <v>91.06.06-048</v>
      </c>
      <c r="C721" s="45" t="s">
        <v>788</v>
      </c>
      <c r="D721" s="46" t="str">
        <f>Source!H253</f>
        <v>маш.-ч</v>
      </c>
      <c r="E721" s="47">
        <f>SmtRes!AT237</f>
        <v>-1.4999999999999999E-2</v>
      </c>
      <c r="F721" s="47">
        <f>ROUND((0.2+1)*1.25,7)</f>
        <v>1.5</v>
      </c>
      <c r="G721" s="47">
        <f>Source!I253</f>
        <v>-4.0499999999999998E-4</v>
      </c>
      <c r="H721" s="49">
        <f>Source!AL253+Source!AO253+Source!AM253+Source!AN253</f>
        <v>678.54000000000008</v>
      </c>
      <c r="I721" s="48">
        <f>IF(Source!BB253&lt;&gt; 0, Source!BB253, 1)</f>
        <v>1.54</v>
      </c>
      <c r="J721" s="49">
        <f>ROUND(H721*I721, 2)</f>
        <v>1044.95</v>
      </c>
      <c r="K721" s="48"/>
      <c r="L721" s="49">
        <f>Source!Q253</f>
        <v>-0.02</v>
      </c>
      <c r="AD721">
        <f>ROUND((Source!AT253/100)*((ROUND(ROUND(Source!AO253,2)*Source!I253, 2)+ROUND(ROUND(Source!AN253,2)*Source!I253, 2))), 2)</f>
        <v>-0.26</v>
      </c>
      <c r="AE721">
        <f>ROUND((Source!AU253/100)*((ROUND(ROUND(Source!AO253,2)*Source!I253, 2)+ROUND(ROUND(Source!AN253,2)*Source!I253, 2))), 2)</f>
        <v>-0.13</v>
      </c>
      <c r="AN721">
        <f>L721</f>
        <v>-0.02</v>
      </c>
      <c r="AO721">
        <f>L721</f>
        <v>-0.02</v>
      </c>
      <c r="AT721">
        <f>Source!R253</f>
        <v>-0.26</v>
      </c>
      <c r="AZ721">
        <f>Source!X253</f>
        <v>-0.26</v>
      </c>
      <c r="BA721">
        <f>Source!Y253</f>
        <v>-0.13</v>
      </c>
      <c r="CD721">
        <v>1</v>
      </c>
    </row>
    <row r="722" spans="1:101" ht="114.75" x14ac:dyDescent="0.2">
      <c r="B722" s="61" t="str">
        <f>Source!EO253</f>
        <v>Поправка: 421/пр_2020_прил.10_т.5_п.1.1_гр.3
Поправка: 421/пр_2020_п.58_пп.б</v>
      </c>
      <c r="C722" s="91" t="s">
        <v>921</v>
      </c>
      <c r="D722" s="91"/>
      <c r="E722" s="91"/>
      <c r="F722" s="91"/>
      <c r="G722" s="91"/>
      <c r="H722" s="91"/>
      <c r="I722" s="91"/>
      <c r="J722" s="91"/>
      <c r="K722" s="91"/>
      <c r="L722" s="91"/>
      <c r="CW722" s="62" t="s">
        <v>921</v>
      </c>
    </row>
    <row r="723" spans="1:101" ht="28.5" x14ac:dyDescent="0.2">
      <c r="A723" s="45"/>
      <c r="B723" s="45" t="s">
        <v>544</v>
      </c>
      <c r="C723" s="45" t="s">
        <v>789</v>
      </c>
      <c r="D723" s="46" t="s">
        <v>541</v>
      </c>
      <c r="E723" s="47">
        <f>SmtRes!DO237*SmtRes!AT237</f>
        <v>-1.4999999999999999E-2</v>
      </c>
      <c r="F723" s="47">
        <f>ROUND((0.2+1)*1.25,7)</f>
        <v>1.5</v>
      </c>
      <c r="G723" s="47">
        <f>ROUND(E723*F723*G710, 7)</f>
        <v>-4.0499999999999998E-4</v>
      </c>
      <c r="H723" s="49"/>
      <c r="I723" s="48"/>
      <c r="J723" s="49">
        <f>ROUND(SmtRes!AG237/SmtRes!DO237, 2)</f>
        <v>641.22</v>
      </c>
      <c r="K723" s="48"/>
      <c r="L723" s="49">
        <f>SmtRes!DH237</f>
        <v>-0.26</v>
      </c>
      <c r="CE723">
        <v>1</v>
      </c>
    </row>
    <row r="724" spans="1:101" ht="42.75" x14ac:dyDescent="0.2">
      <c r="A724" s="43" t="s">
        <v>983</v>
      </c>
      <c r="B724" s="45" t="str">
        <f>Source!F254</f>
        <v>91.14.02-001</v>
      </c>
      <c r="C724" s="45" t="s">
        <v>831</v>
      </c>
      <c r="D724" s="46" t="str">
        <f>Source!H254</f>
        <v>маш.-ч</v>
      </c>
      <c r="E724" s="47">
        <f>SmtRes!AT238</f>
        <v>-0.06</v>
      </c>
      <c r="F724" s="47">
        <f>ROUND((0.2+1)*1.25,7)</f>
        <v>1.5</v>
      </c>
      <c r="G724" s="47">
        <f>Source!I254</f>
        <v>-1.6199999999999999E-3</v>
      </c>
      <c r="H724" s="49"/>
      <c r="I724" s="48"/>
      <c r="J724" s="49">
        <f>Source!AK254</f>
        <v>643.29</v>
      </c>
      <c r="K724" s="48"/>
      <c r="L724" s="49">
        <f>Source!Q254</f>
        <v>-1.04</v>
      </c>
      <c r="AD724">
        <f>ROUND((Source!AT254/100)*((ROUND(ROUND(Source!AO254,2)*Source!I254, 2)+ROUND(ROUND(Source!AN254,2)*Source!I254, 2))), 2)</f>
        <v>-1.17</v>
      </c>
      <c r="AE724">
        <f>ROUND((Source!AU254/100)*((ROUND(ROUND(Source!AO254,2)*Source!I254, 2)+ROUND(ROUND(Source!AN254,2)*Source!I254, 2))), 2)</f>
        <v>-0.56999999999999995</v>
      </c>
      <c r="AN724">
        <f>L724</f>
        <v>-1.04</v>
      </c>
      <c r="AO724">
        <f>L724</f>
        <v>-1.04</v>
      </c>
      <c r="AT724">
        <f>Source!R254</f>
        <v>-1.17</v>
      </c>
      <c r="AZ724">
        <f>Source!X254</f>
        <v>-1.17</v>
      </c>
      <c r="BA724">
        <f>Source!Y254</f>
        <v>-0.56999999999999995</v>
      </c>
      <c r="CD724">
        <v>1</v>
      </c>
    </row>
    <row r="725" spans="1:101" ht="114.75" x14ac:dyDescent="0.2">
      <c r="B725" s="61" t="str">
        <f>Source!EO254</f>
        <v>Поправка: 421/пр_2020_прил.10_т.5_п.1.1_гр.3
Поправка: 421/пр_2020_п.58_пп.б</v>
      </c>
      <c r="C725" s="91" t="s">
        <v>921</v>
      </c>
      <c r="D725" s="91"/>
      <c r="E725" s="91"/>
      <c r="F725" s="91"/>
      <c r="G725" s="91"/>
      <c r="H725" s="91"/>
      <c r="I725" s="91"/>
      <c r="J725" s="91"/>
      <c r="K725" s="91"/>
      <c r="L725" s="91"/>
      <c r="CW725" s="62" t="s">
        <v>921</v>
      </c>
    </row>
    <row r="726" spans="1:101" ht="28.5" x14ac:dyDescent="0.2">
      <c r="A726" s="45"/>
      <c r="B726" s="45" t="s">
        <v>600</v>
      </c>
      <c r="C726" s="45" t="s">
        <v>832</v>
      </c>
      <c r="D726" s="46" t="s">
        <v>541</v>
      </c>
      <c r="E726" s="47">
        <f>SmtRes!DO238*SmtRes!AT238</f>
        <v>-0.06</v>
      </c>
      <c r="F726" s="47">
        <f>ROUND((0.2+1)*1.25,7)</f>
        <v>1.5</v>
      </c>
      <c r="G726" s="47">
        <f>ROUND(E726*F726*G710, 7)</f>
        <v>-1.6199999999999999E-3</v>
      </c>
      <c r="H726" s="49"/>
      <c r="I726" s="48"/>
      <c r="J726" s="49">
        <f>ROUND(SmtRes!AG238/SmtRes!DO238, 2)</f>
        <v>722.05</v>
      </c>
      <c r="K726" s="48"/>
      <c r="L726" s="49">
        <f>SmtRes!DH238</f>
        <v>-1.17</v>
      </c>
      <c r="CE726">
        <v>1</v>
      </c>
    </row>
    <row r="727" spans="1:101" ht="14.25" x14ac:dyDescent="0.2">
      <c r="A727" s="45"/>
      <c r="B727" s="45"/>
      <c r="C727" s="45" t="s">
        <v>790</v>
      </c>
      <c r="D727" s="46"/>
      <c r="E727" s="47"/>
      <c r="F727" s="47"/>
      <c r="G727" s="47"/>
      <c r="H727" s="49"/>
      <c r="I727" s="48"/>
      <c r="J727" s="49"/>
      <c r="K727" s="48"/>
      <c r="L727" s="49">
        <f>SUM(AR710:AR730)+SUM(AS710:AS730)+SUM(AT710:AT730)+SUM(AU710:AU730)+SUM(AV710:AV730)</f>
        <v>247.47</v>
      </c>
    </row>
    <row r="728" spans="1:101" ht="14.25" x14ac:dyDescent="0.2">
      <c r="A728" s="45"/>
      <c r="B728" s="45" t="s">
        <v>421</v>
      </c>
      <c r="C728" s="45" t="s">
        <v>964</v>
      </c>
      <c r="D728" s="46" t="s">
        <v>57</v>
      </c>
      <c r="E728" s="47">
        <f>Source!BZ251</f>
        <v>100</v>
      </c>
      <c r="F728" s="47"/>
      <c r="G728" s="47">
        <f>Source!AT251</f>
        <v>100</v>
      </c>
      <c r="H728" s="49"/>
      <c r="I728" s="48"/>
      <c r="J728" s="49"/>
      <c r="K728" s="48"/>
      <c r="L728" s="49">
        <f>SUM(AZ710:AZ730)</f>
        <v>247.47</v>
      </c>
    </row>
    <row r="729" spans="1:101" ht="28.5" x14ac:dyDescent="0.2">
      <c r="A729" s="53"/>
      <c r="B729" s="53" t="s">
        <v>965</v>
      </c>
      <c r="C729" s="53" t="s">
        <v>966</v>
      </c>
      <c r="D729" s="54" t="s">
        <v>57</v>
      </c>
      <c r="E729" s="55">
        <f>Source!CA251</f>
        <v>49</v>
      </c>
      <c r="F729" s="55">
        <f>ROUND(0.85,7)</f>
        <v>0.85</v>
      </c>
      <c r="G729" s="55">
        <f>Source!AU251</f>
        <v>41.65</v>
      </c>
      <c r="H729" s="56"/>
      <c r="I729" s="57"/>
      <c r="J729" s="56"/>
      <c r="K729" s="57"/>
      <c r="L729" s="56">
        <f>SUM(BA710:BA730)</f>
        <v>102.97</v>
      </c>
    </row>
    <row r="730" spans="1:101" ht="15" x14ac:dyDescent="0.2">
      <c r="C730" s="92" t="s">
        <v>793</v>
      </c>
      <c r="D730" s="92"/>
      <c r="E730" s="92"/>
      <c r="F730" s="92"/>
      <c r="G730" s="92"/>
      <c r="H730" s="92"/>
      <c r="I730" s="93">
        <f>IF(E710&lt;&gt;0,K730/E710, 0)</f>
        <v>39370.000000000007</v>
      </c>
      <c r="J730" s="93"/>
      <c r="K730" s="93">
        <f>L713+L715+L728+L729+SUM(L720:L726)</f>
        <v>708.66000000000008</v>
      </c>
      <c r="L730" s="93"/>
      <c r="AD730">
        <f>ROUND((Source!AT251/100)*((ROUND(SUMIF(SmtRes!AQ235:'SmtRes'!AQ241,"=1",SmtRes!AD235:'SmtRes'!AD241)*Source!I251, 2)+ROUND(SUMIF(SmtRes!AQ235:'SmtRes'!AQ241,"=1",SmtRes!AC235:'SmtRes'!AC241)*Source!I251, 2))), 2)</f>
        <v>11.15</v>
      </c>
      <c r="AE730">
        <f>ROUND((Source!AU251/100)*((ROUND(SUMIF(SmtRes!AQ235:'SmtRes'!AQ241,"=1",SmtRes!AD235:'SmtRes'!AD241)*Source!I251, 2)+ROUND(SUMIF(SmtRes!AQ235:'SmtRes'!AQ241,"=1",SmtRes!AC235:'SmtRes'!AC241)*Source!I251, 2))), 2)</f>
        <v>4.6399999999999997</v>
      </c>
      <c r="AN730" s="58">
        <f>L713+L715+L728+L729</f>
        <v>599.70000000000005</v>
      </c>
      <c r="AO730">
        <f>0</f>
        <v>0</v>
      </c>
      <c r="AQ730" t="s">
        <v>794</v>
      </c>
      <c r="AR730" s="58">
        <f>L713</f>
        <v>248.9</v>
      </c>
      <c r="AT730">
        <f>0</f>
        <v>0</v>
      </c>
      <c r="AV730" t="s">
        <v>794</v>
      </c>
      <c r="AW730" s="58">
        <f>L715</f>
        <v>0.36</v>
      </c>
      <c r="AZ730">
        <f>Source!X251</f>
        <v>248.9</v>
      </c>
      <c r="BA730">
        <f>Source!Y251</f>
        <v>103.67</v>
      </c>
      <c r="CD730">
        <v>1</v>
      </c>
    </row>
    <row r="732" spans="1:101" ht="15" x14ac:dyDescent="0.2">
      <c r="A732" s="64"/>
      <c r="B732" s="65"/>
      <c r="C732" s="86" t="s">
        <v>864</v>
      </c>
      <c r="D732" s="86"/>
      <c r="E732" s="86"/>
      <c r="F732" s="86"/>
      <c r="G732" s="86"/>
      <c r="H732" s="86"/>
      <c r="I732" s="52"/>
      <c r="J732" s="64"/>
      <c r="K732" s="66"/>
      <c r="L732" s="52">
        <f>L734+L735+L741+L745</f>
        <v>37863.420000000006</v>
      </c>
    </row>
    <row r="733" spans="1:101" ht="14.25" x14ac:dyDescent="0.2">
      <c r="A733" s="60"/>
      <c r="B733" s="63"/>
      <c r="C733" s="89" t="s">
        <v>865</v>
      </c>
      <c r="D733" s="87"/>
      <c r="E733" s="87"/>
      <c r="F733" s="87"/>
      <c r="G733" s="87"/>
      <c r="H733" s="87"/>
      <c r="I733" s="49"/>
      <c r="J733" s="60"/>
      <c r="K733" s="47"/>
      <c r="L733" s="49"/>
    </row>
    <row r="734" spans="1:101" ht="14.25" x14ac:dyDescent="0.2">
      <c r="A734" s="60"/>
      <c r="B734" s="63"/>
      <c r="C734" s="87" t="s">
        <v>866</v>
      </c>
      <c r="D734" s="87"/>
      <c r="E734" s="87"/>
      <c r="F734" s="87"/>
      <c r="G734" s="87"/>
      <c r="H734" s="87"/>
      <c r="I734" s="49"/>
      <c r="J734" s="60"/>
      <c r="K734" s="47"/>
      <c r="L734" s="49">
        <f>SUM(AR514:AR730)</f>
        <v>16603.280000000002</v>
      </c>
    </row>
    <row r="735" spans="1:101" ht="14.25" hidden="1" x14ac:dyDescent="0.2">
      <c r="A735" s="60"/>
      <c r="B735" s="63"/>
      <c r="C735" s="87" t="s">
        <v>867</v>
      </c>
      <c r="D735" s="87"/>
      <c r="E735" s="87"/>
      <c r="F735" s="87"/>
      <c r="G735" s="87"/>
      <c r="H735" s="87"/>
      <c r="I735" s="49"/>
      <c r="J735" s="60"/>
      <c r="K735" s="47"/>
      <c r="L735" s="49">
        <f>L737+L740+L739</f>
        <v>-56.1</v>
      </c>
    </row>
    <row r="736" spans="1:101" ht="14.25" hidden="1" x14ac:dyDescent="0.2">
      <c r="A736" s="60"/>
      <c r="B736" s="63"/>
      <c r="C736" s="89" t="s">
        <v>868</v>
      </c>
      <c r="D736" s="87"/>
      <c r="E736" s="87"/>
      <c r="F736" s="87"/>
      <c r="G736" s="87"/>
      <c r="H736" s="87"/>
      <c r="I736" s="49"/>
      <c r="J736" s="60"/>
      <c r="K736" s="47"/>
      <c r="L736" s="49"/>
    </row>
    <row r="737" spans="1:12" ht="14.25" x14ac:dyDescent="0.2">
      <c r="A737" s="60"/>
      <c r="B737" s="63"/>
      <c r="C737" s="87" t="s">
        <v>867</v>
      </c>
      <c r="D737" s="87"/>
      <c r="E737" s="87"/>
      <c r="F737" s="87"/>
      <c r="G737" s="87"/>
      <c r="H737" s="87"/>
      <c r="I737" s="49"/>
      <c r="J737" s="60"/>
      <c r="K737" s="47"/>
      <c r="L737" s="49">
        <f>SUM(AO514:AO730)</f>
        <v>-51.28</v>
      </c>
    </row>
    <row r="738" spans="1:12" ht="14.25" hidden="1" x14ac:dyDescent="0.2">
      <c r="A738" s="60"/>
      <c r="B738" s="63"/>
      <c r="C738" s="89" t="s">
        <v>869</v>
      </c>
      <c r="D738" s="87"/>
      <c r="E738" s="87"/>
      <c r="F738" s="87"/>
      <c r="G738" s="87"/>
      <c r="H738" s="87"/>
      <c r="I738" s="49"/>
      <c r="J738" s="60"/>
      <c r="K738" s="47"/>
      <c r="L738" s="49"/>
    </row>
    <row r="739" spans="1:12" ht="14.25" x14ac:dyDescent="0.2">
      <c r="A739" s="60"/>
      <c r="B739" s="63"/>
      <c r="C739" s="87" t="s">
        <v>889</v>
      </c>
      <c r="D739" s="87"/>
      <c r="E739" s="87"/>
      <c r="F739" s="87"/>
      <c r="G739" s="87"/>
      <c r="H739" s="87"/>
      <c r="I739" s="49"/>
      <c r="J739" s="60"/>
      <c r="K739" s="47"/>
      <c r="L739" s="49">
        <f>SUM(AT514:AT730)</f>
        <v>-4.82</v>
      </c>
    </row>
    <row r="740" spans="1:12" ht="14.25" hidden="1" x14ac:dyDescent="0.2">
      <c r="A740" s="60"/>
      <c r="B740" s="63"/>
      <c r="C740" s="87" t="s">
        <v>870</v>
      </c>
      <c r="D740" s="87"/>
      <c r="E740" s="87"/>
      <c r="F740" s="87"/>
      <c r="G740" s="87"/>
      <c r="H740" s="87"/>
      <c r="I740" s="49"/>
      <c r="J740" s="60"/>
      <c r="K740" s="47"/>
      <c r="L740" s="49">
        <f>SUM(AV514:AV730)</f>
        <v>0</v>
      </c>
    </row>
    <row r="741" spans="1:12" ht="14.25" x14ac:dyDescent="0.2">
      <c r="A741" s="60"/>
      <c r="B741" s="63"/>
      <c r="C741" s="87" t="s">
        <v>871</v>
      </c>
      <c r="D741" s="87"/>
      <c r="E741" s="87"/>
      <c r="F741" s="87"/>
      <c r="G741" s="87"/>
      <c r="H741" s="87"/>
      <c r="I741" s="49"/>
      <c r="J741" s="60"/>
      <c r="K741" s="47"/>
      <c r="L741" s="49">
        <f>L743+L744</f>
        <v>21316.240000000002</v>
      </c>
    </row>
    <row r="742" spans="1:12" ht="14.25" x14ac:dyDescent="0.2">
      <c r="A742" s="60"/>
      <c r="B742" s="63"/>
      <c r="C742" s="89" t="s">
        <v>868</v>
      </c>
      <c r="D742" s="87"/>
      <c r="E742" s="87"/>
      <c r="F742" s="87"/>
      <c r="G742" s="87"/>
      <c r="H742" s="87"/>
      <c r="I742" s="49"/>
      <c r="J742" s="60"/>
      <c r="K742" s="47"/>
      <c r="L742" s="49"/>
    </row>
    <row r="743" spans="1:12" ht="14.25" x14ac:dyDescent="0.2">
      <c r="A743" s="60"/>
      <c r="B743" s="63"/>
      <c r="C743" s="87" t="s">
        <v>872</v>
      </c>
      <c r="D743" s="87"/>
      <c r="E743" s="87"/>
      <c r="F743" s="87"/>
      <c r="G743" s="87"/>
      <c r="H743" s="87"/>
      <c r="I743" s="49"/>
      <c r="J743" s="60"/>
      <c r="K743" s="47"/>
      <c r="L743" s="49">
        <f>SUM(AW514:AW730)-SUM(BK514:BK730)</f>
        <v>21316.240000000002</v>
      </c>
    </row>
    <row r="744" spans="1:12" ht="14.25" hidden="1" x14ac:dyDescent="0.2">
      <c r="A744" s="60"/>
      <c r="B744" s="63"/>
      <c r="C744" s="87" t="s">
        <v>873</v>
      </c>
      <c r="D744" s="87"/>
      <c r="E744" s="87"/>
      <c r="F744" s="87"/>
      <c r="G744" s="87"/>
      <c r="H744" s="87"/>
      <c r="I744" s="49"/>
      <c r="J744" s="60"/>
      <c r="K744" s="47"/>
      <c r="L744" s="49">
        <f>SUM(BC514:BC730)</f>
        <v>0</v>
      </c>
    </row>
    <row r="745" spans="1:12" ht="14.25" hidden="1" x14ac:dyDescent="0.2">
      <c r="A745" s="60"/>
      <c r="B745" s="63"/>
      <c r="C745" s="87" t="s">
        <v>874</v>
      </c>
      <c r="D745" s="87"/>
      <c r="E745" s="87"/>
      <c r="F745" s="87"/>
      <c r="G745" s="87"/>
      <c r="H745" s="87"/>
      <c r="I745" s="49"/>
      <c r="J745" s="60"/>
      <c r="K745" s="47"/>
      <c r="L745" s="49">
        <f>SUM(BB514:BB730)</f>
        <v>0</v>
      </c>
    </row>
    <row r="746" spans="1:12" ht="14.25" x14ac:dyDescent="0.2">
      <c r="A746" s="60"/>
      <c r="B746" s="63"/>
      <c r="C746" s="87" t="s">
        <v>875</v>
      </c>
      <c r="D746" s="87"/>
      <c r="E746" s="87"/>
      <c r="F746" s="87"/>
      <c r="G746" s="87"/>
      <c r="H746" s="87"/>
      <c r="I746" s="49"/>
      <c r="J746" s="60"/>
      <c r="K746" s="47"/>
      <c r="L746" s="49">
        <f>SUM(AR514:AR730)+SUM(AT514:AT730)+SUM(AV514:AV730)</f>
        <v>16598.460000000003</v>
      </c>
    </row>
    <row r="747" spans="1:12" ht="14.25" x14ac:dyDescent="0.2">
      <c r="A747" s="60"/>
      <c r="B747" s="63"/>
      <c r="C747" s="87" t="s">
        <v>876</v>
      </c>
      <c r="D747" s="87"/>
      <c r="E747" s="87"/>
      <c r="F747" s="87"/>
      <c r="G747" s="87"/>
      <c r="H747" s="87"/>
      <c r="I747" s="49"/>
      <c r="J747" s="60"/>
      <c r="K747" s="47"/>
      <c r="L747" s="49">
        <f>SUM(AZ514:AZ730)</f>
        <v>16208.449999999999</v>
      </c>
    </row>
    <row r="748" spans="1:12" ht="14.25" x14ac:dyDescent="0.2">
      <c r="A748" s="60"/>
      <c r="B748" s="63"/>
      <c r="C748" s="87" t="s">
        <v>877</v>
      </c>
      <c r="D748" s="87"/>
      <c r="E748" s="87"/>
      <c r="F748" s="87"/>
      <c r="G748" s="87"/>
      <c r="H748" s="87"/>
      <c r="I748" s="49"/>
      <c r="J748" s="60"/>
      <c r="K748" s="47"/>
      <c r="L748" s="49">
        <f>SUM(BA514:BA730)</f>
        <v>7817.6299999999992</v>
      </c>
    </row>
    <row r="749" spans="1:12" ht="14.25" hidden="1" x14ac:dyDescent="0.2">
      <c r="A749" s="60"/>
      <c r="B749" s="63"/>
      <c r="C749" s="87" t="s">
        <v>878</v>
      </c>
      <c r="D749" s="87"/>
      <c r="E749" s="87"/>
      <c r="F749" s="87"/>
      <c r="G749" s="87"/>
      <c r="H749" s="87"/>
      <c r="I749" s="49"/>
      <c r="J749" s="60"/>
      <c r="K749" s="47"/>
      <c r="L749" s="49">
        <f>L751+L752</f>
        <v>0</v>
      </c>
    </row>
    <row r="750" spans="1:12" ht="14.25" hidden="1" x14ac:dyDescent="0.2">
      <c r="A750" s="60"/>
      <c r="B750" s="63"/>
      <c r="C750" s="89" t="s">
        <v>865</v>
      </c>
      <c r="D750" s="87"/>
      <c r="E750" s="87"/>
      <c r="F750" s="87"/>
      <c r="G750" s="87"/>
      <c r="H750" s="87"/>
      <c r="I750" s="49"/>
      <c r="J750" s="60"/>
      <c r="K750" s="47"/>
      <c r="L750" s="49"/>
    </row>
    <row r="751" spans="1:12" ht="14.25" hidden="1" x14ac:dyDescent="0.2">
      <c r="A751" s="60"/>
      <c r="B751" s="63"/>
      <c r="C751" s="87" t="s">
        <v>879</v>
      </c>
      <c r="D751" s="87"/>
      <c r="E751" s="87"/>
      <c r="F751" s="87"/>
      <c r="G751" s="87"/>
      <c r="H751" s="87"/>
      <c r="I751" s="49"/>
      <c r="J751" s="60"/>
      <c r="K751" s="47"/>
      <c r="L751" s="49">
        <f>SUM(BK514:BK730)</f>
        <v>0</v>
      </c>
    </row>
    <row r="752" spans="1:12" ht="14.25" hidden="1" x14ac:dyDescent="0.2">
      <c r="A752" s="60"/>
      <c r="B752" s="63"/>
      <c r="C752" s="87" t="s">
        <v>880</v>
      </c>
      <c r="D752" s="87"/>
      <c r="E752" s="87"/>
      <c r="F752" s="87"/>
      <c r="G752" s="87"/>
      <c r="H752" s="87"/>
      <c r="I752" s="49"/>
      <c r="J752" s="60"/>
      <c r="K752" s="47"/>
      <c r="L752" s="49">
        <f>SUM(BD514:BD730)</f>
        <v>0</v>
      </c>
    </row>
    <row r="753" spans="1:12" ht="14.25" hidden="1" x14ac:dyDescent="0.2">
      <c r="A753" s="60"/>
      <c r="B753" s="63"/>
      <c r="C753" s="87" t="s">
        <v>881</v>
      </c>
      <c r="D753" s="87"/>
      <c r="E753" s="87"/>
      <c r="F753" s="87"/>
      <c r="G753" s="87"/>
      <c r="H753" s="87"/>
      <c r="I753" s="49"/>
      <c r="J753" s="60"/>
      <c r="K753" s="47"/>
      <c r="L753" s="49"/>
    </row>
    <row r="754" spans="1:12" ht="14.25" hidden="1" x14ac:dyDescent="0.2">
      <c r="A754" s="60"/>
      <c r="B754" s="63"/>
      <c r="C754" s="87" t="s">
        <v>881</v>
      </c>
      <c r="D754" s="87"/>
      <c r="E754" s="87"/>
      <c r="F754" s="87"/>
      <c r="G754" s="87"/>
      <c r="H754" s="87"/>
      <c r="I754" s="49"/>
      <c r="J754" s="60"/>
      <c r="K754" s="47"/>
      <c r="L754" s="49">
        <f>SUM(BQ514:BQ730)</f>
        <v>0</v>
      </c>
    </row>
    <row r="755" spans="1:12" ht="14.25" hidden="1" x14ac:dyDescent="0.2">
      <c r="A755" s="60"/>
      <c r="B755" s="63"/>
      <c r="C755" s="87" t="s">
        <v>882</v>
      </c>
      <c r="D755" s="87"/>
      <c r="E755" s="87"/>
      <c r="F755" s="87"/>
      <c r="G755" s="87"/>
      <c r="H755" s="87"/>
      <c r="I755" s="49"/>
      <c r="J755" s="60"/>
      <c r="K755" s="47"/>
      <c r="L755" s="49">
        <f>SUM(BO514:BO730)</f>
        <v>0</v>
      </c>
    </row>
    <row r="756" spans="1:12" ht="15" x14ac:dyDescent="0.2">
      <c r="A756" s="64"/>
      <c r="B756" s="65"/>
      <c r="C756" s="86" t="s">
        <v>883</v>
      </c>
      <c r="D756" s="86"/>
      <c r="E756" s="86"/>
      <c r="F756" s="86"/>
      <c r="G756" s="86"/>
      <c r="H756" s="86"/>
      <c r="I756" s="52"/>
      <c r="J756" s="64"/>
      <c r="K756" s="66"/>
      <c r="L756" s="52">
        <f>L732+L747+L748+L749+L754+L755</f>
        <v>61889.5</v>
      </c>
    </row>
    <row r="757" spans="1:12" ht="14.25" x14ac:dyDescent="0.2">
      <c r="A757" s="60"/>
      <c r="B757" s="63"/>
      <c r="C757" s="89" t="s">
        <v>884</v>
      </c>
      <c r="D757" s="87"/>
      <c r="E757" s="87"/>
      <c r="F757" s="87"/>
      <c r="G757" s="87"/>
      <c r="H757" s="87"/>
      <c r="I757" s="49"/>
      <c r="J757" s="60"/>
      <c r="K757" s="47"/>
      <c r="L757" s="49"/>
    </row>
    <row r="758" spans="1:12" ht="14.25" hidden="1" x14ac:dyDescent="0.2">
      <c r="A758" s="60"/>
      <c r="B758" s="63"/>
      <c r="C758" s="87" t="s">
        <v>885</v>
      </c>
      <c r="D758" s="87"/>
      <c r="E758" s="87"/>
      <c r="F758" s="87"/>
      <c r="G758" s="87"/>
      <c r="H758" s="87"/>
      <c r="I758" s="49"/>
      <c r="J758" s="60"/>
      <c r="K758" s="47"/>
      <c r="L758" s="49">
        <f>SUM(AX514:AX730)</f>
        <v>0</v>
      </c>
    </row>
    <row r="759" spans="1:12" ht="14.25" hidden="1" x14ac:dyDescent="0.2">
      <c r="A759" s="60"/>
      <c r="B759" s="63"/>
      <c r="C759" s="87" t="s">
        <v>886</v>
      </c>
      <c r="D759" s="87"/>
      <c r="E759" s="87"/>
      <c r="F759" s="87"/>
      <c r="G759" s="87"/>
      <c r="H759" s="87"/>
      <c r="I759" s="49"/>
      <c r="J759" s="60"/>
      <c r="K759" s="47"/>
      <c r="L759" s="49">
        <f>SUM(AY514:AY730)</f>
        <v>0</v>
      </c>
    </row>
    <row r="760" spans="1:12" ht="14.25" x14ac:dyDescent="0.2">
      <c r="A760" s="60"/>
      <c r="B760" s="63"/>
      <c r="C760" s="87" t="s">
        <v>887</v>
      </c>
      <c r="D760" s="87"/>
      <c r="E760" s="87"/>
      <c r="F760" s="88"/>
      <c r="G760" s="51">
        <f>Source!F278</f>
        <v>24.0771388</v>
      </c>
      <c r="H760" s="60"/>
      <c r="I760" s="60"/>
      <c r="J760" s="60"/>
      <c r="K760" s="60"/>
      <c r="L760" s="60"/>
    </row>
    <row r="761" spans="1:12" ht="14.25" x14ac:dyDescent="0.2">
      <c r="A761" s="60"/>
      <c r="B761" s="63"/>
      <c r="C761" s="87" t="s">
        <v>888</v>
      </c>
      <c r="D761" s="87"/>
      <c r="E761" s="87"/>
      <c r="F761" s="88"/>
      <c r="G761" s="51">
        <f>Source!F279</f>
        <v>4.1999999999999997E-3</v>
      </c>
      <c r="H761" s="60"/>
      <c r="I761" s="60"/>
      <c r="J761" s="60"/>
      <c r="K761" s="60"/>
      <c r="L761" s="60"/>
    </row>
    <row r="764" spans="1:12" ht="15" x14ac:dyDescent="0.2">
      <c r="A764" s="69"/>
      <c r="B764" s="70"/>
      <c r="C764" s="90" t="s">
        <v>984</v>
      </c>
      <c r="D764" s="90"/>
      <c r="E764" s="90"/>
      <c r="F764" s="90"/>
      <c r="G764" s="90"/>
      <c r="H764" s="90"/>
      <c r="I764" s="71"/>
      <c r="J764" s="69"/>
      <c r="K764" s="72"/>
      <c r="L764" s="71"/>
    </row>
    <row r="766" spans="1:12" ht="15" x14ac:dyDescent="0.2">
      <c r="A766" s="64"/>
      <c r="B766" s="65"/>
      <c r="C766" s="86" t="s">
        <v>985</v>
      </c>
      <c r="D766" s="86"/>
      <c r="E766" s="86"/>
      <c r="F766" s="86"/>
      <c r="G766" s="86"/>
      <c r="H766" s="86"/>
      <c r="I766" s="52"/>
      <c r="J766" s="64"/>
      <c r="K766" s="66"/>
      <c r="L766" s="52">
        <f>L768+L783+L784</f>
        <v>161431.38999999998</v>
      </c>
    </row>
    <row r="767" spans="1:12" ht="14.25" x14ac:dyDescent="0.2">
      <c r="A767" s="60"/>
      <c r="B767" s="63"/>
      <c r="C767" s="89" t="s">
        <v>865</v>
      </c>
      <c r="D767" s="87"/>
      <c r="E767" s="87"/>
      <c r="F767" s="87"/>
      <c r="G767" s="87"/>
      <c r="H767" s="87"/>
      <c r="I767" s="49"/>
      <c r="J767" s="60"/>
      <c r="K767" s="47"/>
      <c r="L767" s="49"/>
    </row>
    <row r="768" spans="1:12" ht="14.25" x14ac:dyDescent="0.2">
      <c r="A768" s="60"/>
      <c r="B768" s="63"/>
      <c r="C768" s="87" t="s">
        <v>986</v>
      </c>
      <c r="D768" s="87"/>
      <c r="E768" s="87"/>
      <c r="F768" s="87"/>
      <c r="G768" s="87"/>
      <c r="H768" s="87"/>
      <c r="I768" s="49"/>
      <c r="J768" s="60"/>
      <c r="K768" s="47"/>
      <c r="L768" s="49">
        <f>L770+L771+L777+L781</f>
        <v>110982.37999999999</v>
      </c>
    </row>
    <row r="769" spans="1:12" ht="14.25" x14ac:dyDescent="0.2">
      <c r="A769" s="60"/>
      <c r="B769" s="63"/>
      <c r="C769" s="89" t="s">
        <v>865</v>
      </c>
      <c r="D769" s="87"/>
      <c r="E769" s="87"/>
      <c r="F769" s="87"/>
      <c r="G769" s="87"/>
      <c r="H769" s="87"/>
      <c r="I769" s="49"/>
      <c r="J769" s="60"/>
      <c r="K769" s="47"/>
      <c r="L769" s="49"/>
    </row>
    <row r="770" spans="1:12" ht="14.25" x14ac:dyDescent="0.2">
      <c r="A770" s="60"/>
      <c r="B770" s="63"/>
      <c r="C770" s="87" t="s">
        <v>987</v>
      </c>
      <c r="D770" s="87"/>
      <c r="E770" s="87"/>
      <c r="F770" s="87"/>
      <c r="G770" s="87"/>
      <c r="H770" s="87"/>
      <c r="I770" s="49"/>
      <c r="J770" s="60"/>
      <c r="K770" s="47"/>
      <c r="L770" s="49">
        <f>SUMIF(CD52:CD762, 1, AR52:AR762)</f>
        <v>33145.620000000003</v>
      </c>
    </row>
    <row r="771" spans="1:12" ht="14.25" hidden="1" x14ac:dyDescent="0.2">
      <c r="A771" s="60"/>
      <c r="B771" s="63"/>
      <c r="C771" s="87" t="s">
        <v>867</v>
      </c>
      <c r="D771" s="87"/>
      <c r="E771" s="87"/>
      <c r="F771" s="87"/>
      <c r="G771" s="87"/>
      <c r="H771" s="87"/>
      <c r="I771" s="49"/>
      <c r="J771" s="60"/>
      <c r="K771" s="47"/>
      <c r="L771" s="49">
        <f>L773+L776+L775</f>
        <v>-1671.9</v>
      </c>
    </row>
    <row r="772" spans="1:12" ht="14.25" hidden="1" x14ac:dyDescent="0.2">
      <c r="A772" s="60"/>
      <c r="B772" s="63"/>
      <c r="C772" s="89" t="s">
        <v>868</v>
      </c>
      <c r="D772" s="87"/>
      <c r="E772" s="87"/>
      <c r="F772" s="87"/>
      <c r="G772" s="87"/>
      <c r="H772" s="87"/>
      <c r="I772" s="49"/>
      <c r="J772" s="60"/>
      <c r="K772" s="47"/>
      <c r="L772" s="49"/>
    </row>
    <row r="773" spans="1:12" ht="14.25" x14ac:dyDescent="0.2">
      <c r="A773" s="60"/>
      <c r="B773" s="63"/>
      <c r="C773" s="87" t="s">
        <v>867</v>
      </c>
      <c r="D773" s="87"/>
      <c r="E773" s="87"/>
      <c r="F773" s="87"/>
      <c r="G773" s="87"/>
      <c r="H773" s="87"/>
      <c r="I773" s="49"/>
      <c r="J773" s="60"/>
      <c r="K773" s="47"/>
      <c r="L773" s="49">
        <f>SUMIF(CD52:CD762, 1, AO52:AO762)</f>
        <v>-855.54</v>
      </c>
    </row>
    <row r="774" spans="1:12" ht="14.25" hidden="1" x14ac:dyDescent="0.2">
      <c r="A774" s="60"/>
      <c r="B774" s="63"/>
      <c r="C774" s="89" t="s">
        <v>869</v>
      </c>
      <c r="D774" s="87"/>
      <c r="E774" s="87"/>
      <c r="F774" s="87"/>
      <c r="G774" s="87"/>
      <c r="H774" s="87"/>
      <c r="I774" s="49"/>
      <c r="J774" s="60"/>
      <c r="K774" s="47"/>
      <c r="L774" s="49"/>
    </row>
    <row r="775" spans="1:12" ht="14.25" x14ac:dyDescent="0.2">
      <c r="A775" s="60"/>
      <c r="B775" s="63"/>
      <c r="C775" s="87" t="s">
        <v>889</v>
      </c>
      <c r="D775" s="87"/>
      <c r="E775" s="87"/>
      <c r="F775" s="87"/>
      <c r="G775" s="87"/>
      <c r="H775" s="87"/>
      <c r="I775" s="49"/>
      <c r="J775" s="60"/>
      <c r="K775" s="47"/>
      <c r="L775" s="49">
        <f>SUMIF(CD52:CD762, 1, AT52:AT762)</f>
        <v>-816.36</v>
      </c>
    </row>
    <row r="776" spans="1:12" ht="14.25" hidden="1" x14ac:dyDescent="0.2">
      <c r="A776" s="60"/>
      <c r="B776" s="63"/>
      <c r="C776" s="87" t="s">
        <v>870</v>
      </c>
      <c r="D776" s="87"/>
      <c r="E776" s="87"/>
      <c r="F776" s="87"/>
      <c r="G776" s="87"/>
      <c r="H776" s="87"/>
      <c r="I776" s="49"/>
      <c r="J776" s="60"/>
      <c r="K776" s="47"/>
      <c r="L776" s="49">
        <f>SUMIF(CD52:CD762, 1, AV52:AV762)</f>
        <v>0</v>
      </c>
    </row>
    <row r="777" spans="1:12" ht="14.25" x14ac:dyDescent="0.2">
      <c r="A777" s="60"/>
      <c r="B777" s="63"/>
      <c r="C777" s="87" t="s">
        <v>871</v>
      </c>
      <c r="D777" s="87"/>
      <c r="E777" s="87"/>
      <c r="F777" s="87"/>
      <c r="G777" s="87"/>
      <c r="H777" s="87"/>
      <c r="I777" s="49"/>
      <c r="J777" s="60"/>
      <c r="K777" s="47"/>
      <c r="L777" s="49">
        <f>L779+L780</f>
        <v>79508.659999999989</v>
      </c>
    </row>
    <row r="778" spans="1:12" ht="14.25" x14ac:dyDescent="0.2">
      <c r="A778" s="60"/>
      <c r="B778" s="63"/>
      <c r="C778" s="89" t="s">
        <v>868</v>
      </c>
      <c r="D778" s="87"/>
      <c r="E778" s="87"/>
      <c r="F778" s="87"/>
      <c r="G778" s="87"/>
      <c r="H778" s="87"/>
      <c r="I778" s="49"/>
      <c r="J778" s="60"/>
      <c r="K778" s="47"/>
      <c r="L778" s="49"/>
    </row>
    <row r="779" spans="1:12" ht="14.25" x14ac:dyDescent="0.2">
      <c r="A779" s="60"/>
      <c r="B779" s="63"/>
      <c r="C779" s="87" t="s">
        <v>872</v>
      </c>
      <c r="D779" s="87"/>
      <c r="E779" s="87"/>
      <c r="F779" s="87"/>
      <c r="G779" s="87"/>
      <c r="H779" s="87"/>
      <c r="I779" s="49"/>
      <c r="J779" s="60"/>
      <c r="K779" s="47"/>
      <c r="L779" s="49">
        <f>SUMIF(CD52:CD762, 1, AW52:AW762)-SUMIF(CD52:CD762, 1, BK52:BK762)</f>
        <v>79508.659999999989</v>
      </c>
    </row>
    <row r="780" spans="1:12" ht="14.25" hidden="1" x14ac:dyDescent="0.2">
      <c r="A780" s="60"/>
      <c r="B780" s="63"/>
      <c r="C780" s="87" t="s">
        <v>873</v>
      </c>
      <c r="D780" s="87"/>
      <c r="E780" s="87"/>
      <c r="F780" s="87"/>
      <c r="G780" s="87"/>
      <c r="H780" s="87"/>
      <c r="I780" s="49"/>
      <c r="J780" s="60"/>
      <c r="K780" s="47"/>
      <c r="L780" s="49">
        <f>SUMIF(CD52:CD762, 1, BC52:BC762)</f>
        <v>0</v>
      </c>
    </row>
    <row r="781" spans="1:12" ht="14.25" hidden="1" x14ac:dyDescent="0.2">
      <c r="A781" s="60"/>
      <c r="B781" s="63"/>
      <c r="C781" s="87" t="s">
        <v>874</v>
      </c>
      <c r="D781" s="87"/>
      <c r="E781" s="87"/>
      <c r="F781" s="87"/>
      <c r="G781" s="87"/>
      <c r="H781" s="87"/>
      <c r="I781" s="49"/>
      <c r="J781" s="60"/>
      <c r="K781" s="47"/>
      <c r="L781" s="49">
        <f>SUMIF(CD52:CD762, 1, BB52:BB762)</f>
        <v>0</v>
      </c>
    </row>
    <row r="782" spans="1:12" ht="14.25" x14ac:dyDescent="0.2">
      <c r="A782" s="60"/>
      <c r="B782" s="63"/>
      <c r="C782" s="87" t="s">
        <v>988</v>
      </c>
      <c r="D782" s="87"/>
      <c r="E782" s="87"/>
      <c r="F782" s="87"/>
      <c r="G782" s="87"/>
      <c r="H782" s="87"/>
      <c r="I782" s="49"/>
      <c r="J782" s="60"/>
      <c r="K782" s="47"/>
      <c r="L782" s="49">
        <f>SUMIF(CD52:CD762, 1, AR52:AR762)+SUMIF(CD52:CD762, 1, AT52:AT762)+SUMIF(CD52:CD762, 1, AV52:AV762)</f>
        <v>32329.260000000002</v>
      </c>
    </row>
    <row r="783" spans="1:12" ht="14.25" x14ac:dyDescent="0.2">
      <c r="A783" s="60"/>
      <c r="B783" s="63"/>
      <c r="C783" s="87" t="s">
        <v>989</v>
      </c>
      <c r="D783" s="87"/>
      <c r="E783" s="87"/>
      <c r="F783" s="87"/>
      <c r="G783" s="87"/>
      <c r="H783" s="87"/>
      <c r="I783" s="49"/>
      <c r="J783" s="60"/>
      <c r="K783" s="47"/>
      <c r="L783" s="49">
        <f>SUMIF(CD52:CD762, 1, AZ52:AZ762)</f>
        <v>33933.800000000003</v>
      </c>
    </row>
    <row r="784" spans="1:12" ht="14.25" x14ac:dyDescent="0.2">
      <c r="A784" s="60"/>
      <c r="B784" s="63"/>
      <c r="C784" s="87" t="s">
        <v>990</v>
      </c>
      <c r="D784" s="87"/>
      <c r="E784" s="87"/>
      <c r="F784" s="87"/>
      <c r="G784" s="87"/>
      <c r="H784" s="87"/>
      <c r="I784" s="49"/>
      <c r="J784" s="60"/>
      <c r="K784" s="47"/>
      <c r="L784" s="49">
        <f>SUMIF(CD52:CD762, 1, BA52:BA762)</f>
        <v>16515.21</v>
      </c>
    </row>
    <row r="786" spans="1:12" ht="15" x14ac:dyDescent="0.2">
      <c r="A786" s="64"/>
      <c r="B786" s="65"/>
      <c r="C786" s="86" t="s">
        <v>991</v>
      </c>
      <c r="D786" s="86"/>
      <c r="E786" s="86"/>
      <c r="F786" s="86"/>
      <c r="G786" s="86"/>
      <c r="H786" s="86"/>
      <c r="I786" s="52"/>
      <c r="J786" s="64"/>
      <c r="K786" s="66"/>
      <c r="L786" s="52">
        <f>L788+L803+L804</f>
        <v>330164.52</v>
      </c>
    </row>
    <row r="787" spans="1:12" ht="14.25" x14ac:dyDescent="0.2">
      <c r="A787" s="60"/>
      <c r="B787" s="63"/>
      <c r="C787" s="89" t="s">
        <v>865</v>
      </c>
      <c r="D787" s="87"/>
      <c r="E787" s="87"/>
      <c r="F787" s="87"/>
      <c r="G787" s="87"/>
      <c r="H787" s="87"/>
      <c r="I787" s="49"/>
      <c r="J787" s="60"/>
      <c r="K787" s="47"/>
      <c r="L787" s="49"/>
    </row>
    <row r="788" spans="1:12" ht="14.25" x14ac:dyDescent="0.2">
      <c r="A788" s="60"/>
      <c r="B788" s="63"/>
      <c r="C788" s="87" t="s">
        <v>986</v>
      </c>
      <c r="D788" s="87"/>
      <c r="E788" s="87"/>
      <c r="F788" s="87"/>
      <c r="G788" s="87"/>
      <c r="H788" s="87"/>
      <c r="I788" s="49"/>
      <c r="J788" s="60"/>
      <c r="K788" s="47"/>
      <c r="L788" s="49">
        <f>L790+L791+L797+L801</f>
        <v>235597.71</v>
      </c>
    </row>
    <row r="789" spans="1:12" ht="14.25" x14ac:dyDescent="0.2">
      <c r="A789" s="60"/>
      <c r="B789" s="63"/>
      <c r="C789" s="89" t="s">
        <v>865</v>
      </c>
      <c r="D789" s="87"/>
      <c r="E789" s="87"/>
      <c r="F789" s="87"/>
      <c r="G789" s="87"/>
      <c r="H789" s="87"/>
      <c r="I789" s="49"/>
      <c r="J789" s="60"/>
      <c r="K789" s="47"/>
      <c r="L789" s="49"/>
    </row>
    <row r="790" spans="1:12" ht="14.25" x14ac:dyDescent="0.2">
      <c r="A790" s="60"/>
      <c r="B790" s="63"/>
      <c r="C790" s="87" t="s">
        <v>987</v>
      </c>
      <c r="D790" s="87"/>
      <c r="E790" s="87"/>
      <c r="F790" s="87"/>
      <c r="G790" s="87"/>
      <c r="H790" s="87"/>
      <c r="I790" s="49"/>
      <c r="J790" s="60"/>
      <c r="K790" s="47"/>
      <c r="L790" s="49">
        <f>SUMIF(CD52:CD784, 2, AR52:AR784)</f>
        <v>65063.61</v>
      </c>
    </row>
    <row r="791" spans="1:12" ht="14.25" hidden="1" x14ac:dyDescent="0.2">
      <c r="A791" s="60"/>
      <c r="B791" s="63"/>
      <c r="C791" s="87" t="s">
        <v>867</v>
      </c>
      <c r="D791" s="87"/>
      <c r="E791" s="87"/>
      <c r="F791" s="87"/>
      <c r="G791" s="87"/>
      <c r="H791" s="87"/>
      <c r="I791" s="49"/>
      <c r="J791" s="60"/>
      <c r="K791" s="47"/>
      <c r="L791" s="49">
        <f>L793+L796+L795</f>
        <v>-2223.0099999999998</v>
      </c>
    </row>
    <row r="792" spans="1:12" ht="14.25" hidden="1" x14ac:dyDescent="0.2">
      <c r="A792" s="60"/>
      <c r="B792" s="63"/>
      <c r="C792" s="89" t="s">
        <v>868</v>
      </c>
      <c r="D792" s="87"/>
      <c r="E792" s="87"/>
      <c r="F792" s="87"/>
      <c r="G792" s="87"/>
      <c r="H792" s="87"/>
      <c r="I792" s="49"/>
      <c r="J792" s="60"/>
      <c r="K792" s="47"/>
      <c r="L792" s="49"/>
    </row>
    <row r="793" spans="1:12" ht="14.25" x14ac:dyDescent="0.2">
      <c r="A793" s="60"/>
      <c r="B793" s="63"/>
      <c r="C793" s="87" t="s">
        <v>867</v>
      </c>
      <c r="D793" s="87"/>
      <c r="E793" s="87"/>
      <c r="F793" s="87"/>
      <c r="G793" s="87"/>
      <c r="H793" s="87"/>
      <c r="I793" s="49"/>
      <c r="J793" s="60"/>
      <c r="K793" s="47"/>
      <c r="L793" s="49">
        <f>SUMIF(CD52:CD784, 2, AO52:AO784)</f>
        <v>-1338.54</v>
      </c>
    </row>
    <row r="794" spans="1:12" ht="14.25" hidden="1" x14ac:dyDescent="0.2">
      <c r="A794" s="60"/>
      <c r="B794" s="63"/>
      <c r="C794" s="89" t="s">
        <v>869</v>
      </c>
      <c r="D794" s="87"/>
      <c r="E794" s="87"/>
      <c r="F794" s="87"/>
      <c r="G794" s="87"/>
      <c r="H794" s="87"/>
      <c r="I794" s="49"/>
      <c r="J794" s="60"/>
      <c r="K794" s="47"/>
      <c r="L794" s="49"/>
    </row>
    <row r="795" spans="1:12" ht="14.25" x14ac:dyDescent="0.2">
      <c r="A795" s="60"/>
      <c r="B795" s="63"/>
      <c r="C795" s="87" t="s">
        <v>889</v>
      </c>
      <c r="D795" s="87"/>
      <c r="E795" s="87"/>
      <c r="F795" s="87"/>
      <c r="G795" s="87"/>
      <c r="H795" s="87"/>
      <c r="I795" s="49"/>
      <c r="J795" s="60"/>
      <c r="K795" s="47"/>
      <c r="L795" s="49">
        <f>SUMIF(CD52:CD784, 2, AT52:AT784)</f>
        <v>-884.46999999999991</v>
      </c>
    </row>
    <row r="796" spans="1:12" ht="14.25" hidden="1" x14ac:dyDescent="0.2">
      <c r="A796" s="60"/>
      <c r="B796" s="63"/>
      <c r="C796" s="87" t="s">
        <v>870</v>
      </c>
      <c r="D796" s="87"/>
      <c r="E796" s="87"/>
      <c r="F796" s="87"/>
      <c r="G796" s="87"/>
      <c r="H796" s="87"/>
      <c r="I796" s="49"/>
      <c r="J796" s="60"/>
      <c r="K796" s="47"/>
      <c r="L796" s="49">
        <f>SUMIF(CD52:CD784, 2, AV52:AV784)</f>
        <v>0</v>
      </c>
    </row>
    <row r="797" spans="1:12" ht="14.25" x14ac:dyDescent="0.2">
      <c r="A797" s="60"/>
      <c r="B797" s="63"/>
      <c r="C797" s="87" t="s">
        <v>871</v>
      </c>
      <c r="D797" s="87"/>
      <c r="E797" s="87"/>
      <c r="F797" s="87"/>
      <c r="G797" s="87"/>
      <c r="H797" s="87"/>
      <c r="I797" s="49"/>
      <c r="J797" s="60"/>
      <c r="K797" s="47"/>
      <c r="L797" s="49">
        <f>L799+L800</f>
        <v>172757.11</v>
      </c>
    </row>
    <row r="798" spans="1:12" ht="14.25" x14ac:dyDescent="0.2">
      <c r="A798" s="60"/>
      <c r="B798" s="63"/>
      <c r="C798" s="89" t="s">
        <v>868</v>
      </c>
      <c r="D798" s="87"/>
      <c r="E798" s="87"/>
      <c r="F798" s="87"/>
      <c r="G798" s="87"/>
      <c r="H798" s="87"/>
      <c r="I798" s="49"/>
      <c r="J798" s="60"/>
      <c r="K798" s="47"/>
      <c r="L798" s="49"/>
    </row>
    <row r="799" spans="1:12" ht="14.25" x14ac:dyDescent="0.2">
      <c r="A799" s="60"/>
      <c r="B799" s="63"/>
      <c r="C799" s="87" t="s">
        <v>872</v>
      </c>
      <c r="D799" s="87"/>
      <c r="E799" s="87"/>
      <c r="F799" s="87"/>
      <c r="G799" s="87"/>
      <c r="H799" s="87"/>
      <c r="I799" s="49"/>
      <c r="J799" s="60"/>
      <c r="K799" s="47"/>
      <c r="L799" s="49">
        <f>SUMIF(CD52:CD784, 2, AW52:AW784)-SUMIF(CD52:CD784, 2, BK52:BK784)</f>
        <v>172757.11</v>
      </c>
    </row>
    <row r="800" spans="1:12" ht="14.25" hidden="1" x14ac:dyDescent="0.2">
      <c r="A800" s="60"/>
      <c r="B800" s="63"/>
      <c r="C800" s="87" t="s">
        <v>873</v>
      </c>
      <c r="D800" s="87"/>
      <c r="E800" s="87"/>
      <c r="F800" s="87"/>
      <c r="G800" s="87"/>
      <c r="H800" s="87"/>
      <c r="I800" s="49"/>
      <c r="J800" s="60"/>
      <c r="K800" s="47"/>
      <c r="L800" s="49">
        <f>SUMIF(CD52:CD784, 2, BC52:BC784)</f>
        <v>0</v>
      </c>
    </row>
    <row r="801" spans="1:12" ht="14.25" hidden="1" x14ac:dyDescent="0.2">
      <c r="A801" s="60"/>
      <c r="B801" s="63"/>
      <c r="C801" s="87" t="s">
        <v>874</v>
      </c>
      <c r="D801" s="87"/>
      <c r="E801" s="87"/>
      <c r="F801" s="87"/>
      <c r="G801" s="87"/>
      <c r="H801" s="87"/>
      <c r="I801" s="49"/>
      <c r="J801" s="60"/>
      <c r="K801" s="47"/>
      <c r="L801" s="49">
        <f>SUMIF(CD52:CD784, 2, BB52:BB784)</f>
        <v>0</v>
      </c>
    </row>
    <row r="802" spans="1:12" ht="14.25" x14ac:dyDescent="0.2">
      <c r="A802" s="60"/>
      <c r="B802" s="63"/>
      <c r="C802" s="87" t="s">
        <v>988</v>
      </c>
      <c r="D802" s="87"/>
      <c r="E802" s="87"/>
      <c r="F802" s="87"/>
      <c r="G802" s="87"/>
      <c r="H802" s="87"/>
      <c r="I802" s="49"/>
      <c r="J802" s="60"/>
      <c r="K802" s="47"/>
      <c r="L802" s="49">
        <f>SUMIF(CD52:CD784, 2, AR52:AR784)+SUMIF(CD52:CD784, 2, AT52:AT784)+SUMIF(CD52:CD784, 2, AV52:AV784)</f>
        <v>64179.14</v>
      </c>
    </row>
    <row r="803" spans="1:12" ht="14.25" x14ac:dyDescent="0.2">
      <c r="A803" s="60"/>
      <c r="B803" s="63"/>
      <c r="C803" s="87" t="s">
        <v>989</v>
      </c>
      <c r="D803" s="87"/>
      <c r="E803" s="87"/>
      <c r="F803" s="87"/>
      <c r="G803" s="87"/>
      <c r="H803" s="87"/>
      <c r="I803" s="49"/>
      <c r="J803" s="60"/>
      <c r="K803" s="47"/>
      <c r="L803" s="49">
        <f>SUMIF(CD52:CD784, 2, AZ52:AZ784)</f>
        <v>62009.750000000022</v>
      </c>
    </row>
    <row r="804" spans="1:12" ht="14.25" x14ac:dyDescent="0.2">
      <c r="A804" s="60"/>
      <c r="B804" s="63"/>
      <c r="C804" s="87" t="s">
        <v>990</v>
      </c>
      <c r="D804" s="87"/>
      <c r="E804" s="87"/>
      <c r="F804" s="87"/>
      <c r="G804" s="87"/>
      <c r="H804" s="87"/>
      <c r="I804" s="49"/>
      <c r="J804" s="60"/>
      <c r="K804" s="47"/>
      <c r="L804" s="49">
        <f>SUMIF(CD52:CD784, 2, BA52:BA784)</f>
        <v>32557.06</v>
      </c>
    </row>
    <row r="805" spans="1:12" hidden="1" x14ac:dyDescent="0.2"/>
    <row r="806" spans="1:12" ht="15" hidden="1" x14ac:dyDescent="0.2">
      <c r="A806" s="64"/>
      <c r="B806" s="65"/>
      <c r="C806" s="86" t="s">
        <v>992</v>
      </c>
      <c r="D806" s="86"/>
      <c r="E806" s="86"/>
      <c r="F806" s="86"/>
      <c r="G806" s="86"/>
      <c r="H806" s="86"/>
      <c r="I806" s="52"/>
      <c r="J806" s="64"/>
      <c r="K806" s="66"/>
      <c r="L806" s="52">
        <f>L808+L809</f>
        <v>0</v>
      </c>
    </row>
    <row r="807" spans="1:12" ht="14.25" hidden="1" x14ac:dyDescent="0.2">
      <c r="A807" s="60"/>
      <c r="B807" s="63"/>
      <c r="C807" s="89" t="s">
        <v>865</v>
      </c>
      <c r="D807" s="87"/>
      <c r="E807" s="87"/>
      <c r="F807" s="87"/>
      <c r="G807" s="87"/>
      <c r="H807" s="87"/>
      <c r="I807" s="49"/>
      <c r="J807" s="60"/>
      <c r="K807" s="47"/>
      <c r="L807" s="49"/>
    </row>
    <row r="808" spans="1:12" ht="14.25" hidden="1" x14ac:dyDescent="0.2">
      <c r="A808" s="60"/>
      <c r="B808" s="63"/>
      <c r="C808" s="87" t="s">
        <v>879</v>
      </c>
      <c r="D808" s="87"/>
      <c r="E808" s="87"/>
      <c r="F808" s="87"/>
      <c r="G808" s="87"/>
      <c r="H808" s="87"/>
      <c r="I808" s="49"/>
      <c r="J808" s="60"/>
      <c r="K808" s="47"/>
      <c r="L808" s="49">
        <f>SUMIF(CD52:CD804, 3, BK52:BK804)</f>
        <v>0</v>
      </c>
    </row>
    <row r="809" spans="1:12" ht="14.25" hidden="1" x14ac:dyDescent="0.2">
      <c r="A809" s="60"/>
      <c r="B809" s="63"/>
      <c r="C809" s="87" t="s">
        <v>880</v>
      </c>
      <c r="D809" s="87"/>
      <c r="E809" s="87"/>
      <c r="F809" s="87"/>
      <c r="G809" s="87"/>
      <c r="H809" s="87"/>
      <c r="I809" s="49"/>
      <c r="J809" s="60"/>
      <c r="K809" s="47"/>
      <c r="L809" s="49">
        <f>SUMIF(CD52:CD804, 3, BD52:BD804)</f>
        <v>0</v>
      </c>
    </row>
    <row r="810" spans="1:12" hidden="1" x14ac:dyDescent="0.2"/>
    <row r="811" spans="1:12" ht="15" hidden="1" x14ac:dyDescent="0.2">
      <c r="A811" s="64"/>
      <c r="B811" s="65"/>
      <c r="C811" s="86" t="s">
        <v>993</v>
      </c>
      <c r="D811" s="86"/>
      <c r="E811" s="86"/>
      <c r="F811" s="86"/>
      <c r="G811" s="86"/>
      <c r="H811" s="86"/>
      <c r="I811" s="52"/>
      <c r="J811" s="64"/>
      <c r="K811" s="66"/>
      <c r="L811" s="52">
        <f>L819+L834+L835+L813+L814+L815+L816</f>
        <v>0</v>
      </c>
    </row>
    <row r="812" spans="1:12" ht="14.25" hidden="1" x14ac:dyDescent="0.2">
      <c r="A812" s="60"/>
      <c r="B812" s="63"/>
      <c r="C812" s="89" t="s">
        <v>865</v>
      </c>
      <c r="D812" s="87"/>
      <c r="E812" s="87"/>
      <c r="F812" s="87"/>
      <c r="G812" s="87"/>
      <c r="H812" s="87"/>
      <c r="I812" s="49"/>
      <c r="J812" s="60"/>
      <c r="K812" s="47"/>
      <c r="L812" s="49"/>
    </row>
    <row r="813" spans="1:12" ht="14.25" hidden="1" x14ac:dyDescent="0.2">
      <c r="A813" s="60"/>
      <c r="B813" s="63"/>
      <c r="C813" s="87" t="s">
        <v>994</v>
      </c>
      <c r="D813" s="87"/>
      <c r="E813" s="87"/>
      <c r="F813" s="87"/>
      <c r="G813" s="87"/>
      <c r="H813" s="87"/>
      <c r="I813" s="49"/>
      <c r="J813" s="60"/>
      <c r="K813" s="47"/>
      <c r="L813" s="49"/>
    </row>
    <row r="814" spans="1:12" ht="14.25" hidden="1" x14ac:dyDescent="0.2">
      <c r="A814" s="60"/>
      <c r="B814" s="63"/>
      <c r="C814" s="87" t="s">
        <v>994</v>
      </c>
      <c r="D814" s="87"/>
      <c r="E814" s="87"/>
      <c r="F814" s="87"/>
      <c r="G814" s="87"/>
      <c r="H814" s="87"/>
      <c r="I814" s="49"/>
      <c r="J814" s="60"/>
      <c r="K814" s="47"/>
      <c r="L814" s="49">
        <f>SUM(BQ52:BQ809)</f>
        <v>0</v>
      </c>
    </row>
    <row r="815" spans="1:12" ht="14.25" hidden="1" x14ac:dyDescent="0.2">
      <c r="A815" s="60"/>
      <c r="B815" s="63"/>
      <c r="C815" s="87" t="s">
        <v>995</v>
      </c>
      <c r="D815" s="87"/>
      <c r="E815" s="87"/>
      <c r="F815" s="87"/>
      <c r="G815" s="87"/>
      <c r="H815" s="87"/>
      <c r="I815" s="49"/>
      <c r="J815" s="60"/>
      <c r="K815" s="47"/>
      <c r="L815" s="49">
        <f>SUMIF(CD52:CD809, 4, BB52:BB809)+SUMIF(CD52:CD809, 4, BC52:BC809)+SUMIF(CD52:CD809, 4, BD52:BD809)</f>
        <v>0</v>
      </c>
    </row>
    <row r="816" spans="1:12" ht="14.25" hidden="1" x14ac:dyDescent="0.2">
      <c r="A816" s="60"/>
      <c r="B816" s="63"/>
      <c r="C816" s="87" t="s">
        <v>996</v>
      </c>
      <c r="D816" s="87"/>
      <c r="E816" s="87"/>
      <c r="F816" s="87"/>
      <c r="G816" s="87"/>
      <c r="H816" s="87"/>
      <c r="I816" s="49"/>
      <c r="J816" s="60"/>
      <c r="K816" s="47"/>
      <c r="L816" s="49">
        <f>SUM(BO52:BO809)</f>
        <v>0</v>
      </c>
    </row>
    <row r="817" spans="1:12" ht="14.25" hidden="1" x14ac:dyDescent="0.2">
      <c r="A817" s="60"/>
      <c r="B817" s="63"/>
      <c r="C817" s="87" t="s">
        <v>997</v>
      </c>
      <c r="D817" s="87"/>
      <c r="E817" s="87"/>
      <c r="F817" s="87"/>
      <c r="G817" s="87"/>
      <c r="H817" s="87"/>
      <c r="I817" s="49"/>
      <c r="J817" s="60"/>
      <c r="K817" s="47"/>
      <c r="L817" s="49">
        <f>L819+L834+L835</f>
        <v>0</v>
      </c>
    </row>
    <row r="818" spans="1:12" ht="14.25" hidden="1" x14ac:dyDescent="0.2">
      <c r="A818" s="60"/>
      <c r="B818" s="63"/>
      <c r="C818" s="89" t="s">
        <v>865</v>
      </c>
      <c r="D818" s="87"/>
      <c r="E818" s="87"/>
      <c r="F818" s="87"/>
      <c r="G818" s="87"/>
      <c r="H818" s="87"/>
      <c r="I818" s="49"/>
      <c r="J818" s="60"/>
      <c r="K818" s="47"/>
      <c r="L818" s="49"/>
    </row>
    <row r="819" spans="1:12" ht="14.25" hidden="1" x14ac:dyDescent="0.2">
      <c r="A819" s="60"/>
      <c r="B819" s="63"/>
      <c r="C819" s="87" t="s">
        <v>986</v>
      </c>
      <c r="D819" s="87"/>
      <c r="E819" s="87"/>
      <c r="F819" s="87"/>
      <c r="G819" s="87"/>
      <c r="H819" s="87"/>
      <c r="I819" s="49"/>
      <c r="J819" s="60"/>
      <c r="K819" s="47"/>
      <c r="L819" s="49">
        <f>L821+L822+L828+L832</f>
        <v>0</v>
      </c>
    </row>
    <row r="820" spans="1:12" ht="14.25" hidden="1" x14ac:dyDescent="0.2">
      <c r="A820" s="60"/>
      <c r="B820" s="63"/>
      <c r="C820" s="89" t="s">
        <v>865</v>
      </c>
      <c r="D820" s="87"/>
      <c r="E820" s="87"/>
      <c r="F820" s="87"/>
      <c r="G820" s="87"/>
      <c r="H820" s="87"/>
      <c r="I820" s="49"/>
      <c r="J820" s="60"/>
      <c r="K820" s="47"/>
      <c r="L820" s="49"/>
    </row>
    <row r="821" spans="1:12" ht="14.25" hidden="1" x14ac:dyDescent="0.2">
      <c r="A821" s="60"/>
      <c r="B821" s="63"/>
      <c r="C821" s="87" t="s">
        <v>987</v>
      </c>
      <c r="D821" s="87"/>
      <c r="E821" s="87"/>
      <c r="F821" s="87"/>
      <c r="G821" s="87"/>
      <c r="H821" s="87"/>
      <c r="I821" s="49"/>
      <c r="J821" s="60"/>
      <c r="K821" s="47"/>
      <c r="L821" s="49">
        <f>SUMIF(CD52:CD809, 4, AR52:AR809)</f>
        <v>0</v>
      </c>
    </row>
    <row r="822" spans="1:12" ht="14.25" hidden="1" x14ac:dyDescent="0.2">
      <c r="A822" s="60"/>
      <c r="B822" s="63"/>
      <c r="C822" s="87" t="s">
        <v>867</v>
      </c>
      <c r="D822" s="87"/>
      <c r="E822" s="87"/>
      <c r="F822" s="87"/>
      <c r="G822" s="87"/>
      <c r="H822" s="87"/>
      <c r="I822" s="49"/>
      <c r="J822" s="60"/>
      <c r="K822" s="47"/>
      <c r="L822" s="49">
        <f>L824+L827+L826</f>
        <v>0</v>
      </c>
    </row>
    <row r="823" spans="1:12" ht="14.25" hidden="1" x14ac:dyDescent="0.2">
      <c r="A823" s="60"/>
      <c r="B823" s="63"/>
      <c r="C823" s="89" t="s">
        <v>868</v>
      </c>
      <c r="D823" s="87"/>
      <c r="E823" s="87"/>
      <c r="F823" s="87"/>
      <c r="G823" s="87"/>
      <c r="H823" s="87"/>
      <c r="I823" s="49"/>
      <c r="J823" s="60"/>
      <c r="K823" s="47"/>
      <c r="L823" s="49"/>
    </row>
    <row r="824" spans="1:12" ht="14.25" hidden="1" x14ac:dyDescent="0.2">
      <c r="A824" s="60"/>
      <c r="B824" s="63"/>
      <c r="C824" s="87" t="s">
        <v>867</v>
      </c>
      <c r="D824" s="87"/>
      <c r="E824" s="87"/>
      <c r="F824" s="87"/>
      <c r="G824" s="87"/>
      <c r="H824" s="87"/>
      <c r="I824" s="49"/>
      <c r="J824" s="60"/>
      <c r="K824" s="47"/>
      <c r="L824" s="49">
        <f>SUMIF(CD52:CD809, 4, AO52:AO809)</f>
        <v>0</v>
      </c>
    </row>
    <row r="825" spans="1:12" ht="14.25" hidden="1" x14ac:dyDescent="0.2">
      <c r="A825" s="60"/>
      <c r="B825" s="63"/>
      <c r="C825" s="89" t="s">
        <v>869</v>
      </c>
      <c r="D825" s="87"/>
      <c r="E825" s="87"/>
      <c r="F825" s="87"/>
      <c r="G825" s="87"/>
      <c r="H825" s="87"/>
      <c r="I825" s="49"/>
      <c r="J825" s="60"/>
      <c r="K825" s="47"/>
      <c r="L825" s="49"/>
    </row>
    <row r="826" spans="1:12" ht="14.25" hidden="1" x14ac:dyDescent="0.2">
      <c r="A826" s="60"/>
      <c r="B826" s="63"/>
      <c r="C826" s="87" t="s">
        <v>889</v>
      </c>
      <c r="D826" s="87"/>
      <c r="E826" s="87"/>
      <c r="F826" s="87"/>
      <c r="G826" s="87"/>
      <c r="H826" s="87"/>
      <c r="I826" s="49"/>
      <c r="J826" s="60"/>
      <c r="K826" s="47"/>
      <c r="L826" s="49">
        <f>SUMIF(CD52:CD809, 4, AT52:AT809)</f>
        <v>0</v>
      </c>
    </row>
    <row r="827" spans="1:12" ht="14.25" hidden="1" x14ac:dyDescent="0.2">
      <c r="A827" s="60"/>
      <c r="B827" s="63"/>
      <c r="C827" s="87" t="s">
        <v>870</v>
      </c>
      <c r="D827" s="87"/>
      <c r="E827" s="87"/>
      <c r="F827" s="87"/>
      <c r="G827" s="87"/>
      <c r="H827" s="87"/>
      <c r="I827" s="49"/>
      <c r="J827" s="60"/>
      <c r="K827" s="47"/>
      <c r="L827" s="49">
        <f>SUMIF(CD52:CD809, 4, AV52:AV809)</f>
        <v>0</v>
      </c>
    </row>
    <row r="828" spans="1:12" ht="14.25" hidden="1" x14ac:dyDescent="0.2">
      <c r="A828" s="60"/>
      <c r="B828" s="63"/>
      <c r="C828" s="87" t="s">
        <v>871</v>
      </c>
      <c r="D828" s="87"/>
      <c r="E828" s="87"/>
      <c r="F828" s="87"/>
      <c r="G828" s="87"/>
      <c r="H828" s="87"/>
      <c r="I828" s="49"/>
      <c r="J828" s="60"/>
      <c r="K828" s="47"/>
      <c r="L828" s="49">
        <f>L830+L831</f>
        <v>0</v>
      </c>
    </row>
    <row r="829" spans="1:12" ht="14.25" hidden="1" x14ac:dyDescent="0.2">
      <c r="A829" s="60"/>
      <c r="B829" s="63"/>
      <c r="C829" s="89" t="s">
        <v>868</v>
      </c>
      <c r="D829" s="87"/>
      <c r="E829" s="87"/>
      <c r="F829" s="87"/>
      <c r="G829" s="87"/>
      <c r="H829" s="87"/>
      <c r="I829" s="49"/>
      <c r="J829" s="60"/>
      <c r="K829" s="47"/>
      <c r="L829" s="49"/>
    </row>
    <row r="830" spans="1:12" ht="14.25" hidden="1" x14ac:dyDescent="0.2">
      <c r="A830" s="60"/>
      <c r="B830" s="63"/>
      <c r="C830" s="87" t="s">
        <v>872</v>
      </c>
      <c r="D830" s="87"/>
      <c r="E830" s="87"/>
      <c r="F830" s="87"/>
      <c r="G830" s="87"/>
      <c r="H830" s="87"/>
      <c r="I830" s="49"/>
      <c r="J830" s="60"/>
      <c r="K830" s="47"/>
      <c r="L830" s="49">
        <f>SUMIF(CD52:CD809, 4, AW52:AW809)-SUMIF(CD52:CD809, 4, BK52:BK809)</f>
        <v>0</v>
      </c>
    </row>
    <row r="831" spans="1:12" ht="14.25" hidden="1" x14ac:dyDescent="0.2">
      <c r="A831" s="60"/>
      <c r="B831" s="63"/>
      <c r="C831" s="87" t="s">
        <v>873</v>
      </c>
      <c r="D831" s="87"/>
      <c r="E831" s="87"/>
      <c r="F831" s="87"/>
      <c r="G831" s="87"/>
      <c r="H831" s="87"/>
      <c r="I831" s="49"/>
      <c r="J831" s="60"/>
      <c r="K831" s="47"/>
      <c r="L831" s="49">
        <f>SUMIF(CD52:CD809, 4, BC52:BC809)</f>
        <v>0</v>
      </c>
    </row>
    <row r="832" spans="1:12" ht="14.25" hidden="1" x14ac:dyDescent="0.2">
      <c r="A832" s="60"/>
      <c r="B832" s="63"/>
      <c r="C832" s="87" t="s">
        <v>874</v>
      </c>
      <c r="D832" s="87"/>
      <c r="E832" s="87"/>
      <c r="F832" s="87"/>
      <c r="G832" s="87"/>
      <c r="H832" s="87"/>
      <c r="I832" s="49"/>
      <c r="J832" s="60"/>
      <c r="K832" s="47"/>
      <c r="L832" s="49">
        <f>SUMIF(CD52:CD809, 4, BB52:BB809)</f>
        <v>0</v>
      </c>
    </row>
    <row r="833" spans="1:12" ht="14.25" hidden="1" x14ac:dyDescent="0.2">
      <c r="A833" s="60"/>
      <c r="B833" s="63"/>
      <c r="C833" s="87" t="s">
        <v>988</v>
      </c>
      <c r="D833" s="87"/>
      <c r="E833" s="87"/>
      <c r="F833" s="87"/>
      <c r="G833" s="87"/>
      <c r="H833" s="87"/>
      <c r="I833" s="49"/>
      <c r="J833" s="60"/>
      <c r="K833" s="47"/>
      <c r="L833" s="49">
        <f>SUMIF(CD52:CD809, 4, AR52:AR809)+SUMIF(CD52:CD809, 4, AT52:AT809)+SUMIF(CD52:CD809, 4, AV52:AV809)</f>
        <v>0</v>
      </c>
    </row>
    <row r="834" spans="1:12" ht="14.25" hidden="1" x14ac:dyDescent="0.2">
      <c r="A834" s="60"/>
      <c r="B834" s="63"/>
      <c r="C834" s="87" t="s">
        <v>989</v>
      </c>
      <c r="D834" s="87"/>
      <c r="E834" s="87"/>
      <c r="F834" s="87"/>
      <c r="G834" s="87"/>
      <c r="H834" s="87"/>
      <c r="I834" s="49"/>
      <c r="J834" s="60"/>
      <c r="K834" s="47"/>
      <c r="L834" s="49">
        <f>SUMIF(CD52:CD809, 4, AZ52:AZ809)</f>
        <v>0</v>
      </c>
    </row>
    <row r="835" spans="1:12" ht="14.25" hidden="1" x14ac:dyDescent="0.2">
      <c r="A835" s="60"/>
      <c r="B835" s="63"/>
      <c r="C835" s="87" t="s">
        <v>990</v>
      </c>
      <c r="D835" s="87"/>
      <c r="E835" s="87"/>
      <c r="F835" s="87"/>
      <c r="G835" s="87"/>
      <c r="H835" s="87"/>
      <c r="I835" s="49"/>
      <c r="J835" s="60"/>
      <c r="K835" s="47"/>
      <c r="L835" s="49">
        <f>SUMIF(CD52:CD809, 4, BA52:BA809)</f>
        <v>0</v>
      </c>
    </row>
    <row r="837" spans="1:12" ht="15" x14ac:dyDescent="0.2">
      <c r="A837" s="64"/>
      <c r="B837" s="65"/>
      <c r="C837" s="86" t="s">
        <v>998</v>
      </c>
      <c r="D837" s="86"/>
      <c r="E837" s="86"/>
      <c r="F837" s="86"/>
      <c r="G837" s="86"/>
      <c r="H837" s="86"/>
      <c r="I837" s="52"/>
      <c r="J837" s="64"/>
      <c r="K837" s="66"/>
      <c r="L837" s="52">
        <f>L766+L786+L806+L811</f>
        <v>491595.91000000003</v>
      </c>
    </row>
    <row r="838" spans="1:12" ht="14.25" x14ac:dyDescent="0.2">
      <c r="A838" s="60"/>
      <c r="B838" s="63"/>
      <c r="C838" s="89" t="s">
        <v>865</v>
      </c>
      <c r="D838" s="87"/>
      <c r="E838" s="87"/>
      <c r="F838" s="87"/>
      <c r="G838" s="87"/>
      <c r="H838" s="87"/>
      <c r="I838" s="49"/>
      <c r="J838" s="60"/>
      <c r="K838" s="47"/>
      <c r="L838" s="49"/>
    </row>
    <row r="839" spans="1:12" ht="14.25" x14ac:dyDescent="0.2">
      <c r="A839" s="60"/>
      <c r="B839" s="63"/>
      <c r="C839" s="87" t="s">
        <v>986</v>
      </c>
      <c r="D839" s="87"/>
      <c r="E839" s="87"/>
      <c r="F839" s="87"/>
      <c r="G839" s="87"/>
      <c r="H839" s="87"/>
      <c r="I839" s="49"/>
      <c r="J839" s="60"/>
      <c r="K839" s="47"/>
      <c r="L839" s="49">
        <f>L841+L842+L848+L852</f>
        <v>346580.08999999991</v>
      </c>
    </row>
    <row r="840" spans="1:12" ht="14.25" x14ac:dyDescent="0.2">
      <c r="A840" s="60"/>
      <c r="B840" s="63"/>
      <c r="C840" s="89" t="s">
        <v>865</v>
      </c>
      <c r="D840" s="87"/>
      <c r="E840" s="87"/>
      <c r="F840" s="87"/>
      <c r="G840" s="87"/>
      <c r="H840" s="87"/>
      <c r="I840" s="49"/>
      <c r="J840" s="60"/>
      <c r="K840" s="47"/>
      <c r="L840" s="49"/>
    </row>
    <row r="841" spans="1:12" ht="14.25" x14ac:dyDescent="0.2">
      <c r="A841" s="60"/>
      <c r="B841" s="63"/>
      <c r="C841" s="87" t="s">
        <v>987</v>
      </c>
      <c r="D841" s="87"/>
      <c r="E841" s="87"/>
      <c r="F841" s="87"/>
      <c r="G841" s="87"/>
      <c r="H841" s="87"/>
      <c r="I841" s="49"/>
      <c r="J841" s="60"/>
      <c r="K841" s="47"/>
      <c r="L841" s="49">
        <f>SUM(AR52:AR835)</f>
        <v>98209.23000000001</v>
      </c>
    </row>
    <row r="842" spans="1:12" ht="14.25" hidden="1" x14ac:dyDescent="0.2">
      <c r="A842" s="60"/>
      <c r="B842" s="63"/>
      <c r="C842" s="87" t="s">
        <v>867</v>
      </c>
      <c r="D842" s="87"/>
      <c r="E842" s="87"/>
      <c r="F842" s="87"/>
      <c r="G842" s="87"/>
      <c r="H842" s="87"/>
      <c r="I842" s="49"/>
      <c r="J842" s="60"/>
      <c r="K842" s="47"/>
      <c r="L842" s="49">
        <f>L844+L847+L846</f>
        <v>-3894.91</v>
      </c>
    </row>
    <row r="843" spans="1:12" ht="14.25" hidden="1" x14ac:dyDescent="0.2">
      <c r="A843" s="60"/>
      <c r="B843" s="63"/>
      <c r="C843" s="89" t="s">
        <v>868</v>
      </c>
      <c r="D843" s="87"/>
      <c r="E843" s="87"/>
      <c r="F843" s="87"/>
      <c r="G843" s="87"/>
      <c r="H843" s="87"/>
      <c r="I843" s="49"/>
      <c r="J843" s="60"/>
      <c r="K843" s="47"/>
      <c r="L843" s="49"/>
    </row>
    <row r="844" spans="1:12" ht="14.25" x14ac:dyDescent="0.2">
      <c r="A844" s="60"/>
      <c r="B844" s="63"/>
      <c r="C844" s="87" t="s">
        <v>867</v>
      </c>
      <c r="D844" s="87"/>
      <c r="E844" s="87"/>
      <c r="F844" s="87"/>
      <c r="G844" s="87"/>
      <c r="H844" s="87"/>
      <c r="I844" s="49"/>
      <c r="J844" s="60"/>
      <c r="K844" s="47"/>
      <c r="L844" s="49">
        <f>SUM(AO52:AO835)</f>
        <v>-2194.08</v>
      </c>
    </row>
    <row r="845" spans="1:12" ht="14.25" hidden="1" x14ac:dyDescent="0.2">
      <c r="A845" s="60"/>
      <c r="B845" s="63"/>
      <c r="C845" s="89" t="s">
        <v>869</v>
      </c>
      <c r="D845" s="87"/>
      <c r="E845" s="87"/>
      <c r="F845" s="87"/>
      <c r="G845" s="87"/>
      <c r="H845" s="87"/>
      <c r="I845" s="49"/>
      <c r="J845" s="60"/>
      <c r="K845" s="47"/>
      <c r="L845" s="49"/>
    </row>
    <row r="846" spans="1:12" ht="14.25" x14ac:dyDescent="0.2">
      <c r="A846" s="60"/>
      <c r="B846" s="63"/>
      <c r="C846" s="87" t="s">
        <v>889</v>
      </c>
      <c r="D846" s="87"/>
      <c r="E846" s="87"/>
      <c r="F846" s="87"/>
      <c r="G846" s="87"/>
      <c r="H846" s="87"/>
      <c r="I846" s="49"/>
      <c r="J846" s="60"/>
      <c r="K846" s="47"/>
      <c r="L846" s="49">
        <f>SUM(AT52:AT835)</f>
        <v>-1700.8299999999997</v>
      </c>
    </row>
    <row r="847" spans="1:12" ht="14.25" hidden="1" x14ac:dyDescent="0.2">
      <c r="A847" s="60"/>
      <c r="B847" s="63"/>
      <c r="C847" s="87" t="s">
        <v>870</v>
      </c>
      <c r="D847" s="87"/>
      <c r="E847" s="87"/>
      <c r="F847" s="87"/>
      <c r="G847" s="87"/>
      <c r="H847" s="87"/>
      <c r="I847" s="49"/>
      <c r="J847" s="60"/>
      <c r="K847" s="47"/>
      <c r="L847" s="49">
        <f>SUM(AV52:AV835)</f>
        <v>0</v>
      </c>
    </row>
    <row r="848" spans="1:12" ht="14.25" x14ac:dyDescent="0.2">
      <c r="A848" s="60"/>
      <c r="B848" s="63"/>
      <c r="C848" s="87" t="s">
        <v>871</v>
      </c>
      <c r="D848" s="87"/>
      <c r="E848" s="87"/>
      <c r="F848" s="87"/>
      <c r="G848" s="87"/>
      <c r="H848" s="87"/>
      <c r="I848" s="49"/>
      <c r="J848" s="60"/>
      <c r="K848" s="47"/>
      <c r="L848" s="49">
        <f>L850+L851</f>
        <v>252265.7699999999</v>
      </c>
    </row>
    <row r="849" spans="1:12" ht="14.25" x14ac:dyDescent="0.2">
      <c r="A849" s="60"/>
      <c r="B849" s="63"/>
      <c r="C849" s="89" t="s">
        <v>868</v>
      </c>
      <c r="D849" s="87"/>
      <c r="E849" s="87"/>
      <c r="F849" s="87"/>
      <c r="G849" s="87"/>
      <c r="H849" s="87"/>
      <c r="I849" s="49"/>
      <c r="J849" s="60"/>
      <c r="K849" s="47"/>
      <c r="L849" s="49"/>
    </row>
    <row r="850" spans="1:12" ht="14.25" x14ac:dyDescent="0.2">
      <c r="A850" s="60"/>
      <c r="B850" s="63"/>
      <c r="C850" s="87" t="s">
        <v>872</v>
      </c>
      <c r="D850" s="87"/>
      <c r="E850" s="87"/>
      <c r="F850" s="87"/>
      <c r="G850" s="87"/>
      <c r="H850" s="87"/>
      <c r="I850" s="49"/>
      <c r="J850" s="60"/>
      <c r="K850" s="47"/>
      <c r="L850" s="49">
        <f>SUM(AW52:AW835)-SUM(BK52:BK835)</f>
        <v>252265.7699999999</v>
      </c>
    </row>
    <row r="851" spans="1:12" ht="14.25" hidden="1" x14ac:dyDescent="0.2">
      <c r="A851" s="60"/>
      <c r="B851" s="63"/>
      <c r="C851" s="87" t="s">
        <v>873</v>
      </c>
      <c r="D851" s="87"/>
      <c r="E851" s="87"/>
      <c r="F851" s="87"/>
      <c r="G851" s="87"/>
      <c r="H851" s="87"/>
      <c r="I851" s="49"/>
      <c r="J851" s="60"/>
      <c r="K851" s="47"/>
      <c r="L851" s="49">
        <f>SUM(BC52:BC835)</f>
        <v>0</v>
      </c>
    </row>
    <row r="852" spans="1:12" ht="14.25" hidden="1" x14ac:dyDescent="0.2">
      <c r="A852" s="60"/>
      <c r="B852" s="63"/>
      <c r="C852" s="87" t="s">
        <v>874</v>
      </c>
      <c r="D852" s="87"/>
      <c r="E852" s="87"/>
      <c r="F852" s="87"/>
      <c r="G852" s="87"/>
      <c r="H852" s="87"/>
      <c r="I852" s="49"/>
      <c r="J852" s="60"/>
      <c r="K852" s="47"/>
      <c r="L852" s="49">
        <f>SUM(BB52:BB835)</f>
        <v>0</v>
      </c>
    </row>
    <row r="853" spans="1:12" ht="14.25" x14ac:dyDescent="0.2">
      <c r="A853" s="60"/>
      <c r="B853" s="63"/>
      <c r="C853" s="87" t="s">
        <v>875</v>
      </c>
      <c r="D853" s="87"/>
      <c r="E853" s="87"/>
      <c r="F853" s="87"/>
      <c r="G853" s="87"/>
      <c r="H853" s="87"/>
      <c r="I853" s="49"/>
      <c r="J853" s="60"/>
      <c r="K853" s="47"/>
      <c r="L853" s="49">
        <f>SUM(AR52:AR835)+SUM(AT52:AT835)+SUM(AV52:AV835)</f>
        <v>96508.400000000009</v>
      </c>
    </row>
    <row r="854" spans="1:12" ht="14.25" x14ac:dyDescent="0.2">
      <c r="A854" s="60"/>
      <c r="B854" s="63"/>
      <c r="C854" s="87" t="s">
        <v>876</v>
      </c>
      <c r="D854" s="87"/>
      <c r="E854" s="87"/>
      <c r="F854" s="87"/>
      <c r="G854" s="87"/>
      <c r="H854" s="87"/>
      <c r="I854" s="49"/>
      <c r="J854" s="60"/>
      <c r="K854" s="47"/>
      <c r="L854" s="49">
        <f>SUM(AZ52:AZ835)</f>
        <v>95943.549999999974</v>
      </c>
    </row>
    <row r="855" spans="1:12" ht="14.25" x14ac:dyDescent="0.2">
      <c r="A855" s="60"/>
      <c r="B855" s="63"/>
      <c r="C855" s="87" t="s">
        <v>877</v>
      </c>
      <c r="D855" s="87"/>
      <c r="E855" s="87"/>
      <c r="F855" s="87"/>
      <c r="G855" s="87"/>
      <c r="H855" s="87"/>
      <c r="I855" s="49"/>
      <c r="J855" s="60"/>
      <c r="K855" s="47"/>
      <c r="L855" s="49">
        <f>SUM(BA52:BA835)</f>
        <v>49072.270000000011</v>
      </c>
    </row>
    <row r="856" spans="1:12" ht="14.25" hidden="1" x14ac:dyDescent="0.2">
      <c r="A856" s="60"/>
      <c r="B856" s="63"/>
      <c r="C856" s="87" t="s">
        <v>999</v>
      </c>
      <c r="D856" s="87"/>
      <c r="E856" s="87"/>
      <c r="F856" s="87"/>
      <c r="G856" s="87"/>
      <c r="H856" s="87"/>
      <c r="I856" s="49"/>
      <c r="J856" s="60"/>
      <c r="K856" s="47"/>
      <c r="L856" s="49">
        <f>L858+L859</f>
        <v>0</v>
      </c>
    </row>
    <row r="857" spans="1:12" ht="14.25" hidden="1" x14ac:dyDescent="0.2">
      <c r="A857" s="60"/>
      <c r="B857" s="63"/>
      <c r="C857" s="89" t="s">
        <v>865</v>
      </c>
      <c r="D857" s="87"/>
      <c r="E857" s="87"/>
      <c r="F857" s="87"/>
      <c r="G857" s="87"/>
      <c r="H857" s="87"/>
      <c r="I857" s="49"/>
      <c r="J857" s="60"/>
      <c r="K857" s="47"/>
      <c r="L857" s="49"/>
    </row>
    <row r="858" spans="1:12" ht="14.25" hidden="1" x14ac:dyDescent="0.2">
      <c r="A858" s="60"/>
      <c r="B858" s="63"/>
      <c r="C858" s="87" t="s">
        <v>879</v>
      </c>
      <c r="D858" s="87"/>
      <c r="E858" s="87"/>
      <c r="F858" s="87"/>
      <c r="G858" s="87"/>
      <c r="H858" s="87"/>
      <c r="I858" s="49"/>
      <c r="J858" s="60"/>
      <c r="K858" s="47"/>
      <c r="L858" s="49">
        <f>SUM(BK52:BK835)</f>
        <v>0</v>
      </c>
    </row>
    <row r="859" spans="1:12" ht="14.25" hidden="1" x14ac:dyDescent="0.2">
      <c r="A859" s="60"/>
      <c r="B859" s="63"/>
      <c r="C859" s="87" t="s">
        <v>880</v>
      </c>
      <c r="D859" s="87"/>
      <c r="E859" s="87"/>
      <c r="F859" s="87"/>
      <c r="G859" s="87"/>
      <c r="H859" s="87"/>
      <c r="I859" s="49"/>
      <c r="J859" s="60"/>
      <c r="K859" s="47"/>
      <c r="L859" s="49">
        <f>SUM(BD52:BD835)</f>
        <v>0</v>
      </c>
    </row>
    <row r="860" spans="1:12" ht="14.25" hidden="1" x14ac:dyDescent="0.2">
      <c r="A860" s="60"/>
      <c r="B860" s="63"/>
      <c r="C860" s="87" t="s">
        <v>1000</v>
      </c>
      <c r="D860" s="87"/>
      <c r="E860" s="87"/>
      <c r="F860" s="87"/>
      <c r="G860" s="87"/>
      <c r="H860" s="87"/>
      <c r="I860" s="49"/>
      <c r="J860" s="60"/>
      <c r="K860" s="47"/>
      <c r="L860" s="49">
        <f>L811</f>
        <v>0</v>
      </c>
    </row>
    <row r="861" spans="1:12" ht="14.25" x14ac:dyDescent="0.2">
      <c r="A861" s="60"/>
      <c r="B861" s="63"/>
      <c r="C861" s="86" t="s">
        <v>884</v>
      </c>
      <c r="D861" s="87"/>
      <c r="E861" s="87"/>
      <c r="F861" s="87"/>
      <c r="G861" s="87"/>
      <c r="H861" s="87"/>
      <c r="I861" s="49"/>
      <c r="J861" s="60"/>
      <c r="K861" s="47"/>
      <c r="L861" s="49"/>
    </row>
    <row r="862" spans="1:12" ht="14.25" x14ac:dyDescent="0.2">
      <c r="A862" s="60"/>
      <c r="B862" s="63"/>
      <c r="C862" s="87" t="s">
        <v>885</v>
      </c>
      <c r="D862" s="87"/>
      <c r="E862" s="87"/>
      <c r="F862" s="87"/>
      <c r="G862" s="87"/>
      <c r="H862" s="87"/>
      <c r="I862" s="49"/>
      <c r="J862" s="60"/>
      <c r="K862" s="47"/>
      <c r="L862" s="49">
        <f>SUM(AX52:AX835)</f>
        <v>68647.539999999994</v>
      </c>
    </row>
    <row r="863" spans="1:12" ht="14.25" hidden="1" x14ac:dyDescent="0.2">
      <c r="A863" s="60"/>
      <c r="B863" s="63"/>
      <c r="C863" s="87" t="s">
        <v>886</v>
      </c>
      <c r="D863" s="87"/>
      <c r="E863" s="87"/>
      <c r="F863" s="87"/>
      <c r="G863" s="87"/>
      <c r="H863" s="87"/>
      <c r="I863" s="49"/>
      <c r="J863" s="60"/>
      <c r="K863" s="47"/>
      <c r="L863" s="49">
        <f>SUM(AY52:AY835)</f>
        <v>0</v>
      </c>
    </row>
    <row r="864" spans="1:12" ht="14.25" x14ac:dyDescent="0.2">
      <c r="A864" s="60"/>
      <c r="B864" s="63"/>
      <c r="C864" s="87" t="s">
        <v>887</v>
      </c>
      <c r="D864" s="87"/>
      <c r="E864" s="87"/>
      <c r="F864" s="88"/>
      <c r="G864" s="51">
        <f>Source!F308</f>
        <v>142.99006460000001</v>
      </c>
      <c r="H864" s="60"/>
      <c r="I864" s="60"/>
      <c r="J864" s="60"/>
      <c r="K864" s="60"/>
      <c r="L864" s="60"/>
    </row>
    <row r="865" spans="1:12" ht="14.25" x14ac:dyDescent="0.2">
      <c r="A865" s="60"/>
      <c r="B865" s="63"/>
      <c r="C865" s="87" t="s">
        <v>888</v>
      </c>
      <c r="D865" s="87"/>
      <c r="E865" s="87"/>
      <c r="F865" s="88"/>
      <c r="G865" s="51">
        <f>Source!F309</f>
        <v>4.4200000000000003E-2</v>
      </c>
      <c r="H865" s="60"/>
      <c r="I865" s="60"/>
      <c r="J865" s="60"/>
      <c r="K865" s="60"/>
      <c r="L865" s="60"/>
    </row>
    <row r="866" spans="1:12" x14ac:dyDescent="0.2">
      <c r="C866" s="82" t="s">
        <v>461</v>
      </c>
      <c r="D866" s="82"/>
      <c r="E866" s="82"/>
      <c r="F866" s="82"/>
      <c r="G866" s="82"/>
      <c r="H866" s="82"/>
      <c r="I866" s="82"/>
      <c r="J866" s="82"/>
      <c r="K866" s="82"/>
      <c r="L866" s="83">
        <f>L837*0.22</f>
        <v>108151.1002</v>
      </c>
    </row>
    <row r="867" spans="1:12" x14ac:dyDescent="0.2">
      <c r="C867" s="82" t="s">
        <v>1008</v>
      </c>
      <c r="D867" s="82"/>
      <c r="E867" s="82"/>
      <c r="F867" s="82"/>
      <c r="G867" s="82"/>
      <c r="H867" s="82"/>
      <c r="I867" s="82"/>
      <c r="J867" s="82"/>
      <c r="K867" s="82"/>
      <c r="L867" s="84">
        <f>L837+L866</f>
        <v>599747.01020000002</v>
      </c>
    </row>
    <row r="869" spans="1:12" ht="14.25" customHeight="1" x14ac:dyDescent="0.2">
      <c r="A869" s="77"/>
      <c r="B869" s="78" t="s">
        <v>1001</v>
      </c>
      <c r="C869" s="80" t="str">
        <f>IF(Source!AC12&lt;&gt;"", Source!AC12," ")</f>
        <v xml:space="preserve"> </v>
      </c>
      <c r="D869" s="36"/>
      <c r="E869" s="36"/>
      <c r="F869" s="36"/>
      <c r="G869" s="36"/>
      <c r="H869" s="79" t="str">
        <f>IF(Source!AB12&lt;&gt;"", Source!AB12," ")</f>
        <v xml:space="preserve"> </v>
      </c>
      <c r="I869" s="26"/>
      <c r="J869" s="26"/>
      <c r="K869" s="40"/>
      <c r="L869" s="40"/>
    </row>
    <row r="870" spans="1:12" ht="14.25" customHeight="1" x14ac:dyDescent="0.2">
      <c r="A870" s="77"/>
      <c r="B870" s="81"/>
      <c r="C870" s="85" t="s">
        <v>1002</v>
      </c>
      <c r="D870" s="85"/>
      <c r="E870" s="85"/>
      <c r="F870" s="85"/>
      <c r="G870" s="85"/>
      <c r="H870" s="26"/>
      <c r="I870" s="26"/>
      <c r="J870" s="26"/>
      <c r="K870" s="40"/>
      <c r="L870" s="40"/>
    </row>
    <row r="871" spans="1:12" ht="14.25" customHeight="1" x14ac:dyDescent="0.2">
      <c r="A871" s="77"/>
      <c r="B871" s="81"/>
      <c r="C871" s="22"/>
      <c r="D871" s="22"/>
      <c r="E871" s="22"/>
      <c r="F871" s="22"/>
      <c r="G871" s="22"/>
      <c r="H871" s="26"/>
      <c r="I871" s="26"/>
      <c r="J871" s="26"/>
      <c r="K871" s="40"/>
      <c r="L871" s="40"/>
    </row>
    <row r="872" spans="1:12" ht="14.25" customHeight="1" x14ac:dyDescent="0.2">
      <c r="A872" s="77"/>
      <c r="B872" s="78" t="s">
        <v>1003</v>
      </c>
      <c r="C872" s="80" t="str">
        <f>IF(Source!AE12&lt;&gt;"", Source!AE12," ")</f>
        <v xml:space="preserve"> </v>
      </c>
      <c r="D872" s="36"/>
      <c r="E872" s="36"/>
      <c r="F872" s="36"/>
      <c r="G872" s="36"/>
      <c r="H872" s="79" t="str">
        <f>IF(Source!AD12&lt;&gt;"", Source!AD12," ")</f>
        <v xml:space="preserve"> </v>
      </c>
      <c r="I872" s="26"/>
      <c r="J872" s="26"/>
      <c r="K872" s="40"/>
      <c r="L872" s="40"/>
    </row>
    <row r="873" spans="1:12" ht="14.25" customHeight="1" x14ac:dyDescent="0.2">
      <c r="A873" s="22"/>
      <c r="B873" s="22"/>
      <c r="C873" s="85" t="s">
        <v>1002</v>
      </c>
      <c r="D873" s="85"/>
      <c r="E873" s="85"/>
      <c r="F873" s="85"/>
      <c r="G873" s="85"/>
      <c r="H873" s="26"/>
      <c r="I873" s="26"/>
      <c r="J873" s="26"/>
      <c r="K873" s="40"/>
      <c r="L873" s="40"/>
    </row>
  </sheetData>
  <mergeCells count="379">
    <mergeCell ref="A8:E8"/>
    <mergeCell ref="F8:L8"/>
    <mergeCell ref="A10:E10"/>
    <mergeCell ref="F10:L10"/>
    <mergeCell ref="A12:E12"/>
    <mergeCell ref="F12:L12"/>
    <mergeCell ref="A2:E2"/>
    <mergeCell ref="F2:L2"/>
    <mergeCell ref="A4:E4"/>
    <mergeCell ref="F4:L4"/>
    <mergeCell ref="A6:E6"/>
    <mergeCell ref="F6:L6"/>
    <mergeCell ref="A22:L22"/>
    <mergeCell ref="A23:L23"/>
    <mergeCell ref="A25:L25"/>
    <mergeCell ref="A27:L27"/>
    <mergeCell ref="A28:L28"/>
    <mergeCell ref="C33:L33"/>
    <mergeCell ref="A14:E14"/>
    <mergeCell ref="F14:L14"/>
    <mergeCell ref="A16:E16"/>
    <mergeCell ref="F16:L16"/>
    <mergeCell ref="A19:L19"/>
    <mergeCell ref="A20:L20"/>
    <mergeCell ref="A46:A50"/>
    <mergeCell ref="B46:B50"/>
    <mergeCell ref="C46:C50"/>
    <mergeCell ref="D46:D50"/>
    <mergeCell ref="E46:G49"/>
    <mergeCell ref="H46:L49"/>
    <mergeCell ref="C34:L34"/>
    <mergeCell ref="C38:D38"/>
    <mergeCell ref="C41:D41"/>
    <mergeCell ref="C42:D42"/>
    <mergeCell ref="C43:D43"/>
    <mergeCell ref="C44:D44"/>
    <mergeCell ref="C84:H84"/>
    <mergeCell ref="I84:J84"/>
    <mergeCell ref="K84:L84"/>
    <mergeCell ref="C111:H111"/>
    <mergeCell ref="I111:J111"/>
    <mergeCell ref="K111:L111"/>
    <mergeCell ref="A53:L53"/>
    <mergeCell ref="C64:H64"/>
    <mergeCell ref="I64:J64"/>
    <mergeCell ref="K64:L64"/>
    <mergeCell ref="C75:H75"/>
    <mergeCell ref="I75:J75"/>
    <mergeCell ref="K75:L75"/>
    <mergeCell ref="C156:H156"/>
    <mergeCell ref="I156:J156"/>
    <mergeCell ref="K156:L156"/>
    <mergeCell ref="C177:H177"/>
    <mergeCell ref="I177:J177"/>
    <mergeCell ref="K177:L177"/>
    <mergeCell ref="C113:L113"/>
    <mergeCell ref="C128:H128"/>
    <mergeCell ref="I128:J128"/>
    <mergeCell ref="K128:L128"/>
    <mergeCell ref="C139:H139"/>
    <mergeCell ref="I139:J139"/>
    <mergeCell ref="K139:L139"/>
    <mergeCell ref="C236:H236"/>
    <mergeCell ref="I236:J236"/>
    <mergeCell ref="K236:L236"/>
    <mergeCell ref="C254:H254"/>
    <mergeCell ref="I254:J254"/>
    <mergeCell ref="K254:L254"/>
    <mergeCell ref="C197:H197"/>
    <mergeCell ref="I197:J197"/>
    <mergeCell ref="K197:L197"/>
    <mergeCell ref="C216:H216"/>
    <mergeCell ref="I216:J216"/>
    <mergeCell ref="K216:L216"/>
    <mergeCell ref="C306:H306"/>
    <mergeCell ref="C307:H307"/>
    <mergeCell ref="C308:H308"/>
    <mergeCell ref="C309:H309"/>
    <mergeCell ref="C310:H310"/>
    <mergeCell ref="C311:H311"/>
    <mergeCell ref="C282:H282"/>
    <mergeCell ref="I282:J282"/>
    <mergeCell ref="K282:L282"/>
    <mergeCell ref="C304:H304"/>
    <mergeCell ref="I304:J304"/>
    <mergeCell ref="K304:L304"/>
    <mergeCell ref="C318:H318"/>
    <mergeCell ref="C319:H319"/>
    <mergeCell ref="C320:H320"/>
    <mergeCell ref="C321:H321"/>
    <mergeCell ref="C322:H322"/>
    <mergeCell ref="C323:H323"/>
    <mergeCell ref="C312:H312"/>
    <mergeCell ref="C313:H313"/>
    <mergeCell ref="C314:H314"/>
    <mergeCell ref="C315:H315"/>
    <mergeCell ref="C316:H316"/>
    <mergeCell ref="C317:H317"/>
    <mergeCell ref="C330:H330"/>
    <mergeCell ref="C331:H331"/>
    <mergeCell ref="C332:H332"/>
    <mergeCell ref="C333:H333"/>
    <mergeCell ref="C334:F334"/>
    <mergeCell ref="C335:F335"/>
    <mergeCell ref="C324:H324"/>
    <mergeCell ref="C325:H325"/>
    <mergeCell ref="C326:H326"/>
    <mergeCell ref="C327:H327"/>
    <mergeCell ref="C328:H328"/>
    <mergeCell ref="C329:H329"/>
    <mergeCell ref="C370:L370"/>
    <mergeCell ref="C378:H378"/>
    <mergeCell ref="I378:J378"/>
    <mergeCell ref="K378:L378"/>
    <mergeCell ref="C389:H389"/>
    <mergeCell ref="I389:J389"/>
    <mergeCell ref="K389:L389"/>
    <mergeCell ref="A338:L338"/>
    <mergeCell ref="C354:L354"/>
    <mergeCell ref="C359:H359"/>
    <mergeCell ref="I359:J359"/>
    <mergeCell ref="K359:L359"/>
    <mergeCell ref="C368:L368"/>
    <mergeCell ref="C405:H405"/>
    <mergeCell ref="C406:H406"/>
    <mergeCell ref="C407:H407"/>
    <mergeCell ref="C408:H408"/>
    <mergeCell ref="C409:H409"/>
    <mergeCell ref="C410:H410"/>
    <mergeCell ref="C400:H400"/>
    <mergeCell ref="I400:J400"/>
    <mergeCell ref="K400:L400"/>
    <mergeCell ref="C402:H402"/>
    <mergeCell ref="C403:H403"/>
    <mergeCell ref="C404:H404"/>
    <mergeCell ref="C417:H417"/>
    <mergeCell ref="C418:H418"/>
    <mergeCell ref="C419:H419"/>
    <mergeCell ref="C420:H420"/>
    <mergeCell ref="C421:H421"/>
    <mergeCell ref="C422:H422"/>
    <mergeCell ref="C411:H411"/>
    <mergeCell ref="C412:H412"/>
    <mergeCell ref="C413:H413"/>
    <mergeCell ref="C414:H414"/>
    <mergeCell ref="C415:H415"/>
    <mergeCell ref="C416:H416"/>
    <mergeCell ref="C429:H429"/>
    <mergeCell ref="C430:F430"/>
    <mergeCell ref="C431:F431"/>
    <mergeCell ref="A434:L434"/>
    <mergeCell ref="C450:L450"/>
    <mergeCell ref="C453:L453"/>
    <mergeCell ref="C423:H423"/>
    <mergeCell ref="C424:H424"/>
    <mergeCell ref="C425:H425"/>
    <mergeCell ref="C426:H426"/>
    <mergeCell ref="C427:H427"/>
    <mergeCell ref="C428:H428"/>
    <mergeCell ref="C475:L475"/>
    <mergeCell ref="C480:H480"/>
    <mergeCell ref="I480:J480"/>
    <mergeCell ref="K480:L480"/>
    <mergeCell ref="C482:H482"/>
    <mergeCell ref="C483:H483"/>
    <mergeCell ref="C456:L456"/>
    <mergeCell ref="C461:H461"/>
    <mergeCell ref="I461:J461"/>
    <mergeCell ref="K461:L461"/>
    <mergeCell ref="C463:H463"/>
    <mergeCell ref="I463:J463"/>
    <mergeCell ref="K463:L463"/>
    <mergeCell ref="C490:H490"/>
    <mergeCell ref="C491:H491"/>
    <mergeCell ref="C492:H492"/>
    <mergeCell ref="C493:H493"/>
    <mergeCell ref="C494:H494"/>
    <mergeCell ref="C495:H495"/>
    <mergeCell ref="C484:H484"/>
    <mergeCell ref="C485:H485"/>
    <mergeCell ref="C486:H486"/>
    <mergeCell ref="C487:H487"/>
    <mergeCell ref="C488:H488"/>
    <mergeCell ref="C489:H489"/>
    <mergeCell ref="C502:H502"/>
    <mergeCell ref="C503:H503"/>
    <mergeCell ref="C504:H504"/>
    <mergeCell ref="C505:H505"/>
    <mergeCell ref="C506:H506"/>
    <mergeCell ref="C507:H507"/>
    <mergeCell ref="C496:H496"/>
    <mergeCell ref="C497:H497"/>
    <mergeCell ref="C498:H498"/>
    <mergeCell ref="C499:H499"/>
    <mergeCell ref="C500:H500"/>
    <mergeCell ref="C501:H501"/>
    <mergeCell ref="C532:H532"/>
    <mergeCell ref="I532:J532"/>
    <mergeCell ref="K532:L532"/>
    <mergeCell ref="C545:H545"/>
    <mergeCell ref="I545:J545"/>
    <mergeCell ref="K545:L545"/>
    <mergeCell ref="C508:H508"/>
    <mergeCell ref="C509:H509"/>
    <mergeCell ref="C510:F510"/>
    <mergeCell ref="C511:F511"/>
    <mergeCell ref="A514:L514"/>
    <mergeCell ref="C527:L527"/>
    <mergeCell ref="C589:L589"/>
    <mergeCell ref="C592:L592"/>
    <mergeCell ref="C597:H597"/>
    <mergeCell ref="I597:J597"/>
    <mergeCell ref="K597:L597"/>
    <mergeCell ref="C612:L612"/>
    <mergeCell ref="C554:H554"/>
    <mergeCell ref="I554:J554"/>
    <mergeCell ref="K554:L554"/>
    <mergeCell ref="C575:H575"/>
    <mergeCell ref="I575:J575"/>
    <mergeCell ref="K575:L575"/>
    <mergeCell ref="C641:H641"/>
    <mergeCell ref="I641:J641"/>
    <mergeCell ref="K641:L641"/>
    <mergeCell ref="C643:L643"/>
    <mergeCell ref="C644:L644"/>
    <mergeCell ref="C645:F645"/>
    <mergeCell ref="C615:L615"/>
    <mergeCell ref="C620:H620"/>
    <mergeCell ref="I620:J620"/>
    <mergeCell ref="K620:L620"/>
    <mergeCell ref="C633:L633"/>
    <mergeCell ref="C636:L636"/>
    <mergeCell ref="C701:L701"/>
    <mergeCell ref="C704:L704"/>
    <mergeCell ref="C709:H709"/>
    <mergeCell ref="I709:J709"/>
    <mergeCell ref="K709:L709"/>
    <mergeCell ref="C722:L722"/>
    <mergeCell ref="C663:H663"/>
    <mergeCell ref="I663:J663"/>
    <mergeCell ref="K663:L663"/>
    <mergeCell ref="C677:L677"/>
    <mergeCell ref="C680:L680"/>
    <mergeCell ref="C685:H685"/>
    <mergeCell ref="I685:J685"/>
    <mergeCell ref="K685:L685"/>
    <mergeCell ref="C734:H734"/>
    <mergeCell ref="C735:H735"/>
    <mergeCell ref="C736:H736"/>
    <mergeCell ref="C737:H737"/>
    <mergeCell ref="C738:H738"/>
    <mergeCell ref="C739:H739"/>
    <mergeCell ref="C725:L725"/>
    <mergeCell ref="C730:H730"/>
    <mergeCell ref="I730:J730"/>
    <mergeCell ref="K730:L730"/>
    <mergeCell ref="C732:H732"/>
    <mergeCell ref="C733:H733"/>
    <mergeCell ref="C746:H746"/>
    <mergeCell ref="C747:H747"/>
    <mergeCell ref="C748:H748"/>
    <mergeCell ref="C749:H749"/>
    <mergeCell ref="C750:H750"/>
    <mergeCell ref="C751:H751"/>
    <mergeCell ref="C740:H740"/>
    <mergeCell ref="C741:H741"/>
    <mergeCell ref="C742:H742"/>
    <mergeCell ref="C743:H743"/>
    <mergeCell ref="C744:H744"/>
    <mergeCell ref="C745:H745"/>
    <mergeCell ref="C758:H758"/>
    <mergeCell ref="C759:H759"/>
    <mergeCell ref="C760:F760"/>
    <mergeCell ref="C761:F761"/>
    <mergeCell ref="C764:H764"/>
    <mergeCell ref="C766:H766"/>
    <mergeCell ref="C752:H752"/>
    <mergeCell ref="C753:H753"/>
    <mergeCell ref="C754:H754"/>
    <mergeCell ref="C755:H755"/>
    <mergeCell ref="C756:H756"/>
    <mergeCell ref="C757:H757"/>
    <mergeCell ref="C773:H773"/>
    <mergeCell ref="C774:H774"/>
    <mergeCell ref="C775:H775"/>
    <mergeCell ref="C776:H776"/>
    <mergeCell ref="C777:H777"/>
    <mergeCell ref="C778:H778"/>
    <mergeCell ref="C767:H767"/>
    <mergeCell ref="C768:H768"/>
    <mergeCell ref="C769:H769"/>
    <mergeCell ref="C770:H770"/>
    <mergeCell ref="C771:H771"/>
    <mergeCell ref="C772:H772"/>
    <mergeCell ref="C786:H786"/>
    <mergeCell ref="C787:H787"/>
    <mergeCell ref="C788:H788"/>
    <mergeCell ref="C789:H789"/>
    <mergeCell ref="C790:H790"/>
    <mergeCell ref="C791:H791"/>
    <mergeCell ref="C779:H779"/>
    <mergeCell ref="C780:H780"/>
    <mergeCell ref="C781:H781"/>
    <mergeCell ref="C782:H782"/>
    <mergeCell ref="C783:H783"/>
    <mergeCell ref="C784:H784"/>
    <mergeCell ref="C798:H798"/>
    <mergeCell ref="C799:H799"/>
    <mergeCell ref="C800:H800"/>
    <mergeCell ref="C801:H801"/>
    <mergeCell ref="C802:H802"/>
    <mergeCell ref="C803:H803"/>
    <mergeCell ref="C792:H792"/>
    <mergeCell ref="C793:H793"/>
    <mergeCell ref="C794:H794"/>
    <mergeCell ref="C795:H795"/>
    <mergeCell ref="C796:H796"/>
    <mergeCell ref="C797:H797"/>
    <mergeCell ref="C812:H812"/>
    <mergeCell ref="C813:H813"/>
    <mergeCell ref="C814:H814"/>
    <mergeCell ref="C815:H815"/>
    <mergeCell ref="C816:H816"/>
    <mergeCell ref="C817:H817"/>
    <mergeCell ref="C804:H804"/>
    <mergeCell ref="C806:H806"/>
    <mergeCell ref="C807:H807"/>
    <mergeCell ref="C808:H808"/>
    <mergeCell ref="C809:H809"/>
    <mergeCell ref="C811:H811"/>
    <mergeCell ref="C824:H824"/>
    <mergeCell ref="C825:H825"/>
    <mergeCell ref="C826:H826"/>
    <mergeCell ref="C827:H827"/>
    <mergeCell ref="C828:H828"/>
    <mergeCell ref="C829:H829"/>
    <mergeCell ref="C818:H818"/>
    <mergeCell ref="C819:H819"/>
    <mergeCell ref="C820:H820"/>
    <mergeCell ref="C821:H821"/>
    <mergeCell ref="C822:H822"/>
    <mergeCell ref="C823:H823"/>
    <mergeCell ref="C837:H837"/>
    <mergeCell ref="C838:H838"/>
    <mergeCell ref="C839:H839"/>
    <mergeCell ref="C840:H840"/>
    <mergeCell ref="C841:H841"/>
    <mergeCell ref="C842:H842"/>
    <mergeCell ref="C830:H830"/>
    <mergeCell ref="C831:H831"/>
    <mergeCell ref="C832:H832"/>
    <mergeCell ref="C833:H833"/>
    <mergeCell ref="C834:H834"/>
    <mergeCell ref="C835:H835"/>
    <mergeCell ref="C849:H849"/>
    <mergeCell ref="C850:H850"/>
    <mergeCell ref="C851:H851"/>
    <mergeCell ref="C852:H852"/>
    <mergeCell ref="C853:H853"/>
    <mergeCell ref="C854:H854"/>
    <mergeCell ref="C843:H843"/>
    <mergeCell ref="C844:H844"/>
    <mergeCell ref="C845:H845"/>
    <mergeCell ref="C846:H846"/>
    <mergeCell ref="C847:H847"/>
    <mergeCell ref="C848:H848"/>
    <mergeCell ref="C873:G873"/>
    <mergeCell ref="C861:H861"/>
    <mergeCell ref="C862:H862"/>
    <mergeCell ref="C863:H863"/>
    <mergeCell ref="C864:F864"/>
    <mergeCell ref="C865:F865"/>
    <mergeCell ref="C870:G870"/>
    <mergeCell ref="C855:H855"/>
    <mergeCell ref="C856:H856"/>
    <mergeCell ref="C857:H857"/>
    <mergeCell ref="C858:H858"/>
    <mergeCell ref="C859:H859"/>
    <mergeCell ref="C860:H860"/>
  </mergeCells>
  <pageMargins left="0.4" right="0.2" top="0.2" bottom="0.4" header="0.2" footer="0.2"/>
  <pageSetup paperSize="9" scale="70" fitToHeight="0" orientation="landscape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81"/>
  <sheetViews>
    <sheetView workbookViewId="0">
      <selection activeCell="G18" sqref="G18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76530</v>
      </c>
      <c r="M1">
        <v>10</v>
      </c>
      <c r="N1">
        <v>12</v>
      </c>
      <c r="O1">
        <v>1</v>
      </c>
      <c r="P1">
        <v>0</v>
      </c>
      <c r="Q1">
        <v>1</v>
      </c>
    </row>
    <row r="12" spans="1:133" x14ac:dyDescent="0.2">
      <c r="A12" s="1">
        <v>1</v>
      </c>
      <c r="B12" s="1">
        <v>375</v>
      </c>
      <c r="C12" s="1">
        <v>0</v>
      </c>
      <c r="D12" s="1">
        <f>ROW(A316)</f>
        <v>316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733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B316</f>
        <v>375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Новый объект_(Копия)_(Копия)</v>
      </c>
      <c r="G18" s="3" t="str">
        <f t="shared" si="0"/>
        <v>Строгановка Аудитория № 1009, 311, 239 ИСПРАВЛЕННАЯ по замечаниям Кости</v>
      </c>
      <c r="H18" s="3"/>
      <c r="I18" s="3"/>
      <c r="J18" s="3"/>
      <c r="K18" s="3"/>
      <c r="L18" s="3"/>
      <c r="M18" s="3"/>
      <c r="N18" s="3"/>
      <c r="O18" s="3">
        <f t="shared" ref="O18:AT18" si="1">O316</f>
        <v>346580.09</v>
      </c>
      <c r="P18" s="3">
        <f t="shared" si="1"/>
        <v>252265.77</v>
      </c>
      <c r="Q18" s="3">
        <f t="shared" si="1"/>
        <v>-2194.08</v>
      </c>
      <c r="R18" s="3">
        <f t="shared" si="1"/>
        <v>-1700.83</v>
      </c>
      <c r="S18" s="3">
        <f t="shared" si="1"/>
        <v>98209.23</v>
      </c>
      <c r="T18" s="3">
        <f t="shared" si="1"/>
        <v>0</v>
      </c>
      <c r="U18" s="3">
        <f t="shared" si="1"/>
        <v>142.99006460000001</v>
      </c>
      <c r="V18" s="3">
        <f t="shared" si="1"/>
        <v>4.4200000000000003E-2</v>
      </c>
      <c r="W18" s="3">
        <f t="shared" si="1"/>
        <v>0</v>
      </c>
      <c r="X18" s="3">
        <f t="shared" si="1"/>
        <v>95943.55</v>
      </c>
      <c r="Y18" s="3">
        <f t="shared" si="1"/>
        <v>49072.27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491595.91</v>
      </c>
      <c r="AS18" s="3">
        <f t="shared" si="1"/>
        <v>161431.39000000001</v>
      </c>
      <c r="AT18" s="3">
        <f t="shared" si="1"/>
        <v>330164.52</v>
      </c>
      <c r="AU18" s="3">
        <f t="shared" ref="AU18:BZ18" si="2">AU316</f>
        <v>0</v>
      </c>
      <c r="AV18" s="3">
        <f t="shared" si="2"/>
        <v>252265.77</v>
      </c>
      <c r="AW18" s="3">
        <f t="shared" si="2"/>
        <v>252265.77</v>
      </c>
      <c r="AX18" s="3">
        <f t="shared" si="2"/>
        <v>0</v>
      </c>
      <c r="AY18" s="3">
        <f t="shared" si="2"/>
        <v>252265.77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CA316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DG316</f>
        <v>0</v>
      </c>
      <c r="DH18" s="4">
        <f t="shared" si="4"/>
        <v>0</v>
      </c>
      <c r="DI18" s="4">
        <f t="shared" si="4"/>
        <v>0</v>
      </c>
      <c r="DJ18" s="4">
        <f t="shared" si="4"/>
        <v>0</v>
      </c>
      <c r="DK18" s="4">
        <f t="shared" si="4"/>
        <v>0</v>
      </c>
      <c r="DL18" s="4">
        <f t="shared" si="4"/>
        <v>0</v>
      </c>
      <c r="DM18" s="4">
        <f t="shared" si="4"/>
        <v>0</v>
      </c>
      <c r="DN18" s="4">
        <f t="shared" si="4"/>
        <v>0</v>
      </c>
      <c r="DO18" s="4">
        <f t="shared" si="4"/>
        <v>0</v>
      </c>
      <c r="DP18" s="4">
        <f t="shared" si="4"/>
        <v>0</v>
      </c>
      <c r="DQ18" s="4">
        <f t="shared" si="4"/>
        <v>0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0</v>
      </c>
      <c r="EK18" s="4">
        <f t="shared" si="4"/>
        <v>0</v>
      </c>
      <c r="EL18" s="4">
        <f t="shared" si="4"/>
        <v>0</v>
      </c>
      <c r="EM18" s="4">
        <f t="shared" ref="EM18:FR18" si="5">EM316</f>
        <v>0</v>
      </c>
      <c r="EN18" s="4">
        <f t="shared" si="5"/>
        <v>0</v>
      </c>
      <c r="EO18" s="4">
        <f t="shared" si="5"/>
        <v>0</v>
      </c>
      <c r="EP18" s="4">
        <f t="shared" si="5"/>
        <v>0</v>
      </c>
      <c r="EQ18" s="4">
        <f t="shared" si="5"/>
        <v>0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FS316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ROW(A286)</f>
        <v>286</v>
      </c>
      <c r="E20" s="1"/>
      <c r="F20" s="1" t="s">
        <v>14</v>
      </c>
      <c r="G20" s="1" t="s">
        <v>14</v>
      </c>
      <c r="H20" s="1" t="s">
        <v>3</v>
      </c>
      <c r="I20" s="1">
        <v>0</v>
      </c>
      <c r="J20" s="1" t="s">
        <v>3</v>
      </c>
      <c r="K20" s="1">
        <v>0</v>
      </c>
      <c r="L20" s="1" t="s">
        <v>14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">
      <c r="A22" s="3">
        <v>52</v>
      </c>
      <c r="B22" s="3">
        <f t="shared" ref="B22:G22" si="7">B286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Новая локальная смета</v>
      </c>
      <c r="H22" s="3"/>
      <c r="I22" s="3"/>
      <c r="J22" s="3"/>
      <c r="K22" s="3"/>
      <c r="L22" s="3"/>
      <c r="M22" s="3"/>
      <c r="N22" s="3"/>
      <c r="O22" s="3">
        <f t="shared" ref="O22:AT22" si="8">O286</f>
        <v>346580.09</v>
      </c>
      <c r="P22" s="3">
        <f t="shared" si="8"/>
        <v>252265.77</v>
      </c>
      <c r="Q22" s="3">
        <f t="shared" si="8"/>
        <v>-2194.08</v>
      </c>
      <c r="R22" s="3">
        <f t="shared" si="8"/>
        <v>-1700.83</v>
      </c>
      <c r="S22" s="3">
        <f t="shared" si="8"/>
        <v>98209.23</v>
      </c>
      <c r="T22" s="3">
        <f t="shared" si="8"/>
        <v>0</v>
      </c>
      <c r="U22" s="3">
        <f t="shared" si="8"/>
        <v>142.99006460000001</v>
      </c>
      <c r="V22" s="3">
        <f t="shared" si="8"/>
        <v>4.4200000000000003E-2</v>
      </c>
      <c r="W22" s="3">
        <f t="shared" si="8"/>
        <v>0</v>
      </c>
      <c r="X22" s="3">
        <f t="shared" si="8"/>
        <v>95943.55</v>
      </c>
      <c r="Y22" s="3">
        <f t="shared" si="8"/>
        <v>49072.27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491595.91</v>
      </c>
      <c r="AS22" s="3">
        <f t="shared" si="8"/>
        <v>161431.39000000001</v>
      </c>
      <c r="AT22" s="3">
        <f t="shared" si="8"/>
        <v>330164.52</v>
      </c>
      <c r="AU22" s="3">
        <f t="shared" ref="AU22:BZ22" si="9">AU286</f>
        <v>0</v>
      </c>
      <c r="AV22" s="3">
        <f t="shared" si="9"/>
        <v>252265.77</v>
      </c>
      <c r="AW22" s="3">
        <f t="shared" si="9"/>
        <v>252265.77</v>
      </c>
      <c r="AX22" s="3">
        <f t="shared" si="9"/>
        <v>0</v>
      </c>
      <c r="AY22" s="3">
        <f t="shared" si="9"/>
        <v>252265.77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CA286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DG286</f>
        <v>0</v>
      </c>
      <c r="DH22" s="4">
        <f t="shared" si="11"/>
        <v>0</v>
      </c>
      <c r="DI22" s="4">
        <f t="shared" si="11"/>
        <v>0</v>
      </c>
      <c r="DJ22" s="4">
        <f t="shared" si="11"/>
        <v>0</v>
      </c>
      <c r="DK22" s="4">
        <f t="shared" si="11"/>
        <v>0</v>
      </c>
      <c r="DL22" s="4">
        <f t="shared" si="11"/>
        <v>0</v>
      </c>
      <c r="DM22" s="4">
        <f t="shared" si="11"/>
        <v>0</v>
      </c>
      <c r="DN22" s="4">
        <f t="shared" si="11"/>
        <v>0</v>
      </c>
      <c r="DO22" s="4">
        <f t="shared" si="11"/>
        <v>0</v>
      </c>
      <c r="DP22" s="4">
        <f t="shared" si="11"/>
        <v>0</v>
      </c>
      <c r="DQ22" s="4">
        <f t="shared" si="11"/>
        <v>0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0</v>
      </c>
      <c r="EK22" s="4">
        <f t="shared" si="11"/>
        <v>0</v>
      </c>
      <c r="EL22" s="4">
        <f t="shared" si="11"/>
        <v>0</v>
      </c>
      <c r="EM22" s="4">
        <f t="shared" ref="EM22:FR22" si="12">EM286</f>
        <v>0</v>
      </c>
      <c r="EN22" s="4">
        <f t="shared" si="12"/>
        <v>0</v>
      </c>
      <c r="EO22" s="4">
        <f t="shared" si="12"/>
        <v>0</v>
      </c>
      <c r="EP22" s="4">
        <f t="shared" si="12"/>
        <v>0</v>
      </c>
      <c r="EQ22" s="4">
        <f t="shared" si="12"/>
        <v>0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FS286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ROW(A83)</f>
        <v>83</v>
      </c>
      <c r="E24" s="1"/>
      <c r="F24" s="1" t="s">
        <v>15</v>
      </c>
      <c r="G24" s="1" t="s">
        <v>16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B83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Электромонтажные работы</v>
      </c>
      <c r="H26" s="3"/>
      <c r="I26" s="3"/>
      <c r="J26" s="3"/>
      <c r="K26" s="3"/>
      <c r="L26" s="3"/>
      <c r="M26" s="3"/>
      <c r="N26" s="3"/>
      <c r="O26" s="3">
        <f t="shared" ref="O26:AT26" si="15">O83</f>
        <v>219395.47</v>
      </c>
      <c r="P26" s="3">
        <f t="shared" si="15"/>
        <v>157966.03</v>
      </c>
      <c r="Q26" s="3">
        <f t="shared" si="15"/>
        <v>-1319.05</v>
      </c>
      <c r="R26" s="3">
        <f t="shared" si="15"/>
        <v>-893.31</v>
      </c>
      <c r="S26" s="3">
        <f t="shared" si="15"/>
        <v>63641.8</v>
      </c>
      <c r="T26" s="3">
        <f t="shared" si="15"/>
        <v>0</v>
      </c>
      <c r="U26" s="3">
        <f t="shared" si="15"/>
        <v>91.621900000000011</v>
      </c>
      <c r="V26" s="3">
        <f t="shared" si="15"/>
        <v>0.04</v>
      </c>
      <c r="W26" s="3">
        <f t="shared" si="15"/>
        <v>0</v>
      </c>
      <c r="X26" s="3">
        <f t="shared" si="15"/>
        <v>60185.86</v>
      </c>
      <c r="Y26" s="3">
        <f t="shared" si="15"/>
        <v>31609.34</v>
      </c>
      <c r="Z26" s="3">
        <f t="shared" si="15"/>
        <v>0</v>
      </c>
      <c r="AA26" s="3">
        <f t="shared" si="15"/>
        <v>0</v>
      </c>
      <c r="AB26" s="3">
        <f t="shared" si="15"/>
        <v>219395.47</v>
      </c>
      <c r="AC26" s="3">
        <f t="shared" si="15"/>
        <v>157966.03</v>
      </c>
      <c r="AD26" s="3">
        <f t="shared" si="15"/>
        <v>-1319.05</v>
      </c>
      <c r="AE26" s="3">
        <f t="shared" si="15"/>
        <v>-893.31</v>
      </c>
      <c r="AF26" s="3">
        <f t="shared" si="15"/>
        <v>63641.8</v>
      </c>
      <c r="AG26" s="3">
        <f t="shared" si="15"/>
        <v>0</v>
      </c>
      <c r="AH26" s="3">
        <f t="shared" si="15"/>
        <v>91.621900000000011</v>
      </c>
      <c r="AI26" s="3">
        <f t="shared" si="15"/>
        <v>0.04</v>
      </c>
      <c r="AJ26" s="3">
        <f t="shared" si="15"/>
        <v>0</v>
      </c>
      <c r="AK26" s="3">
        <f t="shared" si="15"/>
        <v>60185.86</v>
      </c>
      <c r="AL26" s="3">
        <f t="shared" si="15"/>
        <v>31609.34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311190.67</v>
      </c>
      <c r="AS26" s="3">
        <f t="shared" si="15"/>
        <v>17372.54</v>
      </c>
      <c r="AT26" s="3">
        <f t="shared" si="15"/>
        <v>293818.13</v>
      </c>
      <c r="AU26" s="3">
        <f t="shared" ref="AU26:BZ26" si="16">AU83</f>
        <v>0</v>
      </c>
      <c r="AV26" s="3">
        <f t="shared" si="16"/>
        <v>157966.03</v>
      </c>
      <c r="AW26" s="3">
        <f t="shared" si="16"/>
        <v>157966.03</v>
      </c>
      <c r="AX26" s="3">
        <f t="shared" si="16"/>
        <v>0</v>
      </c>
      <c r="AY26" s="3">
        <f t="shared" si="16"/>
        <v>157966.03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CA83</f>
        <v>311190.67</v>
      </c>
      <c r="CB26" s="3">
        <f t="shared" si="17"/>
        <v>17372.54</v>
      </c>
      <c r="CC26" s="3">
        <f t="shared" si="17"/>
        <v>293818.13</v>
      </c>
      <c r="CD26" s="3">
        <f t="shared" si="17"/>
        <v>0</v>
      </c>
      <c r="CE26" s="3">
        <f t="shared" si="17"/>
        <v>157966.03</v>
      </c>
      <c r="CF26" s="3">
        <f t="shared" si="17"/>
        <v>157966.03</v>
      </c>
      <c r="CG26" s="3">
        <f t="shared" si="17"/>
        <v>0</v>
      </c>
      <c r="CH26" s="3">
        <f t="shared" si="17"/>
        <v>157966.03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DG83</f>
        <v>0</v>
      </c>
      <c r="DH26" s="4">
        <f t="shared" si="18"/>
        <v>0</v>
      </c>
      <c r="DI26" s="4">
        <f t="shared" si="18"/>
        <v>0</v>
      </c>
      <c r="DJ26" s="4">
        <f t="shared" si="18"/>
        <v>0</v>
      </c>
      <c r="DK26" s="4">
        <f t="shared" si="18"/>
        <v>0</v>
      </c>
      <c r="DL26" s="4">
        <f t="shared" si="18"/>
        <v>0</v>
      </c>
      <c r="DM26" s="4">
        <f t="shared" si="18"/>
        <v>0</v>
      </c>
      <c r="DN26" s="4">
        <f t="shared" si="18"/>
        <v>0</v>
      </c>
      <c r="DO26" s="4">
        <f t="shared" si="18"/>
        <v>0</v>
      </c>
      <c r="DP26" s="4">
        <f t="shared" si="18"/>
        <v>0</v>
      </c>
      <c r="DQ26" s="4">
        <f t="shared" si="18"/>
        <v>0</v>
      </c>
      <c r="DR26" s="4">
        <f t="shared" si="18"/>
        <v>0</v>
      </c>
      <c r="DS26" s="4">
        <f t="shared" si="18"/>
        <v>0</v>
      </c>
      <c r="DT26" s="4">
        <f t="shared" si="18"/>
        <v>0</v>
      </c>
      <c r="DU26" s="4">
        <f t="shared" si="18"/>
        <v>0</v>
      </c>
      <c r="DV26" s="4">
        <f t="shared" si="18"/>
        <v>0</v>
      </c>
      <c r="DW26" s="4">
        <f t="shared" si="18"/>
        <v>0</v>
      </c>
      <c r="DX26" s="4">
        <f t="shared" si="18"/>
        <v>0</v>
      </c>
      <c r="DY26" s="4">
        <f t="shared" si="18"/>
        <v>0</v>
      </c>
      <c r="DZ26" s="4">
        <f t="shared" si="18"/>
        <v>0</v>
      </c>
      <c r="EA26" s="4">
        <f t="shared" si="18"/>
        <v>0</v>
      </c>
      <c r="EB26" s="4">
        <f t="shared" si="18"/>
        <v>0</v>
      </c>
      <c r="EC26" s="4">
        <f t="shared" si="18"/>
        <v>0</v>
      </c>
      <c r="ED26" s="4">
        <f t="shared" si="18"/>
        <v>0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0</v>
      </c>
      <c r="EK26" s="4">
        <f t="shared" si="18"/>
        <v>0</v>
      </c>
      <c r="EL26" s="4">
        <f t="shared" si="18"/>
        <v>0</v>
      </c>
      <c r="EM26" s="4">
        <f t="shared" ref="EM26:FR26" si="19">EM83</f>
        <v>0</v>
      </c>
      <c r="EN26" s="4">
        <f t="shared" si="19"/>
        <v>0</v>
      </c>
      <c r="EO26" s="4">
        <f t="shared" si="19"/>
        <v>0</v>
      </c>
      <c r="EP26" s="4">
        <f t="shared" si="19"/>
        <v>0</v>
      </c>
      <c r="EQ26" s="4">
        <f t="shared" si="19"/>
        <v>0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FS83</f>
        <v>0</v>
      </c>
      <c r="FT26" s="4">
        <f t="shared" si="20"/>
        <v>0</v>
      </c>
      <c r="FU26" s="4">
        <f t="shared" si="20"/>
        <v>0</v>
      </c>
      <c r="FV26" s="4">
        <f t="shared" si="20"/>
        <v>0</v>
      </c>
      <c r="FW26" s="4">
        <f t="shared" si="20"/>
        <v>0</v>
      </c>
      <c r="FX26" s="4">
        <f t="shared" si="20"/>
        <v>0</v>
      </c>
      <c r="FY26" s="4">
        <f t="shared" si="20"/>
        <v>0</v>
      </c>
      <c r="FZ26" s="4">
        <f t="shared" si="20"/>
        <v>0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2">
        <v>17</v>
      </c>
      <c r="B28" s="2">
        <v>1</v>
      </c>
      <c r="C28" s="2">
        <f>ROW(SmtRes!A3)</f>
        <v>3</v>
      </c>
      <c r="D28" s="2">
        <f>ROW(EtalonRes!A3)</f>
        <v>3</v>
      </c>
      <c r="E28" s="2" t="s">
        <v>17</v>
      </c>
      <c r="F28" s="2" t="s">
        <v>18</v>
      </c>
      <c r="G28" s="2" t="s">
        <v>19</v>
      </c>
      <c r="H28" s="2" t="s">
        <v>20</v>
      </c>
      <c r="I28" s="2">
        <f>ROUND((17)/100,7)</f>
        <v>0.17</v>
      </c>
      <c r="J28" s="2">
        <v>0</v>
      </c>
      <c r="K28" s="2">
        <f>ROUND((17)/100,7)</f>
        <v>0.17</v>
      </c>
      <c r="L28" s="2"/>
      <c r="M28" s="2"/>
      <c r="N28" s="2"/>
      <c r="O28" s="2">
        <f t="shared" ref="O28:O33" si="21">ROUND(CP28,2)</f>
        <v>631.04</v>
      </c>
      <c r="P28" s="2">
        <f>SUMIF(SmtRes!AQ1:'SmtRes'!AQ3,"=1",SmtRes!DF1:'SmtRes'!DF3)</f>
        <v>0</v>
      </c>
      <c r="Q28" s="2">
        <f>SUMIF(SmtRes!AQ1:'SmtRes'!AQ3,"=1",SmtRes!DG1:'SmtRes'!DG3)</f>
        <v>0</v>
      </c>
      <c r="R28" s="2">
        <f>SUMIF(SmtRes!AQ1:'SmtRes'!AQ3,"=1",SmtRes!DH1:'SmtRes'!DH3)</f>
        <v>0</v>
      </c>
      <c r="S28" s="2">
        <f>SUMIF(SmtRes!AQ1:'SmtRes'!AQ3,"=1",SmtRes!DI1:'SmtRes'!DI3)</f>
        <v>631.04</v>
      </c>
      <c r="T28" s="2">
        <f t="shared" ref="T28:T59" si="22">ROUND(CU28*I28,2)</f>
        <v>0</v>
      </c>
      <c r="U28" s="2">
        <f>SUMIF(SmtRes!AQ1:'SmtRes'!AQ3,"=1",SmtRes!CV1:'SmtRes'!CV3)</f>
        <v>1.0744</v>
      </c>
      <c r="V28" s="2">
        <f>SUMIF(SmtRes!AQ1:'SmtRes'!AQ3,"=1",SmtRes!CW1:'SmtRes'!CW3)</f>
        <v>0</v>
      </c>
      <c r="W28" s="2">
        <f t="shared" ref="W28:W59" si="23">ROUND(CX28*I28,2)</f>
        <v>0</v>
      </c>
      <c r="X28" s="2">
        <f t="shared" ref="X28:X59" si="24">ROUND(CY28,2)</f>
        <v>574.25</v>
      </c>
      <c r="Y28" s="2">
        <f t="shared" ref="Y28:Y59" si="25">ROUND(CZ28,2)</f>
        <v>302.89999999999998</v>
      </c>
      <c r="Z28" s="2"/>
      <c r="AA28" s="2">
        <v>85997836</v>
      </c>
      <c r="AB28" s="2">
        <f t="shared" ref="AB28:AB59" si="26">ROUND((AC28+AD28+AF28),6)</f>
        <v>3711.9888000000001</v>
      </c>
      <c r="AC28" s="2">
        <f>ROUND((0),6)</f>
        <v>0</v>
      </c>
      <c r="AD28" s="2">
        <f>ROUND((((0)-(0))+AE28),6)</f>
        <v>0</v>
      </c>
      <c r="AE28" s="2">
        <f>ROUND((0),6)</f>
        <v>0</v>
      </c>
      <c r="AF28" s="2">
        <f>ROUND((SUM(SmtRes!BT1:'SmtRes'!BT3)),6)</f>
        <v>3711.9888000000001</v>
      </c>
      <c r="AG28" s="2">
        <f t="shared" ref="AG28:AG59" si="27">ROUND((AP28),6)</f>
        <v>0</v>
      </c>
      <c r="AH28" s="2">
        <f>(SUM(SmtRes!BU1:'SmtRes'!BU3))</f>
        <v>6.32</v>
      </c>
      <c r="AI28" s="2">
        <f>(0)</f>
        <v>0</v>
      </c>
      <c r="AJ28" s="2">
        <f t="shared" ref="AJ28:AJ59" si="28">(AS28)</f>
        <v>0</v>
      </c>
      <c r="AK28" s="2">
        <v>3711.9888000000005</v>
      </c>
      <c r="AL28" s="2">
        <v>0</v>
      </c>
      <c r="AM28" s="2">
        <v>0</v>
      </c>
      <c r="AN28" s="2">
        <v>0</v>
      </c>
      <c r="AO28" s="2">
        <v>3711.9888000000005</v>
      </c>
      <c r="AP28" s="2">
        <v>0</v>
      </c>
      <c r="AQ28" s="2">
        <v>6.32</v>
      </c>
      <c r="AR28" s="2">
        <v>0.03</v>
      </c>
      <c r="AS28" s="2">
        <v>0</v>
      </c>
      <c r="AT28" s="2">
        <v>91</v>
      </c>
      <c r="AU28" s="2">
        <v>48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21</v>
      </c>
      <c r="BK28" s="2"/>
      <c r="BL28" s="2"/>
      <c r="BM28" s="2">
        <v>67001</v>
      </c>
      <c r="BN28" s="2">
        <v>0</v>
      </c>
      <c r="BO28" s="2" t="s">
        <v>3</v>
      </c>
      <c r="BP28" s="2">
        <v>0</v>
      </c>
      <c r="BQ28" s="2">
        <v>6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91</v>
      </c>
      <c r="CA28" s="2">
        <v>48</v>
      </c>
      <c r="CB28" s="2" t="s">
        <v>3</v>
      </c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3</v>
      </c>
      <c r="CO28" s="2">
        <v>0</v>
      </c>
      <c r="CP28" s="2">
        <f t="shared" ref="CP28:CP33" si="29">(P28+Q28+S28+R28)</f>
        <v>631.04</v>
      </c>
      <c r="CQ28" s="2">
        <f>SUMIF(SmtRes!AQ1:'SmtRes'!AQ3,"=1",SmtRes!AA1:'SmtRes'!AA3)</f>
        <v>0</v>
      </c>
      <c r="CR28" s="2">
        <f>SUMIF(SmtRes!AQ1:'SmtRes'!AQ3,"=1",SmtRes!AB1:'SmtRes'!AB3)</f>
        <v>0</v>
      </c>
      <c r="CS28" s="2">
        <f>SUMIF(SmtRes!AQ1:'SmtRes'!AQ3,"=1",SmtRes!AC1:'SmtRes'!AC3)</f>
        <v>0</v>
      </c>
      <c r="CT28" s="2">
        <f>SUMIF(SmtRes!AQ1:'SmtRes'!AQ3,"=1",SmtRes!AD1:'SmtRes'!AD3)</f>
        <v>587.34</v>
      </c>
      <c r="CU28" s="2">
        <f t="shared" ref="CU28:CU33" si="30">AG28</f>
        <v>0</v>
      </c>
      <c r="CV28" s="2">
        <f>SUMIF(SmtRes!AQ1:'SmtRes'!AQ3,"=1",SmtRes!BU1:'SmtRes'!BU3)</f>
        <v>6.32</v>
      </c>
      <c r="CW28" s="2">
        <f>SUMIF(SmtRes!AQ1:'SmtRes'!AQ3,"=1",SmtRes!BV1:'SmtRes'!BV3)</f>
        <v>0</v>
      </c>
      <c r="CX28" s="2">
        <f t="shared" ref="CX28:CX33" si="31">AJ28</f>
        <v>0</v>
      </c>
      <c r="CY28" s="2">
        <f t="shared" ref="CY28:CY33" si="32">(((S28+R28)*AT28)/100)</f>
        <v>574.24639999999999</v>
      </c>
      <c r="CZ28" s="2">
        <f t="shared" ref="CZ28:CZ33" si="33">(((S28+R28)*AU28)/100)</f>
        <v>302.89920000000001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20</v>
      </c>
      <c r="DW28" s="2" t="s">
        <v>20</v>
      </c>
      <c r="DX28" s="2">
        <v>1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84054022</v>
      </c>
      <c r="EF28" s="2">
        <v>6</v>
      </c>
      <c r="EG28" s="2" t="s">
        <v>22</v>
      </c>
      <c r="EH28" s="2">
        <v>101</v>
      </c>
      <c r="EI28" s="2" t="s">
        <v>16</v>
      </c>
      <c r="EJ28" s="2">
        <v>1</v>
      </c>
      <c r="EK28" s="2">
        <v>67001</v>
      </c>
      <c r="EL28" s="2" t="s">
        <v>16</v>
      </c>
      <c r="EM28" s="2" t="s">
        <v>23</v>
      </c>
      <c r="EN28" s="2"/>
      <c r="EO28" s="2" t="s">
        <v>3</v>
      </c>
      <c r="EP28" s="2"/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6.32</v>
      </c>
      <c r="EX28" s="2">
        <v>0.03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v>0</v>
      </c>
      <c r="FS28" s="2">
        <v>0</v>
      </c>
      <c r="FT28" s="2"/>
      <c r="FU28" s="2"/>
      <c r="FV28" s="2"/>
      <c r="FW28" s="2"/>
      <c r="FX28" s="2">
        <v>91</v>
      </c>
      <c r="FY28" s="2">
        <v>48</v>
      </c>
      <c r="FZ28" s="2"/>
      <c r="GA28" s="2" t="s">
        <v>3</v>
      </c>
      <c r="GB28" s="2"/>
      <c r="GC28" s="2"/>
      <c r="GD28" s="2">
        <v>1</v>
      </c>
      <c r="GE28" s="2"/>
      <c r="GF28" s="2">
        <v>-1265524595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ref="GL28:GL59" si="34">ROUND(IF(AND(BH28=3,BI28=3,FS28&lt;&gt;0),P28,0),2)</f>
        <v>0</v>
      </c>
      <c r="GM28" s="2">
        <f t="shared" ref="GM28:GM59" si="35">ROUND(O28+X28+Y28,2)+GX28</f>
        <v>1508.19</v>
      </c>
      <c r="GN28" s="2">
        <f t="shared" ref="GN28:GN59" si="36">IF(OR(BI28=0,BI28=1),GM28-GX28,0)</f>
        <v>1508.19</v>
      </c>
      <c r="GO28" s="2">
        <f t="shared" ref="GO28:GO59" si="37">IF(BI28=2,GM28-GX28,0)</f>
        <v>0</v>
      </c>
      <c r="GP28" s="2">
        <f t="shared" ref="GP28:GP59" si="38">IF(BI28=4,GM28-GX28,0)</f>
        <v>0</v>
      </c>
      <c r="GQ28" s="2"/>
      <c r="GR28" s="2">
        <v>0</v>
      </c>
      <c r="GS28" s="2">
        <v>0</v>
      </c>
      <c r="GT28" s="2">
        <v>0</v>
      </c>
      <c r="GU28" s="2" t="s">
        <v>3</v>
      </c>
      <c r="GV28" s="2">
        <f t="shared" ref="GV28:GV59" si="39">ROUND((GT28),6)</f>
        <v>0</v>
      </c>
      <c r="GW28" s="2">
        <v>1</v>
      </c>
      <c r="GX28" s="2">
        <f t="shared" ref="GX28:GX59" si="40">ROUND(HC28*I28,2)</f>
        <v>0</v>
      </c>
      <c r="GY28" s="2"/>
      <c r="GZ28" s="2"/>
      <c r="HA28" s="2">
        <v>0</v>
      </c>
      <c r="HB28" s="2">
        <v>0</v>
      </c>
      <c r="HC28" s="2">
        <f t="shared" ref="HC28:HC33" si="41">GV28*GW28</f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24</v>
      </c>
      <c r="HO28" s="2" t="s">
        <v>25</v>
      </c>
      <c r="HP28" s="2" t="s">
        <v>16</v>
      </c>
      <c r="HQ28" s="2" t="s">
        <v>16</v>
      </c>
      <c r="HR28" s="2"/>
      <c r="HS28" s="2">
        <v>0</v>
      </c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 s="2">
        <v>18</v>
      </c>
      <c r="B29" s="2">
        <v>1</v>
      </c>
      <c r="C29" s="2">
        <v>3</v>
      </c>
      <c r="D29" s="2"/>
      <c r="E29" s="2" t="s">
        <v>26</v>
      </c>
      <c r="F29" s="2" t="s">
        <v>27</v>
      </c>
      <c r="G29" s="2" t="s">
        <v>28</v>
      </c>
      <c r="H29" s="2" t="s">
        <v>29</v>
      </c>
      <c r="I29" s="2">
        <f>I28*J29</f>
        <v>-5.1000000000000004E-3</v>
      </c>
      <c r="J29" s="2">
        <v>-0.03</v>
      </c>
      <c r="K29" s="2">
        <v>-0.03</v>
      </c>
      <c r="L29" s="2"/>
      <c r="M29" s="2"/>
      <c r="N29" s="2"/>
      <c r="O29" s="2">
        <f t="shared" si="21"/>
        <v>-3.56</v>
      </c>
      <c r="P29" s="2">
        <f>ROUND(CQ29*I29,2)</f>
        <v>0</v>
      </c>
      <c r="Q29" s="2">
        <f>ROUND(CR29*I29,2)</f>
        <v>-0.28999999999999998</v>
      </c>
      <c r="R29" s="2">
        <f>ROUND(CS29*I29,2)</f>
        <v>-3.27</v>
      </c>
      <c r="S29" s="2">
        <f>ROUND(CT29*I29,2)</f>
        <v>0</v>
      </c>
      <c r="T29" s="2">
        <f t="shared" si="22"/>
        <v>0</v>
      </c>
      <c r="U29" s="2">
        <f>ROUND(CV29*I29,7)</f>
        <v>0</v>
      </c>
      <c r="V29" s="2">
        <f>ROUND(CW29*I29,7)</f>
        <v>0</v>
      </c>
      <c r="W29" s="2">
        <f t="shared" si="23"/>
        <v>0</v>
      </c>
      <c r="X29" s="2">
        <f t="shared" si="24"/>
        <v>-2.98</v>
      </c>
      <c r="Y29" s="2">
        <f t="shared" si="25"/>
        <v>-1.57</v>
      </c>
      <c r="Z29" s="2"/>
      <c r="AA29" s="2">
        <v>85997836</v>
      </c>
      <c r="AB29" s="2">
        <f t="shared" si="26"/>
        <v>37.32</v>
      </c>
      <c r="AC29" s="2">
        <f>ROUND((ES29),6)</f>
        <v>0</v>
      </c>
      <c r="AD29" s="2">
        <f>ROUND((((ET29)-(EU29))+AE29),6)</f>
        <v>37.32</v>
      </c>
      <c r="AE29" s="2">
        <f>ROUND((EU29),6)</f>
        <v>641.22</v>
      </c>
      <c r="AF29" s="2">
        <f>ROUND((EV29),6)</f>
        <v>0</v>
      </c>
      <c r="AG29" s="2">
        <f t="shared" si="27"/>
        <v>0</v>
      </c>
      <c r="AH29" s="2">
        <f>(EW29)</f>
        <v>0</v>
      </c>
      <c r="AI29" s="2">
        <f>(EX29)</f>
        <v>0</v>
      </c>
      <c r="AJ29" s="2">
        <f t="shared" si="28"/>
        <v>0</v>
      </c>
      <c r="AK29" s="2">
        <v>37.32</v>
      </c>
      <c r="AL29" s="2">
        <v>0</v>
      </c>
      <c r="AM29" s="2">
        <v>37.32</v>
      </c>
      <c r="AN29" s="2">
        <v>641.22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91</v>
      </c>
      <c r="AU29" s="2">
        <v>48</v>
      </c>
      <c r="AV29" s="2">
        <v>1</v>
      </c>
      <c r="AW29" s="2">
        <v>1</v>
      </c>
      <c r="AX29" s="2"/>
      <c r="AY29" s="2"/>
      <c r="AZ29" s="2">
        <v>1</v>
      </c>
      <c r="BA29" s="2">
        <v>1</v>
      </c>
      <c r="BB29" s="2">
        <v>1.54</v>
      </c>
      <c r="BC29" s="2">
        <v>1</v>
      </c>
      <c r="BD29" s="2" t="s">
        <v>3</v>
      </c>
      <c r="BE29" s="2" t="s">
        <v>3</v>
      </c>
      <c r="BF29" s="2" t="s">
        <v>3</v>
      </c>
      <c r="BG29" s="2" t="s">
        <v>3</v>
      </c>
      <c r="BH29" s="2">
        <v>2</v>
      </c>
      <c r="BI29" s="2">
        <v>1</v>
      </c>
      <c r="BJ29" s="2" t="s">
        <v>30</v>
      </c>
      <c r="BK29" s="2"/>
      <c r="BL29" s="2"/>
      <c r="BM29" s="2">
        <v>67001</v>
      </c>
      <c r="BN29" s="2">
        <v>0</v>
      </c>
      <c r="BO29" s="2" t="s">
        <v>27</v>
      </c>
      <c r="BP29" s="2">
        <v>1</v>
      </c>
      <c r="BQ29" s="2">
        <v>6</v>
      </c>
      <c r="BR29" s="2">
        <v>0</v>
      </c>
      <c r="BS29" s="2">
        <v>1</v>
      </c>
      <c r="BT29" s="2">
        <v>1</v>
      </c>
      <c r="BU29" s="2">
        <v>1</v>
      </c>
      <c r="BV29" s="2">
        <v>1</v>
      </c>
      <c r="BW29" s="2">
        <v>1</v>
      </c>
      <c r="BX29" s="2">
        <v>1</v>
      </c>
      <c r="BY29" s="2" t="s">
        <v>3</v>
      </c>
      <c r="BZ29" s="2">
        <v>91</v>
      </c>
      <c r="CA29" s="2">
        <v>48</v>
      </c>
      <c r="CB29" s="2" t="s">
        <v>3</v>
      </c>
      <c r="CC29" s="2"/>
      <c r="CD29" s="2"/>
      <c r="CE29" s="2">
        <v>0</v>
      </c>
      <c r="CF29" s="2">
        <v>0</v>
      </c>
      <c r="CG29" s="2">
        <v>0</v>
      </c>
      <c r="CH29" s="2"/>
      <c r="CI29" s="2"/>
      <c r="CJ29" s="2"/>
      <c r="CK29" s="2"/>
      <c r="CL29" s="2"/>
      <c r="CM29" s="2">
        <v>0</v>
      </c>
      <c r="CN29" s="2" t="s">
        <v>3</v>
      </c>
      <c r="CO29" s="2">
        <v>0</v>
      </c>
      <c r="CP29" s="2">
        <f t="shared" si="29"/>
        <v>-3.56</v>
      </c>
      <c r="CQ29" s="2">
        <f>ROUND(AL29*BC29,2)</f>
        <v>0</v>
      </c>
      <c r="CR29" s="2">
        <f>ROUND(AM29*BB29,2)</f>
        <v>57.47</v>
      </c>
      <c r="CS29" s="2">
        <f>ROUND(AN29*BS29,2)</f>
        <v>641.22</v>
      </c>
      <c r="CT29" s="2">
        <f>ROUND(AO29*BA29,2)</f>
        <v>0</v>
      </c>
      <c r="CU29" s="2">
        <f t="shared" si="30"/>
        <v>0</v>
      </c>
      <c r="CV29" s="2">
        <f>AH29</f>
        <v>0</v>
      </c>
      <c r="CW29" s="2">
        <f>AI29</f>
        <v>0</v>
      </c>
      <c r="CX29" s="2">
        <f t="shared" si="31"/>
        <v>0</v>
      </c>
      <c r="CY29" s="2">
        <f t="shared" si="32"/>
        <v>-2.9756999999999998</v>
      </c>
      <c r="CZ29" s="2">
        <f t="shared" si="33"/>
        <v>-1.5696000000000001</v>
      </c>
      <c r="DA29" s="2"/>
      <c r="DB29" s="2"/>
      <c r="DC29" s="2" t="s">
        <v>3</v>
      </c>
      <c r="DD29" s="2" t="s">
        <v>3</v>
      </c>
      <c r="DE29" s="2" t="s">
        <v>3</v>
      </c>
      <c r="DF29" s="2" t="s">
        <v>3</v>
      </c>
      <c r="DG29" s="2" t="s">
        <v>3</v>
      </c>
      <c r="DH29" s="2" t="s">
        <v>3</v>
      </c>
      <c r="DI29" s="2" t="s">
        <v>3</v>
      </c>
      <c r="DJ29" s="2" t="s">
        <v>3</v>
      </c>
      <c r="DK29" s="2" t="s">
        <v>3</v>
      </c>
      <c r="DL29" s="2" t="s">
        <v>3</v>
      </c>
      <c r="DM29" s="2" t="s">
        <v>3</v>
      </c>
      <c r="DN29" s="2">
        <v>0</v>
      </c>
      <c r="DO29" s="2">
        <v>0</v>
      </c>
      <c r="DP29" s="2">
        <v>1</v>
      </c>
      <c r="DQ29" s="2">
        <v>1</v>
      </c>
      <c r="DR29" s="2"/>
      <c r="DS29" s="2"/>
      <c r="DT29" s="2"/>
      <c r="DU29" s="2">
        <v>1011</v>
      </c>
      <c r="DV29" s="2" t="s">
        <v>29</v>
      </c>
      <c r="DW29" s="2" t="s">
        <v>29</v>
      </c>
      <c r="DX29" s="2">
        <v>1</v>
      </c>
      <c r="DY29" s="2"/>
      <c r="DZ29" s="2" t="s">
        <v>3</v>
      </c>
      <c r="EA29" s="2" t="s">
        <v>3</v>
      </c>
      <c r="EB29" s="2" t="s">
        <v>3</v>
      </c>
      <c r="EC29" s="2" t="s">
        <v>3</v>
      </c>
      <c r="ED29" s="2"/>
      <c r="EE29" s="2">
        <v>84054022</v>
      </c>
      <c r="EF29" s="2">
        <v>6</v>
      </c>
      <c r="EG29" s="2" t="s">
        <v>22</v>
      </c>
      <c r="EH29" s="2">
        <v>101</v>
      </c>
      <c r="EI29" s="2" t="s">
        <v>16</v>
      </c>
      <c r="EJ29" s="2">
        <v>1</v>
      </c>
      <c r="EK29" s="2">
        <v>67001</v>
      </c>
      <c r="EL29" s="2" t="s">
        <v>16</v>
      </c>
      <c r="EM29" s="2" t="s">
        <v>23</v>
      </c>
      <c r="EN29" s="2"/>
      <c r="EO29" s="2" t="s">
        <v>3</v>
      </c>
      <c r="EP29" s="2"/>
      <c r="EQ29" s="2">
        <v>0</v>
      </c>
      <c r="ER29" s="2">
        <v>37.32</v>
      </c>
      <c r="ES29" s="2">
        <v>0</v>
      </c>
      <c r="ET29" s="2">
        <v>37.32</v>
      </c>
      <c r="EU29" s="2">
        <v>641.22</v>
      </c>
      <c r="EV29" s="2">
        <v>0</v>
      </c>
      <c r="EW29" s="2">
        <v>0</v>
      </c>
      <c r="EX29" s="2">
        <v>0</v>
      </c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>
        <v>0</v>
      </c>
      <c r="FR29" s="2">
        <v>0</v>
      </c>
      <c r="FS29" s="2">
        <v>1</v>
      </c>
      <c r="FT29" s="2"/>
      <c r="FU29" s="2"/>
      <c r="FV29" s="2"/>
      <c r="FW29" s="2"/>
      <c r="FX29" s="2">
        <v>91</v>
      </c>
      <c r="FY29" s="2">
        <v>48</v>
      </c>
      <c r="FZ29" s="2"/>
      <c r="GA29" s="2" t="s">
        <v>3</v>
      </c>
      <c r="GB29" s="2"/>
      <c r="GC29" s="2"/>
      <c r="GD29" s="2">
        <v>1</v>
      </c>
      <c r="GE29" s="2"/>
      <c r="GF29" s="2">
        <v>945201097</v>
      </c>
      <c r="GG29" s="2">
        <v>2</v>
      </c>
      <c r="GH29" s="2">
        <v>1</v>
      </c>
      <c r="GI29" s="2">
        <v>2</v>
      </c>
      <c r="GJ29" s="2">
        <v>0</v>
      </c>
      <c r="GK29" s="2">
        <v>0</v>
      </c>
      <c r="GL29" s="2">
        <f t="shared" si="34"/>
        <v>0</v>
      </c>
      <c r="GM29" s="2">
        <f t="shared" si="35"/>
        <v>-8.11</v>
      </c>
      <c r="GN29" s="2">
        <f t="shared" si="36"/>
        <v>-8.11</v>
      </c>
      <c r="GO29" s="2">
        <f t="shared" si="37"/>
        <v>0</v>
      </c>
      <c r="GP29" s="2">
        <f t="shared" si="38"/>
        <v>0</v>
      </c>
      <c r="GQ29" s="2"/>
      <c r="GR29" s="2">
        <v>0</v>
      </c>
      <c r="GS29" s="2">
        <v>7</v>
      </c>
      <c r="GT29" s="2">
        <v>0</v>
      </c>
      <c r="GU29" s="2" t="s">
        <v>3</v>
      </c>
      <c r="GV29" s="2">
        <f t="shared" si="39"/>
        <v>0</v>
      </c>
      <c r="GW29" s="2">
        <v>1</v>
      </c>
      <c r="GX29" s="2">
        <f t="shared" si="40"/>
        <v>0</v>
      </c>
      <c r="GY29" s="2"/>
      <c r="GZ29" s="2"/>
      <c r="HA29" s="2">
        <v>0</v>
      </c>
      <c r="HB29" s="2">
        <v>0</v>
      </c>
      <c r="HC29" s="2">
        <f t="shared" si="41"/>
        <v>0</v>
      </c>
      <c r="HD29" s="2"/>
      <c r="HE29" s="2" t="s">
        <v>3</v>
      </c>
      <c r="HF29" s="2" t="s">
        <v>3</v>
      </c>
      <c r="HG29" s="2"/>
      <c r="HH29" s="2"/>
      <c r="HI29" s="2"/>
      <c r="HJ29" s="2"/>
      <c r="HK29" s="2"/>
      <c r="HL29" s="2"/>
      <c r="HM29" s="2" t="s">
        <v>3</v>
      </c>
      <c r="HN29" s="2" t="s">
        <v>24</v>
      </c>
      <c r="HO29" s="2" t="s">
        <v>25</v>
      </c>
      <c r="HP29" s="2" t="s">
        <v>16</v>
      </c>
      <c r="HQ29" s="2" t="s">
        <v>16</v>
      </c>
      <c r="HR29" s="2"/>
      <c r="HS29" s="2">
        <v>0</v>
      </c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>
        <v>0</v>
      </c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x14ac:dyDescent="0.2">
      <c r="A30" s="2">
        <v>17</v>
      </c>
      <c r="B30" s="2">
        <v>1</v>
      </c>
      <c r="C30" s="2">
        <f>ROW(SmtRes!A6)</f>
        <v>6</v>
      </c>
      <c r="D30" s="2">
        <f>ROW(EtalonRes!A6)</f>
        <v>6</v>
      </c>
      <c r="E30" s="2" t="s">
        <v>31</v>
      </c>
      <c r="F30" s="2" t="s">
        <v>32</v>
      </c>
      <c r="G30" s="2" t="s">
        <v>33</v>
      </c>
      <c r="H30" s="2" t="s">
        <v>20</v>
      </c>
      <c r="I30" s="2">
        <f>ROUND((13)/100,7)</f>
        <v>0.13</v>
      </c>
      <c r="J30" s="2">
        <v>0</v>
      </c>
      <c r="K30" s="2">
        <f>ROUND((13)/100,7)</f>
        <v>0.13</v>
      </c>
      <c r="L30" s="2"/>
      <c r="M30" s="2"/>
      <c r="N30" s="2"/>
      <c r="O30" s="2">
        <f t="shared" si="21"/>
        <v>1403.56</v>
      </c>
      <c r="P30" s="2">
        <f>SUMIF(SmtRes!AQ4:'SmtRes'!AQ6,"=1",SmtRes!DF4:'SmtRes'!DF6)</f>
        <v>0</v>
      </c>
      <c r="Q30" s="2">
        <f>SUMIF(SmtRes!AQ4:'SmtRes'!AQ6,"=1",SmtRes!DG4:'SmtRes'!DG6)</f>
        <v>0</v>
      </c>
      <c r="R30" s="2">
        <f>SUMIF(SmtRes!AQ4:'SmtRes'!AQ6,"=1",SmtRes!DH4:'SmtRes'!DH6)</f>
        <v>0</v>
      </c>
      <c r="S30" s="2">
        <f>SUMIF(SmtRes!AQ4:'SmtRes'!AQ6,"=1",SmtRes!DI4:'SmtRes'!DI6)</f>
        <v>1403.56</v>
      </c>
      <c r="T30" s="2">
        <f t="shared" si="22"/>
        <v>0</v>
      </c>
      <c r="U30" s="2">
        <f>SUMIF(SmtRes!AQ4:'SmtRes'!AQ6,"=1",SmtRes!CV4:'SmtRes'!CV6)</f>
        <v>2.3256999999999999</v>
      </c>
      <c r="V30" s="2">
        <f>SUMIF(SmtRes!AQ4:'SmtRes'!AQ6,"=1",SmtRes!CW4:'SmtRes'!CW6)</f>
        <v>0</v>
      </c>
      <c r="W30" s="2">
        <f t="shared" si="23"/>
        <v>0</v>
      </c>
      <c r="X30" s="2">
        <f t="shared" si="24"/>
        <v>1277.24</v>
      </c>
      <c r="Y30" s="2">
        <f t="shared" si="25"/>
        <v>673.71</v>
      </c>
      <c r="Z30" s="2"/>
      <c r="AA30" s="2">
        <v>85997836</v>
      </c>
      <c r="AB30" s="2">
        <f t="shared" si="26"/>
        <v>10796.615</v>
      </c>
      <c r="AC30" s="2">
        <f>ROUND((0),6)</f>
        <v>0</v>
      </c>
      <c r="AD30" s="2">
        <f>ROUND((((0)-(0))+AE30),6)</f>
        <v>0</v>
      </c>
      <c r="AE30" s="2">
        <f>ROUND((0),6)</f>
        <v>0</v>
      </c>
      <c r="AF30" s="2">
        <f>ROUND((SUM(SmtRes!BT4:'SmtRes'!BT6)),6)</f>
        <v>10796.615</v>
      </c>
      <c r="AG30" s="2">
        <f t="shared" si="27"/>
        <v>0</v>
      </c>
      <c r="AH30" s="2">
        <f>(SUM(SmtRes!BU4:'SmtRes'!BU6))</f>
        <v>17.89</v>
      </c>
      <c r="AI30" s="2">
        <f>(0)</f>
        <v>0</v>
      </c>
      <c r="AJ30" s="2">
        <f t="shared" si="28"/>
        <v>0</v>
      </c>
      <c r="AK30" s="2">
        <v>10796.615</v>
      </c>
      <c r="AL30" s="2">
        <v>0</v>
      </c>
      <c r="AM30" s="2">
        <v>0</v>
      </c>
      <c r="AN30" s="2">
        <v>0</v>
      </c>
      <c r="AO30" s="2">
        <v>10796.615</v>
      </c>
      <c r="AP30" s="2">
        <v>0</v>
      </c>
      <c r="AQ30" s="2">
        <v>17.89</v>
      </c>
      <c r="AR30" s="2">
        <v>0.08</v>
      </c>
      <c r="AS30" s="2">
        <v>0</v>
      </c>
      <c r="AT30" s="2">
        <v>91</v>
      </c>
      <c r="AU30" s="2">
        <v>48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0</v>
      </c>
      <c r="BI30" s="2">
        <v>1</v>
      </c>
      <c r="BJ30" s="2" t="s">
        <v>34</v>
      </c>
      <c r="BK30" s="2"/>
      <c r="BL30" s="2"/>
      <c r="BM30" s="2">
        <v>67001</v>
      </c>
      <c r="BN30" s="2">
        <v>0</v>
      </c>
      <c r="BO30" s="2" t="s">
        <v>3</v>
      </c>
      <c r="BP30" s="2">
        <v>0</v>
      </c>
      <c r="BQ30" s="2">
        <v>6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91</v>
      </c>
      <c r="CA30" s="2">
        <v>48</v>
      </c>
      <c r="CB30" s="2" t="s">
        <v>3</v>
      </c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</v>
      </c>
      <c r="CO30" s="2">
        <v>0</v>
      </c>
      <c r="CP30" s="2">
        <f t="shared" si="29"/>
        <v>1403.56</v>
      </c>
      <c r="CQ30" s="2">
        <f>SUMIF(SmtRes!AQ4:'SmtRes'!AQ6,"=1",SmtRes!AA4:'SmtRes'!AA6)</f>
        <v>0</v>
      </c>
      <c r="CR30" s="2">
        <f>SUMIF(SmtRes!AQ4:'SmtRes'!AQ6,"=1",SmtRes!AB4:'SmtRes'!AB6)</f>
        <v>0</v>
      </c>
      <c r="CS30" s="2">
        <f>SUMIF(SmtRes!AQ4:'SmtRes'!AQ6,"=1",SmtRes!AC4:'SmtRes'!AC6)</f>
        <v>0</v>
      </c>
      <c r="CT30" s="2">
        <f>SUMIF(SmtRes!AQ4:'SmtRes'!AQ6,"=1",SmtRes!AD4:'SmtRes'!AD6)</f>
        <v>603.5</v>
      </c>
      <c r="CU30" s="2">
        <f t="shared" si="30"/>
        <v>0</v>
      </c>
      <c r="CV30" s="2">
        <f>SUMIF(SmtRes!AQ4:'SmtRes'!AQ6,"=1",SmtRes!BU4:'SmtRes'!BU6)</f>
        <v>17.89</v>
      </c>
      <c r="CW30" s="2">
        <f>SUMIF(SmtRes!AQ4:'SmtRes'!AQ6,"=1",SmtRes!BV4:'SmtRes'!BV6)</f>
        <v>0</v>
      </c>
      <c r="CX30" s="2">
        <f t="shared" si="31"/>
        <v>0</v>
      </c>
      <c r="CY30" s="2">
        <f t="shared" si="32"/>
        <v>1277.2395999999999</v>
      </c>
      <c r="CZ30" s="2">
        <f t="shared" si="33"/>
        <v>673.7088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20</v>
      </c>
      <c r="DW30" s="2" t="s">
        <v>20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84054022</v>
      </c>
      <c r="EF30" s="2">
        <v>6</v>
      </c>
      <c r="EG30" s="2" t="s">
        <v>22</v>
      </c>
      <c r="EH30" s="2">
        <v>101</v>
      </c>
      <c r="EI30" s="2" t="s">
        <v>16</v>
      </c>
      <c r="EJ30" s="2">
        <v>1</v>
      </c>
      <c r="EK30" s="2">
        <v>67001</v>
      </c>
      <c r="EL30" s="2" t="s">
        <v>16</v>
      </c>
      <c r="EM30" s="2" t="s">
        <v>23</v>
      </c>
      <c r="EN30" s="2"/>
      <c r="EO30" s="2" t="s">
        <v>3</v>
      </c>
      <c r="EP30" s="2"/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17.89</v>
      </c>
      <c r="EX30" s="2">
        <v>0.08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v>0</v>
      </c>
      <c r="FS30" s="2">
        <v>0</v>
      </c>
      <c r="FT30" s="2"/>
      <c r="FU30" s="2"/>
      <c r="FV30" s="2"/>
      <c r="FW30" s="2"/>
      <c r="FX30" s="2">
        <v>91</v>
      </c>
      <c r="FY30" s="2">
        <v>48</v>
      </c>
      <c r="FZ30" s="2"/>
      <c r="GA30" s="2" t="s">
        <v>3</v>
      </c>
      <c r="GB30" s="2"/>
      <c r="GC30" s="2"/>
      <c r="GD30" s="2">
        <v>1</v>
      </c>
      <c r="GE30" s="2"/>
      <c r="GF30" s="2">
        <v>-1695025209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34"/>
        <v>0</v>
      </c>
      <c r="GM30" s="2">
        <f t="shared" si="35"/>
        <v>3354.51</v>
      </c>
      <c r="GN30" s="2">
        <f t="shared" si="36"/>
        <v>3354.51</v>
      </c>
      <c r="GO30" s="2">
        <f t="shared" si="37"/>
        <v>0</v>
      </c>
      <c r="GP30" s="2">
        <f t="shared" si="38"/>
        <v>0</v>
      </c>
      <c r="GQ30" s="2"/>
      <c r="GR30" s="2">
        <v>0</v>
      </c>
      <c r="GS30" s="2">
        <v>0</v>
      </c>
      <c r="GT30" s="2">
        <v>0</v>
      </c>
      <c r="GU30" s="2" t="s">
        <v>3</v>
      </c>
      <c r="GV30" s="2">
        <f t="shared" si="39"/>
        <v>0</v>
      </c>
      <c r="GW30" s="2">
        <v>1</v>
      </c>
      <c r="GX30" s="2">
        <f t="shared" si="40"/>
        <v>0</v>
      </c>
      <c r="GY30" s="2"/>
      <c r="GZ30" s="2"/>
      <c r="HA30" s="2">
        <v>0</v>
      </c>
      <c r="HB30" s="2">
        <v>0</v>
      </c>
      <c r="HC30" s="2">
        <f t="shared" si="41"/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24</v>
      </c>
      <c r="HO30" s="2" t="s">
        <v>25</v>
      </c>
      <c r="HP30" s="2" t="s">
        <v>16</v>
      </c>
      <c r="HQ30" s="2" t="s">
        <v>16</v>
      </c>
      <c r="HR30" s="2"/>
      <c r="HS30" s="2">
        <v>0</v>
      </c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 s="2">
        <v>18</v>
      </c>
      <c r="B31" s="2">
        <v>1</v>
      </c>
      <c r="C31" s="2">
        <v>6</v>
      </c>
      <c r="D31" s="2"/>
      <c r="E31" s="2" t="s">
        <v>35</v>
      </c>
      <c r="F31" s="2" t="s">
        <v>27</v>
      </c>
      <c r="G31" s="2" t="s">
        <v>28</v>
      </c>
      <c r="H31" s="2" t="s">
        <v>29</v>
      </c>
      <c r="I31" s="2">
        <f>I30*J31</f>
        <v>-1.04E-2</v>
      </c>
      <c r="J31" s="2">
        <v>-7.9999999999999988E-2</v>
      </c>
      <c r="K31" s="2">
        <v>-0.08</v>
      </c>
      <c r="L31" s="2"/>
      <c r="M31" s="2"/>
      <c r="N31" s="2"/>
      <c r="O31" s="2">
        <f t="shared" si="21"/>
        <v>-7.27</v>
      </c>
      <c r="P31" s="2">
        <f>ROUND(CQ31*I31,2)</f>
        <v>0</v>
      </c>
      <c r="Q31" s="2">
        <f>ROUND(CR31*I31,2)</f>
        <v>-0.6</v>
      </c>
      <c r="R31" s="2">
        <f>ROUND(CS31*I31,2)</f>
        <v>-6.67</v>
      </c>
      <c r="S31" s="2">
        <f>ROUND(CT31*I31,2)</f>
        <v>0</v>
      </c>
      <c r="T31" s="2">
        <f t="shared" si="22"/>
        <v>0</v>
      </c>
      <c r="U31" s="2">
        <f>ROUND(CV31*I31,7)</f>
        <v>0</v>
      </c>
      <c r="V31" s="2">
        <f>ROUND(CW31*I31,7)</f>
        <v>0</v>
      </c>
      <c r="W31" s="2">
        <f t="shared" si="23"/>
        <v>0</v>
      </c>
      <c r="X31" s="2">
        <f t="shared" si="24"/>
        <v>-6.07</v>
      </c>
      <c r="Y31" s="2">
        <f t="shared" si="25"/>
        <v>-3.2</v>
      </c>
      <c r="Z31" s="2"/>
      <c r="AA31" s="2">
        <v>85997836</v>
      </c>
      <c r="AB31" s="2">
        <f t="shared" si="26"/>
        <v>37.32</v>
      </c>
      <c r="AC31" s="2">
        <f>ROUND((ES31),6)</f>
        <v>0</v>
      </c>
      <c r="AD31" s="2">
        <f>ROUND((((ET31)-(EU31))+AE31),6)</f>
        <v>37.32</v>
      </c>
      <c r="AE31" s="2">
        <f>ROUND((EU31),6)</f>
        <v>641.22</v>
      </c>
      <c r="AF31" s="2">
        <f>ROUND((EV31),6)</f>
        <v>0</v>
      </c>
      <c r="AG31" s="2">
        <f t="shared" si="27"/>
        <v>0</v>
      </c>
      <c r="AH31" s="2">
        <f>(EW31)</f>
        <v>0</v>
      </c>
      <c r="AI31" s="2">
        <f>(EX31)</f>
        <v>0</v>
      </c>
      <c r="AJ31" s="2">
        <f t="shared" si="28"/>
        <v>0</v>
      </c>
      <c r="AK31" s="2">
        <v>37.32</v>
      </c>
      <c r="AL31" s="2">
        <v>0</v>
      </c>
      <c r="AM31" s="2">
        <v>37.32</v>
      </c>
      <c r="AN31" s="2">
        <v>641.22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91</v>
      </c>
      <c r="AU31" s="2">
        <v>48</v>
      </c>
      <c r="AV31" s="2">
        <v>1</v>
      </c>
      <c r="AW31" s="2">
        <v>1</v>
      </c>
      <c r="AX31" s="2"/>
      <c r="AY31" s="2"/>
      <c r="AZ31" s="2">
        <v>1</v>
      </c>
      <c r="BA31" s="2">
        <v>1</v>
      </c>
      <c r="BB31" s="2">
        <v>1.54</v>
      </c>
      <c r="BC31" s="2">
        <v>1</v>
      </c>
      <c r="BD31" s="2" t="s">
        <v>3</v>
      </c>
      <c r="BE31" s="2" t="s">
        <v>3</v>
      </c>
      <c r="BF31" s="2" t="s">
        <v>3</v>
      </c>
      <c r="BG31" s="2" t="s">
        <v>3</v>
      </c>
      <c r="BH31" s="2">
        <v>2</v>
      </c>
      <c r="BI31" s="2">
        <v>1</v>
      </c>
      <c r="BJ31" s="2" t="s">
        <v>30</v>
      </c>
      <c r="BK31" s="2"/>
      <c r="BL31" s="2"/>
      <c r="BM31" s="2">
        <v>67001</v>
      </c>
      <c r="BN31" s="2">
        <v>0</v>
      </c>
      <c r="BO31" s="2" t="s">
        <v>27</v>
      </c>
      <c r="BP31" s="2">
        <v>1</v>
      </c>
      <c r="BQ31" s="2">
        <v>6</v>
      </c>
      <c r="BR31" s="2">
        <v>0</v>
      </c>
      <c r="BS31" s="2">
        <v>1</v>
      </c>
      <c r="BT31" s="2">
        <v>1</v>
      </c>
      <c r="BU31" s="2">
        <v>1</v>
      </c>
      <c r="BV31" s="2">
        <v>1</v>
      </c>
      <c r="BW31" s="2">
        <v>1</v>
      </c>
      <c r="BX31" s="2">
        <v>1</v>
      </c>
      <c r="BY31" s="2" t="s">
        <v>3</v>
      </c>
      <c r="BZ31" s="2">
        <v>91</v>
      </c>
      <c r="CA31" s="2">
        <v>48</v>
      </c>
      <c r="CB31" s="2" t="s">
        <v>3</v>
      </c>
      <c r="CC31" s="2"/>
      <c r="CD31" s="2"/>
      <c r="CE31" s="2">
        <v>0</v>
      </c>
      <c r="CF31" s="2">
        <v>0</v>
      </c>
      <c r="CG31" s="2">
        <v>0</v>
      </c>
      <c r="CH31" s="2"/>
      <c r="CI31" s="2"/>
      <c r="CJ31" s="2"/>
      <c r="CK31" s="2"/>
      <c r="CL31" s="2"/>
      <c r="CM31" s="2">
        <v>0</v>
      </c>
      <c r="CN31" s="2" t="s">
        <v>3</v>
      </c>
      <c r="CO31" s="2">
        <v>0</v>
      </c>
      <c r="CP31" s="2">
        <f t="shared" si="29"/>
        <v>-7.27</v>
      </c>
      <c r="CQ31" s="2">
        <f>ROUND(AL31*BC31,2)</f>
        <v>0</v>
      </c>
      <c r="CR31" s="2">
        <f>ROUND(AM31*BB31,2)</f>
        <v>57.47</v>
      </c>
      <c r="CS31" s="2">
        <f>ROUND(AN31*BS31,2)</f>
        <v>641.22</v>
      </c>
      <c r="CT31" s="2">
        <f>ROUND(AO31*BA31,2)</f>
        <v>0</v>
      </c>
      <c r="CU31" s="2">
        <f t="shared" si="30"/>
        <v>0</v>
      </c>
      <c r="CV31" s="2">
        <f>AH31</f>
        <v>0</v>
      </c>
      <c r="CW31" s="2">
        <f>AI31</f>
        <v>0</v>
      </c>
      <c r="CX31" s="2">
        <f t="shared" si="31"/>
        <v>0</v>
      </c>
      <c r="CY31" s="2">
        <f t="shared" si="32"/>
        <v>-6.0697000000000001</v>
      </c>
      <c r="CZ31" s="2">
        <f t="shared" si="33"/>
        <v>-3.2015999999999996</v>
      </c>
      <c r="DA31" s="2"/>
      <c r="DB31" s="2"/>
      <c r="DC31" s="2" t="s">
        <v>3</v>
      </c>
      <c r="DD31" s="2" t="s">
        <v>3</v>
      </c>
      <c r="DE31" s="2" t="s">
        <v>3</v>
      </c>
      <c r="DF31" s="2" t="s">
        <v>3</v>
      </c>
      <c r="DG31" s="2" t="s">
        <v>3</v>
      </c>
      <c r="DH31" s="2" t="s">
        <v>3</v>
      </c>
      <c r="DI31" s="2" t="s">
        <v>3</v>
      </c>
      <c r="DJ31" s="2" t="s">
        <v>3</v>
      </c>
      <c r="DK31" s="2" t="s">
        <v>3</v>
      </c>
      <c r="DL31" s="2" t="s">
        <v>3</v>
      </c>
      <c r="DM31" s="2" t="s">
        <v>3</v>
      </c>
      <c r="DN31" s="2">
        <v>0</v>
      </c>
      <c r="DO31" s="2">
        <v>0</v>
      </c>
      <c r="DP31" s="2">
        <v>1</v>
      </c>
      <c r="DQ31" s="2">
        <v>1</v>
      </c>
      <c r="DR31" s="2"/>
      <c r="DS31" s="2"/>
      <c r="DT31" s="2"/>
      <c r="DU31" s="2">
        <v>1011</v>
      </c>
      <c r="DV31" s="2" t="s">
        <v>29</v>
      </c>
      <c r="DW31" s="2" t="s">
        <v>29</v>
      </c>
      <c r="DX31" s="2">
        <v>1</v>
      </c>
      <c r="DY31" s="2"/>
      <c r="DZ31" s="2" t="s">
        <v>3</v>
      </c>
      <c r="EA31" s="2" t="s">
        <v>3</v>
      </c>
      <c r="EB31" s="2" t="s">
        <v>3</v>
      </c>
      <c r="EC31" s="2" t="s">
        <v>3</v>
      </c>
      <c r="ED31" s="2"/>
      <c r="EE31" s="2">
        <v>84054022</v>
      </c>
      <c r="EF31" s="2">
        <v>6</v>
      </c>
      <c r="EG31" s="2" t="s">
        <v>22</v>
      </c>
      <c r="EH31" s="2">
        <v>101</v>
      </c>
      <c r="EI31" s="2" t="s">
        <v>16</v>
      </c>
      <c r="EJ31" s="2">
        <v>1</v>
      </c>
      <c r="EK31" s="2">
        <v>67001</v>
      </c>
      <c r="EL31" s="2" t="s">
        <v>16</v>
      </c>
      <c r="EM31" s="2" t="s">
        <v>23</v>
      </c>
      <c r="EN31" s="2"/>
      <c r="EO31" s="2" t="s">
        <v>3</v>
      </c>
      <c r="EP31" s="2"/>
      <c r="EQ31" s="2">
        <v>0</v>
      </c>
      <c r="ER31" s="2">
        <v>37.32</v>
      </c>
      <c r="ES31" s="2">
        <v>0</v>
      </c>
      <c r="ET31" s="2">
        <v>37.32</v>
      </c>
      <c r="EU31" s="2">
        <v>641.22</v>
      </c>
      <c r="EV31" s="2">
        <v>0</v>
      </c>
      <c r="EW31" s="2">
        <v>0</v>
      </c>
      <c r="EX31" s="2">
        <v>0</v>
      </c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>
        <v>0</v>
      </c>
      <c r="FR31" s="2">
        <v>0</v>
      </c>
      <c r="FS31" s="2">
        <v>1</v>
      </c>
      <c r="FT31" s="2"/>
      <c r="FU31" s="2"/>
      <c r="FV31" s="2"/>
      <c r="FW31" s="2"/>
      <c r="FX31" s="2">
        <v>91</v>
      </c>
      <c r="FY31" s="2">
        <v>48</v>
      </c>
      <c r="FZ31" s="2"/>
      <c r="GA31" s="2" t="s">
        <v>3</v>
      </c>
      <c r="GB31" s="2"/>
      <c r="GC31" s="2"/>
      <c r="GD31" s="2">
        <v>1</v>
      </c>
      <c r="GE31" s="2"/>
      <c r="GF31" s="2">
        <v>945201097</v>
      </c>
      <c r="GG31" s="2">
        <v>2</v>
      </c>
      <c r="GH31" s="2">
        <v>1</v>
      </c>
      <c r="GI31" s="2">
        <v>2</v>
      </c>
      <c r="GJ31" s="2">
        <v>0</v>
      </c>
      <c r="GK31" s="2">
        <v>0</v>
      </c>
      <c r="GL31" s="2">
        <f t="shared" si="34"/>
        <v>0</v>
      </c>
      <c r="GM31" s="2">
        <f t="shared" si="35"/>
        <v>-16.54</v>
      </c>
      <c r="GN31" s="2">
        <f t="shared" si="36"/>
        <v>-16.54</v>
      </c>
      <c r="GO31" s="2">
        <f t="shared" si="37"/>
        <v>0</v>
      </c>
      <c r="GP31" s="2">
        <f t="shared" si="38"/>
        <v>0</v>
      </c>
      <c r="GQ31" s="2"/>
      <c r="GR31" s="2">
        <v>0</v>
      </c>
      <c r="GS31" s="2">
        <v>7</v>
      </c>
      <c r="GT31" s="2">
        <v>0</v>
      </c>
      <c r="GU31" s="2" t="s">
        <v>3</v>
      </c>
      <c r="GV31" s="2">
        <f t="shared" si="39"/>
        <v>0</v>
      </c>
      <c r="GW31" s="2">
        <v>1</v>
      </c>
      <c r="GX31" s="2">
        <f t="shared" si="40"/>
        <v>0</v>
      </c>
      <c r="GY31" s="2"/>
      <c r="GZ31" s="2"/>
      <c r="HA31" s="2">
        <v>0</v>
      </c>
      <c r="HB31" s="2">
        <v>0</v>
      </c>
      <c r="HC31" s="2">
        <f t="shared" si="41"/>
        <v>0</v>
      </c>
      <c r="HD31" s="2"/>
      <c r="HE31" s="2" t="s">
        <v>3</v>
      </c>
      <c r="HF31" s="2" t="s">
        <v>3</v>
      </c>
      <c r="HG31" s="2"/>
      <c r="HH31" s="2"/>
      <c r="HI31" s="2"/>
      <c r="HJ31" s="2"/>
      <c r="HK31" s="2"/>
      <c r="HL31" s="2"/>
      <c r="HM31" s="2" t="s">
        <v>3</v>
      </c>
      <c r="HN31" s="2" t="s">
        <v>24</v>
      </c>
      <c r="HO31" s="2" t="s">
        <v>25</v>
      </c>
      <c r="HP31" s="2" t="s">
        <v>16</v>
      </c>
      <c r="HQ31" s="2" t="s">
        <v>16</v>
      </c>
      <c r="HR31" s="2"/>
      <c r="HS31" s="2">
        <v>0</v>
      </c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>
        <v>0</v>
      </c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x14ac:dyDescent="0.2">
      <c r="A32" s="2">
        <v>17</v>
      </c>
      <c r="B32" s="2">
        <v>1</v>
      </c>
      <c r="C32" s="2">
        <f>ROW(SmtRes!A7)</f>
        <v>7</v>
      </c>
      <c r="D32" s="2">
        <f>ROW(EtalonRes!A7)</f>
        <v>7</v>
      </c>
      <c r="E32" s="2" t="s">
        <v>36</v>
      </c>
      <c r="F32" s="2" t="s">
        <v>37</v>
      </c>
      <c r="G32" s="2" t="s">
        <v>38</v>
      </c>
      <c r="H32" s="2" t="s">
        <v>20</v>
      </c>
      <c r="I32" s="2">
        <f>ROUND((16+5)/100,7)</f>
        <v>0.21</v>
      </c>
      <c r="J32" s="2">
        <v>0</v>
      </c>
      <c r="K32" s="2">
        <f>ROUND((16+5)/100,7)</f>
        <v>0.21</v>
      </c>
      <c r="L32" s="2"/>
      <c r="M32" s="2"/>
      <c r="N32" s="2"/>
      <c r="O32" s="2">
        <f t="shared" si="21"/>
        <v>720.31</v>
      </c>
      <c r="P32" s="2">
        <f>SUMIF(SmtRes!AQ7:'SmtRes'!AQ7,"=1",SmtRes!DF7:'SmtRes'!DF7)</f>
        <v>0</v>
      </c>
      <c r="Q32" s="2">
        <f>SUMIF(SmtRes!AQ7:'SmtRes'!AQ7,"=1",SmtRes!DG7:'SmtRes'!DG7)</f>
        <v>0</v>
      </c>
      <c r="R32" s="2">
        <f>SUMIF(SmtRes!AQ7:'SmtRes'!AQ7,"=1",SmtRes!DH7:'SmtRes'!DH7)</f>
        <v>0</v>
      </c>
      <c r="S32" s="2">
        <f>SUMIF(SmtRes!AQ7:'SmtRes'!AQ7,"=1",SmtRes!DI7:'SmtRes'!DI7)</f>
        <v>720.31</v>
      </c>
      <c r="T32" s="2">
        <f t="shared" si="22"/>
        <v>0</v>
      </c>
      <c r="U32" s="2">
        <f>SUMIF(SmtRes!AQ7:'SmtRes'!AQ7,"=1",SmtRes!CV7:'SmtRes'!CV7)</f>
        <v>1.2263999999999999</v>
      </c>
      <c r="V32" s="2">
        <f>SUMIF(SmtRes!AQ7:'SmtRes'!AQ7,"=1",SmtRes!CW7:'SmtRes'!CW7)</f>
        <v>0</v>
      </c>
      <c r="W32" s="2">
        <f t="shared" si="23"/>
        <v>0</v>
      </c>
      <c r="X32" s="2">
        <f t="shared" si="24"/>
        <v>655.48</v>
      </c>
      <c r="Y32" s="2">
        <f t="shared" si="25"/>
        <v>345.75</v>
      </c>
      <c r="Z32" s="2"/>
      <c r="AA32" s="2">
        <v>85997836</v>
      </c>
      <c r="AB32" s="2">
        <f t="shared" si="26"/>
        <v>3430.0655999999999</v>
      </c>
      <c r="AC32" s="2">
        <f>ROUND((0),6)</f>
        <v>0</v>
      </c>
      <c r="AD32" s="2">
        <f>ROUND((((0)-(0))+AE32),6)</f>
        <v>0</v>
      </c>
      <c r="AE32" s="2">
        <f>ROUND((0),6)</f>
        <v>0</v>
      </c>
      <c r="AF32" s="2">
        <f>ROUND((SUM(SmtRes!BT7:'SmtRes'!BT7)),6)</f>
        <v>3430.0655999999999</v>
      </c>
      <c r="AG32" s="2">
        <f t="shared" si="27"/>
        <v>0</v>
      </c>
      <c r="AH32" s="2">
        <f>(SUM(SmtRes!BU7:'SmtRes'!BU7))</f>
        <v>5.84</v>
      </c>
      <c r="AI32" s="2">
        <f>(0)</f>
        <v>0</v>
      </c>
      <c r="AJ32" s="2">
        <f t="shared" si="28"/>
        <v>0</v>
      </c>
      <c r="AK32" s="2">
        <v>3430.0655999999999</v>
      </c>
      <c r="AL32" s="2">
        <v>0</v>
      </c>
      <c r="AM32" s="2">
        <v>0</v>
      </c>
      <c r="AN32" s="2">
        <v>0</v>
      </c>
      <c r="AO32" s="2">
        <v>3430.0655999999999</v>
      </c>
      <c r="AP32" s="2">
        <v>0</v>
      </c>
      <c r="AQ32" s="2">
        <v>5.84</v>
      </c>
      <c r="AR32" s="2">
        <v>0</v>
      </c>
      <c r="AS32" s="2">
        <v>0</v>
      </c>
      <c r="AT32" s="2">
        <v>91</v>
      </c>
      <c r="AU32" s="2">
        <v>48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39</v>
      </c>
      <c r="BK32" s="2"/>
      <c r="BL32" s="2"/>
      <c r="BM32" s="2">
        <v>67001</v>
      </c>
      <c r="BN32" s="2">
        <v>0</v>
      </c>
      <c r="BO32" s="2" t="s">
        <v>3</v>
      </c>
      <c r="BP32" s="2">
        <v>0</v>
      </c>
      <c r="BQ32" s="2">
        <v>6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91</v>
      </c>
      <c r="CA32" s="2">
        <v>48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</v>
      </c>
      <c r="CO32" s="2">
        <v>0</v>
      </c>
      <c r="CP32" s="2">
        <f t="shared" si="29"/>
        <v>720.31</v>
      </c>
      <c r="CQ32" s="2">
        <f>SUMIF(SmtRes!AQ7:'SmtRes'!AQ7,"=1",SmtRes!AA7:'SmtRes'!AA7)</f>
        <v>0</v>
      </c>
      <c r="CR32" s="2">
        <f>SUMIF(SmtRes!AQ7:'SmtRes'!AQ7,"=1",SmtRes!AB7:'SmtRes'!AB7)</f>
        <v>0</v>
      </c>
      <c r="CS32" s="2">
        <f>SUMIF(SmtRes!AQ7:'SmtRes'!AQ7,"=1",SmtRes!AC7:'SmtRes'!AC7)</f>
        <v>0</v>
      </c>
      <c r="CT32" s="2">
        <f>SUMIF(SmtRes!AQ7:'SmtRes'!AQ7,"=1",SmtRes!AD7:'SmtRes'!AD7)</f>
        <v>587.34</v>
      </c>
      <c r="CU32" s="2">
        <f t="shared" si="30"/>
        <v>0</v>
      </c>
      <c r="CV32" s="2">
        <f>SUMIF(SmtRes!AQ7:'SmtRes'!AQ7,"=1",SmtRes!BU7:'SmtRes'!BU7)</f>
        <v>5.84</v>
      </c>
      <c r="CW32" s="2">
        <f>SUMIF(SmtRes!AQ7:'SmtRes'!AQ7,"=1",SmtRes!BV7:'SmtRes'!BV7)</f>
        <v>0</v>
      </c>
      <c r="CX32" s="2">
        <f t="shared" si="31"/>
        <v>0</v>
      </c>
      <c r="CY32" s="2">
        <f t="shared" si="32"/>
        <v>655.48209999999995</v>
      </c>
      <c r="CZ32" s="2">
        <f t="shared" si="33"/>
        <v>345.74879999999996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1013</v>
      </c>
      <c r="DV32" s="2" t="s">
        <v>20</v>
      </c>
      <c r="DW32" s="2" t="s">
        <v>20</v>
      </c>
      <c r="DX32" s="2">
        <v>1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84054022</v>
      </c>
      <c r="EF32" s="2">
        <v>6</v>
      </c>
      <c r="EG32" s="2" t="s">
        <v>22</v>
      </c>
      <c r="EH32" s="2">
        <v>101</v>
      </c>
      <c r="EI32" s="2" t="s">
        <v>16</v>
      </c>
      <c r="EJ32" s="2">
        <v>1</v>
      </c>
      <c r="EK32" s="2">
        <v>67001</v>
      </c>
      <c r="EL32" s="2" t="s">
        <v>16</v>
      </c>
      <c r="EM32" s="2" t="s">
        <v>23</v>
      </c>
      <c r="EN32" s="2"/>
      <c r="EO32" s="2" t="s">
        <v>3</v>
      </c>
      <c r="EP32" s="2"/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5.84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v>0</v>
      </c>
      <c r="FS32" s="2">
        <v>0</v>
      </c>
      <c r="FT32" s="2"/>
      <c r="FU32" s="2"/>
      <c r="FV32" s="2"/>
      <c r="FW32" s="2"/>
      <c r="FX32" s="2">
        <v>91</v>
      </c>
      <c r="FY32" s="2">
        <v>48</v>
      </c>
      <c r="FZ32" s="2"/>
      <c r="GA32" s="2" t="s">
        <v>3</v>
      </c>
      <c r="GB32" s="2"/>
      <c r="GC32" s="2"/>
      <c r="GD32" s="2">
        <v>1</v>
      </c>
      <c r="GE32" s="2"/>
      <c r="GF32" s="2">
        <v>1484600196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34"/>
        <v>0</v>
      </c>
      <c r="GM32" s="2">
        <f t="shared" si="35"/>
        <v>1721.54</v>
      </c>
      <c r="GN32" s="2">
        <f t="shared" si="36"/>
        <v>1721.54</v>
      </c>
      <c r="GO32" s="2">
        <f t="shared" si="37"/>
        <v>0</v>
      </c>
      <c r="GP32" s="2">
        <f t="shared" si="38"/>
        <v>0</v>
      </c>
      <c r="GQ32" s="2"/>
      <c r="GR32" s="2">
        <v>0</v>
      </c>
      <c r="GS32" s="2">
        <v>0</v>
      </c>
      <c r="GT32" s="2">
        <v>0</v>
      </c>
      <c r="GU32" s="2" t="s">
        <v>3</v>
      </c>
      <c r="GV32" s="2">
        <f t="shared" si="39"/>
        <v>0</v>
      </c>
      <c r="GW32" s="2">
        <v>1</v>
      </c>
      <c r="GX32" s="2">
        <f t="shared" si="40"/>
        <v>0</v>
      </c>
      <c r="GY32" s="2"/>
      <c r="GZ32" s="2"/>
      <c r="HA32" s="2">
        <v>0</v>
      </c>
      <c r="HB32" s="2">
        <v>0</v>
      </c>
      <c r="HC32" s="2">
        <f t="shared" si="41"/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24</v>
      </c>
      <c r="HO32" s="2" t="s">
        <v>25</v>
      </c>
      <c r="HP32" s="2" t="s">
        <v>16</v>
      </c>
      <c r="HQ32" s="2" t="s">
        <v>16</v>
      </c>
      <c r="HR32" s="2"/>
      <c r="HS32" s="2">
        <v>0</v>
      </c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 s="2">
        <v>17</v>
      </c>
      <c r="B33" s="2">
        <v>1</v>
      </c>
      <c r="C33" s="2">
        <f>ROW(SmtRes!A23)</f>
        <v>23</v>
      </c>
      <c r="D33" s="2">
        <f>ROW(EtalonRes!A23)</f>
        <v>23</v>
      </c>
      <c r="E33" s="2" t="s">
        <v>40</v>
      </c>
      <c r="F33" s="2" t="s">
        <v>41</v>
      </c>
      <c r="G33" s="2" t="s">
        <v>42</v>
      </c>
      <c r="H33" s="2" t="s">
        <v>43</v>
      </c>
      <c r="I33" s="2">
        <f>ROUND(1,7)</f>
        <v>1</v>
      </c>
      <c r="J33" s="2">
        <v>0</v>
      </c>
      <c r="K33" s="2">
        <f>ROUND(1,7)</f>
        <v>1</v>
      </c>
      <c r="L33" s="2"/>
      <c r="M33" s="2"/>
      <c r="N33" s="2"/>
      <c r="O33" s="2">
        <f t="shared" si="21"/>
        <v>637.35</v>
      </c>
      <c r="P33" s="2">
        <f>SUMIF(SmtRes!AQ8:'SmtRes'!AQ23,"=1",SmtRes!DF8:'SmtRes'!DF23)</f>
        <v>0</v>
      </c>
      <c r="Q33" s="2">
        <f>SUMIF(SmtRes!AQ8:'SmtRes'!AQ23,"=1",SmtRes!DG8:'SmtRes'!DG23)</f>
        <v>2.06</v>
      </c>
      <c r="R33" s="2">
        <f>SUMIF(SmtRes!AQ8:'SmtRes'!AQ23,"=1",SmtRes!DH8:'SmtRes'!DH23)</f>
        <v>0</v>
      </c>
      <c r="S33" s="2">
        <f>SUMIF(SmtRes!AQ8:'SmtRes'!AQ23,"=1",SmtRes!DI8:'SmtRes'!DI23)</f>
        <v>635.29</v>
      </c>
      <c r="T33" s="2">
        <f t="shared" si="22"/>
        <v>0</v>
      </c>
      <c r="U33" s="2">
        <f>SUMIF(SmtRes!AQ8:'SmtRes'!AQ23,"=1",SmtRes!CV8:'SmtRes'!CV23)</f>
        <v>0.9</v>
      </c>
      <c r="V33" s="2">
        <f>SUMIF(SmtRes!AQ8:'SmtRes'!AQ23,"=1",SmtRes!CW8:'SmtRes'!CW23)</f>
        <v>0</v>
      </c>
      <c r="W33" s="2">
        <f t="shared" si="23"/>
        <v>0</v>
      </c>
      <c r="X33" s="2">
        <f t="shared" si="24"/>
        <v>616.23</v>
      </c>
      <c r="Y33" s="2">
        <f t="shared" si="25"/>
        <v>324</v>
      </c>
      <c r="Z33" s="2"/>
      <c r="AA33" s="2">
        <v>85997836</v>
      </c>
      <c r="AB33" s="2">
        <f t="shared" si="26"/>
        <v>637.35341400000004</v>
      </c>
      <c r="AC33" s="2">
        <f>ROUND((0),6)</f>
        <v>0</v>
      </c>
      <c r="AD33" s="2">
        <f>ROUND((((SUM(SmtRes!BR8:'SmtRes'!BR23))-(0))+AE33),6)</f>
        <v>2.0614140000000001</v>
      </c>
      <c r="AE33" s="2">
        <f>ROUND((0),6)</f>
        <v>0</v>
      </c>
      <c r="AF33" s="2">
        <f>ROUND((SUM(SmtRes!BT8:'SmtRes'!BT23)),6)</f>
        <v>635.29200000000003</v>
      </c>
      <c r="AG33" s="2">
        <f t="shared" si="27"/>
        <v>0</v>
      </c>
      <c r="AH33" s="2">
        <f>(SUM(SmtRes!BU8:'SmtRes'!BU23))</f>
        <v>0.89999999999999991</v>
      </c>
      <c r="AI33" s="2">
        <f>(0)</f>
        <v>0</v>
      </c>
      <c r="AJ33" s="2">
        <f t="shared" si="28"/>
        <v>0</v>
      </c>
      <c r="AK33" s="2">
        <v>2610.5425539999997</v>
      </c>
      <c r="AL33" s="2">
        <v>486.03117400000002</v>
      </c>
      <c r="AM33" s="2">
        <v>6.8713799999999994</v>
      </c>
      <c r="AN33" s="2">
        <v>0</v>
      </c>
      <c r="AO33" s="2">
        <v>2117.64</v>
      </c>
      <c r="AP33" s="2">
        <v>0</v>
      </c>
      <c r="AQ33" s="2">
        <v>3</v>
      </c>
      <c r="AR33" s="2">
        <v>0</v>
      </c>
      <c r="AS33" s="2">
        <v>0</v>
      </c>
      <c r="AT33" s="2">
        <v>97</v>
      </c>
      <c r="AU33" s="2">
        <v>51</v>
      </c>
      <c r="AV33" s="2">
        <v>1</v>
      </c>
      <c r="AW33" s="2">
        <v>1</v>
      </c>
      <c r="AX33" s="2"/>
      <c r="AY33" s="2"/>
      <c r="AZ33" s="2">
        <v>1</v>
      </c>
      <c r="BA33" s="2">
        <v>1</v>
      </c>
      <c r="BB33" s="2">
        <v>1</v>
      </c>
      <c r="BC33" s="2">
        <v>1</v>
      </c>
      <c r="BD33" s="2" t="s">
        <v>3</v>
      </c>
      <c r="BE33" s="2" t="s">
        <v>3</v>
      </c>
      <c r="BF33" s="2" t="s">
        <v>3</v>
      </c>
      <c r="BG33" s="2" t="s">
        <v>3</v>
      </c>
      <c r="BH33" s="2">
        <v>0</v>
      </c>
      <c r="BI33" s="2">
        <v>2</v>
      </c>
      <c r="BJ33" s="2" t="s">
        <v>44</v>
      </c>
      <c r="BK33" s="2"/>
      <c r="BL33" s="2"/>
      <c r="BM33" s="2">
        <v>108001</v>
      </c>
      <c r="BN33" s="2">
        <v>0</v>
      </c>
      <c r="BO33" s="2" t="s">
        <v>3</v>
      </c>
      <c r="BP33" s="2">
        <v>0</v>
      </c>
      <c r="BQ33" s="2">
        <v>3</v>
      </c>
      <c r="BR33" s="2">
        <v>0</v>
      </c>
      <c r="BS33" s="2">
        <v>1</v>
      </c>
      <c r="BT33" s="2">
        <v>1</v>
      </c>
      <c r="BU33" s="2">
        <v>1</v>
      </c>
      <c r="BV33" s="2">
        <v>1</v>
      </c>
      <c r="BW33" s="2">
        <v>1</v>
      </c>
      <c r="BX33" s="2">
        <v>1</v>
      </c>
      <c r="BY33" s="2" t="s">
        <v>3</v>
      </c>
      <c r="BZ33" s="2">
        <v>97</v>
      </c>
      <c r="CA33" s="2">
        <v>51</v>
      </c>
      <c r="CB33" s="2" t="s">
        <v>3</v>
      </c>
      <c r="CC33" s="2"/>
      <c r="CD33" s="2"/>
      <c r="CE33" s="2">
        <v>0</v>
      </c>
      <c r="CF33" s="2">
        <v>0</v>
      </c>
      <c r="CG33" s="2">
        <v>0</v>
      </c>
      <c r="CH33" s="2"/>
      <c r="CI33" s="2"/>
      <c r="CJ33" s="2"/>
      <c r="CK33" s="2"/>
      <c r="CL33" s="2"/>
      <c r="CM33" s="2">
        <v>0</v>
      </c>
      <c r="CN33" s="2" t="s">
        <v>45</v>
      </c>
      <c r="CO33" s="2">
        <v>0</v>
      </c>
      <c r="CP33" s="2">
        <f t="shared" si="29"/>
        <v>637.34999999999991</v>
      </c>
      <c r="CQ33" s="2">
        <f>SUMIF(SmtRes!AQ8:'SmtRes'!AQ23,"=1",SmtRes!AA8:'SmtRes'!AA23)</f>
        <v>140482.06</v>
      </c>
      <c r="CR33" s="2">
        <f>SUMIF(SmtRes!AQ8:'SmtRes'!AQ23,"=1",SmtRes!AB8:'SmtRes'!AB23)</f>
        <v>32.26</v>
      </c>
      <c r="CS33" s="2">
        <f>SUMIF(SmtRes!AQ8:'SmtRes'!AQ23,"=1",SmtRes!AC8:'SmtRes'!AC23)</f>
        <v>0</v>
      </c>
      <c r="CT33" s="2">
        <f>SUMIF(SmtRes!AQ8:'SmtRes'!AQ23,"=1",SmtRes!AD8:'SmtRes'!AD23)</f>
        <v>705.88</v>
      </c>
      <c r="CU33" s="2">
        <f t="shared" si="30"/>
        <v>0</v>
      </c>
      <c r="CV33" s="2">
        <f>SUMIF(SmtRes!AQ8:'SmtRes'!AQ23,"=1",SmtRes!BU8:'SmtRes'!BU23)</f>
        <v>0.89999999999999991</v>
      </c>
      <c r="CW33" s="2">
        <f>SUMIF(SmtRes!AQ8:'SmtRes'!AQ23,"=1",SmtRes!BV8:'SmtRes'!BV23)</f>
        <v>0</v>
      </c>
      <c r="CX33" s="2">
        <f t="shared" si="31"/>
        <v>0</v>
      </c>
      <c r="CY33" s="2">
        <f t="shared" si="32"/>
        <v>616.23129999999992</v>
      </c>
      <c r="CZ33" s="2">
        <f t="shared" si="33"/>
        <v>323.99789999999996</v>
      </c>
      <c r="DA33" s="2"/>
      <c r="DB33" s="2"/>
      <c r="DC33" s="2" t="s">
        <v>3</v>
      </c>
      <c r="DD33" s="2" t="s">
        <v>46</v>
      </c>
      <c r="DE33" s="2" t="s">
        <v>47</v>
      </c>
      <c r="DF33" s="2" t="s">
        <v>47</v>
      </c>
      <c r="DG33" s="2" t="s">
        <v>47</v>
      </c>
      <c r="DH33" s="2" t="s">
        <v>3</v>
      </c>
      <c r="DI33" s="2" t="s">
        <v>47</v>
      </c>
      <c r="DJ33" s="2" t="s">
        <v>47</v>
      </c>
      <c r="DK33" s="2" t="s">
        <v>3</v>
      </c>
      <c r="DL33" s="2" t="s">
        <v>3</v>
      </c>
      <c r="DM33" s="2" t="s">
        <v>3</v>
      </c>
      <c r="DN33" s="2">
        <v>0</v>
      </c>
      <c r="DO33" s="2">
        <v>0</v>
      </c>
      <c r="DP33" s="2">
        <v>1</v>
      </c>
      <c r="DQ33" s="2">
        <v>1</v>
      </c>
      <c r="DR33" s="2"/>
      <c r="DS33" s="2"/>
      <c r="DT33" s="2"/>
      <c r="DU33" s="2">
        <v>1013</v>
      </c>
      <c r="DV33" s="2" t="s">
        <v>43</v>
      </c>
      <c r="DW33" s="2" t="s">
        <v>43</v>
      </c>
      <c r="DX33" s="2">
        <v>1</v>
      </c>
      <c r="DY33" s="2"/>
      <c r="DZ33" s="2" t="s">
        <v>3</v>
      </c>
      <c r="EA33" s="2" t="s">
        <v>3</v>
      </c>
      <c r="EB33" s="2" t="s">
        <v>3</v>
      </c>
      <c r="EC33" s="2" t="s">
        <v>3</v>
      </c>
      <c r="ED33" s="2"/>
      <c r="EE33" s="2">
        <v>84053775</v>
      </c>
      <c r="EF33" s="2">
        <v>3</v>
      </c>
      <c r="EG33" s="2" t="s">
        <v>48</v>
      </c>
      <c r="EH33" s="2">
        <v>0</v>
      </c>
      <c r="EI33" s="2" t="s">
        <v>3</v>
      </c>
      <c r="EJ33" s="2">
        <v>2</v>
      </c>
      <c r="EK33" s="2">
        <v>108001</v>
      </c>
      <c r="EL33" s="2" t="s">
        <v>49</v>
      </c>
      <c r="EM33" s="2" t="s">
        <v>50</v>
      </c>
      <c r="EN33" s="2"/>
      <c r="EO33" s="2" t="s">
        <v>51</v>
      </c>
      <c r="EP33" s="2"/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3</v>
      </c>
      <c r="EX33" s="2">
        <v>0</v>
      </c>
      <c r="EY33" s="2">
        <v>0</v>
      </c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>
        <v>0</v>
      </c>
      <c r="FR33" s="2">
        <v>0</v>
      </c>
      <c r="FS33" s="2">
        <v>0</v>
      </c>
      <c r="FT33" s="2"/>
      <c r="FU33" s="2"/>
      <c r="FV33" s="2"/>
      <c r="FW33" s="2"/>
      <c r="FX33" s="2">
        <v>97</v>
      </c>
      <c r="FY33" s="2">
        <v>51</v>
      </c>
      <c r="FZ33" s="2"/>
      <c r="GA33" s="2" t="s">
        <v>3</v>
      </c>
      <c r="GB33" s="2"/>
      <c r="GC33" s="2"/>
      <c r="GD33" s="2">
        <v>1</v>
      </c>
      <c r="GE33" s="2"/>
      <c r="GF33" s="2">
        <v>-21372680</v>
      </c>
      <c r="GG33" s="2">
        <v>2</v>
      </c>
      <c r="GH33" s="2">
        <v>1</v>
      </c>
      <c r="GI33" s="2">
        <v>-2</v>
      </c>
      <c r="GJ33" s="2">
        <v>0</v>
      </c>
      <c r="GK33" s="2">
        <v>0</v>
      </c>
      <c r="GL33" s="2">
        <f t="shared" si="34"/>
        <v>0</v>
      </c>
      <c r="GM33" s="2">
        <f t="shared" si="35"/>
        <v>1577.58</v>
      </c>
      <c r="GN33" s="2">
        <f t="shared" si="36"/>
        <v>0</v>
      </c>
      <c r="GO33" s="2">
        <f t="shared" si="37"/>
        <v>1577.58</v>
      </c>
      <c r="GP33" s="2">
        <f t="shared" si="38"/>
        <v>0</v>
      </c>
      <c r="GQ33" s="2"/>
      <c r="GR33" s="2">
        <v>0</v>
      </c>
      <c r="GS33" s="2">
        <v>0</v>
      </c>
      <c r="GT33" s="2">
        <v>0</v>
      </c>
      <c r="GU33" s="2" t="s">
        <v>3</v>
      </c>
      <c r="GV33" s="2">
        <f t="shared" si="39"/>
        <v>0</v>
      </c>
      <c r="GW33" s="2">
        <v>1</v>
      </c>
      <c r="GX33" s="2">
        <f t="shared" si="40"/>
        <v>0</v>
      </c>
      <c r="GY33" s="2"/>
      <c r="GZ33" s="2"/>
      <c r="HA33" s="2">
        <v>0</v>
      </c>
      <c r="HB33" s="2">
        <v>0</v>
      </c>
      <c r="HC33" s="2">
        <f t="shared" si="41"/>
        <v>0</v>
      </c>
      <c r="HD33" s="2"/>
      <c r="HE33" s="2" t="s">
        <v>3</v>
      </c>
      <c r="HF33" s="2" t="s">
        <v>3</v>
      </c>
      <c r="HG33" s="2"/>
      <c r="HH33" s="2"/>
      <c r="HI33" s="2"/>
      <c r="HJ33" s="2"/>
      <c r="HK33" s="2"/>
      <c r="HL33" s="2"/>
      <c r="HM33" s="2" t="s">
        <v>3</v>
      </c>
      <c r="HN33" s="2" t="s">
        <v>52</v>
      </c>
      <c r="HO33" s="2" t="s">
        <v>53</v>
      </c>
      <c r="HP33" s="2" t="s">
        <v>49</v>
      </c>
      <c r="HQ33" s="2" t="s">
        <v>49</v>
      </c>
      <c r="HR33" s="2"/>
      <c r="HS33" s="2">
        <v>0</v>
      </c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>
        <v>0</v>
      </c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x14ac:dyDescent="0.2">
      <c r="A34" s="2">
        <v>18</v>
      </c>
      <c r="B34" s="2">
        <v>1</v>
      </c>
      <c r="C34" s="2">
        <v>23</v>
      </c>
      <c r="D34" s="2"/>
      <c r="E34" s="2" t="s">
        <v>54</v>
      </c>
      <c r="F34" s="2" t="s">
        <v>55</v>
      </c>
      <c r="G34" s="2" t="s">
        <v>56</v>
      </c>
      <c r="H34" s="2" t="s">
        <v>57</v>
      </c>
      <c r="I34" s="2">
        <f>J34</f>
        <v>2</v>
      </c>
      <c r="J34" s="2">
        <v>2</v>
      </c>
      <c r="K34" s="2">
        <v>2</v>
      </c>
      <c r="L34" s="2"/>
      <c r="M34" s="2"/>
      <c r="N34" s="2"/>
      <c r="O34" s="2">
        <f>ROUND(P34,2)</f>
        <v>42.35</v>
      </c>
      <c r="P34" s="2">
        <f>ROUND(ROUND(ROUND(SUMIF(SmtRes!AQ8:'SmtRes'!AQ23,"=1",SmtRes!CU8:'SmtRes'!CU23),2),2)*I34/100,2)</f>
        <v>42.35</v>
      </c>
      <c r="Q34" s="2">
        <f>ROUND(CR34*I34,2)</f>
        <v>0</v>
      </c>
      <c r="R34" s="2">
        <f>ROUND(CS34*I34,2)</f>
        <v>0</v>
      </c>
      <c r="S34" s="2">
        <f>ROUND(CT34*I34,2)</f>
        <v>0</v>
      </c>
      <c r="T34" s="2">
        <f t="shared" si="22"/>
        <v>0</v>
      </c>
      <c r="U34" s="2">
        <f>ROUND(CV34*I34,7)</f>
        <v>0</v>
      </c>
      <c r="V34" s="2">
        <f>ROUND(CW34*I34,7)</f>
        <v>0</v>
      </c>
      <c r="W34" s="2">
        <f t="shared" si="23"/>
        <v>0</v>
      </c>
      <c r="X34" s="2">
        <f t="shared" si="24"/>
        <v>0</v>
      </c>
      <c r="Y34" s="2">
        <f t="shared" si="25"/>
        <v>0</v>
      </c>
      <c r="Z34" s="2"/>
      <c r="AA34" s="2">
        <v>85997836</v>
      </c>
      <c r="AB34" s="2">
        <f t="shared" si="26"/>
        <v>0</v>
      </c>
      <c r="AC34" s="2">
        <f>ROUND((ES34),6)</f>
        <v>0</v>
      </c>
      <c r="AD34" s="2">
        <f>ROUND((((ET34)-(EU34))+AE34),6)</f>
        <v>0</v>
      </c>
      <c r="AE34" s="2">
        <f>ROUND((EU34),6)</f>
        <v>0</v>
      </c>
      <c r="AF34" s="2">
        <f>ROUND((EV34),6)</f>
        <v>0</v>
      </c>
      <c r="AG34" s="2">
        <f t="shared" si="27"/>
        <v>0</v>
      </c>
      <c r="AH34" s="2">
        <f>(EW34)</f>
        <v>0</v>
      </c>
      <c r="AI34" s="2">
        <f>(EX34)</f>
        <v>0</v>
      </c>
      <c r="AJ34" s="2">
        <f t="shared" si="28"/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97</v>
      </c>
      <c r="AU34" s="2">
        <v>51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3</v>
      </c>
      <c r="BI34" s="2">
        <v>2</v>
      </c>
      <c r="BJ34" s="2" t="s">
        <v>3</v>
      </c>
      <c r="BK34" s="2"/>
      <c r="BL34" s="2"/>
      <c r="BM34" s="2">
        <v>108001</v>
      </c>
      <c r="BN34" s="2">
        <v>0</v>
      </c>
      <c r="BO34" s="2" t="s">
        <v>3</v>
      </c>
      <c r="BP34" s="2">
        <v>0</v>
      </c>
      <c r="BQ34" s="2">
        <v>3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97</v>
      </c>
      <c r="CA34" s="2">
        <v>51</v>
      </c>
      <c r="CB34" s="2" t="s">
        <v>3</v>
      </c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45</v>
      </c>
      <c r="CO34" s="2">
        <v>0</v>
      </c>
      <c r="CP34" s="2">
        <f>0</f>
        <v>0</v>
      </c>
      <c r="CQ34" s="2">
        <f>0</f>
        <v>0</v>
      </c>
      <c r="CR34" s="2">
        <f>0</f>
        <v>0</v>
      </c>
      <c r="CS34" s="2">
        <f>0</f>
        <v>0</v>
      </c>
      <c r="CT34" s="2">
        <f>0</f>
        <v>0</v>
      </c>
      <c r="CU34" s="2">
        <f>0</f>
        <v>0</v>
      </c>
      <c r="CV34" s="2">
        <f>0</f>
        <v>0</v>
      </c>
      <c r="CW34" s="2">
        <f>0</f>
        <v>0</v>
      </c>
      <c r="CX34" s="2">
        <f>0</f>
        <v>0</v>
      </c>
      <c r="CY34" s="2">
        <f>0</f>
        <v>0</v>
      </c>
      <c r="CZ34" s="2">
        <f>0</f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1013</v>
      </c>
      <c r="DV34" s="2" t="s">
        <v>57</v>
      </c>
      <c r="DW34" s="2" t="s">
        <v>57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84053775</v>
      </c>
      <c r="EF34" s="2">
        <v>3</v>
      </c>
      <c r="EG34" s="2" t="s">
        <v>48</v>
      </c>
      <c r="EH34" s="2">
        <v>0</v>
      </c>
      <c r="EI34" s="2" t="s">
        <v>3</v>
      </c>
      <c r="EJ34" s="2">
        <v>2</v>
      </c>
      <c r="EK34" s="2">
        <v>108001</v>
      </c>
      <c r="EL34" s="2" t="s">
        <v>49</v>
      </c>
      <c r="EM34" s="2" t="s">
        <v>50</v>
      </c>
      <c r="EN34" s="2"/>
      <c r="EO34" s="2" t="s">
        <v>51</v>
      </c>
      <c r="EP34" s="2"/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v>0</v>
      </c>
      <c r="FS34" s="2">
        <v>0</v>
      </c>
      <c r="FT34" s="2"/>
      <c r="FU34" s="2"/>
      <c r="FV34" s="2"/>
      <c r="FW34" s="2"/>
      <c r="FX34" s="2">
        <v>97</v>
      </c>
      <c r="FY34" s="2">
        <v>51</v>
      </c>
      <c r="FZ34" s="2"/>
      <c r="GA34" s="2" t="s">
        <v>3</v>
      </c>
      <c r="GB34" s="2"/>
      <c r="GC34" s="2"/>
      <c r="GD34" s="2">
        <v>1</v>
      </c>
      <c r="GE34" s="2"/>
      <c r="GF34" s="2">
        <v>274903907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34"/>
        <v>0</v>
      </c>
      <c r="GM34" s="2">
        <f t="shared" si="35"/>
        <v>42.35</v>
      </c>
      <c r="GN34" s="2">
        <f t="shared" si="36"/>
        <v>0</v>
      </c>
      <c r="GO34" s="2">
        <f t="shared" si="37"/>
        <v>42.35</v>
      </c>
      <c r="GP34" s="2">
        <f t="shared" si="38"/>
        <v>0</v>
      </c>
      <c r="GQ34" s="2"/>
      <c r="GR34" s="2">
        <v>0</v>
      </c>
      <c r="GS34" s="2">
        <v>0</v>
      </c>
      <c r="GT34" s="2">
        <v>0</v>
      </c>
      <c r="GU34" s="2" t="s">
        <v>3</v>
      </c>
      <c r="GV34" s="2">
        <f t="shared" si="39"/>
        <v>0</v>
      </c>
      <c r="GW34" s="2">
        <v>1</v>
      </c>
      <c r="GX34" s="2">
        <f t="shared" si="40"/>
        <v>0</v>
      </c>
      <c r="GY34" s="2"/>
      <c r="GZ34" s="2"/>
      <c r="HA34" s="2">
        <v>0</v>
      </c>
      <c r="HB34" s="2">
        <v>0</v>
      </c>
      <c r="HC34" s="2">
        <f>0</f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52</v>
      </c>
      <c r="HO34" s="2" t="s">
        <v>53</v>
      </c>
      <c r="HP34" s="2" t="s">
        <v>49</v>
      </c>
      <c r="HQ34" s="2" t="s">
        <v>49</v>
      </c>
      <c r="HR34" s="2"/>
      <c r="HS34" s="2">
        <v>0</v>
      </c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 s="2">
        <v>17</v>
      </c>
      <c r="B35" s="2">
        <v>1</v>
      </c>
      <c r="C35" s="2">
        <f>ROW(SmtRes!A30)</f>
        <v>30</v>
      </c>
      <c r="D35" s="2">
        <f>ROW(EtalonRes!A30)</f>
        <v>30</v>
      </c>
      <c r="E35" s="2" t="s">
        <v>58</v>
      </c>
      <c r="F35" s="2" t="s">
        <v>59</v>
      </c>
      <c r="G35" s="2" t="s">
        <v>60</v>
      </c>
      <c r="H35" s="2" t="s">
        <v>61</v>
      </c>
      <c r="I35" s="2">
        <f>ROUND((80)/100,7)</f>
        <v>0.8</v>
      </c>
      <c r="J35" s="2">
        <v>0</v>
      </c>
      <c r="K35" s="2">
        <f>ROUND((80)/100,7)</f>
        <v>0.8</v>
      </c>
      <c r="L35" s="2"/>
      <c r="M35" s="2"/>
      <c r="N35" s="2"/>
      <c r="O35" s="2">
        <f>ROUND(CP35,2)</f>
        <v>2791.3</v>
      </c>
      <c r="P35" s="2">
        <f>SUMIF(SmtRes!AQ24:'SmtRes'!AQ30,"=1",SmtRes!DF24:'SmtRes'!DF30)</f>
        <v>0</v>
      </c>
      <c r="Q35" s="2">
        <f>SUMIF(SmtRes!AQ24:'SmtRes'!AQ30,"=1",SmtRes!DG24:'SmtRes'!DG30)</f>
        <v>0</v>
      </c>
      <c r="R35" s="2">
        <f>SUMIF(SmtRes!AQ24:'SmtRes'!AQ30,"=1",SmtRes!DH24:'SmtRes'!DH30)</f>
        <v>0</v>
      </c>
      <c r="S35" s="2">
        <f>SUMIF(SmtRes!AQ24:'SmtRes'!AQ30,"=1",SmtRes!DI24:'SmtRes'!DI30)</f>
        <v>2791.3</v>
      </c>
      <c r="T35" s="2">
        <f t="shared" si="22"/>
        <v>0</v>
      </c>
      <c r="U35" s="2">
        <f>SUMIF(SmtRes!AQ24:'SmtRes'!AQ30,"=1",SmtRes!CV24:'SmtRes'!CV30)</f>
        <v>3.9096000000000002</v>
      </c>
      <c r="V35" s="2">
        <f>SUMIF(SmtRes!AQ24:'SmtRes'!AQ30,"=1",SmtRes!CW24:'SmtRes'!CW30)</f>
        <v>0</v>
      </c>
      <c r="W35" s="2">
        <f t="shared" si="23"/>
        <v>0</v>
      </c>
      <c r="X35" s="2">
        <f t="shared" si="24"/>
        <v>2707.56</v>
      </c>
      <c r="Y35" s="2">
        <f t="shared" si="25"/>
        <v>1423.56</v>
      </c>
      <c r="Z35" s="2"/>
      <c r="AA35" s="2">
        <v>85997836</v>
      </c>
      <c r="AB35" s="2">
        <f t="shared" si="26"/>
        <v>3489.1225199999999</v>
      </c>
      <c r="AC35" s="2">
        <f>ROUND((0),6)</f>
        <v>0</v>
      </c>
      <c r="AD35" s="2">
        <f>ROUND((((0)-(0))+AE35),6)</f>
        <v>0</v>
      </c>
      <c r="AE35" s="2">
        <f>ROUND((0),6)</f>
        <v>0</v>
      </c>
      <c r="AF35" s="2">
        <f>ROUND((SUM(SmtRes!BT24:'SmtRes'!BT30)),6)</f>
        <v>3489.1225199999999</v>
      </c>
      <c r="AG35" s="2">
        <f t="shared" si="27"/>
        <v>0</v>
      </c>
      <c r="AH35" s="2">
        <f>(SUM(SmtRes!BU24:'SmtRes'!BU30))</f>
        <v>4.8869999999999996</v>
      </c>
      <c r="AI35" s="2">
        <f>(0)</f>
        <v>0</v>
      </c>
      <c r="AJ35" s="2">
        <f t="shared" si="28"/>
        <v>0</v>
      </c>
      <c r="AK35" s="2">
        <v>11826.337552000001</v>
      </c>
      <c r="AL35" s="2">
        <v>195.92915199999999</v>
      </c>
      <c r="AM35" s="2">
        <v>0</v>
      </c>
      <c r="AN35" s="2">
        <v>0</v>
      </c>
      <c r="AO35" s="2">
        <v>11630.4084</v>
      </c>
      <c r="AP35" s="2">
        <v>0</v>
      </c>
      <c r="AQ35" s="2">
        <v>16.29</v>
      </c>
      <c r="AR35" s="2">
        <v>0.01</v>
      </c>
      <c r="AS35" s="2">
        <v>0</v>
      </c>
      <c r="AT35" s="2">
        <v>97</v>
      </c>
      <c r="AU35" s="2">
        <v>51</v>
      </c>
      <c r="AV35" s="2">
        <v>1</v>
      </c>
      <c r="AW35" s="2">
        <v>1</v>
      </c>
      <c r="AX35" s="2"/>
      <c r="AY35" s="2"/>
      <c r="AZ35" s="2">
        <v>1</v>
      </c>
      <c r="BA35" s="2">
        <v>1</v>
      </c>
      <c r="BB35" s="2">
        <v>1</v>
      </c>
      <c r="BC35" s="2">
        <v>1</v>
      </c>
      <c r="BD35" s="2" t="s">
        <v>3</v>
      </c>
      <c r="BE35" s="2" t="s">
        <v>3</v>
      </c>
      <c r="BF35" s="2" t="s">
        <v>3</v>
      </c>
      <c r="BG35" s="2" t="s">
        <v>3</v>
      </c>
      <c r="BH35" s="2">
        <v>0</v>
      </c>
      <c r="BI35" s="2">
        <v>2</v>
      </c>
      <c r="BJ35" s="2" t="s">
        <v>62</v>
      </c>
      <c r="BK35" s="2"/>
      <c r="BL35" s="2"/>
      <c r="BM35" s="2">
        <v>108001</v>
      </c>
      <c r="BN35" s="2">
        <v>0</v>
      </c>
      <c r="BO35" s="2" t="s">
        <v>3</v>
      </c>
      <c r="BP35" s="2">
        <v>0</v>
      </c>
      <c r="BQ35" s="2">
        <v>3</v>
      </c>
      <c r="BR35" s="2">
        <v>0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 t="s">
        <v>3</v>
      </c>
      <c r="BZ35" s="2">
        <v>97</v>
      </c>
      <c r="CA35" s="2">
        <v>51</v>
      </c>
      <c r="CB35" s="2" t="s">
        <v>3</v>
      </c>
      <c r="CC35" s="2"/>
      <c r="CD35" s="2"/>
      <c r="CE35" s="2">
        <v>0</v>
      </c>
      <c r="CF35" s="2">
        <v>0</v>
      </c>
      <c r="CG35" s="2">
        <v>0</v>
      </c>
      <c r="CH35" s="2"/>
      <c r="CI35" s="2"/>
      <c r="CJ35" s="2"/>
      <c r="CK35" s="2"/>
      <c r="CL35" s="2"/>
      <c r="CM35" s="2">
        <v>0</v>
      </c>
      <c r="CN35" s="2" t="s">
        <v>63</v>
      </c>
      <c r="CO35" s="2">
        <v>0</v>
      </c>
      <c r="CP35" s="2">
        <f>(P35+Q35+S35+R35)</f>
        <v>2791.3</v>
      </c>
      <c r="CQ35" s="2">
        <f>SUMIF(SmtRes!AQ24:'SmtRes'!AQ30,"=1",SmtRes!AA24:'SmtRes'!AA30)</f>
        <v>128299.93</v>
      </c>
      <c r="CR35" s="2">
        <f>SUMIF(SmtRes!AQ24:'SmtRes'!AQ30,"=1",SmtRes!AB24:'SmtRes'!AB30)</f>
        <v>0</v>
      </c>
      <c r="CS35" s="2">
        <f>SUMIF(SmtRes!AQ24:'SmtRes'!AQ30,"=1",SmtRes!AC24:'SmtRes'!AC30)</f>
        <v>0</v>
      </c>
      <c r="CT35" s="2">
        <f>SUMIF(SmtRes!AQ24:'SmtRes'!AQ30,"=1",SmtRes!AD24:'SmtRes'!AD30)</f>
        <v>713.96</v>
      </c>
      <c r="CU35" s="2">
        <f>AG35</f>
        <v>0</v>
      </c>
      <c r="CV35" s="2">
        <f>SUMIF(SmtRes!AQ24:'SmtRes'!AQ30,"=1",SmtRes!BU24:'SmtRes'!BU30)</f>
        <v>4.8869999999999996</v>
      </c>
      <c r="CW35" s="2">
        <f>SUMIF(SmtRes!AQ24:'SmtRes'!AQ30,"=1",SmtRes!BV24:'SmtRes'!BV30)</f>
        <v>0</v>
      </c>
      <c r="CX35" s="2">
        <f>AJ35</f>
        <v>0</v>
      </c>
      <c r="CY35" s="2">
        <f>(((S35+R35)*AT35)/100)</f>
        <v>2707.5610000000001</v>
      </c>
      <c r="CZ35" s="2">
        <f>(((S35+R35)*AU35)/100)</f>
        <v>1423.5630000000001</v>
      </c>
      <c r="DA35" s="2"/>
      <c r="DB35" s="2">
        <v>1</v>
      </c>
      <c r="DC35" s="2" t="s">
        <v>3</v>
      </c>
      <c r="DD35" s="2" t="s">
        <v>46</v>
      </c>
      <c r="DE35" s="2" t="s">
        <v>47</v>
      </c>
      <c r="DF35" s="2" t="s">
        <v>47</v>
      </c>
      <c r="DG35" s="2" t="s">
        <v>47</v>
      </c>
      <c r="DH35" s="2" t="s">
        <v>3</v>
      </c>
      <c r="DI35" s="2" t="s">
        <v>47</v>
      </c>
      <c r="DJ35" s="2" t="s">
        <v>47</v>
      </c>
      <c r="DK35" s="2" t="s">
        <v>3</v>
      </c>
      <c r="DL35" s="2" t="s">
        <v>3</v>
      </c>
      <c r="DM35" s="2" t="s">
        <v>3</v>
      </c>
      <c r="DN35" s="2">
        <v>0</v>
      </c>
      <c r="DO35" s="2">
        <v>0</v>
      </c>
      <c r="DP35" s="2">
        <v>1</v>
      </c>
      <c r="DQ35" s="2">
        <v>1</v>
      </c>
      <c r="DR35" s="2"/>
      <c r="DS35" s="2"/>
      <c r="DT35" s="2"/>
      <c r="DU35" s="2">
        <v>1003</v>
      </c>
      <c r="DV35" s="2" t="s">
        <v>61</v>
      </c>
      <c r="DW35" s="2" t="s">
        <v>61</v>
      </c>
      <c r="DX35" s="2">
        <v>100</v>
      </c>
      <c r="DY35" s="2"/>
      <c r="DZ35" s="2" t="s">
        <v>3</v>
      </c>
      <c r="EA35" s="2" t="s">
        <v>3</v>
      </c>
      <c r="EB35" s="2" t="s">
        <v>3</v>
      </c>
      <c r="EC35" s="2" t="s">
        <v>3</v>
      </c>
      <c r="ED35" s="2"/>
      <c r="EE35" s="2">
        <v>84053775</v>
      </c>
      <c r="EF35" s="2">
        <v>3</v>
      </c>
      <c r="EG35" s="2" t="s">
        <v>48</v>
      </c>
      <c r="EH35" s="2">
        <v>0</v>
      </c>
      <c r="EI35" s="2" t="s">
        <v>3</v>
      </c>
      <c r="EJ35" s="2">
        <v>2</v>
      </c>
      <c r="EK35" s="2">
        <v>108001</v>
      </c>
      <c r="EL35" s="2" t="s">
        <v>49</v>
      </c>
      <c r="EM35" s="2" t="s">
        <v>50</v>
      </c>
      <c r="EN35" s="2"/>
      <c r="EO35" s="2" t="s">
        <v>64</v>
      </c>
      <c r="EP35" s="2"/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16.29</v>
      </c>
      <c r="EX35" s="2">
        <v>0.01</v>
      </c>
      <c r="EY35" s="2">
        <v>0</v>
      </c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>
        <v>0</v>
      </c>
      <c r="FR35" s="2">
        <v>0</v>
      </c>
      <c r="FS35" s="2">
        <v>0</v>
      </c>
      <c r="FT35" s="2"/>
      <c r="FU35" s="2"/>
      <c r="FV35" s="2"/>
      <c r="FW35" s="2"/>
      <c r="FX35" s="2">
        <v>97</v>
      </c>
      <c r="FY35" s="2">
        <v>51</v>
      </c>
      <c r="FZ35" s="2"/>
      <c r="GA35" s="2" t="s">
        <v>3</v>
      </c>
      <c r="GB35" s="2"/>
      <c r="GC35" s="2"/>
      <c r="GD35" s="2">
        <v>1</v>
      </c>
      <c r="GE35" s="2"/>
      <c r="GF35" s="2">
        <v>1780834291</v>
      </c>
      <c r="GG35" s="2">
        <v>2</v>
      </c>
      <c r="GH35" s="2">
        <v>1</v>
      </c>
      <c r="GI35" s="2">
        <v>-2</v>
      </c>
      <c r="GJ35" s="2">
        <v>0</v>
      </c>
      <c r="GK35" s="2">
        <v>0</v>
      </c>
      <c r="GL35" s="2">
        <f t="shared" si="34"/>
        <v>0</v>
      </c>
      <c r="GM35" s="2">
        <f t="shared" si="35"/>
        <v>6922.42</v>
      </c>
      <c r="GN35" s="2">
        <f t="shared" si="36"/>
        <v>0</v>
      </c>
      <c r="GO35" s="2">
        <f t="shared" si="37"/>
        <v>6922.42</v>
      </c>
      <c r="GP35" s="2">
        <f t="shared" si="38"/>
        <v>0</v>
      </c>
      <c r="GQ35" s="2"/>
      <c r="GR35" s="2">
        <v>0</v>
      </c>
      <c r="GS35" s="2">
        <v>0</v>
      </c>
      <c r="GT35" s="2">
        <v>0</v>
      </c>
      <c r="GU35" s="2" t="s">
        <v>3</v>
      </c>
      <c r="GV35" s="2">
        <f t="shared" si="39"/>
        <v>0</v>
      </c>
      <c r="GW35" s="2">
        <v>1</v>
      </c>
      <c r="GX35" s="2">
        <f t="shared" si="40"/>
        <v>0</v>
      </c>
      <c r="GY35" s="2"/>
      <c r="GZ35" s="2"/>
      <c r="HA35" s="2">
        <v>0</v>
      </c>
      <c r="HB35" s="2">
        <v>0</v>
      </c>
      <c r="HC35" s="2">
        <f>GV35*GW35</f>
        <v>0</v>
      </c>
      <c r="HD35" s="2"/>
      <c r="HE35" s="2" t="s">
        <v>3</v>
      </c>
      <c r="HF35" s="2" t="s">
        <v>3</v>
      </c>
      <c r="HG35" s="2"/>
      <c r="HH35" s="2"/>
      <c r="HI35" s="2"/>
      <c r="HJ35" s="2"/>
      <c r="HK35" s="2"/>
      <c r="HL35" s="2"/>
      <c r="HM35" s="2" t="s">
        <v>3</v>
      </c>
      <c r="HN35" s="2" t="s">
        <v>52</v>
      </c>
      <c r="HO35" s="2" t="s">
        <v>53</v>
      </c>
      <c r="HP35" s="2" t="s">
        <v>49</v>
      </c>
      <c r="HQ35" s="2" t="s">
        <v>49</v>
      </c>
      <c r="HR35" s="2"/>
      <c r="HS35" s="2">
        <v>0</v>
      </c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>
        <v>0</v>
      </c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x14ac:dyDescent="0.2">
      <c r="A36" s="2">
        <v>18</v>
      </c>
      <c r="B36" s="2">
        <v>1</v>
      </c>
      <c r="C36" s="2">
        <v>30</v>
      </c>
      <c r="D36" s="2"/>
      <c r="E36" s="2" t="s">
        <v>65</v>
      </c>
      <c r="F36" s="2" t="s">
        <v>55</v>
      </c>
      <c r="G36" s="2" t="s">
        <v>56</v>
      </c>
      <c r="H36" s="2" t="s">
        <v>57</v>
      </c>
      <c r="I36" s="2">
        <f>J36</f>
        <v>2</v>
      </c>
      <c r="J36" s="2">
        <v>2</v>
      </c>
      <c r="K36" s="2">
        <v>2</v>
      </c>
      <c r="L36" s="2"/>
      <c r="M36" s="2"/>
      <c r="N36" s="2"/>
      <c r="O36" s="2">
        <f>ROUND(P36,2)</f>
        <v>55.83</v>
      </c>
      <c r="P36" s="2">
        <f>ROUND(ROUND((ROUND(SUMIF(SmtRes!AQ24:'SmtRes'!AQ30,"=1",SmtRes!CU24:'SmtRes'!CU30),2)*ROUND(0.3,7)),2)*I36/100,2)</f>
        <v>55.83</v>
      </c>
      <c r="Q36" s="2">
        <f>ROUND(CR36*I36,2)</f>
        <v>0</v>
      </c>
      <c r="R36" s="2">
        <f>ROUND(CS36*I36,2)</f>
        <v>0</v>
      </c>
      <c r="S36" s="2">
        <f>ROUND(CT36*I36,2)</f>
        <v>0</v>
      </c>
      <c r="T36" s="2">
        <f t="shared" si="22"/>
        <v>0</v>
      </c>
      <c r="U36" s="2">
        <f>ROUND(CV36*I36,7)</f>
        <v>0</v>
      </c>
      <c r="V36" s="2">
        <f>ROUND(CW36*I36,7)</f>
        <v>0</v>
      </c>
      <c r="W36" s="2">
        <f t="shared" si="23"/>
        <v>0</v>
      </c>
      <c r="X36" s="2">
        <f t="shared" si="24"/>
        <v>0</v>
      </c>
      <c r="Y36" s="2">
        <f t="shared" si="25"/>
        <v>0</v>
      </c>
      <c r="Z36" s="2"/>
      <c r="AA36" s="2">
        <v>85997836</v>
      </c>
      <c r="AB36" s="2">
        <f t="shared" si="26"/>
        <v>0</v>
      </c>
      <c r="AC36" s="2">
        <f>ROUND(((ES36*ROUND(0.3,7))),6)</f>
        <v>0</v>
      </c>
      <c r="AD36" s="2">
        <f>ROUND((((ET36)-(EU36))+AE36),6)</f>
        <v>0</v>
      </c>
      <c r="AE36" s="2">
        <f>ROUND((EU36),6)</f>
        <v>0</v>
      </c>
      <c r="AF36" s="2">
        <f>ROUND((EV36),6)</f>
        <v>0</v>
      </c>
      <c r="AG36" s="2">
        <f t="shared" si="27"/>
        <v>0</v>
      </c>
      <c r="AH36" s="2">
        <f>(EW36)</f>
        <v>0</v>
      </c>
      <c r="AI36" s="2">
        <f>(EX36)</f>
        <v>0</v>
      </c>
      <c r="AJ36" s="2">
        <f t="shared" si="28"/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97</v>
      </c>
      <c r="AU36" s="2">
        <v>51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3</v>
      </c>
      <c r="BI36" s="2">
        <v>2</v>
      </c>
      <c r="BJ36" s="2" t="s">
        <v>3</v>
      </c>
      <c r="BK36" s="2"/>
      <c r="BL36" s="2"/>
      <c r="BM36" s="2">
        <v>108001</v>
      </c>
      <c r="BN36" s="2">
        <v>0</v>
      </c>
      <c r="BO36" s="2" t="s">
        <v>3</v>
      </c>
      <c r="BP36" s="2">
        <v>0</v>
      </c>
      <c r="BQ36" s="2">
        <v>3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97</v>
      </c>
      <c r="CA36" s="2">
        <v>51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66</v>
      </c>
      <c r="CO36" s="2">
        <v>0</v>
      </c>
      <c r="CP36" s="2">
        <f>0</f>
        <v>0</v>
      </c>
      <c r="CQ36" s="2">
        <f>0</f>
        <v>0</v>
      </c>
      <c r="CR36" s="2">
        <f>0</f>
        <v>0</v>
      </c>
      <c r="CS36" s="2">
        <f>0</f>
        <v>0</v>
      </c>
      <c r="CT36" s="2">
        <f>0</f>
        <v>0</v>
      </c>
      <c r="CU36" s="2">
        <f>0</f>
        <v>0</v>
      </c>
      <c r="CV36" s="2">
        <f>0</f>
        <v>0</v>
      </c>
      <c r="CW36" s="2">
        <f>0</f>
        <v>0</v>
      </c>
      <c r="CX36" s="2">
        <f>0</f>
        <v>0</v>
      </c>
      <c r="CY36" s="2">
        <f>0</f>
        <v>0</v>
      </c>
      <c r="CZ36" s="2">
        <f>0</f>
        <v>0</v>
      </c>
      <c r="DA36" s="2"/>
      <c r="DB36" s="2"/>
      <c r="DC36" s="2" t="s">
        <v>3</v>
      </c>
      <c r="DD36" s="2" t="s">
        <v>47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1013</v>
      </c>
      <c r="DV36" s="2" t="s">
        <v>57</v>
      </c>
      <c r="DW36" s="2" t="s">
        <v>57</v>
      </c>
      <c r="DX36" s="2">
        <v>1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84053775</v>
      </c>
      <c r="EF36" s="2">
        <v>3</v>
      </c>
      <c r="EG36" s="2" t="s">
        <v>48</v>
      </c>
      <c r="EH36" s="2">
        <v>0</v>
      </c>
      <c r="EI36" s="2" t="s">
        <v>3</v>
      </c>
      <c r="EJ36" s="2">
        <v>2</v>
      </c>
      <c r="EK36" s="2">
        <v>108001</v>
      </c>
      <c r="EL36" s="2" t="s">
        <v>49</v>
      </c>
      <c r="EM36" s="2" t="s">
        <v>50</v>
      </c>
      <c r="EN36" s="2"/>
      <c r="EO36" s="2" t="s">
        <v>64</v>
      </c>
      <c r="EP36" s="2"/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v>0</v>
      </c>
      <c r="FS36" s="2">
        <v>0</v>
      </c>
      <c r="FT36" s="2"/>
      <c r="FU36" s="2"/>
      <c r="FV36" s="2"/>
      <c r="FW36" s="2"/>
      <c r="FX36" s="2">
        <v>97</v>
      </c>
      <c r="FY36" s="2">
        <v>51</v>
      </c>
      <c r="FZ36" s="2"/>
      <c r="GA36" s="2" t="s">
        <v>3</v>
      </c>
      <c r="GB36" s="2"/>
      <c r="GC36" s="2"/>
      <c r="GD36" s="2">
        <v>1</v>
      </c>
      <c r="GE36" s="2"/>
      <c r="GF36" s="2">
        <v>274903907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34"/>
        <v>0</v>
      </c>
      <c r="GM36" s="2">
        <f t="shared" si="35"/>
        <v>55.83</v>
      </c>
      <c r="GN36" s="2">
        <f t="shared" si="36"/>
        <v>0</v>
      </c>
      <c r="GO36" s="2">
        <f t="shared" si="37"/>
        <v>55.83</v>
      </c>
      <c r="GP36" s="2">
        <f t="shared" si="38"/>
        <v>0</v>
      </c>
      <c r="GQ36" s="2"/>
      <c r="GR36" s="2">
        <v>0</v>
      </c>
      <c r="GS36" s="2">
        <v>0</v>
      </c>
      <c r="GT36" s="2">
        <v>0</v>
      </c>
      <c r="GU36" s="2" t="s">
        <v>3</v>
      </c>
      <c r="GV36" s="2">
        <f t="shared" si="39"/>
        <v>0</v>
      </c>
      <c r="GW36" s="2">
        <v>1</v>
      </c>
      <c r="GX36" s="2">
        <f t="shared" si="40"/>
        <v>0</v>
      </c>
      <c r="GY36" s="2"/>
      <c r="GZ36" s="2"/>
      <c r="HA36" s="2">
        <v>0</v>
      </c>
      <c r="HB36" s="2">
        <v>0</v>
      </c>
      <c r="HC36" s="2">
        <f>0</f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52</v>
      </c>
      <c r="HO36" s="2" t="s">
        <v>53</v>
      </c>
      <c r="HP36" s="2" t="s">
        <v>49</v>
      </c>
      <c r="HQ36" s="2" t="s">
        <v>49</v>
      </c>
      <c r="HR36" s="2"/>
      <c r="HS36" s="2">
        <v>0</v>
      </c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 s="2">
        <v>18</v>
      </c>
      <c r="B37" s="2">
        <v>1</v>
      </c>
      <c r="C37" s="2">
        <v>26</v>
      </c>
      <c r="D37" s="2"/>
      <c r="E37" s="2" t="s">
        <v>67</v>
      </c>
      <c r="F37" s="2" t="s">
        <v>27</v>
      </c>
      <c r="G37" s="2" t="s">
        <v>28</v>
      </c>
      <c r="H37" s="2" t="s">
        <v>29</v>
      </c>
      <c r="I37" s="2">
        <f>I35*J37</f>
        <v>-2.3999999999999998E-3</v>
      </c>
      <c r="J37" s="2">
        <v>-2.9999999999999996E-3</v>
      </c>
      <c r="K37" s="2">
        <v>-3.0000000000000001E-3</v>
      </c>
      <c r="L37" s="2"/>
      <c r="M37" s="2"/>
      <c r="N37" s="2"/>
      <c r="O37" s="2">
        <f>ROUND(CP37,2)</f>
        <v>-1.68</v>
      </c>
      <c r="P37" s="2">
        <f>ROUND(CQ37*I37,2)</f>
        <v>0</v>
      </c>
      <c r="Q37" s="2">
        <f>ROUND(CR37*I37,2)</f>
        <v>-0.14000000000000001</v>
      </c>
      <c r="R37" s="2">
        <f>ROUND(CS37*I37,2)</f>
        <v>-1.54</v>
      </c>
      <c r="S37" s="2">
        <f>ROUND(CT37*I37,2)</f>
        <v>0</v>
      </c>
      <c r="T37" s="2">
        <f t="shared" si="22"/>
        <v>0</v>
      </c>
      <c r="U37" s="2">
        <f>ROUND(CV37*I37,7)</f>
        <v>0</v>
      </c>
      <c r="V37" s="2">
        <f>ROUND(CW37*I37,7)</f>
        <v>0</v>
      </c>
      <c r="W37" s="2">
        <f t="shared" si="23"/>
        <v>0</v>
      </c>
      <c r="X37" s="2">
        <f t="shared" si="24"/>
        <v>-1.49</v>
      </c>
      <c r="Y37" s="2">
        <f t="shared" si="25"/>
        <v>-0.79</v>
      </c>
      <c r="Z37" s="2"/>
      <c r="AA37" s="2">
        <v>85997836</v>
      </c>
      <c r="AB37" s="2">
        <f t="shared" si="26"/>
        <v>37.32</v>
      </c>
      <c r="AC37" s="2">
        <f>ROUND((ES37),6)</f>
        <v>0</v>
      </c>
      <c r="AD37" s="2">
        <f>ROUND((((ET37)-(EU37))+AE37),6)</f>
        <v>37.32</v>
      </c>
      <c r="AE37" s="2">
        <f>ROUND((EU37),6)</f>
        <v>641.22</v>
      </c>
      <c r="AF37" s="2">
        <f>ROUND((EV37),6)</f>
        <v>0</v>
      </c>
      <c r="AG37" s="2">
        <f t="shared" si="27"/>
        <v>0</v>
      </c>
      <c r="AH37" s="2">
        <f>(EW37)</f>
        <v>0</v>
      </c>
      <c r="AI37" s="2">
        <f>(EX37)</f>
        <v>0</v>
      </c>
      <c r="AJ37" s="2">
        <f t="shared" si="28"/>
        <v>0</v>
      </c>
      <c r="AK37" s="2">
        <v>37.32</v>
      </c>
      <c r="AL37" s="2">
        <v>0</v>
      </c>
      <c r="AM37" s="2">
        <v>37.32</v>
      </c>
      <c r="AN37" s="2">
        <v>641.22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97</v>
      </c>
      <c r="AU37" s="2">
        <v>51</v>
      </c>
      <c r="AV37" s="2">
        <v>1</v>
      </c>
      <c r="AW37" s="2">
        <v>1</v>
      </c>
      <c r="AX37" s="2"/>
      <c r="AY37" s="2"/>
      <c r="AZ37" s="2">
        <v>1</v>
      </c>
      <c r="BA37" s="2">
        <v>1</v>
      </c>
      <c r="BB37" s="2">
        <v>1.54</v>
      </c>
      <c r="BC37" s="2">
        <v>1</v>
      </c>
      <c r="BD37" s="2" t="s">
        <v>3</v>
      </c>
      <c r="BE37" s="2" t="s">
        <v>3</v>
      </c>
      <c r="BF37" s="2" t="s">
        <v>3</v>
      </c>
      <c r="BG37" s="2" t="s">
        <v>3</v>
      </c>
      <c r="BH37" s="2">
        <v>2</v>
      </c>
      <c r="BI37" s="2">
        <v>2</v>
      </c>
      <c r="BJ37" s="2" t="s">
        <v>30</v>
      </c>
      <c r="BK37" s="2"/>
      <c r="BL37" s="2"/>
      <c r="BM37" s="2">
        <v>108001</v>
      </c>
      <c r="BN37" s="2">
        <v>0</v>
      </c>
      <c r="BO37" s="2" t="s">
        <v>27</v>
      </c>
      <c r="BP37" s="2">
        <v>1</v>
      </c>
      <c r="BQ37" s="2">
        <v>3</v>
      </c>
      <c r="BR37" s="2">
        <v>0</v>
      </c>
      <c r="BS37" s="2">
        <v>1</v>
      </c>
      <c r="BT37" s="2">
        <v>1</v>
      </c>
      <c r="BU37" s="2">
        <v>1</v>
      </c>
      <c r="BV37" s="2">
        <v>1</v>
      </c>
      <c r="BW37" s="2">
        <v>1</v>
      </c>
      <c r="BX37" s="2">
        <v>1</v>
      </c>
      <c r="BY37" s="2" t="s">
        <v>3</v>
      </c>
      <c r="BZ37" s="2">
        <v>97</v>
      </c>
      <c r="CA37" s="2">
        <v>51</v>
      </c>
      <c r="CB37" s="2" t="s">
        <v>3</v>
      </c>
      <c r="CC37" s="2"/>
      <c r="CD37" s="2"/>
      <c r="CE37" s="2">
        <v>0</v>
      </c>
      <c r="CF37" s="2">
        <v>0</v>
      </c>
      <c r="CG37" s="2">
        <v>0</v>
      </c>
      <c r="CH37" s="2"/>
      <c r="CI37" s="2"/>
      <c r="CJ37" s="2"/>
      <c r="CK37" s="2"/>
      <c r="CL37" s="2"/>
      <c r="CM37" s="2">
        <v>0</v>
      </c>
      <c r="CN37" s="2" t="s">
        <v>3</v>
      </c>
      <c r="CO37" s="2">
        <v>0</v>
      </c>
      <c r="CP37" s="2">
        <f>(P37+Q37+S37+R37)</f>
        <v>-1.6800000000000002</v>
      </c>
      <c r="CQ37" s="2">
        <f>ROUND(AL37*BC37,2)</f>
        <v>0</v>
      </c>
      <c r="CR37" s="2">
        <f>ROUND(AM37*BB37,2)</f>
        <v>57.47</v>
      </c>
      <c r="CS37" s="2">
        <f>ROUND(AN37*BS37,2)</f>
        <v>641.22</v>
      </c>
      <c r="CT37" s="2">
        <f>ROUND(AO37*BA37,2)</f>
        <v>0</v>
      </c>
      <c r="CU37" s="2">
        <f>AG37</f>
        <v>0</v>
      </c>
      <c r="CV37" s="2">
        <f>AH37</f>
        <v>0</v>
      </c>
      <c r="CW37" s="2">
        <f>AI37</f>
        <v>0</v>
      </c>
      <c r="CX37" s="2">
        <f>AJ37</f>
        <v>0</v>
      </c>
      <c r="CY37" s="2">
        <f>(((S37+R37)*AT37)/100)</f>
        <v>-1.4938</v>
      </c>
      <c r="CZ37" s="2">
        <f>(((S37+R37)*AU37)/100)</f>
        <v>-0.7854000000000001</v>
      </c>
      <c r="DA37" s="2"/>
      <c r="DB37" s="2"/>
      <c r="DC37" s="2" t="s">
        <v>3</v>
      </c>
      <c r="DD37" s="2" t="s">
        <v>3</v>
      </c>
      <c r="DE37" s="2" t="s">
        <v>3</v>
      </c>
      <c r="DF37" s="2" t="s">
        <v>3</v>
      </c>
      <c r="DG37" s="2" t="s">
        <v>3</v>
      </c>
      <c r="DH37" s="2" t="s">
        <v>3</v>
      </c>
      <c r="DI37" s="2" t="s">
        <v>3</v>
      </c>
      <c r="DJ37" s="2" t="s">
        <v>3</v>
      </c>
      <c r="DK37" s="2" t="s">
        <v>3</v>
      </c>
      <c r="DL37" s="2" t="s">
        <v>3</v>
      </c>
      <c r="DM37" s="2" t="s">
        <v>3</v>
      </c>
      <c r="DN37" s="2">
        <v>0</v>
      </c>
      <c r="DO37" s="2">
        <v>0</v>
      </c>
      <c r="DP37" s="2">
        <v>1</v>
      </c>
      <c r="DQ37" s="2">
        <v>1</v>
      </c>
      <c r="DR37" s="2"/>
      <c r="DS37" s="2"/>
      <c r="DT37" s="2"/>
      <c r="DU37" s="2">
        <v>1011</v>
      </c>
      <c r="DV37" s="2" t="s">
        <v>29</v>
      </c>
      <c r="DW37" s="2" t="s">
        <v>29</v>
      </c>
      <c r="DX37" s="2">
        <v>1</v>
      </c>
      <c r="DY37" s="2"/>
      <c r="DZ37" s="2" t="s">
        <v>3</v>
      </c>
      <c r="EA37" s="2" t="s">
        <v>3</v>
      </c>
      <c r="EB37" s="2" t="s">
        <v>3</v>
      </c>
      <c r="EC37" s="2" t="s">
        <v>3</v>
      </c>
      <c r="ED37" s="2"/>
      <c r="EE37" s="2">
        <v>84053775</v>
      </c>
      <c r="EF37" s="2">
        <v>3</v>
      </c>
      <c r="EG37" s="2" t="s">
        <v>48</v>
      </c>
      <c r="EH37" s="2">
        <v>0</v>
      </c>
      <c r="EI37" s="2" t="s">
        <v>3</v>
      </c>
      <c r="EJ37" s="2">
        <v>2</v>
      </c>
      <c r="EK37" s="2">
        <v>108001</v>
      </c>
      <c r="EL37" s="2" t="s">
        <v>49</v>
      </c>
      <c r="EM37" s="2" t="s">
        <v>50</v>
      </c>
      <c r="EN37" s="2"/>
      <c r="EO37" s="2" t="s">
        <v>3</v>
      </c>
      <c r="EP37" s="2"/>
      <c r="EQ37" s="2">
        <v>0</v>
      </c>
      <c r="ER37" s="2">
        <v>37.32</v>
      </c>
      <c r="ES37" s="2">
        <v>0</v>
      </c>
      <c r="ET37" s="2">
        <v>37.32</v>
      </c>
      <c r="EU37" s="2">
        <v>641.22</v>
      </c>
      <c r="EV37" s="2">
        <v>0</v>
      </c>
      <c r="EW37" s="2">
        <v>0</v>
      </c>
      <c r="EX37" s="2">
        <v>0</v>
      </c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>
        <v>0</v>
      </c>
      <c r="FR37" s="2">
        <v>0</v>
      </c>
      <c r="FS37" s="2">
        <v>1</v>
      </c>
      <c r="FT37" s="2"/>
      <c r="FU37" s="2"/>
      <c r="FV37" s="2"/>
      <c r="FW37" s="2"/>
      <c r="FX37" s="2">
        <v>97</v>
      </c>
      <c r="FY37" s="2">
        <v>51</v>
      </c>
      <c r="FZ37" s="2"/>
      <c r="GA37" s="2" t="s">
        <v>3</v>
      </c>
      <c r="GB37" s="2"/>
      <c r="GC37" s="2"/>
      <c r="GD37" s="2">
        <v>1</v>
      </c>
      <c r="GE37" s="2"/>
      <c r="GF37" s="2">
        <v>945201097</v>
      </c>
      <c r="GG37" s="2">
        <v>2</v>
      </c>
      <c r="GH37" s="2">
        <v>1</v>
      </c>
      <c r="GI37" s="2">
        <v>2</v>
      </c>
      <c r="GJ37" s="2">
        <v>0</v>
      </c>
      <c r="GK37" s="2">
        <v>0</v>
      </c>
      <c r="GL37" s="2">
        <f t="shared" si="34"/>
        <v>0</v>
      </c>
      <c r="GM37" s="2">
        <f t="shared" si="35"/>
        <v>-3.96</v>
      </c>
      <c r="GN37" s="2">
        <f t="shared" si="36"/>
        <v>0</v>
      </c>
      <c r="GO37" s="2">
        <f t="shared" si="37"/>
        <v>-3.96</v>
      </c>
      <c r="GP37" s="2">
        <f t="shared" si="38"/>
        <v>0</v>
      </c>
      <c r="GQ37" s="2"/>
      <c r="GR37" s="2">
        <v>0</v>
      </c>
      <c r="GS37" s="2">
        <v>7</v>
      </c>
      <c r="GT37" s="2">
        <v>0</v>
      </c>
      <c r="GU37" s="2" t="s">
        <v>3</v>
      </c>
      <c r="GV37" s="2">
        <f t="shared" si="39"/>
        <v>0</v>
      </c>
      <c r="GW37" s="2">
        <v>1</v>
      </c>
      <c r="GX37" s="2">
        <f t="shared" si="40"/>
        <v>0</v>
      </c>
      <c r="GY37" s="2"/>
      <c r="GZ37" s="2"/>
      <c r="HA37" s="2">
        <v>0</v>
      </c>
      <c r="HB37" s="2">
        <v>0</v>
      </c>
      <c r="HC37" s="2">
        <f>GV37*GW37</f>
        <v>0</v>
      </c>
      <c r="HD37" s="2"/>
      <c r="HE37" s="2" t="s">
        <v>3</v>
      </c>
      <c r="HF37" s="2" t="s">
        <v>3</v>
      </c>
      <c r="HG37" s="2"/>
      <c r="HH37" s="2"/>
      <c r="HI37" s="2"/>
      <c r="HJ37" s="2"/>
      <c r="HK37" s="2"/>
      <c r="HL37" s="2"/>
      <c r="HM37" s="2" t="s">
        <v>3</v>
      </c>
      <c r="HN37" s="2" t="s">
        <v>52</v>
      </c>
      <c r="HO37" s="2" t="s">
        <v>53</v>
      </c>
      <c r="HP37" s="2" t="s">
        <v>49</v>
      </c>
      <c r="HQ37" s="2" t="s">
        <v>49</v>
      </c>
      <c r="HR37" s="2"/>
      <c r="HS37" s="2">
        <v>0</v>
      </c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>
        <v>0</v>
      </c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x14ac:dyDescent="0.2">
      <c r="A38" s="2">
        <v>17</v>
      </c>
      <c r="B38" s="2">
        <v>1</v>
      </c>
      <c r="C38" s="2">
        <f>ROW(SmtRes!A33)</f>
        <v>33</v>
      </c>
      <c r="D38" s="2">
        <f>ROW(EtalonRes!A33)</f>
        <v>33</v>
      </c>
      <c r="E38" s="2" t="s">
        <v>68</v>
      </c>
      <c r="F38" s="2" t="s">
        <v>69</v>
      </c>
      <c r="G38" s="2" t="s">
        <v>70</v>
      </c>
      <c r="H38" s="2" t="s">
        <v>61</v>
      </c>
      <c r="I38" s="2">
        <f>ROUND((50+30)/100,7)</f>
        <v>0.8</v>
      </c>
      <c r="J38" s="2">
        <v>0</v>
      </c>
      <c r="K38" s="2">
        <f>ROUND((50+30)/100,7)</f>
        <v>0.8</v>
      </c>
      <c r="L38" s="2"/>
      <c r="M38" s="2"/>
      <c r="N38" s="2"/>
      <c r="O38" s="2">
        <f>ROUND(CP38,2)</f>
        <v>4529.57</v>
      </c>
      <c r="P38" s="2">
        <f>SUMIF(SmtRes!AQ31:'SmtRes'!AQ33,"=1",SmtRes!DF31:'SmtRes'!DF33)</f>
        <v>0</v>
      </c>
      <c r="Q38" s="2">
        <f>SUMIF(SmtRes!AQ31:'SmtRes'!AQ33,"=1",SmtRes!DG31:'SmtRes'!DG33)</f>
        <v>0</v>
      </c>
      <c r="R38" s="2">
        <f>SUMIF(SmtRes!AQ31:'SmtRes'!AQ33,"=1",SmtRes!DH31:'SmtRes'!DH33)</f>
        <v>0</v>
      </c>
      <c r="S38" s="2">
        <f>SUMIF(SmtRes!AQ31:'SmtRes'!AQ33,"=1",SmtRes!DI31:'SmtRes'!DI33)</f>
        <v>4529.57</v>
      </c>
      <c r="T38" s="2">
        <f t="shared" si="22"/>
        <v>0</v>
      </c>
      <c r="U38" s="2">
        <f>SUMIF(SmtRes!AQ31:'SmtRes'!AQ33,"=1",SmtRes!CV31:'SmtRes'!CV33)</f>
        <v>7.7119999999999997</v>
      </c>
      <c r="V38" s="2">
        <f>SUMIF(SmtRes!AQ31:'SmtRes'!AQ33,"=1",SmtRes!CW31:'SmtRes'!CW33)</f>
        <v>0</v>
      </c>
      <c r="W38" s="2">
        <f t="shared" si="23"/>
        <v>0</v>
      </c>
      <c r="X38" s="2">
        <f t="shared" si="24"/>
        <v>4121.91</v>
      </c>
      <c r="Y38" s="2">
        <f t="shared" si="25"/>
        <v>2174.19</v>
      </c>
      <c r="Z38" s="2"/>
      <c r="AA38" s="2">
        <v>85997836</v>
      </c>
      <c r="AB38" s="2">
        <f t="shared" si="26"/>
        <v>5661.9575999999997</v>
      </c>
      <c r="AC38" s="2">
        <f>ROUND((0),6)</f>
        <v>0</v>
      </c>
      <c r="AD38" s="2">
        <f>ROUND((((0)-(0))+AE38),6)</f>
        <v>0</v>
      </c>
      <c r="AE38" s="2">
        <f>ROUND((0),6)</f>
        <v>0</v>
      </c>
      <c r="AF38" s="2">
        <f>ROUND((SUM(SmtRes!BT31:'SmtRes'!BT33)),6)</f>
        <v>5661.9575999999997</v>
      </c>
      <c r="AG38" s="2">
        <f t="shared" si="27"/>
        <v>0</v>
      </c>
      <c r="AH38" s="2">
        <f>(SUM(SmtRes!BU31:'SmtRes'!BU33))</f>
        <v>9.64</v>
      </c>
      <c r="AI38" s="2">
        <f>(0)</f>
        <v>0</v>
      </c>
      <c r="AJ38" s="2">
        <f t="shared" si="28"/>
        <v>0</v>
      </c>
      <c r="AK38" s="2">
        <v>5661.9576000000006</v>
      </c>
      <c r="AL38" s="2">
        <v>0</v>
      </c>
      <c r="AM38" s="2">
        <v>0</v>
      </c>
      <c r="AN38" s="2">
        <v>0</v>
      </c>
      <c r="AO38" s="2">
        <v>5661.9576000000006</v>
      </c>
      <c r="AP38" s="2">
        <v>0</v>
      </c>
      <c r="AQ38" s="2">
        <v>9.64</v>
      </c>
      <c r="AR38" s="2">
        <v>0.01</v>
      </c>
      <c r="AS38" s="2">
        <v>0</v>
      </c>
      <c r="AT38" s="2">
        <v>91</v>
      </c>
      <c r="AU38" s="2">
        <v>48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0</v>
      </c>
      <c r="BI38" s="2">
        <v>1</v>
      </c>
      <c r="BJ38" s="2" t="s">
        <v>71</v>
      </c>
      <c r="BK38" s="2"/>
      <c r="BL38" s="2"/>
      <c r="BM38" s="2">
        <v>67001</v>
      </c>
      <c r="BN38" s="2">
        <v>0</v>
      </c>
      <c r="BO38" s="2" t="s">
        <v>3</v>
      </c>
      <c r="BP38" s="2">
        <v>0</v>
      </c>
      <c r="BQ38" s="2">
        <v>6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91</v>
      </c>
      <c r="CA38" s="2">
        <v>48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>(P38+Q38+S38+R38)</f>
        <v>4529.57</v>
      </c>
      <c r="CQ38" s="2">
        <f>SUMIF(SmtRes!AQ31:'SmtRes'!AQ33,"=1",SmtRes!AA31:'SmtRes'!AA33)</f>
        <v>0</v>
      </c>
      <c r="CR38" s="2">
        <f>SUMIF(SmtRes!AQ31:'SmtRes'!AQ33,"=1",SmtRes!AB31:'SmtRes'!AB33)</f>
        <v>0</v>
      </c>
      <c r="CS38" s="2">
        <f>SUMIF(SmtRes!AQ31:'SmtRes'!AQ33,"=1",SmtRes!AC31:'SmtRes'!AC33)</f>
        <v>0</v>
      </c>
      <c r="CT38" s="2">
        <f>SUMIF(SmtRes!AQ31:'SmtRes'!AQ33,"=1",SmtRes!AD31:'SmtRes'!AD33)</f>
        <v>587.34</v>
      </c>
      <c r="CU38" s="2">
        <f>AG38</f>
        <v>0</v>
      </c>
      <c r="CV38" s="2">
        <f>SUMIF(SmtRes!AQ31:'SmtRes'!AQ33,"=1",SmtRes!BU31:'SmtRes'!BU33)</f>
        <v>9.64</v>
      </c>
      <c r="CW38" s="2">
        <f>SUMIF(SmtRes!AQ31:'SmtRes'!AQ33,"=1",SmtRes!BV31:'SmtRes'!BV33)</f>
        <v>0</v>
      </c>
      <c r="CX38" s="2">
        <f>AJ38</f>
        <v>0</v>
      </c>
      <c r="CY38" s="2">
        <f>(((S38+R38)*AT38)/100)</f>
        <v>4121.9087</v>
      </c>
      <c r="CZ38" s="2">
        <f>(((S38+R38)*AU38)/100)</f>
        <v>2174.1936000000001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1003</v>
      </c>
      <c r="DV38" s="2" t="s">
        <v>61</v>
      </c>
      <c r="DW38" s="2" t="s">
        <v>61</v>
      </c>
      <c r="DX38" s="2">
        <v>100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84054022</v>
      </c>
      <c r="EF38" s="2">
        <v>6</v>
      </c>
      <c r="EG38" s="2" t="s">
        <v>22</v>
      </c>
      <c r="EH38" s="2">
        <v>101</v>
      </c>
      <c r="EI38" s="2" t="s">
        <v>16</v>
      </c>
      <c r="EJ38" s="2">
        <v>1</v>
      </c>
      <c r="EK38" s="2">
        <v>67001</v>
      </c>
      <c r="EL38" s="2" t="s">
        <v>16</v>
      </c>
      <c r="EM38" s="2" t="s">
        <v>23</v>
      </c>
      <c r="EN38" s="2"/>
      <c r="EO38" s="2" t="s">
        <v>3</v>
      </c>
      <c r="EP38" s="2"/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9.64</v>
      </c>
      <c r="EX38" s="2">
        <v>0.01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v>0</v>
      </c>
      <c r="FS38" s="2">
        <v>0</v>
      </c>
      <c r="FT38" s="2"/>
      <c r="FU38" s="2"/>
      <c r="FV38" s="2"/>
      <c r="FW38" s="2"/>
      <c r="FX38" s="2">
        <v>91</v>
      </c>
      <c r="FY38" s="2">
        <v>48</v>
      </c>
      <c r="FZ38" s="2"/>
      <c r="GA38" s="2" t="s">
        <v>3</v>
      </c>
      <c r="GB38" s="2"/>
      <c r="GC38" s="2"/>
      <c r="GD38" s="2">
        <v>1</v>
      </c>
      <c r="GE38" s="2"/>
      <c r="GF38" s="2">
        <v>-1680163909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34"/>
        <v>0</v>
      </c>
      <c r="GM38" s="2">
        <f t="shared" si="35"/>
        <v>10825.67</v>
      </c>
      <c r="GN38" s="2">
        <f t="shared" si="36"/>
        <v>10825.67</v>
      </c>
      <c r="GO38" s="2">
        <f t="shared" si="37"/>
        <v>0</v>
      </c>
      <c r="GP38" s="2">
        <f t="shared" si="38"/>
        <v>0</v>
      </c>
      <c r="GQ38" s="2"/>
      <c r="GR38" s="2">
        <v>0</v>
      </c>
      <c r="GS38" s="2">
        <v>0</v>
      </c>
      <c r="GT38" s="2">
        <v>0</v>
      </c>
      <c r="GU38" s="2" t="s">
        <v>3</v>
      </c>
      <c r="GV38" s="2">
        <f t="shared" si="39"/>
        <v>0</v>
      </c>
      <c r="GW38" s="2">
        <v>1</v>
      </c>
      <c r="GX38" s="2">
        <f t="shared" si="40"/>
        <v>0</v>
      </c>
      <c r="GY38" s="2"/>
      <c r="GZ38" s="2"/>
      <c r="HA38" s="2">
        <v>0</v>
      </c>
      <c r="HB38" s="2">
        <v>0</v>
      </c>
      <c r="HC38" s="2">
        <f>GV38*GW38</f>
        <v>0</v>
      </c>
      <c r="HD38" s="2"/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24</v>
      </c>
      <c r="HO38" s="2" t="s">
        <v>25</v>
      </c>
      <c r="HP38" s="2" t="s">
        <v>16</v>
      </c>
      <c r="HQ38" s="2" t="s">
        <v>16</v>
      </c>
      <c r="HR38" s="2"/>
      <c r="HS38" s="2">
        <v>0</v>
      </c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 s="2">
        <v>18</v>
      </c>
      <c r="B39" s="2">
        <v>1</v>
      </c>
      <c r="C39" s="2">
        <v>33</v>
      </c>
      <c r="D39" s="2"/>
      <c r="E39" s="2" t="s">
        <v>72</v>
      </c>
      <c r="F39" s="2" t="s">
        <v>27</v>
      </c>
      <c r="G39" s="2" t="s">
        <v>28</v>
      </c>
      <c r="H39" s="2" t="s">
        <v>29</v>
      </c>
      <c r="I39" s="2">
        <f>I38*J39</f>
        <v>-8.0000000000000002E-3</v>
      </c>
      <c r="J39" s="2">
        <v>-0.01</v>
      </c>
      <c r="K39" s="2">
        <v>-0.01</v>
      </c>
      <c r="L39" s="2"/>
      <c r="M39" s="2"/>
      <c r="N39" s="2"/>
      <c r="O39" s="2">
        <f>ROUND(CP39,2)</f>
        <v>-5.59</v>
      </c>
      <c r="P39" s="2">
        <f>ROUND(CQ39*I39,2)</f>
        <v>0</v>
      </c>
      <c r="Q39" s="2">
        <f>ROUND(CR39*I39,2)</f>
        <v>-0.46</v>
      </c>
      <c r="R39" s="2">
        <f>ROUND(CS39*I39,2)</f>
        <v>-5.13</v>
      </c>
      <c r="S39" s="2">
        <f>ROUND(CT39*I39,2)</f>
        <v>0</v>
      </c>
      <c r="T39" s="2">
        <f t="shared" si="22"/>
        <v>0</v>
      </c>
      <c r="U39" s="2">
        <f>ROUND(CV39*I39,7)</f>
        <v>0</v>
      </c>
      <c r="V39" s="2">
        <f>ROUND(CW39*I39,7)</f>
        <v>0</v>
      </c>
      <c r="W39" s="2">
        <f t="shared" si="23"/>
        <v>0</v>
      </c>
      <c r="X39" s="2">
        <f t="shared" si="24"/>
        <v>-4.67</v>
      </c>
      <c r="Y39" s="2">
        <f t="shared" si="25"/>
        <v>-2.46</v>
      </c>
      <c r="Z39" s="2"/>
      <c r="AA39" s="2">
        <v>85997836</v>
      </c>
      <c r="AB39" s="2">
        <f t="shared" si="26"/>
        <v>37.32</v>
      </c>
      <c r="AC39" s="2">
        <f>ROUND((ES39),6)</f>
        <v>0</v>
      </c>
      <c r="AD39" s="2">
        <f>ROUND((((ET39)-(EU39))+AE39),6)</f>
        <v>37.32</v>
      </c>
      <c r="AE39" s="2">
        <f>ROUND((EU39),6)</f>
        <v>641.22</v>
      </c>
      <c r="AF39" s="2">
        <f>ROUND((EV39),6)</f>
        <v>0</v>
      </c>
      <c r="AG39" s="2">
        <f t="shared" si="27"/>
        <v>0</v>
      </c>
      <c r="AH39" s="2">
        <f>(EW39)</f>
        <v>0</v>
      </c>
      <c r="AI39" s="2">
        <f>(EX39)</f>
        <v>0</v>
      </c>
      <c r="AJ39" s="2">
        <f t="shared" si="28"/>
        <v>0</v>
      </c>
      <c r="AK39" s="2">
        <v>37.32</v>
      </c>
      <c r="AL39" s="2">
        <v>0</v>
      </c>
      <c r="AM39" s="2">
        <v>37.32</v>
      </c>
      <c r="AN39" s="2">
        <v>641.22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91</v>
      </c>
      <c r="AU39" s="2">
        <v>48</v>
      </c>
      <c r="AV39" s="2">
        <v>1</v>
      </c>
      <c r="AW39" s="2">
        <v>1</v>
      </c>
      <c r="AX39" s="2"/>
      <c r="AY39" s="2"/>
      <c r="AZ39" s="2">
        <v>1</v>
      </c>
      <c r="BA39" s="2">
        <v>1</v>
      </c>
      <c r="BB39" s="2">
        <v>1.54</v>
      </c>
      <c r="BC39" s="2">
        <v>1</v>
      </c>
      <c r="BD39" s="2" t="s">
        <v>3</v>
      </c>
      <c r="BE39" s="2" t="s">
        <v>3</v>
      </c>
      <c r="BF39" s="2" t="s">
        <v>3</v>
      </c>
      <c r="BG39" s="2" t="s">
        <v>3</v>
      </c>
      <c r="BH39" s="2">
        <v>2</v>
      </c>
      <c r="BI39" s="2">
        <v>1</v>
      </c>
      <c r="BJ39" s="2" t="s">
        <v>30</v>
      </c>
      <c r="BK39" s="2"/>
      <c r="BL39" s="2"/>
      <c r="BM39" s="2">
        <v>67001</v>
      </c>
      <c r="BN39" s="2">
        <v>0</v>
      </c>
      <c r="BO39" s="2" t="s">
        <v>27</v>
      </c>
      <c r="BP39" s="2">
        <v>1</v>
      </c>
      <c r="BQ39" s="2">
        <v>6</v>
      </c>
      <c r="BR39" s="2">
        <v>0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 t="s">
        <v>3</v>
      </c>
      <c r="BZ39" s="2">
        <v>91</v>
      </c>
      <c r="CA39" s="2">
        <v>48</v>
      </c>
      <c r="CB39" s="2" t="s">
        <v>3</v>
      </c>
      <c r="CC39" s="2"/>
      <c r="CD39" s="2"/>
      <c r="CE39" s="2">
        <v>0</v>
      </c>
      <c r="CF39" s="2">
        <v>0</v>
      </c>
      <c r="CG39" s="2">
        <v>0</v>
      </c>
      <c r="CH39" s="2"/>
      <c r="CI39" s="2"/>
      <c r="CJ39" s="2"/>
      <c r="CK39" s="2"/>
      <c r="CL39" s="2"/>
      <c r="CM39" s="2">
        <v>0</v>
      </c>
      <c r="CN39" s="2" t="s">
        <v>3</v>
      </c>
      <c r="CO39" s="2">
        <v>0</v>
      </c>
      <c r="CP39" s="2">
        <f>(P39+Q39+S39+R39)</f>
        <v>-5.59</v>
      </c>
      <c r="CQ39" s="2">
        <f>ROUND(AL39*BC39,2)</f>
        <v>0</v>
      </c>
      <c r="CR39" s="2">
        <f>ROUND(AM39*BB39,2)</f>
        <v>57.47</v>
      </c>
      <c r="CS39" s="2">
        <f>ROUND(AN39*BS39,2)</f>
        <v>641.22</v>
      </c>
      <c r="CT39" s="2">
        <f>ROUND(AO39*BA39,2)</f>
        <v>0</v>
      </c>
      <c r="CU39" s="2">
        <f>AG39</f>
        <v>0</v>
      </c>
      <c r="CV39" s="2">
        <f>AH39</f>
        <v>0</v>
      </c>
      <c r="CW39" s="2">
        <f>AI39</f>
        <v>0</v>
      </c>
      <c r="CX39" s="2">
        <f>AJ39</f>
        <v>0</v>
      </c>
      <c r="CY39" s="2">
        <f>(((S39+R39)*AT39)/100)</f>
        <v>-4.6682999999999995</v>
      </c>
      <c r="CZ39" s="2">
        <f>(((S39+R39)*AU39)/100)</f>
        <v>-2.4624000000000001</v>
      </c>
      <c r="DA39" s="2"/>
      <c r="DB39" s="2"/>
      <c r="DC39" s="2" t="s">
        <v>3</v>
      </c>
      <c r="DD39" s="2" t="s">
        <v>3</v>
      </c>
      <c r="DE39" s="2" t="s">
        <v>3</v>
      </c>
      <c r="DF39" s="2" t="s">
        <v>3</v>
      </c>
      <c r="DG39" s="2" t="s">
        <v>3</v>
      </c>
      <c r="DH39" s="2" t="s">
        <v>3</v>
      </c>
      <c r="DI39" s="2" t="s">
        <v>3</v>
      </c>
      <c r="DJ39" s="2" t="s">
        <v>3</v>
      </c>
      <c r="DK39" s="2" t="s">
        <v>3</v>
      </c>
      <c r="DL39" s="2" t="s">
        <v>3</v>
      </c>
      <c r="DM39" s="2" t="s">
        <v>3</v>
      </c>
      <c r="DN39" s="2">
        <v>0</v>
      </c>
      <c r="DO39" s="2">
        <v>0</v>
      </c>
      <c r="DP39" s="2">
        <v>1</v>
      </c>
      <c r="DQ39" s="2">
        <v>1</v>
      </c>
      <c r="DR39" s="2"/>
      <c r="DS39" s="2"/>
      <c r="DT39" s="2"/>
      <c r="DU39" s="2">
        <v>1011</v>
      </c>
      <c r="DV39" s="2" t="s">
        <v>29</v>
      </c>
      <c r="DW39" s="2" t="s">
        <v>29</v>
      </c>
      <c r="DX39" s="2">
        <v>1</v>
      </c>
      <c r="DY39" s="2"/>
      <c r="DZ39" s="2" t="s">
        <v>3</v>
      </c>
      <c r="EA39" s="2" t="s">
        <v>3</v>
      </c>
      <c r="EB39" s="2" t="s">
        <v>3</v>
      </c>
      <c r="EC39" s="2" t="s">
        <v>3</v>
      </c>
      <c r="ED39" s="2"/>
      <c r="EE39" s="2">
        <v>84054022</v>
      </c>
      <c r="EF39" s="2">
        <v>6</v>
      </c>
      <c r="EG39" s="2" t="s">
        <v>22</v>
      </c>
      <c r="EH39" s="2">
        <v>101</v>
      </c>
      <c r="EI39" s="2" t="s">
        <v>16</v>
      </c>
      <c r="EJ39" s="2">
        <v>1</v>
      </c>
      <c r="EK39" s="2">
        <v>67001</v>
      </c>
      <c r="EL39" s="2" t="s">
        <v>16</v>
      </c>
      <c r="EM39" s="2" t="s">
        <v>23</v>
      </c>
      <c r="EN39" s="2"/>
      <c r="EO39" s="2" t="s">
        <v>3</v>
      </c>
      <c r="EP39" s="2"/>
      <c r="EQ39" s="2">
        <v>0</v>
      </c>
      <c r="ER39" s="2">
        <v>37.32</v>
      </c>
      <c r="ES39" s="2">
        <v>0</v>
      </c>
      <c r="ET39" s="2">
        <v>37.32</v>
      </c>
      <c r="EU39" s="2">
        <v>641.22</v>
      </c>
      <c r="EV39" s="2">
        <v>0</v>
      </c>
      <c r="EW39" s="2">
        <v>0</v>
      </c>
      <c r="EX39" s="2">
        <v>0</v>
      </c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>
        <v>0</v>
      </c>
      <c r="FR39" s="2">
        <v>0</v>
      </c>
      <c r="FS39" s="2">
        <v>1</v>
      </c>
      <c r="FT39" s="2"/>
      <c r="FU39" s="2"/>
      <c r="FV39" s="2"/>
      <c r="FW39" s="2"/>
      <c r="FX39" s="2">
        <v>91</v>
      </c>
      <c r="FY39" s="2">
        <v>48</v>
      </c>
      <c r="FZ39" s="2"/>
      <c r="GA39" s="2" t="s">
        <v>3</v>
      </c>
      <c r="GB39" s="2"/>
      <c r="GC39" s="2"/>
      <c r="GD39" s="2">
        <v>1</v>
      </c>
      <c r="GE39" s="2"/>
      <c r="GF39" s="2">
        <v>945201097</v>
      </c>
      <c r="GG39" s="2">
        <v>2</v>
      </c>
      <c r="GH39" s="2">
        <v>1</v>
      </c>
      <c r="GI39" s="2">
        <v>2</v>
      </c>
      <c r="GJ39" s="2">
        <v>0</v>
      </c>
      <c r="GK39" s="2">
        <v>0</v>
      </c>
      <c r="GL39" s="2">
        <f t="shared" si="34"/>
        <v>0</v>
      </c>
      <c r="GM39" s="2">
        <f t="shared" si="35"/>
        <v>-12.72</v>
      </c>
      <c r="GN39" s="2">
        <f t="shared" si="36"/>
        <v>-12.72</v>
      </c>
      <c r="GO39" s="2">
        <f t="shared" si="37"/>
        <v>0</v>
      </c>
      <c r="GP39" s="2">
        <f t="shared" si="38"/>
        <v>0</v>
      </c>
      <c r="GQ39" s="2"/>
      <c r="GR39" s="2">
        <v>0</v>
      </c>
      <c r="GS39" s="2">
        <v>7</v>
      </c>
      <c r="GT39" s="2">
        <v>0</v>
      </c>
      <c r="GU39" s="2" t="s">
        <v>3</v>
      </c>
      <c r="GV39" s="2">
        <f t="shared" si="39"/>
        <v>0</v>
      </c>
      <c r="GW39" s="2">
        <v>1</v>
      </c>
      <c r="GX39" s="2">
        <f t="shared" si="40"/>
        <v>0</v>
      </c>
      <c r="GY39" s="2"/>
      <c r="GZ39" s="2"/>
      <c r="HA39" s="2">
        <v>0</v>
      </c>
      <c r="HB39" s="2">
        <v>0</v>
      </c>
      <c r="HC39" s="2">
        <f>GV39*GW39</f>
        <v>0</v>
      </c>
      <c r="HD39" s="2"/>
      <c r="HE39" s="2" t="s">
        <v>3</v>
      </c>
      <c r="HF39" s="2" t="s">
        <v>3</v>
      </c>
      <c r="HG39" s="2"/>
      <c r="HH39" s="2"/>
      <c r="HI39" s="2"/>
      <c r="HJ39" s="2"/>
      <c r="HK39" s="2"/>
      <c r="HL39" s="2"/>
      <c r="HM39" s="2" t="s">
        <v>3</v>
      </c>
      <c r="HN39" s="2" t="s">
        <v>24</v>
      </c>
      <c r="HO39" s="2" t="s">
        <v>25</v>
      </c>
      <c r="HP39" s="2" t="s">
        <v>16</v>
      </c>
      <c r="HQ39" s="2" t="s">
        <v>16</v>
      </c>
      <c r="HR39" s="2"/>
      <c r="HS39" s="2">
        <v>0</v>
      </c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>
        <v>0</v>
      </c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 x14ac:dyDescent="0.2">
      <c r="A40" s="2">
        <v>17</v>
      </c>
      <c r="B40" s="2">
        <v>1</v>
      </c>
      <c r="C40" s="2">
        <f>ROW(SmtRes!A41)</f>
        <v>41</v>
      </c>
      <c r="D40" s="2">
        <f>ROW(EtalonRes!A40)</f>
        <v>40</v>
      </c>
      <c r="E40" s="2" t="s">
        <v>73</v>
      </c>
      <c r="F40" s="2" t="s">
        <v>59</v>
      </c>
      <c r="G40" s="2" t="s">
        <v>74</v>
      </c>
      <c r="H40" s="2" t="s">
        <v>61</v>
      </c>
      <c r="I40" s="2">
        <f>ROUND((60)/100,7)</f>
        <v>0.6</v>
      </c>
      <c r="J40" s="2">
        <v>0</v>
      </c>
      <c r="K40" s="2">
        <f>ROUND((60)/100,7)</f>
        <v>0.6</v>
      </c>
      <c r="L40" s="2"/>
      <c r="M40" s="2"/>
      <c r="N40" s="2"/>
      <c r="O40" s="2">
        <f>ROUND(CP40,2)</f>
        <v>7122.15</v>
      </c>
      <c r="P40" s="2">
        <f>SUMIF(SmtRes!AQ34:'SmtRes'!AQ41,"=1",SmtRes!DF34:'SmtRes'!DF41)</f>
        <v>143.89999999999998</v>
      </c>
      <c r="Q40" s="2">
        <f>SUMIF(SmtRes!AQ34:'SmtRes'!AQ41,"=1",SmtRes!DG34:'SmtRes'!DG41)</f>
        <v>0</v>
      </c>
      <c r="R40" s="2">
        <f>SUMIF(SmtRes!AQ34:'SmtRes'!AQ41,"=1",SmtRes!DH34:'SmtRes'!DH41)</f>
        <v>0</v>
      </c>
      <c r="S40" s="2">
        <f>SUMIF(SmtRes!AQ34:'SmtRes'!AQ41,"=1",SmtRes!DI34:'SmtRes'!DI41)</f>
        <v>6978.25</v>
      </c>
      <c r="T40" s="2">
        <f t="shared" si="22"/>
        <v>0</v>
      </c>
      <c r="U40" s="2">
        <f>SUMIF(SmtRes!AQ34:'SmtRes'!AQ41,"=1",SmtRes!CV34:'SmtRes'!CV41)</f>
        <v>9.7739999999999991</v>
      </c>
      <c r="V40" s="2">
        <f>SUMIF(SmtRes!AQ34:'SmtRes'!AQ41,"=1",SmtRes!CW34:'SmtRes'!CW41)</f>
        <v>0</v>
      </c>
      <c r="W40" s="2">
        <f t="shared" si="23"/>
        <v>0</v>
      </c>
      <c r="X40" s="2">
        <f t="shared" si="24"/>
        <v>6768.9</v>
      </c>
      <c r="Y40" s="2">
        <f t="shared" si="25"/>
        <v>3558.91</v>
      </c>
      <c r="Z40" s="2"/>
      <c r="AA40" s="2">
        <v>85997836</v>
      </c>
      <c r="AB40" s="2">
        <f t="shared" si="26"/>
        <v>11826.337552000001</v>
      </c>
      <c r="AC40" s="2">
        <f>ROUND((SUM(SmtRes!BQ34:'SmtRes'!BQ41)),6)</f>
        <v>195.92915199999999</v>
      </c>
      <c r="AD40" s="2">
        <f>ROUND((((0)-(0))+AE40),6)</f>
        <v>0</v>
      </c>
      <c r="AE40" s="2">
        <f>ROUND((0),6)</f>
        <v>0</v>
      </c>
      <c r="AF40" s="2">
        <f>ROUND((SUM(SmtRes!BT34:'SmtRes'!BT41)),6)</f>
        <v>11630.4084</v>
      </c>
      <c r="AG40" s="2">
        <f t="shared" si="27"/>
        <v>0</v>
      </c>
      <c r="AH40" s="2">
        <f>(SUM(SmtRes!BU34:'SmtRes'!BU41))</f>
        <v>16.29</v>
      </c>
      <c r="AI40" s="2">
        <f>(0)</f>
        <v>0</v>
      </c>
      <c r="AJ40" s="2">
        <f t="shared" si="28"/>
        <v>0</v>
      </c>
      <c r="AK40" s="2">
        <v>11826.337552000001</v>
      </c>
      <c r="AL40" s="2">
        <v>195.92915199999999</v>
      </c>
      <c r="AM40" s="2">
        <v>0</v>
      </c>
      <c r="AN40" s="2">
        <v>0</v>
      </c>
      <c r="AO40" s="2">
        <v>11630.4084</v>
      </c>
      <c r="AP40" s="2">
        <v>0</v>
      </c>
      <c r="AQ40" s="2">
        <v>16.29</v>
      </c>
      <c r="AR40" s="2">
        <v>0.01</v>
      </c>
      <c r="AS40" s="2">
        <v>0</v>
      </c>
      <c r="AT40" s="2">
        <v>97</v>
      </c>
      <c r="AU40" s="2">
        <v>51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0</v>
      </c>
      <c r="BI40" s="2">
        <v>2</v>
      </c>
      <c r="BJ40" s="2" t="s">
        <v>62</v>
      </c>
      <c r="BK40" s="2"/>
      <c r="BL40" s="2"/>
      <c r="BM40" s="2">
        <v>108001</v>
      </c>
      <c r="BN40" s="2">
        <v>0</v>
      </c>
      <c r="BO40" s="2" t="s">
        <v>3</v>
      </c>
      <c r="BP40" s="2">
        <v>0</v>
      </c>
      <c r="BQ40" s="2">
        <v>3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97</v>
      </c>
      <c r="CA40" s="2">
        <v>51</v>
      </c>
      <c r="CB40" s="2" t="s">
        <v>3</v>
      </c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3</v>
      </c>
      <c r="CO40" s="2">
        <v>0</v>
      </c>
      <c r="CP40" s="2">
        <f>(P40+Q40+S40+R40)</f>
        <v>7122.15</v>
      </c>
      <c r="CQ40" s="2">
        <f>SUMIF(SmtRes!AQ34:'SmtRes'!AQ41,"=1",SmtRes!AA34:'SmtRes'!AA41)</f>
        <v>128299.93</v>
      </c>
      <c r="CR40" s="2">
        <f>SUMIF(SmtRes!AQ34:'SmtRes'!AQ41,"=1",SmtRes!AB34:'SmtRes'!AB41)</f>
        <v>0</v>
      </c>
      <c r="CS40" s="2">
        <f>SUMIF(SmtRes!AQ34:'SmtRes'!AQ41,"=1",SmtRes!AC34:'SmtRes'!AC41)</f>
        <v>0</v>
      </c>
      <c r="CT40" s="2">
        <f>SUMIF(SmtRes!AQ34:'SmtRes'!AQ41,"=1",SmtRes!AD34:'SmtRes'!AD41)</f>
        <v>713.96</v>
      </c>
      <c r="CU40" s="2">
        <f>AG40</f>
        <v>0</v>
      </c>
      <c r="CV40" s="2">
        <f>SUMIF(SmtRes!AQ34:'SmtRes'!AQ41,"=1",SmtRes!BU34:'SmtRes'!BU41)</f>
        <v>16.29</v>
      </c>
      <c r="CW40" s="2">
        <f>SUMIF(SmtRes!AQ34:'SmtRes'!AQ41,"=1",SmtRes!BV34:'SmtRes'!BV41)</f>
        <v>0</v>
      </c>
      <c r="CX40" s="2">
        <f>AJ40</f>
        <v>0</v>
      </c>
      <c r="CY40" s="2">
        <f>(((S40+R40)*AT40)/100)</f>
        <v>6768.9025000000001</v>
      </c>
      <c r="CZ40" s="2">
        <f>(((S40+R40)*AU40)/100)</f>
        <v>3558.9074999999998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1003</v>
      </c>
      <c r="DV40" s="2" t="s">
        <v>61</v>
      </c>
      <c r="DW40" s="2" t="s">
        <v>61</v>
      </c>
      <c r="DX40" s="2">
        <v>100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84053775</v>
      </c>
      <c r="EF40" s="2">
        <v>3</v>
      </c>
      <c r="EG40" s="2" t="s">
        <v>48</v>
      </c>
      <c r="EH40" s="2">
        <v>0</v>
      </c>
      <c r="EI40" s="2" t="s">
        <v>3</v>
      </c>
      <c r="EJ40" s="2">
        <v>2</v>
      </c>
      <c r="EK40" s="2">
        <v>108001</v>
      </c>
      <c r="EL40" s="2" t="s">
        <v>49</v>
      </c>
      <c r="EM40" s="2" t="s">
        <v>50</v>
      </c>
      <c r="EN40" s="2"/>
      <c r="EO40" s="2" t="s">
        <v>3</v>
      </c>
      <c r="EP40" s="2"/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16.29</v>
      </c>
      <c r="EX40" s="2">
        <v>0.01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v>0</v>
      </c>
      <c r="FS40" s="2">
        <v>0</v>
      </c>
      <c r="FT40" s="2"/>
      <c r="FU40" s="2"/>
      <c r="FV40" s="2"/>
      <c r="FW40" s="2"/>
      <c r="FX40" s="2">
        <v>97</v>
      </c>
      <c r="FY40" s="2">
        <v>51</v>
      </c>
      <c r="FZ40" s="2"/>
      <c r="GA40" s="2" t="s">
        <v>3</v>
      </c>
      <c r="GB40" s="2"/>
      <c r="GC40" s="2"/>
      <c r="GD40" s="2">
        <v>1</v>
      </c>
      <c r="GE40" s="2"/>
      <c r="GF40" s="2">
        <v>1257429997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34"/>
        <v>0</v>
      </c>
      <c r="GM40" s="2">
        <f t="shared" si="35"/>
        <v>17449.96</v>
      </c>
      <c r="GN40" s="2">
        <f t="shared" si="36"/>
        <v>0</v>
      </c>
      <c r="GO40" s="2">
        <f t="shared" si="37"/>
        <v>17449.96</v>
      </c>
      <c r="GP40" s="2">
        <f t="shared" si="38"/>
        <v>0</v>
      </c>
      <c r="GQ40" s="2"/>
      <c r="GR40" s="2">
        <v>0</v>
      </c>
      <c r="GS40" s="2">
        <v>0</v>
      </c>
      <c r="GT40" s="2">
        <v>0</v>
      </c>
      <c r="GU40" s="2" t="s">
        <v>3</v>
      </c>
      <c r="GV40" s="2">
        <f t="shared" si="39"/>
        <v>0</v>
      </c>
      <c r="GW40" s="2">
        <v>1</v>
      </c>
      <c r="GX40" s="2">
        <f t="shared" si="40"/>
        <v>0</v>
      </c>
      <c r="GY40" s="2"/>
      <c r="GZ40" s="2"/>
      <c r="HA40" s="2">
        <v>0</v>
      </c>
      <c r="HB40" s="2">
        <v>0</v>
      </c>
      <c r="HC40" s="2">
        <f>GV40*GW40</f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52</v>
      </c>
      <c r="HO40" s="2" t="s">
        <v>53</v>
      </c>
      <c r="HP40" s="2" t="s">
        <v>49</v>
      </c>
      <c r="HQ40" s="2" t="s">
        <v>49</v>
      </c>
      <c r="HR40" s="2"/>
      <c r="HS40" s="2">
        <v>0</v>
      </c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 s="2">
        <v>18</v>
      </c>
      <c r="B41" s="2">
        <v>1</v>
      </c>
      <c r="C41" s="2">
        <v>40</v>
      </c>
      <c r="D41" s="2"/>
      <c r="E41" s="2" t="s">
        <v>75</v>
      </c>
      <c r="F41" s="2" t="s">
        <v>76</v>
      </c>
      <c r="G41" s="2" t="s">
        <v>77</v>
      </c>
      <c r="H41" s="2" t="s">
        <v>61</v>
      </c>
      <c r="I41" s="2">
        <f>I40*J41</f>
        <v>0.6</v>
      </c>
      <c r="J41" s="2">
        <v>1</v>
      </c>
      <c r="K41" s="2">
        <v>1</v>
      </c>
      <c r="L41" s="2"/>
      <c r="M41" s="2"/>
      <c r="N41" s="2"/>
      <c r="O41" s="2">
        <f>ROUND(CP41,2)</f>
        <v>3716.66</v>
      </c>
      <c r="P41" s="2">
        <f>ROUND(CQ41*I41,2)</f>
        <v>3716.66</v>
      </c>
      <c r="Q41" s="2">
        <f>ROUND(CR41*I41,2)</f>
        <v>0</v>
      </c>
      <c r="R41" s="2">
        <f>ROUND(CS41*I41,2)</f>
        <v>0</v>
      </c>
      <c r="S41" s="2">
        <f>ROUND(CT41*I41,2)</f>
        <v>0</v>
      </c>
      <c r="T41" s="2">
        <f t="shared" si="22"/>
        <v>0</v>
      </c>
      <c r="U41" s="2">
        <f>ROUND(CV41*I41,7)</f>
        <v>0</v>
      </c>
      <c r="V41" s="2">
        <f>ROUND(CW41*I41,7)</f>
        <v>0</v>
      </c>
      <c r="W41" s="2">
        <f t="shared" si="23"/>
        <v>0</v>
      </c>
      <c r="X41" s="2">
        <f t="shared" si="24"/>
        <v>0</v>
      </c>
      <c r="Y41" s="2">
        <f t="shared" si="25"/>
        <v>0</v>
      </c>
      <c r="Z41" s="2"/>
      <c r="AA41" s="2">
        <v>85997836</v>
      </c>
      <c r="AB41" s="2">
        <f t="shared" si="26"/>
        <v>4995.5200000000004</v>
      </c>
      <c r="AC41" s="2">
        <f>ROUND((ES41),6)</f>
        <v>4995.5200000000004</v>
      </c>
      <c r="AD41" s="2">
        <f>ROUND((((ET41)-(EU41))+AE41),6)</f>
        <v>0</v>
      </c>
      <c r="AE41" s="2">
        <f t="shared" ref="AE41:AF43" si="42">ROUND((EU41),6)</f>
        <v>0</v>
      </c>
      <c r="AF41" s="2">
        <f t="shared" si="42"/>
        <v>0</v>
      </c>
      <c r="AG41" s="2">
        <f t="shared" si="27"/>
        <v>0</v>
      </c>
      <c r="AH41" s="2">
        <f t="shared" ref="AH41:AI43" si="43">(EW41)</f>
        <v>0</v>
      </c>
      <c r="AI41" s="2">
        <f t="shared" si="43"/>
        <v>0</v>
      </c>
      <c r="AJ41" s="2">
        <f t="shared" si="28"/>
        <v>0</v>
      </c>
      <c r="AK41" s="2">
        <v>4995.5200000000004</v>
      </c>
      <c r="AL41" s="2">
        <v>4995.5200000000004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97</v>
      </c>
      <c r="AU41" s="2">
        <v>51</v>
      </c>
      <c r="AV41" s="2">
        <v>1</v>
      </c>
      <c r="AW41" s="2">
        <v>1</v>
      </c>
      <c r="AX41" s="2"/>
      <c r="AY41" s="2"/>
      <c r="AZ41" s="2">
        <v>1</v>
      </c>
      <c r="BA41" s="2">
        <v>1</v>
      </c>
      <c r="BB41" s="2">
        <v>1</v>
      </c>
      <c r="BC41" s="2">
        <v>1.24</v>
      </c>
      <c r="BD41" s="2" t="s">
        <v>3</v>
      </c>
      <c r="BE41" s="2" t="s">
        <v>3</v>
      </c>
      <c r="BF41" s="2" t="s">
        <v>3</v>
      </c>
      <c r="BG41" s="2" t="s">
        <v>3</v>
      </c>
      <c r="BH41" s="2">
        <v>3</v>
      </c>
      <c r="BI41" s="2">
        <v>2</v>
      </c>
      <c r="BJ41" s="2" t="s">
        <v>78</v>
      </c>
      <c r="BK41" s="2"/>
      <c r="BL41" s="2"/>
      <c r="BM41" s="2">
        <v>108001</v>
      </c>
      <c r="BN41" s="2">
        <v>0</v>
      </c>
      <c r="BO41" s="2" t="s">
        <v>76</v>
      </c>
      <c r="BP41" s="2">
        <v>1</v>
      </c>
      <c r="BQ41" s="2">
        <v>3</v>
      </c>
      <c r="BR41" s="2">
        <v>0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 t="s">
        <v>3</v>
      </c>
      <c r="BZ41" s="2">
        <v>97</v>
      </c>
      <c r="CA41" s="2">
        <v>51</v>
      </c>
      <c r="CB41" s="2" t="s">
        <v>3</v>
      </c>
      <c r="CC41" s="2"/>
      <c r="CD41" s="2"/>
      <c r="CE41" s="2">
        <v>0</v>
      </c>
      <c r="CF41" s="2">
        <v>0</v>
      </c>
      <c r="CG41" s="2">
        <v>0</v>
      </c>
      <c r="CH41" s="2"/>
      <c r="CI41" s="2"/>
      <c r="CJ41" s="2"/>
      <c r="CK41" s="2"/>
      <c r="CL41" s="2"/>
      <c r="CM41" s="2">
        <v>0</v>
      </c>
      <c r="CN41" s="2" t="s">
        <v>3</v>
      </c>
      <c r="CO41" s="2">
        <v>0</v>
      </c>
      <c r="CP41" s="2">
        <f>(P41+Q41+S41+R41)</f>
        <v>3716.66</v>
      </c>
      <c r="CQ41" s="2">
        <f>ROUND(AL41*BC41,2)</f>
        <v>6194.44</v>
      </c>
      <c r="CR41" s="2">
        <f>ROUND(AM41*BB41,2)</f>
        <v>0</v>
      </c>
      <c r="CS41" s="2">
        <f>ROUND(AN41*BS41,2)</f>
        <v>0</v>
      </c>
      <c r="CT41" s="2">
        <f>ROUND(AO41*BA41,2)</f>
        <v>0</v>
      </c>
      <c r="CU41" s="2">
        <f>AG41</f>
        <v>0</v>
      </c>
      <c r="CV41" s="2">
        <f>AH41</f>
        <v>0</v>
      </c>
      <c r="CW41" s="2">
        <f>AI41</f>
        <v>0</v>
      </c>
      <c r="CX41" s="2">
        <f>AJ41</f>
        <v>0</v>
      </c>
      <c r="CY41" s="2">
        <f>(((S41+R41)*AT41)/100)</f>
        <v>0</v>
      </c>
      <c r="CZ41" s="2">
        <f>(((S41+R41)*AU41)/100)</f>
        <v>0</v>
      </c>
      <c r="DA41" s="2"/>
      <c r="DB41" s="2"/>
      <c r="DC41" s="2" t="s">
        <v>3</v>
      </c>
      <c r="DD41" s="2" t="s">
        <v>3</v>
      </c>
      <c r="DE41" s="2" t="s">
        <v>3</v>
      </c>
      <c r="DF41" s="2" t="s">
        <v>3</v>
      </c>
      <c r="DG41" s="2" t="s">
        <v>3</v>
      </c>
      <c r="DH41" s="2" t="s">
        <v>3</v>
      </c>
      <c r="DI41" s="2" t="s">
        <v>3</v>
      </c>
      <c r="DJ41" s="2" t="s">
        <v>3</v>
      </c>
      <c r="DK41" s="2" t="s">
        <v>3</v>
      </c>
      <c r="DL41" s="2" t="s">
        <v>3</v>
      </c>
      <c r="DM41" s="2" t="s">
        <v>3</v>
      </c>
      <c r="DN41" s="2">
        <v>0</v>
      </c>
      <c r="DO41" s="2">
        <v>0</v>
      </c>
      <c r="DP41" s="2">
        <v>1</v>
      </c>
      <c r="DQ41" s="2">
        <v>1</v>
      </c>
      <c r="DR41" s="2"/>
      <c r="DS41" s="2"/>
      <c r="DT41" s="2"/>
      <c r="DU41" s="2">
        <v>1003</v>
      </c>
      <c r="DV41" s="2" t="s">
        <v>61</v>
      </c>
      <c r="DW41" s="2" t="s">
        <v>61</v>
      </c>
      <c r="DX41" s="2">
        <v>100</v>
      </c>
      <c r="DY41" s="2"/>
      <c r="DZ41" s="2" t="s">
        <v>3</v>
      </c>
      <c r="EA41" s="2" t="s">
        <v>3</v>
      </c>
      <c r="EB41" s="2" t="s">
        <v>3</v>
      </c>
      <c r="EC41" s="2" t="s">
        <v>3</v>
      </c>
      <c r="ED41" s="2"/>
      <c r="EE41" s="2">
        <v>84053775</v>
      </c>
      <c r="EF41" s="2">
        <v>3</v>
      </c>
      <c r="EG41" s="2" t="s">
        <v>48</v>
      </c>
      <c r="EH41" s="2">
        <v>0</v>
      </c>
      <c r="EI41" s="2" t="s">
        <v>3</v>
      </c>
      <c r="EJ41" s="2">
        <v>2</v>
      </c>
      <c r="EK41" s="2">
        <v>108001</v>
      </c>
      <c r="EL41" s="2" t="s">
        <v>49</v>
      </c>
      <c r="EM41" s="2" t="s">
        <v>50</v>
      </c>
      <c r="EN41" s="2"/>
      <c r="EO41" s="2" t="s">
        <v>3</v>
      </c>
      <c r="EP41" s="2"/>
      <c r="EQ41" s="2">
        <v>0</v>
      </c>
      <c r="ER41" s="2">
        <v>4995.5200000000004</v>
      </c>
      <c r="ES41" s="2">
        <v>4995.5200000000004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>
        <v>0</v>
      </c>
      <c r="FR41" s="2">
        <v>0</v>
      </c>
      <c r="FS41" s="2">
        <v>0</v>
      </c>
      <c r="FT41" s="2"/>
      <c r="FU41" s="2"/>
      <c r="FV41" s="2"/>
      <c r="FW41" s="2"/>
      <c r="FX41" s="2">
        <v>97</v>
      </c>
      <c r="FY41" s="2">
        <v>51</v>
      </c>
      <c r="FZ41" s="2"/>
      <c r="GA41" s="2" t="s">
        <v>3</v>
      </c>
      <c r="GB41" s="2"/>
      <c r="GC41" s="2"/>
      <c r="GD41" s="2">
        <v>1</v>
      </c>
      <c r="GE41" s="2"/>
      <c r="GF41" s="2">
        <v>-1928667171</v>
      </c>
      <c r="GG41" s="2">
        <v>2</v>
      </c>
      <c r="GH41" s="2">
        <v>1</v>
      </c>
      <c r="GI41" s="2">
        <v>2</v>
      </c>
      <c r="GJ41" s="2">
        <v>0</v>
      </c>
      <c r="GK41" s="2">
        <v>0</v>
      </c>
      <c r="GL41" s="2">
        <f t="shared" si="34"/>
        <v>0</v>
      </c>
      <c r="GM41" s="2">
        <f t="shared" si="35"/>
        <v>3716.66</v>
      </c>
      <c r="GN41" s="2">
        <f t="shared" si="36"/>
        <v>0</v>
      </c>
      <c r="GO41" s="2">
        <f t="shared" si="37"/>
        <v>3716.66</v>
      </c>
      <c r="GP41" s="2">
        <f t="shared" si="38"/>
        <v>0</v>
      </c>
      <c r="GQ41" s="2"/>
      <c r="GR41" s="2">
        <v>0</v>
      </c>
      <c r="GS41" s="2">
        <v>0</v>
      </c>
      <c r="GT41" s="2">
        <v>0</v>
      </c>
      <c r="GU41" s="2" t="s">
        <v>3</v>
      </c>
      <c r="GV41" s="2">
        <f t="shared" si="39"/>
        <v>0</v>
      </c>
      <c r="GW41" s="2">
        <v>1</v>
      </c>
      <c r="GX41" s="2">
        <f t="shared" si="40"/>
        <v>0</v>
      </c>
      <c r="GY41" s="2"/>
      <c r="GZ41" s="2"/>
      <c r="HA41" s="2">
        <v>0</v>
      </c>
      <c r="HB41" s="2">
        <v>0</v>
      </c>
      <c r="HC41" s="2">
        <f>GV41*GW41</f>
        <v>0</v>
      </c>
      <c r="HD41" s="2"/>
      <c r="HE41" s="2" t="s">
        <v>3</v>
      </c>
      <c r="HF41" s="2" t="s">
        <v>3</v>
      </c>
      <c r="HG41" s="2"/>
      <c r="HH41" s="2"/>
      <c r="HI41" s="2"/>
      <c r="HJ41" s="2"/>
      <c r="HK41" s="2"/>
      <c r="HL41" s="2"/>
      <c r="HM41" s="2" t="s">
        <v>3</v>
      </c>
      <c r="HN41" s="2" t="s">
        <v>52</v>
      </c>
      <c r="HO41" s="2" t="s">
        <v>53</v>
      </c>
      <c r="HP41" s="2" t="s">
        <v>49</v>
      </c>
      <c r="HQ41" s="2" t="s">
        <v>49</v>
      </c>
      <c r="HR41" s="2"/>
      <c r="HS41" s="2">
        <v>0</v>
      </c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>
        <v>0</v>
      </c>
      <c r="IL41" s="2"/>
      <c r="IM41" s="2"/>
      <c r="IN41" s="2"/>
      <c r="IO41" s="2"/>
      <c r="IP41" s="2"/>
      <c r="IQ41" s="2"/>
      <c r="IR41" s="2"/>
      <c r="IS41" s="2"/>
      <c r="IT41" s="2"/>
      <c r="IU41" s="2"/>
    </row>
    <row r="42" spans="1:255" x14ac:dyDescent="0.2">
      <c r="A42" s="2">
        <v>18</v>
      </c>
      <c r="B42" s="2">
        <v>1</v>
      </c>
      <c r="C42" s="2">
        <v>41</v>
      </c>
      <c r="D42" s="2"/>
      <c r="E42" s="2" t="s">
        <v>79</v>
      </c>
      <c r="F42" s="2" t="s">
        <v>55</v>
      </c>
      <c r="G42" s="2" t="s">
        <v>56</v>
      </c>
      <c r="H42" s="2" t="s">
        <v>57</v>
      </c>
      <c r="I42" s="2">
        <f>J42</f>
        <v>2</v>
      </c>
      <c r="J42" s="2">
        <v>2</v>
      </c>
      <c r="K42" s="2">
        <v>2</v>
      </c>
      <c r="L42" s="2"/>
      <c r="M42" s="2"/>
      <c r="N42" s="2"/>
      <c r="O42" s="2">
        <f>ROUND(P42,2)</f>
        <v>139.57</v>
      </c>
      <c r="P42" s="2">
        <f>ROUND(ROUND(ROUND(SUMIF(SmtRes!AQ34:'SmtRes'!AQ41,"=1",SmtRes!CU34:'SmtRes'!CU41),2),2)*I42/100,2)</f>
        <v>139.57</v>
      </c>
      <c r="Q42" s="2">
        <f>ROUND(CR42*I42,2)</f>
        <v>0</v>
      </c>
      <c r="R42" s="2">
        <f>ROUND(CS42*I42,2)</f>
        <v>0</v>
      </c>
      <c r="S42" s="2">
        <f>ROUND(CT42*I42,2)</f>
        <v>0</v>
      </c>
      <c r="T42" s="2">
        <f t="shared" si="22"/>
        <v>0</v>
      </c>
      <c r="U42" s="2">
        <f>ROUND(CV42*I42,7)</f>
        <v>0</v>
      </c>
      <c r="V42" s="2">
        <f>ROUND(CW42*I42,7)</f>
        <v>0</v>
      </c>
      <c r="W42" s="2">
        <f t="shared" si="23"/>
        <v>0</v>
      </c>
      <c r="X42" s="2">
        <f t="shared" si="24"/>
        <v>0</v>
      </c>
      <c r="Y42" s="2">
        <f t="shared" si="25"/>
        <v>0</v>
      </c>
      <c r="Z42" s="2"/>
      <c r="AA42" s="2">
        <v>85997836</v>
      </c>
      <c r="AB42" s="2">
        <f t="shared" si="26"/>
        <v>0</v>
      </c>
      <c r="AC42" s="2">
        <f>ROUND((ES42),6)</f>
        <v>0</v>
      </c>
      <c r="AD42" s="2">
        <f>ROUND((((ET42)-(EU42))+AE42),6)</f>
        <v>0</v>
      </c>
      <c r="AE42" s="2">
        <f t="shared" si="42"/>
        <v>0</v>
      </c>
      <c r="AF42" s="2">
        <f t="shared" si="42"/>
        <v>0</v>
      </c>
      <c r="AG42" s="2">
        <f t="shared" si="27"/>
        <v>0</v>
      </c>
      <c r="AH42" s="2">
        <f t="shared" si="43"/>
        <v>0</v>
      </c>
      <c r="AI42" s="2">
        <f t="shared" si="43"/>
        <v>0</v>
      </c>
      <c r="AJ42" s="2">
        <f t="shared" si="28"/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97</v>
      </c>
      <c r="AU42" s="2">
        <v>51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3</v>
      </c>
      <c r="BI42" s="2">
        <v>2</v>
      </c>
      <c r="BJ42" s="2" t="s">
        <v>3</v>
      </c>
      <c r="BK42" s="2"/>
      <c r="BL42" s="2"/>
      <c r="BM42" s="2">
        <v>108001</v>
      </c>
      <c r="BN42" s="2">
        <v>0</v>
      </c>
      <c r="BO42" s="2" t="s">
        <v>3</v>
      </c>
      <c r="BP42" s="2">
        <v>0</v>
      </c>
      <c r="BQ42" s="2">
        <v>3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97</v>
      </c>
      <c r="CA42" s="2">
        <v>51</v>
      </c>
      <c r="CB42" s="2" t="s">
        <v>3</v>
      </c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</v>
      </c>
      <c r="CO42" s="2">
        <v>0</v>
      </c>
      <c r="CP42" s="2">
        <f>0</f>
        <v>0</v>
      </c>
      <c r="CQ42" s="2">
        <f>0</f>
        <v>0</v>
      </c>
      <c r="CR42" s="2">
        <f>0</f>
        <v>0</v>
      </c>
      <c r="CS42" s="2">
        <f>0</f>
        <v>0</v>
      </c>
      <c r="CT42" s="2">
        <f>0</f>
        <v>0</v>
      </c>
      <c r="CU42" s="2">
        <f>0</f>
        <v>0</v>
      </c>
      <c r="CV42" s="2">
        <f>0</f>
        <v>0</v>
      </c>
      <c r="CW42" s="2">
        <f>0</f>
        <v>0</v>
      </c>
      <c r="CX42" s="2">
        <f>0</f>
        <v>0</v>
      </c>
      <c r="CY42" s="2">
        <f>0</f>
        <v>0</v>
      </c>
      <c r="CZ42" s="2">
        <f>0</f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1013</v>
      </c>
      <c r="DV42" s="2" t="s">
        <v>57</v>
      </c>
      <c r="DW42" s="2" t="s">
        <v>57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84053775</v>
      </c>
      <c r="EF42" s="2">
        <v>3</v>
      </c>
      <c r="EG42" s="2" t="s">
        <v>48</v>
      </c>
      <c r="EH42" s="2">
        <v>0</v>
      </c>
      <c r="EI42" s="2" t="s">
        <v>3</v>
      </c>
      <c r="EJ42" s="2">
        <v>2</v>
      </c>
      <c r="EK42" s="2">
        <v>108001</v>
      </c>
      <c r="EL42" s="2" t="s">
        <v>49</v>
      </c>
      <c r="EM42" s="2" t="s">
        <v>50</v>
      </c>
      <c r="EN42" s="2"/>
      <c r="EO42" s="2" t="s">
        <v>3</v>
      </c>
      <c r="EP42" s="2"/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v>0</v>
      </c>
      <c r="FS42" s="2">
        <v>0</v>
      </c>
      <c r="FT42" s="2"/>
      <c r="FU42" s="2"/>
      <c r="FV42" s="2"/>
      <c r="FW42" s="2"/>
      <c r="FX42" s="2">
        <v>97</v>
      </c>
      <c r="FY42" s="2">
        <v>51</v>
      </c>
      <c r="FZ42" s="2"/>
      <c r="GA42" s="2" t="s">
        <v>3</v>
      </c>
      <c r="GB42" s="2"/>
      <c r="GC42" s="2"/>
      <c r="GD42" s="2">
        <v>1</v>
      </c>
      <c r="GE42" s="2"/>
      <c r="GF42" s="2">
        <v>274903907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34"/>
        <v>0</v>
      </c>
      <c r="GM42" s="2">
        <f t="shared" si="35"/>
        <v>139.57</v>
      </c>
      <c r="GN42" s="2">
        <f t="shared" si="36"/>
        <v>0</v>
      </c>
      <c r="GO42" s="2">
        <f t="shared" si="37"/>
        <v>139.57</v>
      </c>
      <c r="GP42" s="2">
        <f t="shared" si="38"/>
        <v>0</v>
      </c>
      <c r="GQ42" s="2"/>
      <c r="GR42" s="2">
        <v>0</v>
      </c>
      <c r="GS42" s="2">
        <v>0</v>
      </c>
      <c r="GT42" s="2">
        <v>0</v>
      </c>
      <c r="GU42" s="2" t="s">
        <v>3</v>
      </c>
      <c r="GV42" s="2">
        <f t="shared" si="39"/>
        <v>0</v>
      </c>
      <c r="GW42" s="2">
        <v>1</v>
      </c>
      <c r="GX42" s="2">
        <f t="shared" si="40"/>
        <v>0</v>
      </c>
      <c r="GY42" s="2"/>
      <c r="GZ42" s="2"/>
      <c r="HA42" s="2">
        <v>0</v>
      </c>
      <c r="HB42" s="2">
        <v>0</v>
      </c>
      <c r="HC42" s="2">
        <f>0</f>
        <v>0</v>
      </c>
      <c r="HD42" s="2"/>
      <c r="HE42" s="2" t="s">
        <v>3</v>
      </c>
      <c r="HF42" s="2" t="s">
        <v>3</v>
      </c>
      <c r="HG42" s="2"/>
      <c r="HH42" s="2"/>
      <c r="HI42" s="2"/>
      <c r="HJ42" s="2"/>
      <c r="HK42" s="2"/>
      <c r="HL42" s="2"/>
      <c r="HM42" s="2" t="s">
        <v>3</v>
      </c>
      <c r="HN42" s="2" t="s">
        <v>52</v>
      </c>
      <c r="HO42" s="2" t="s">
        <v>53</v>
      </c>
      <c r="HP42" s="2" t="s">
        <v>49</v>
      </c>
      <c r="HQ42" s="2" t="s">
        <v>49</v>
      </c>
      <c r="HR42" s="2"/>
      <c r="HS42" s="2">
        <v>0</v>
      </c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 s="2">
        <v>18</v>
      </c>
      <c r="B43" s="2">
        <v>1</v>
      </c>
      <c r="C43" s="2">
        <v>36</v>
      </c>
      <c r="D43" s="2"/>
      <c r="E43" s="2" t="s">
        <v>80</v>
      </c>
      <c r="F43" s="2" t="s">
        <v>27</v>
      </c>
      <c r="G43" s="2" t="s">
        <v>28</v>
      </c>
      <c r="H43" s="2" t="s">
        <v>29</v>
      </c>
      <c r="I43" s="2">
        <f>I40*J43</f>
        <v>-6.0000000000000001E-3</v>
      </c>
      <c r="J43" s="2">
        <v>-0.01</v>
      </c>
      <c r="K43" s="2">
        <v>-0.01</v>
      </c>
      <c r="L43" s="2"/>
      <c r="M43" s="2"/>
      <c r="N43" s="2"/>
      <c r="O43" s="2">
        <f t="shared" ref="O43:O49" si="44">ROUND(CP43,2)</f>
        <v>-4.1900000000000004</v>
      </c>
      <c r="P43" s="2">
        <f>ROUND(CQ43*I43,2)</f>
        <v>0</v>
      </c>
      <c r="Q43" s="2">
        <f>ROUND(CR43*I43,2)</f>
        <v>-0.34</v>
      </c>
      <c r="R43" s="2">
        <f>ROUND(CS43*I43,2)</f>
        <v>-3.85</v>
      </c>
      <c r="S43" s="2">
        <f>ROUND(CT43*I43,2)</f>
        <v>0</v>
      </c>
      <c r="T43" s="2">
        <f t="shared" si="22"/>
        <v>0</v>
      </c>
      <c r="U43" s="2">
        <f>ROUND(CV43*I43,7)</f>
        <v>0</v>
      </c>
      <c r="V43" s="2">
        <f>ROUND(CW43*I43,7)</f>
        <v>0</v>
      </c>
      <c r="W43" s="2">
        <f t="shared" si="23"/>
        <v>0</v>
      </c>
      <c r="X43" s="2">
        <f t="shared" si="24"/>
        <v>-3.73</v>
      </c>
      <c r="Y43" s="2">
        <f t="shared" si="25"/>
        <v>-1.96</v>
      </c>
      <c r="Z43" s="2"/>
      <c r="AA43" s="2">
        <v>85997836</v>
      </c>
      <c r="AB43" s="2">
        <f t="shared" si="26"/>
        <v>37.32</v>
      </c>
      <c r="AC43" s="2">
        <f>ROUND((ES43),6)</f>
        <v>0</v>
      </c>
      <c r="AD43" s="2">
        <f>ROUND((((ET43)-(EU43))+AE43),6)</f>
        <v>37.32</v>
      </c>
      <c r="AE43" s="2">
        <f t="shared" si="42"/>
        <v>641.22</v>
      </c>
      <c r="AF43" s="2">
        <f t="shared" si="42"/>
        <v>0</v>
      </c>
      <c r="AG43" s="2">
        <f t="shared" si="27"/>
        <v>0</v>
      </c>
      <c r="AH43" s="2">
        <f t="shared" si="43"/>
        <v>0</v>
      </c>
      <c r="AI43" s="2">
        <f t="shared" si="43"/>
        <v>0</v>
      </c>
      <c r="AJ43" s="2">
        <f t="shared" si="28"/>
        <v>0</v>
      </c>
      <c r="AK43" s="2">
        <v>37.32</v>
      </c>
      <c r="AL43" s="2">
        <v>0</v>
      </c>
      <c r="AM43" s="2">
        <v>37.32</v>
      </c>
      <c r="AN43" s="2">
        <v>641.22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97</v>
      </c>
      <c r="AU43" s="2">
        <v>51</v>
      </c>
      <c r="AV43" s="2">
        <v>1</v>
      </c>
      <c r="AW43" s="2">
        <v>1</v>
      </c>
      <c r="AX43" s="2"/>
      <c r="AY43" s="2"/>
      <c r="AZ43" s="2">
        <v>1</v>
      </c>
      <c r="BA43" s="2">
        <v>1</v>
      </c>
      <c r="BB43" s="2">
        <v>1.54</v>
      </c>
      <c r="BC43" s="2">
        <v>1</v>
      </c>
      <c r="BD43" s="2" t="s">
        <v>3</v>
      </c>
      <c r="BE43" s="2" t="s">
        <v>3</v>
      </c>
      <c r="BF43" s="2" t="s">
        <v>3</v>
      </c>
      <c r="BG43" s="2" t="s">
        <v>3</v>
      </c>
      <c r="BH43" s="2">
        <v>2</v>
      </c>
      <c r="BI43" s="2">
        <v>2</v>
      </c>
      <c r="BJ43" s="2" t="s">
        <v>30</v>
      </c>
      <c r="BK43" s="2"/>
      <c r="BL43" s="2"/>
      <c r="BM43" s="2">
        <v>108001</v>
      </c>
      <c r="BN43" s="2">
        <v>0</v>
      </c>
      <c r="BO43" s="2" t="s">
        <v>27</v>
      </c>
      <c r="BP43" s="2">
        <v>1</v>
      </c>
      <c r="BQ43" s="2">
        <v>3</v>
      </c>
      <c r="BR43" s="2">
        <v>0</v>
      </c>
      <c r="BS43" s="2">
        <v>1</v>
      </c>
      <c r="BT43" s="2">
        <v>1</v>
      </c>
      <c r="BU43" s="2">
        <v>1</v>
      </c>
      <c r="BV43" s="2">
        <v>1</v>
      </c>
      <c r="BW43" s="2">
        <v>1</v>
      </c>
      <c r="BX43" s="2">
        <v>1</v>
      </c>
      <c r="BY43" s="2" t="s">
        <v>3</v>
      </c>
      <c r="BZ43" s="2">
        <v>97</v>
      </c>
      <c r="CA43" s="2">
        <v>51</v>
      </c>
      <c r="CB43" s="2" t="s">
        <v>3</v>
      </c>
      <c r="CC43" s="2"/>
      <c r="CD43" s="2"/>
      <c r="CE43" s="2">
        <v>0</v>
      </c>
      <c r="CF43" s="2">
        <v>0</v>
      </c>
      <c r="CG43" s="2">
        <v>0</v>
      </c>
      <c r="CH43" s="2"/>
      <c r="CI43" s="2"/>
      <c r="CJ43" s="2"/>
      <c r="CK43" s="2"/>
      <c r="CL43" s="2"/>
      <c r="CM43" s="2">
        <v>0</v>
      </c>
      <c r="CN43" s="2" t="s">
        <v>3</v>
      </c>
      <c r="CO43" s="2">
        <v>0</v>
      </c>
      <c r="CP43" s="2">
        <f t="shared" ref="CP43:CP49" si="45">(P43+Q43+S43+R43)</f>
        <v>-4.1900000000000004</v>
      </c>
      <c r="CQ43" s="2">
        <f>ROUND(AL43*BC43,2)</f>
        <v>0</v>
      </c>
      <c r="CR43" s="2">
        <f>ROUND(AM43*BB43,2)</f>
        <v>57.47</v>
      </c>
      <c r="CS43" s="2">
        <f>ROUND(AN43*BS43,2)</f>
        <v>641.22</v>
      </c>
      <c r="CT43" s="2">
        <f>ROUND(AO43*BA43,2)</f>
        <v>0</v>
      </c>
      <c r="CU43" s="2">
        <f>AG43</f>
        <v>0</v>
      </c>
      <c r="CV43" s="2">
        <f>AH43</f>
        <v>0</v>
      </c>
      <c r="CW43" s="2">
        <f>AI43</f>
        <v>0</v>
      </c>
      <c r="CX43" s="2">
        <f>AJ43</f>
        <v>0</v>
      </c>
      <c r="CY43" s="2">
        <f t="shared" ref="CY43:CY49" si="46">(((S43+R43)*AT43)/100)</f>
        <v>-3.7344999999999997</v>
      </c>
      <c r="CZ43" s="2">
        <f t="shared" ref="CZ43:CZ49" si="47">(((S43+R43)*AU43)/100)</f>
        <v>-1.9635</v>
      </c>
      <c r="DA43" s="2"/>
      <c r="DB43" s="2"/>
      <c r="DC43" s="2" t="s">
        <v>3</v>
      </c>
      <c r="DD43" s="2" t="s">
        <v>3</v>
      </c>
      <c r="DE43" s="2" t="s">
        <v>3</v>
      </c>
      <c r="DF43" s="2" t="s">
        <v>3</v>
      </c>
      <c r="DG43" s="2" t="s">
        <v>3</v>
      </c>
      <c r="DH43" s="2" t="s">
        <v>3</v>
      </c>
      <c r="DI43" s="2" t="s">
        <v>3</v>
      </c>
      <c r="DJ43" s="2" t="s">
        <v>3</v>
      </c>
      <c r="DK43" s="2" t="s">
        <v>3</v>
      </c>
      <c r="DL43" s="2" t="s">
        <v>3</v>
      </c>
      <c r="DM43" s="2" t="s">
        <v>3</v>
      </c>
      <c r="DN43" s="2">
        <v>0</v>
      </c>
      <c r="DO43" s="2">
        <v>0</v>
      </c>
      <c r="DP43" s="2">
        <v>1</v>
      </c>
      <c r="DQ43" s="2">
        <v>1</v>
      </c>
      <c r="DR43" s="2"/>
      <c r="DS43" s="2"/>
      <c r="DT43" s="2"/>
      <c r="DU43" s="2">
        <v>1011</v>
      </c>
      <c r="DV43" s="2" t="s">
        <v>29</v>
      </c>
      <c r="DW43" s="2" t="s">
        <v>29</v>
      </c>
      <c r="DX43" s="2">
        <v>1</v>
      </c>
      <c r="DY43" s="2"/>
      <c r="DZ43" s="2" t="s">
        <v>3</v>
      </c>
      <c r="EA43" s="2" t="s">
        <v>3</v>
      </c>
      <c r="EB43" s="2" t="s">
        <v>3</v>
      </c>
      <c r="EC43" s="2" t="s">
        <v>3</v>
      </c>
      <c r="ED43" s="2"/>
      <c r="EE43" s="2">
        <v>84053775</v>
      </c>
      <c r="EF43" s="2">
        <v>3</v>
      </c>
      <c r="EG43" s="2" t="s">
        <v>48</v>
      </c>
      <c r="EH43" s="2">
        <v>0</v>
      </c>
      <c r="EI43" s="2" t="s">
        <v>3</v>
      </c>
      <c r="EJ43" s="2">
        <v>2</v>
      </c>
      <c r="EK43" s="2">
        <v>108001</v>
      </c>
      <c r="EL43" s="2" t="s">
        <v>49</v>
      </c>
      <c r="EM43" s="2" t="s">
        <v>50</v>
      </c>
      <c r="EN43" s="2"/>
      <c r="EO43" s="2" t="s">
        <v>3</v>
      </c>
      <c r="EP43" s="2"/>
      <c r="EQ43" s="2">
        <v>0</v>
      </c>
      <c r="ER43" s="2">
        <v>37.32</v>
      </c>
      <c r="ES43" s="2">
        <v>0</v>
      </c>
      <c r="ET43" s="2">
        <v>37.32</v>
      </c>
      <c r="EU43" s="2">
        <v>641.22</v>
      </c>
      <c r="EV43" s="2">
        <v>0</v>
      </c>
      <c r="EW43" s="2">
        <v>0</v>
      </c>
      <c r="EX43" s="2">
        <v>0</v>
      </c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>
        <v>0</v>
      </c>
      <c r="FR43" s="2">
        <v>0</v>
      </c>
      <c r="FS43" s="2">
        <v>1</v>
      </c>
      <c r="FT43" s="2"/>
      <c r="FU43" s="2"/>
      <c r="FV43" s="2"/>
      <c r="FW43" s="2"/>
      <c r="FX43" s="2">
        <v>97</v>
      </c>
      <c r="FY43" s="2">
        <v>51</v>
      </c>
      <c r="FZ43" s="2"/>
      <c r="GA43" s="2" t="s">
        <v>3</v>
      </c>
      <c r="GB43" s="2"/>
      <c r="GC43" s="2"/>
      <c r="GD43" s="2">
        <v>1</v>
      </c>
      <c r="GE43" s="2"/>
      <c r="GF43" s="2">
        <v>945201097</v>
      </c>
      <c r="GG43" s="2">
        <v>2</v>
      </c>
      <c r="GH43" s="2">
        <v>1</v>
      </c>
      <c r="GI43" s="2">
        <v>2</v>
      </c>
      <c r="GJ43" s="2">
        <v>0</v>
      </c>
      <c r="GK43" s="2">
        <v>0</v>
      </c>
      <c r="GL43" s="2">
        <f t="shared" si="34"/>
        <v>0</v>
      </c>
      <c r="GM43" s="2">
        <f t="shared" si="35"/>
        <v>-9.8800000000000008</v>
      </c>
      <c r="GN43" s="2">
        <f t="shared" si="36"/>
        <v>0</v>
      </c>
      <c r="GO43" s="2">
        <f t="shared" si="37"/>
        <v>-9.8800000000000008</v>
      </c>
      <c r="GP43" s="2">
        <f t="shared" si="38"/>
        <v>0</v>
      </c>
      <c r="GQ43" s="2"/>
      <c r="GR43" s="2">
        <v>0</v>
      </c>
      <c r="GS43" s="2">
        <v>7</v>
      </c>
      <c r="GT43" s="2">
        <v>0</v>
      </c>
      <c r="GU43" s="2" t="s">
        <v>3</v>
      </c>
      <c r="GV43" s="2">
        <f t="shared" si="39"/>
        <v>0</v>
      </c>
      <c r="GW43" s="2">
        <v>1</v>
      </c>
      <c r="GX43" s="2">
        <f t="shared" si="40"/>
        <v>0</v>
      </c>
      <c r="GY43" s="2"/>
      <c r="GZ43" s="2"/>
      <c r="HA43" s="2">
        <v>0</v>
      </c>
      <c r="HB43" s="2">
        <v>0</v>
      </c>
      <c r="HC43" s="2">
        <f t="shared" ref="HC43:HC49" si="48">GV43*GW43</f>
        <v>0</v>
      </c>
      <c r="HD43" s="2"/>
      <c r="HE43" s="2" t="s">
        <v>3</v>
      </c>
      <c r="HF43" s="2" t="s">
        <v>3</v>
      </c>
      <c r="HG43" s="2"/>
      <c r="HH43" s="2"/>
      <c r="HI43" s="2"/>
      <c r="HJ43" s="2"/>
      <c r="HK43" s="2"/>
      <c r="HL43" s="2"/>
      <c r="HM43" s="2" t="s">
        <v>3</v>
      </c>
      <c r="HN43" s="2" t="s">
        <v>52</v>
      </c>
      <c r="HO43" s="2" t="s">
        <v>53</v>
      </c>
      <c r="HP43" s="2" t="s">
        <v>49</v>
      </c>
      <c r="HQ43" s="2" t="s">
        <v>49</v>
      </c>
      <c r="HR43" s="2"/>
      <c r="HS43" s="2">
        <v>0</v>
      </c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>
        <v>0</v>
      </c>
      <c r="IL43" s="2"/>
      <c r="IM43" s="2"/>
      <c r="IN43" s="2"/>
      <c r="IO43" s="2"/>
      <c r="IP43" s="2"/>
      <c r="IQ43" s="2"/>
      <c r="IR43" s="2"/>
      <c r="IS43" s="2"/>
      <c r="IT43" s="2"/>
      <c r="IU43" s="2"/>
    </row>
    <row r="44" spans="1:255" x14ac:dyDescent="0.2">
      <c r="A44" s="2">
        <v>17</v>
      </c>
      <c r="B44" s="2">
        <v>1</v>
      </c>
      <c r="C44" s="2">
        <f>ROW(SmtRes!A53)</f>
        <v>53</v>
      </c>
      <c r="D44" s="2">
        <f>ROW(EtalonRes!A47)</f>
        <v>47</v>
      </c>
      <c r="E44" s="2" t="s">
        <v>81</v>
      </c>
      <c r="F44" s="2" t="s">
        <v>82</v>
      </c>
      <c r="G44" s="2" t="s">
        <v>83</v>
      </c>
      <c r="H44" s="2" t="s">
        <v>61</v>
      </c>
      <c r="I44" s="2">
        <f>ROUND((50)/100,7)</f>
        <v>0.5</v>
      </c>
      <c r="J44" s="2">
        <v>0</v>
      </c>
      <c r="K44" s="2">
        <f>ROUND((50)/100,7)</f>
        <v>0.5</v>
      </c>
      <c r="L44" s="2"/>
      <c r="M44" s="2"/>
      <c r="N44" s="2"/>
      <c r="O44" s="2">
        <f t="shared" si="44"/>
        <v>7442.26</v>
      </c>
      <c r="P44" s="2">
        <f>SUMIF(SmtRes!AQ42:'SmtRes'!AQ53,"=1",SmtRes!DF42:'SmtRes'!DF53)</f>
        <v>184.85999999999999</v>
      </c>
      <c r="Q44" s="2">
        <f>SUMIF(SmtRes!AQ42:'SmtRes'!AQ53,"=1",SmtRes!DG42:'SmtRes'!DG53)</f>
        <v>0</v>
      </c>
      <c r="R44" s="2">
        <f>SUMIF(SmtRes!AQ42:'SmtRes'!AQ53,"=1",SmtRes!DH42:'SmtRes'!DH53)</f>
        <v>0</v>
      </c>
      <c r="S44" s="2">
        <f>SUMIF(SmtRes!AQ42:'SmtRes'!AQ53,"=1",SmtRes!DI42:'SmtRes'!DI53)</f>
        <v>7257.4</v>
      </c>
      <c r="T44" s="2">
        <f t="shared" si="22"/>
        <v>0</v>
      </c>
      <c r="U44" s="2">
        <f>SUMIF(SmtRes!AQ42:'SmtRes'!AQ53,"=1",SmtRes!CV42:'SmtRes'!CV53)</f>
        <v>10.164999999999999</v>
      </c>
      <c r="V44" s="2">
        <f>SUMIF(SmtRes!AQ42:'SmtRes'!AQ53,"=1",SmtRes!CW42:'SmtRes'!CW53)</f>
        <v>0</v>
      </c>
      <c r="W44" s="2">
        <f t="shared" si="23"/>
        <v>0</v>
      </c>
      <c r="X44" s="2">
        <f t="shared" si="24"/>
        <v>7039.68</v>
      </c>
      <c r="Y44" s="2">
        <f t="shared" si="25"/>
        <v>3701.27</v>
      </c>
      <c r="Z44" s="2"/>
      <c r="AA44" s="2">
        <v>85997836</v>
      </c>
      <c r="AB44" s="2">
        <f t="shared" si="26"/>
        <v>14813.980056</v>
      </c>
      <c r="AC44" s="2">
        <f>ROUND((SUM(SmtRes!BQ42:'SmtRes'!BQ53)),6)</f>
        <v>299.17325599999998</v>
      </c>
      <c r="AD44" s="2">
        <f>ROUND((((0)-(0))+AE44),6)</f>
        <v>0</v>
      </c>
      <c r="AE44" s="2">
        <f>ROUND((0),6)</f>
        <v>0</v>
      </c>
      <c r="AF44" s="2">
        <f>ROUND((SUM(SmtRes!BT42:'SmtRes'!BT53)),6)</f>
        <v>14514.8068</v>
      </c>
      <c r="AG44" s="2">
        <f t="shared" si="27"/>
        <v>0</v>
      </c>
      <c r="AH44" s="2">
        <f>(SUM(SmtRes!BU42:'SmtRes'!BU53))</f>
        <v>20.329999999999998</v>
      </c>
      <c r="AI44" s="2">
        <f>(0)</f>
        <v>0</v>
      </c>
      <c r="AJ44" s="2">
        <f t="shared" si="28"/>
        <v>0</v>
      </c>
      <c r="AK44" s="2">
        <v>14813.980056</v>
      </c>
      <c r="AL44" s="2">
        <v>299.17325599999998</v>
      </c>
      <c r="AM44" s="2">
        <v>0</v>
      </c>
      <c r="AN44" s="2">
        <v>0</v>
      </c>
      <c r="AO44" s="2">
        <v>14514.8068</v>
      </c>
      <c r="AP44" s="2">
        <v>0</v>
      </c>
      <c r="AQ44" s="2">
        <v>20.329999999999998</v>
      </c>
      <c r="AR44" s="2">
        <v>0.01</v>
      </c>
      <c r="AS44" s="2">
        <v>0</v>
      </c>
      <c r="AT44" s="2">
        <v>97</v>
      </c>
      <c r="AU44" s="2">
        <v>51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0</v>
      </c>
      <c r="BI44" s="2">
        <v>2</v>
      </c>
      <c r="BJ44" s="2" t="s">
        <v>84</v>
      </c>
      <c r="BK44" s="2"/>
      <c r="BL44" s="2"/>
      <c r="BM44" s="2">
        <v>108001</v>
      </c>
      <c r="BN44" s="2">
        <v>0</v>
      </c>
      <c r="BO44" s="2" t="s">
        <v>3</v>
      </c>
      <c r="BP44" s="2">
        <v>0</v>
      </c>
      <c r="BQ44" s="2">
        <v>3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97</v>
      </c>
      <c r="CA44" s="2">
        <v>51</v>
      </c>
      <c r="CB44" s="2" t="s">
        <v>3</v>
      </c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</v>
      </c>
      <c r="CO44" s="2">
        <v>0</v>
      </c>
      <c r="CP44" s="2">
        <f t="shared" si="45"/>
        <v>7442.2599999999993</v>
      </c>
      <c r="CQ44" s="2">
        <f>SUMIF(SmtRes!AQ42:'SmtRes'!AQ53,"=1",SmtRes!AA42:'SmtRes'!AA53)</f>
        <v>128299.93</v>
      </c>
      <c r="CR44" s="2">
        <f>SUMIF(SmtRes!AQ42:'SmtRes'!AQ53,"=1",SmtRes!AB42:'SmtRes'!AB53)</f>
        <v>0</v>
      </c>
      <c r="CS44" s="2">
        <f>SUMIF(SmtRes!AQ42:'SmtRes'!AQ53,"=1",SmtRes!AC42:'SmtRes'!AC53)</f>
        <v>0</v>
      </c>
      <c r="CT44" s="2">
        <f>SUMIF(SmtRes!AQ42:'SmtRes'!AQ53,"=1",SmtRes!AD42:'SmtRes'!AD53)</f>
        <v>713.96</v>
      </c>
      <c r="CU44" s="2">
        <f t="shared" ref="CU44:CU49" si="49">AG44</f>
        <v>0</v>
      </c>
      <c r="CV44" s="2">
        <f>SUMIF(SmtRes!AQ42:'SmtRes'!AQ53,"=1",SmtRes!BU42:'SmtRes'!BU53)</f>
        <v>20.329999999999998</v>
      </c>
      <c r="CW44" s="2">
        <f>SUMIF(SmtRes!AQ42:'SmtRes'!AQ53,"=1",SmtRes!BV42:'SmtRes'!BV53)</f>
        <v>0</v>
      </c>
      <c r="CX44" s="2">
        <f t="shared" ref="CX44:CX49" si="50">AJ44</f>
        <v>0</v>
      </c>
      <c r="CY44" s="2">
        <f t="shared" si="46"/>
        <v>7039.677999999999</v>
      </c>
      <c r="CZ44" s="2">
        <f t="shared" si="47"/>
        <v>3701.2739999999994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1003</v>
      </c>
      <c r="DV44" s="2" t="s">
        <v>61</v>
      </c>
      <c r="DW44" s="2" t="s">
        <v>61</v>
      </c>
      <c r="DX44" s="2">
        <v>100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84053775</v>
      </c>
      <c r="EF44" s="2">
        <v>3</v>
      </c>
      <c r="EG44" s="2" t="s">
        <v>48</v>
      </c>
      <c r="EH44" s="2">
        <v>0</v>
      </c>
      <c r="EI44" s="2" t="s">
        <v>3</v>
      </c>
      <c r="EJ44" s="2">
        <v>2</v>
      </c>
      <c r="EK44" s="2">
        <v>108001</v>
      </c>
      <c r="EL44" s="2" t="s">
        <v>49</v>
      </c>
      <c r="EM44" s="2" t="s">
        <v>50</v>
      </c>
      <c r="EN44" s="2"/>
      <c r="EO44" s="2" t="s">
        <v>3</v>
      </c>
      <c r="EP44" s="2"/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20.329999999999998</v>
      </c>
      <c r="EX44" s="2">
        <v>0.01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v>0</v>
      </c>
      <c r="FS44" s="2">
        <v>0</v>
      </c>
      <c r="FT44" s="2"/>
      <c r="FU44" s="2"/>
      <c r="FV44" s="2"/>
      <c r="FW44" s="2"/>
      <c r="FX44" s="2">
        <v>97</v>
      </c>
      <c r="FY44" s="2">
        <v>51</v>
      </c>
      <c r="FZ44" s="2"/>
      <c r="GA44" s="2" t="s">
        <v>3</v>
      </c>
      <c r="GB44" s="2"/>
      <c r="GC44" s="2"/>
      <c r="GD44" s="2">
        <v>1</v>
      </c>
      <c r="GE44" s="2"/>
      <c r="GF44" s="2">
        <v>-1692553236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34"/>
        <v>0</v>
      </c>
      <c r="GM44" s="2">
        <f t="shared" si="35"/>
        <v>18183.21</v>
      </c>
      <c r="GN44" s="2">
        <f t="shared" si="36"/>
        <v>0</v>
      </c>
      <c r="GO44" s="2">
        <f t="shared" si="37"/>
        <v>18183.21</v>
      </c>
      <c r="GP44" s="2">
        <f t="shared" si="38"/>
        <v>0</v>
      </c>
      <c r="GQ44" s="2"/>
      <c r="GR44" s="2">
        <v>0</v>
      </c>
      <c r="GS44" s="2">
        <v>0</v>
      </c>
      <c r="GT44" s="2">
        <v>0</v>
      </c>
      <c r="GU44" s="2" t="s">
        <v>3</v>
      </c>
      <c r="GV44" s="2">
        <f t="shared" si="39"/>
        <v>0</v>
      </c>
      <c r="GW44" s="2">
        <v>1</v>
      </c>
      <c r="GX44" s="2">
        <f t="shared" si="40"/>
        <v>0</v>
      </c>
      <c r="GY44" s="2"/>
      <c r="GZ44" s="2"/>
      <c r="HA44" s="2">
        <v>0</v>
      </c>
      <c r="HB44" s="2">
        <v>0</v>
      </c>
      <c r="HC44" s="2">
        <f t="shared" si="48"/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52</v>
      </c>
      <c r="HO44" s="2" t="s">
        <v>53</v>
      </c>
      <c r="HP44" s="2" t="s">
        <v>49</v>
      </c>
      <c r="HQ44" s="2" t="s">
        <v>49</v>
      </c>
      <c r="HR44" s="2"/>
      <c r="HS44" s="2">
        <v>0</v>
      </c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 s="2">
        <v>18</v>
      </c>
      <c r="B45" s="2">
        <v>1</v>
      </c>
      <c r="C45" s="2">
        <v>49</v>
      </c>
      <c r="D45" s="2"/>
      <c r="E45" s="2" t="s">
        <v>85</v>
      </c>
      <c r="F45" s="2" t="s">
        <v>86</v>
      </c>
      <c r="G45" s="2" t="s">
        <v>87</v>
      </c>
      <c r="H45" s="2" t="s">
        <v>61</v>
      </c>
      <c r="I45" s="2">
        <f>I44*J45</f>
        <v>0.5</v>
      </c>
      <c r="J45" s="2">
        <v>1</v>
      </c>
      <c r="K45" s="2">
        <v>1</v>
      </c>
      <c r="L45" s="2"/>
      <c r="M45" s="2"/>
      <c r="N45" s="2"/>
      <c r="O45" s="2">
        <f t="shared" si="44"/>
        <v>12143.33</v>
      </c>
      <c r="P45" s="2">
        <f>ROUND(CQ45*I45,2)</f>
        <v>12143.33</v>
      </c>
      <c r="Q45" s="2">
        <f t="shared" ref="Q45:Q51" si="51">ROUND(CR45*I45,2)</f>
        <v>0</v>
      </c>
      <c r="R45" s="2">
        <f t="shared" ref="R45:R51" si="52">ROUND(CS45*I45,2)</f>
        <v>0</v>
      </c>
      <c r="S45" s="2">
        <f t="shared" ref="S45:S51" si="53">ROUND(CT45*I45,2)</f>
        <v>0</v>
      </c>
      <c r="T45" s="2">
        <f t="shared" si="22"/>
        <v>0</v>
      </c>
      <c r="U45" s="2">
        <f t="shared" ref="U45:U51" si="54">ROUND(CV45*I45,7)</f>
        <v>0</v>
      </c>
      <c r="V45" s="2">
        <f t="shared" ref="V45:V51" si="55">ROUND(CW45*I45,7)</f>
        <v>0</v>
      </c>
      <c r="W45" s="2">
        <f t="shared" si="23"/>
        <v>0</v>
      </c>
      <c r="X45" s="2">
        <f t="shared" si="24"/>
        <v>0</v>
      </c>
      <c r="Y45" s="2">
        <f t="shared" si="25"/>
        <v>0</v>
      </c>
      <c r="Z45" s="2"/>
      <c r="AA45" s="2">
        <v>85997836</v>
      </c>
      <c r="AB45" s="2">
        <f t="shared" si="26"/>
        <v>19586.009999999998</v>
      </c>
      <c r="AC45" s="2">
        <f t="shared" ref="AC45:AC51" si="56">ROUND((ES45),6)</f>
        <v>19586.009999999998</v>
      </c>
      <c r="AD45" s="2">
        <f t="shared" ref="AD45:AD51" si="57">ROUND((((ET45)-(EU45))+AE45),6)</f>
        <v>0</v>
      </c>
      <c r="AE45" s="2">
        <f t="shared" ref="AE45:AF51" si="58">ROUND((EU45),6)</f>
        <v>0</v>
      </c>
      <c r="AF45" s="2">
        <f t="shared" si="58"/>
        <v>0</v>
      </c>
      <c r="AG45" s="2">
        <f t="shared" si="27"/>
        <v>0</v>
      </c>
      <c r="AH45" s="2">
        <f t="shared" ref="AH45:AI51" si="59">(EW45)</f>
        <v>0</v>
      </c>
      <c r="AI45" s="2">
        <f t="shared" si="59"/>
        <v>0</v>
      </c>
      <c r="AJ45" s="2">
        <f t="shared" si="28"/>
        <v>0</v>
      </c>
      <c r="AK45" s="2">
        <v>19586.009999999998</v>
      </c>
      <c r="AL45" s="2">
        <v>19586.009999999998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97</v>
      </c>
      <c r="AU45" s="2">
        <v>51</v>
      </c>
      <c r="AV45" s="2">
        <v>1</v>
      </c>
      <c r="AW45" s="2">
        <v>1</v>
      </c>
      <c r="AX45" s="2"/>
      <c r="AY45" s="2"/>
      <c r="AZ45" s="2">
        <v>1</v>
      </c>
      <c r="BA45" s="2">
        <v>1</v>
      </c>
      <c r="BB45" s="2">
        <v>1</v>
      </c>
      <c r="BC45" s="2">
        <v>1.24</v>
      </c>
      <c r="BD45" s="2" t="s">
        <v>3</v>
      </c>
      <c r="BE45" s="2" t="s">
        <v>3</v>
      </c>
      <c r="BF45" s="2" t="s">
        <v>3</v>
      </c>
      <c r="BG45" s="2" t="s">
        <v>3</v>
      </c>
      <c r="BH45" s="2">
        <v>3</v>
      </c>
      <c r="BI45" s="2">
        <v>2</v>
      </c>
      <c r="BJ45" s="2" t="s">
        <v>88</v>
      </c>
      <c r="BK45" s="2"/>
      <c r="BL45" s="2"/>
      <c r="BM45" s="2">
        <v>108001</v>
      </c>
      <c r="BN45" s="2">
        <v>0</v>
      </c>
      <c r="BO45" s="2" t="s">
        <v>86</v>
      </c>
      <c r="BP45" s="2">
        <v>1</v>
      </c>
      <c r="BQ45" s="2">
        <v>3</v>
      </c>
      <c r="BR45" s="2">
        <v>0</v>
      </c>
      <c r="BS45" s="2">
        <v>1</v>
      </c>
      <c r="BT45" s="2">
        <v>1</v>
      </c>
      <c r="BU45" s="2">
        <v>1</v>
      </c>
      <c r="BV45" s="2">
        <v>1</v>
      </c>
      <c r="BW45" s="2">
        <v>1</v>
      </c>
      <c r="BX45" s="2">
        <v>1</v>
      </c>
      <c r="BY45" s="2" t="s">
        <v>3</v>
      </c>
      <c r="BZ45" s="2">
        <v>97</v>
      </c>
      <c r="CA45" s="2">
        <v>51</v>
      </c>
      <c r="CB45" s="2" t="s">
        <v>3</v>
      </c>
      <c r="CC45" s="2"/>
      <c r="CD45" s="2"/>
      <c r="CE45" s="2">
        <v>0</v>
      </c>
      <c r="CF45" s="2">
        <v>0</v>
      </c>
      <c r="CG45" s="2">
        <v>0</v>
      </c>
      <c r="CH45" s="2"/>
      <c r="CI45" s="2"/>
      <c r="CJ45" s="2"/>
      <c r="CK45" s="2"/>
      <c r="CL45" s="2"/>
      <c r="CM45" s="2">
        <v>0</v>
      </c>
      <c r="CN45" s="2" t="s">
        <v>3</v>
      </c>
      <c r="CO45" s="2">
        <v>0</v>
      </c>
      <c r="CP45" s="2">
        <f t="shared" si="45"/>
        <v>12143.33</v>
      </c>
      <c r="CQ45" s="2">
        <f>ROUND(AL45*BC45,2)</f>
        <v>24286.65</v>
      </c>
      <c r="CR45" s="2">
        <f>ROUND(AM45*BB45,2)</f>
        <v>0</v>
      </c>
      <c r="CS45" s="2">
        <f>ROUND(AN45*BS45,2)</f>
        <v>0</v>
      </c>
      <c r="CT45" s="2">
        <f>ROUND(AO45*BA45,2)</f>
        <v>0</v>
      </c>
      <c r="CU45" s="2">
        <f t="shared" si="49"/>
        <v>0</v>
      </c>
      <c r="CV45" s="2">
        <f t="shared" ref="CV45:CW49" si="60">AH45</f>
        <v>0</v>
      </c>
      <c r="CW45" s="2">
        <f t="shared" si="60"/>
        <v>0</v>
      </c>
      <c r="CX45" s="2">
        <f t="shared" si="50"/>
        <v>0</v>
      </c>
      <c r="CY45" s="2">
        <f t="shared" si="46"/>
        <v>0</v>
      </c>
      <c r="CZ45" s="2">
        <f t="shared" si="47"/>
        <v>0</v>
      </c>
      <c r="DA45" s="2"/>
      <c r="DB45" s="2"/>
      <c r="DC45" s="2" t="s">
        <v>3</v>
      </c>
      <c r="DD45" s="2" t="s">
        <v>3</v>
      </c>
      <c r="DE45" s="2" t="s">
        <v>3</v>
      </c>
      <c r="DF45" s="2" t="s">
        <v>3</v>
      </c>
      <c r="DG45" s="2" t="s">
        <v>3</v>
      </c>
      <c r="DH45" s="2" t="s">
        <v>3</v>
      </c>
      <c r="DI45" s="2" t="s">
        <v>3</v>
      </c>
      <c r="DJ45" s="2" t="s">
        <v>3</v>
      </c>
      <c r="DK45" s="2" t="s">
        <v>3</v>
      </c>
      <c r="DL45" s="2" t="s">
        <v>3</v>
      </c>
      <c r="DM45" s="2" t="s">
        <v>3</v>
      </c>
      <c r="DN45" s="2">
        <v>0</v>
      </c>
      <c r="DO45" s="2">
        <v>0</v>
      </c>
      <c r="DP45" s="2">
        <v>1</v>
      </c>
      <c r="DQ45" s="2">
        <v>1</v>
      </c>
      <c r="DR45" s="2"/>
      <c r="DS45" s="2"/>
      <c r="DT45" s="2"/>
      <c r="DU45" s="2">
        <v>1003</v>
      </c>
      <c r="DV45" s="2" t="s">
        <v>61</v>
      </c>
      <c r="DW45" s="2" t="s">
        <v>61</v>
      </c>
      <c r="DX45" s="2">
        <v>100</v>
      </c>
      <c r="DY45" s="2"/>
      <c r="DZ45" s="2" t="s">
        <v>3</v>
      </c>
      <c r="EA45" s="2" t="s">
        <v>3</v>
      </c>
      <c r="EB45" s="2" t="s">
        <v>3</v>
      </c>
      <c r="EC45" s="2" t="s">
        <v>3</v>
      </c>
      <c r="ED45" s="2"/>
      <c r="EE45" s="2">
        <v>84053775</v>
      </c>
      <c r="EF45" s="2">
        <v>3</v>
      </c>
      <c r="EG45" s="2" t="s">
        <v>48</v>
      </c>
      <c r="EH45" s="2">
        <v>0</v>
      </c>
      <c r="EI45" s="2" t="s">
        <v>3</v>
      </c>
      <c r="EJ45" s="2">
        <v>2</v>
      </c>
      <c r="EK45" s="2">
        <v>108001</v>
      </c>
      <c r="EL45" s="2" t="s">
        <v>49</v>
      </c>
      <c r="EM45" s="2" t="s">
        <v>50</v>
      </c>
      <c r="EN45" s="2"/>
      <c r="EO45" s="2" t="s">
        <v>3</v>
      </c>
      <c r="EP45" s="2"/>
      <c r="EQ45" s="2">
        <v>0</v>
      </c>
      <c r="ER45" s="2">
        <v>19586.009999999998</v>
      </c>
      <c r="ES45" s="2">
        <v>19586.009999999998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>
        <v>0</v>
      </c>
      <c r="FR45" s="2">
        <v>0</v>
      </c>
      <c r="FS45" s="2">
        <v>0</v>
      </c>
      <c r="FT45" s="2"/>
      <c r="FU45" s="2"/>
      <c r="FV45" s="2"/>
      <c r="FW45" s="2"/>
      <c r="FX45" s="2">
        <v>97</v>
      </c>
      <c r="FY45" s="2">
        <v>51</v>
      </c>
      <c r="FZ45" s="2"/>
      <c r="GA45" s="2" t="s">
        <v>3</v>
      </c>
      <c r="GB45" s="2"/>
      <c r="GC45" s="2"/>
      <c r="GD45" s="2">
        <v>1</v>
      </c>
      <c r="GE45" s="2"/>
      <c r="GF45" s="2">
        <v>1929499894</v>
      </c>
      <c r="GG45" s="2">
        <v>2</v>
      </c>
      <c r="GH45" s="2">
        <v>1</v>
      </c>
      <c r="GI45" s="2">
        <v>2</v>
      </c>
      <c r="GJ45" s="2">
        <v>0</v>
      </c>
      <c r="GK45" s="2">
        <v>0</v>
      </c>
      <c r="GL45" s="2">
        <f t="shared" si="34"/>
        <v>0</v>
      </c>
      <c r="GM45" s="2">
        <f t="shared" si="35"/>
        <v>12143.33</v>
      </c>
      <c r="GN45" s="2">
        <f t="shared" si="36"/>
        <v>0</v>
      </c>
      <c r="GO45" s="2">
        <f t="shared" si="37"/>
        <v>12143.33</v>
      </c>
      <c r="GP45" s="2">
        <f t="shared" si="38"/>
        <v>0</v>
      </c>
      <c r="GQ45" s="2"/>
      <c r="GR45" s="2">
        <v>0</v>
      </c>
      <c r="GS45" s="2">
        <v>0</v>
      </c>
      <c r="GT45" s="2">
        <v>0</v>
      </c>
      <c r="GU45" s="2" t="s">
        <v>3</v>
      </c>
      <c r="GV45" s="2">
        <f t="shared" si="39"/>
        <v>0</v>
      </c>
      <c r="GW45" s="2">
        <v>1</v>
      </c>
      <c r="GX45" s="2">
        <f t="shared" si="40"/>
        <v>0</v>
      </c>
      <c r="GY45" s="2"/>
      <c r="GZ45" s="2"/>
      <c r="HA45" s="2">
        <v>0</v>
      </c>
      <c r="HB45" s="2">
        <v>0</v>
      </c>
      <c r="HC45" s="2">
        <f t="shared" si="48"/>
        <v>0</v>
      </c>
      <c r="HD45" s="2"/>
      <c r="HE45" s="2" t="s">
        <v>3</v>
      </c>
      <c r="HF45" s="2" t="s">
        <v>3</v>
      </c>
      <c r="HG45" s="2"/>
      <c r="HH45" s="2"/>
      <c r="HI45" s="2"/>
      <c r="HJ45" s="2"/>
      <c r="HK45" s="2"/>
      <c r="HL45" s="2"/>
      <c r="HM45" s="2" t="s">
        <v>3</v>
      </c>
      <c r="HN45" s="2" t="s">
        <v>52</v>
      </c>
      <c r="HO45" s="2" t="s">
        <v>53</v>
      </c>
      <c r="HP45" s="2" t="s">
        <v>49</v>
      </c>
      <c r="HQ45" s="2" t="s">
        <v>49</v>
      </c>
      <c r="HR45" s="2"/>
      <c r="HS45" s="2">
        <v>0</v>
      </c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>
        <v>0</v>
      </c>
      <c r="IL45" s="2"/>
      <c r="IM45" s="2"/>
      <c r="IN45" s="2"/>
      <c r="IO45" s="2"/>
      <c r="IP45" s="2"/>
      <c r="IQ45" s="2"/>
      <c r="IR45" s="2"/>
      <c r="IS45" s="2"/>
      <c r="IT45" s="2"/>
      <c r="IU45" s="2"/>
    </row>
    <row r="46" spans="1:255" x14ac:dyDescent="0.2">
      <c r="A46" s="2">
        <v>18</v>
      </c>
      <c r="B46" s="2">
        <v>1</v>
      </c>
      <c r="C46" s="2">
        <v>48</v>
      </c>
      <c r="D46" s="2"/>
      <c r="E46" s="2" t="s">
        <v>89</v>
      </c>
      <c r="F46" s="2" t="s">
        <v>90</v>
      </c>
      <c r="G46" s="2" t="s">
        <v>91</v>
      </c>
      <c r="H46" s="2" t="s">
        <v>20</v>
      </c>
      <c r="I46" s="2">
        <f>I44*J46</f>
        <v>0.04</v>
      </c>
      <c r="J46" s="2">
        <v>0.08</v>
      </c>
      <c r="K46" s="2">
        <v>0.08</v>
      </c>
      <c r="L46" s="2"/>
      <c r="M46" s="2"/>
      <c r="N46" s="2"/>
      <c r="O46" s="2">
        <f t="shared" si="44"/>
        <v>772.11</v>
      </c>
      <c r="P46" s="2">
        <f>ROUND(CQ46*I46,2)</f>
        <v>772.11</v>
      </c>
      <c r="Q46" s="2">
        <f t="shared" si="51"/>
        <v>0</v>
      </c>
      <c r="R46" s="2">
        <f t="shared" si="52"/>
        <v>0</v>
      </c>
      <c r="S46" s="2">
        <f t="shared" si="53"/>
        <v>0</v>
      </c>
      <c r="T46" s="2">
        <f t="shared" si="22"/>
        <v>0</v>
      </c>
      <c r="U46" s="2">
        <f t="shared" si="54"/>
        <v>0</v>
      </c>
      <c r="V46" s="2">
        <f t="shared" si="55"/>
        <v>0</v>
      </c>
      <c r="W46" s="2">
        <f t="shared" si="23"/>
        <v>0</v>
      </c>
      <c r="X46" s="2">
        <f t="shared" si="24"/>
        <v>0</v>
      </c>
      <c r="Y46" s="2">
        <f t="shared" si="25"/>
        <v>0</v>
      </c>
      <c r="Z46" s="2"/>
      <c r="AA46" s="2">
        <v>85997836</v>
      </c>
      <c r="AB46" s="2">
        <f t="shared" si="26"/>
        <v>15566.73</v>
      </c>
      <c r="AC46" s="2">
        <f t="shared" si="56"/>
        <v>15566.73</v>
      </c>
      <c r="AD46" s="2">
        <f t="shared" si="57"/>
        <v>0</v>
      </c>
      <c r="AE46" s="2">
        <f t="shared" si="58"/>
        <v>0</v>
      </c>
      <c r="AF46" s="2">
        <f t="shared" si="58"/>
        <v>0</v>
      </c>
      <c r="AG46" s="2">
        <f t="shared" si="27"/>
        <v>0</v>
      </c>
      <c r="AH46" s="2">
        <f t="shared" si="59"/>
        <v>0</v>
      </c>
      <c r="AI46" s="2">
        <f t="shared" si="59"/>
        <v>0</v>
      </c>
      <c r="AJ46" s="2">
        <f t="shared" si="28"/>
        <v>0</v>
      </c>
      <c r="AK46" s="2">
        <v>15566.73</v>
      </c>
      <c r="AL46" s="2">
        <v>15566.73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97</v>
      </c>
      <c r="AU46" s="2">
        <v>51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1.24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3</v>
      </c>
      <c r="BI46" s="2">
        <v>2</v>
      </c>
      <c r="BJ46" s="2" t="s">
        <v>92</v>
      </c>
      <c r="BK46" s="2"/>
      <c r="BL46" s="2"/>
      <c r="BM46" s="2">
        <v>108001</v>
      </c>
      <c r="BN46" s="2">
        <v>0</v>
      </c>
      <c r="BO46" s="2" t="s">
        <v>90</v>
      </c>
      <c r="BP46" s="2">
        <v>1</v>
      </c>
      <c r="BQ46" s="2">
        <v>3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97</v>
      </c>
      <c r="CA46" s="2">
        <v>51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</v>
      </c>
      <c r="CO46" s="2">
        <v>0</v>
      </c>
      <c r="CP46" s="2">
        <f t="shared" si="45"/>
        <v>772.11</v>
      </c>
      <c r="CQ46" s="2">
        <f>ROUND(AL46*BC46,2)</f>
        <v>19302.75</v>
      </c>
      <c r="CR46" s="2">
        <f>ROUND(AM46*BB46,2)</f>
        <v>0</v>
      </c>
      <c r="CS46" s="2">
        <f>ROUND(AN46*BS46,2)</f>
        <v>0</v>
      </c>
      <c r="CT46" s="2">
        <f>ROUND(AO46*BA46,2)</f>
        <v>0</v>
      </c>
      <c r="CU46" s="2">
        <f t="shared" si="49"/>
        <v>0</v>
      </c>
      <c r="CV46" s="2">
        <f t="shared" si="60"/>
        <v>0</v>
      </c>
      <c r="CW46" s="2">
        <f t="shared" si="60"/>
        <v>0</v>
      </c>
      <c r="CX46" s="2">
        <f t="shared" si="50"/>
        <v>0</v>
      </c>
      <c r="CY46" s="2">
        <f t="shared" si="46"/>
        <v>0</v>
      </c>
      <c r="CZ46" s="2">
        <f t="shared" si="47"/>
        <v>0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1013</v>
      </c>
      <c r="DV46" s="2" t="s">
        <v>20</v>
      </c>
      <c r="DW46" s="2" t="s">
        <v>20</v>
      </c>
      <c r="DX46" s="2">
        <v>1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84053775</v>
      </c>
      <c r="EF46" s="2">
        <v>3</v>
      </c>
      <c r="EG46" s="2" t="s">
        <v>48</v>
      </c>
      <c r="EH46" s="2">
        <v>0</v>
      </c>
      <c r="EI46" s="2" t="s">
        <v>3</v>
      </c>
      <c r="EJ46" s="2">
        <v>2</v>
      </c>
      <c r="EK46" s="2">
        <v>108001</v>
      </c>
      <c r="EL46" s="2" t="s">
        <v>49</v>
      </c>
      <c r="EM46" s="2" t="s">
        <v>50</v>
      </c>
      <c r="EN46" s="2"/>
      <c r="EO46" s="2" t="s">
        <v>3</v>
      </c>
      <c r="EP46" s="2"/>
      <c r="EQ46" s="2">
        <v>0</v>
      </c>
      <c r="ER46" s="2">
        <v>15566.73</v>
      </c>
      <c r="ES46" s="2">
        <v>15566.73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v>0</v>
      </c>
      <c r="FS46" s="2">
        <v>0</v>
      </c>
      <c r="FT46" s="2"/>
      <c r="FU46" s="2"/>
      <c r="FV46" s="2"/>
      <c r="FW46" s="2"/>
      <c r="FX46" s="2">
        <v>97</v>
      </c>
      <c r="FY46" s="2">
        <v>51</v>
      </c>
      <c r="FZ46" s="2"/>
      <c r="GA46" s="2" t="s">
        <v>3</v>
      </c>
      <c r="GB46" s="2"/>
      <c r="GC46" s="2"/>
      <c r="GD46" s="2">
        <v>1</v>
      </c>
      <c r="GE46" s="2"/>
      <c r="GF46" s="2">
        <v>-879289817</v>
      </c>
      <c r="GG46" s="2">
        <v>2</v>
      </c>
      <c r="GH46" s="2">
        <v>1</v>
      </c>
      <c r="GI46" s="2">
        <v>2</v>
      </c>
      <c r="GJ46" s="2">
        <v>0</v>
      </c>
      <c r="GK46" s="2">
        <v>0</v>
      </c>
      <c r="GL46" s="2">
        <f t="shared" si="34"/>
        <v>0</v>
      </c>
      <c r="GM46" s="2">
        <f t="shared" si="35"/>
        <v>772.11</v>
      </c>
      <c r="GN46" s="2">
        <f t="shared" si="36"/>
        <v>0</v>
      </c>
      <c r="GO46" s="2">
        <f t="shared" si="37"/>
        <v>772.11</v>
      </c>
      <c r="GP46" s="2">
        <f t="shared" si="38"/>
        <v>0</v>
      </c>
      <c r="GQ46" s="2"/>
      <c r="GR46" s="2">
        <v>0</v>
      </c>
      <c r="GS46" s="2">
        <v>0</v>
      </c>
      <c r="GT46" s="2">
        <v>0</v>
      </c>
      <c r="GU46" s="2" t="s">
        <v>3</v>
      </c>
      <c r="GV46" s="2">
        <f t="shared" si="39"/>
        <v>0</v>
      </c>
      <c r="GW46" s="2">
        <v>1</v>
      </c>
      <c r="GX46" s="2">
        <f t="shared" si="40"/>
        <v>0</v>
      </c>
      <c r="GY46" s="2"/>
      <c r="GZ46" s="2"/>
      <c r="HA46" s="2">
        <v>0</v>
      </c>
      <c r="HB46" s="2">
        <v>0</v>
      </c>
      <c r="HC46" s="2">
        <f t="shared" si="48"/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52</v>
      </c>
      <c r="HO46" s="2" t="s">
        <v>53</v>
      </c>
      <c r="HP46" s="2" t="s">
        <v>49</v>
      </c>
      <c r="HQ46" s="2" t="s">
        <v>49</v>
      </c>
      <c r="HR46" s="2"/>
      <c r="HS46" s="2">
        <v>0</v>
      </c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 s="2">
        <v>18</v>
      </c>
      <c r="B47" s="2">
        <v>1</v>
      </c>
      <c r="C47" s="2">
        <v>52</v>
      </c>
      <c r="D47" s="2"/>
      <c r="E47" s="2" t="s">
        <v>93</v>
      </c>
      <c r="F47" s="2" t="s">
        <v>94</v>
      </c>
      <c r="G47" s="2" t="s">
        <v>95</v>
      </c>
      <c r="H47" s="2" t="s">
        <v>20</v>
      </c>
      <c r="I47" s="2">
        <f>I44*J47</f>
        <v>0.04</v>
      </c>
      <c r="J47" s="2">
        <v>0.08</v>
      </c>
      <c r="K47" s="2">
        <v>0.08</v>
      </c>
      <c r="L47" s="2"/>
      <c r="M47" s="2"/>
      <c r="N47" s="2"/>
      <c r="O47" s="2">
        <f t="shared" si="44"/>
        <v>247.4</v>
      </c>
      <c r="P47" s="2">
        <f>ROUND(CQ47*I47,2)</f>
        <v>247.4</v>
      </c>
      <c r="Q47" s="2">
        <f t="shared" si="51"/>
        <v>0</v>
      </c>
      <c r="R47" s="2">
        <f t="shared" si="52"/>
        <v>0</v>
      </c>
      <c r="S47" s="2">
        <f t="shared" si="53"/>
        <v>0</v>
      </c>
      <c r="T47" s="2">
        <f t="shared" si="22"/>
        <v>0</v>
      </c>
      <c r="U47" s="2">
        <f t="shared" si="54"/>
        <v>0</v>
      </c>
      <c r="V47" s="2">
        <f t="shared" si="55"/>
        <v>0</v>
      </c>
      <c r="W47" s="2">
        <f t="shared" si="23"/>
        <v>0</v>
      </c>
      <c r="X47" s="2">
        <f t="shared" si="24"/>
        <v>0</v>
      </c>
      <c r="Y47" s="2">
        <f t="shared" si="25"/>
        <v>0</v>
      </c>
      <c r="Z47" s="2"/>
      <c r="AA47" s="2">
        <v>85997836</v>
      </c>
      <c r="AB47" s="2">
        <f t="shared" si="26"/>
        <v>4987.88</v>
      </c>
      <c r="AC47" s="2">
        <f t="shared" si="56"/>
        <v>4987.88</v>
      </c>
      <c r="AD47" s="2">
        <f t="shared" si="57"/>
        <v>0</v>
      </c>
      <c r="AE47" s="2">
        <f t="shared" si="58"/>
        <v>0</v>
      </c>
      <c r="AF47" s="2">
        <f t="shared" si="58"/>
        <v>0</v>
      </c>
      <c r="AG47" s="2">
        <f t="shared" si="27"/>
        <v>0</v>
      </c>
      <c r="AH47" s="2">
        <f t="shared" si="59"/>
        <v>0</v>
      </c>
      <c r="AI47" s="2">
        <f t="shared" si="59"/>
        <v>0</v>
      </c>
      <c r="AJ47" s="2">
        <f t="shared" si="28"/>
        <v>0</v>
      </c>
      <c r="AK47" s="2">
        <v>4987.88</v>
      </c>
      <c r="AL47" s="2">
        <v>4987.88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97</v>
      </c>
      <c r="AU47" s="2">
        <v>51</v>
      </c>
      <c r="AV47" s="2">
        <v>1</v>
      </c>
      <c r="AW47" s="2">
        <v>1</v>
      </c>
      <c r="AX47" s="2"/>
      <c r="AY47" s="2"/>
      <c r="AZ47" s="2">
        <v>1</v>
      </c>
      <c r="BA47" s="2">
        <v>1</v>
      </c>
      <c r="BB47" s="2">
        <v>1</v>
      </c>
      <c r="BC47" s="2">
        <v>1.24</v>
      </c>
      <c r="BD47" s="2" t="s">
        <v>3</v>
      </c>
      <c r="BE47" s="2" t="s">
        <v>3</v>
      </c>
      <c r="BF47" s="2" t="s">
        <v>3</v>
      </c>
      <c r="BG47" s="2" t="s">
        <v>3</v>
      </c>
      <c r="BH47" s="2">
        <v>3</v>
      </c>
      <c r="BI47" s="2">
        <v>2</v>
      </c>
      <c r="BJ47" s="2" t="s">
        <v>96</v>
      </c>
      <c r="BK47" s="2"/>
      <c r="BL47" s="2"/>
      <c r="BM47" s="2">
        <v>108001</v>
      </c>
      <c r="BN47" s="2">
        <v>0</v>
      </c>
      <c r="BO47" s="2" t="s">
        <v>94</v>
      </c>
      <c r="BP47" s="2">
        <v>1</v>
      </c>
      <c r="BQ47" s="2">
        <v>3</v>
      </c>
      <c r="BR47" s="2">
        <v>0</v>
      </c>
      <c r="BS47" s="2">
        <v>1</v>
      </c>
      <c r="BT47" s="2">
        <v>1</v>
      </c>
      <c r="BU47" s="2">
        <v>1</v>
      </c>
      <c r="BV47" s="2">
        <v>1</v>
      </c>
      <c r="BW47" s="2">
        <v>1</v>
      </c>
      <c r="BX47" s="2">
        <v>1</v>
      </c>
      <c r="BY47" s="2" t="s">
        <v>3</v>
      </c>
      <c r="BZ47" s="2">
        <v>97</v>
      </c>
      <c r="CA47" s="2">
        <v>51</v>
      </c>
      <c r="CB47" s="2" t="s">
        <v>3</v>
      </c>
      <c r="CC47" s="2"/>
      <c r="CD47" s="2"/>
      <c r="CE47" s="2">
        <v>0</v>
      </c>
      <c r="CF47" s="2">
        <v>0</v>
      </c>
      <c r="CG47" s="2">
        <v>0</v>
      </c>
      <c r="CH47" s="2"/>
      <c r="CI47" s="2"/>
      <c r="CJ47" s="2"/>
      <c r="CK47" s="2"/>
      <c r="CL47" s="2"/>
      <c r="CM47" s="2">
        <v>0</v>
      </c>
      <c r="CN47" s="2" t="s">
        <v>3</v>
      </c>
      <c r="CO47" s="2">
        <v>0</v>
      </c>
      <c r="CP47" s="2">
        <f t="shared" si="45"/>
        <v>247.4</v>
      </c>
      <c r="CQ47" s="2">
        <f>ROUND(AL47*BC47,2)</f>
        <v>6184.97</v>
      </c>
      <c r="CR47" s="2">
        <f>ROUND(AM47*BB47,2)</f>
        <v>0</v>
      </c>
      <c r="CS47" s="2">
        <f>ROUND(AN47*BS47,2)</f>
        <v>0</v>
      </c>
      <c r="CT47" s="2">
        <f>ROUND(AO47*BA47,2)</f>
        <v>0</v>
      </c>
      <c r="CU47" s="2">
        <f t="shared" si="49"/>
        <v>0</v>
      </c>
      <c r="CV47" s="2">
        <f t="shared" si="60"/>
        <v>0</v>
      </c>
      <c r="CW47" s="2">
        <f t="shared" si="60"/>
        <v>0</v>
      </c>
      <c r="CX47" s="2">
        <f t="shared" si="50"/>
        <v>0</v>
      </c>
      <c r="CY47" s="2">
        <f t="shared" si="46"/>
        <v>0</v>
      </c>
      <c r="CZ47" s="2">
        <f t="shared" si="47"/>
        <v>0</v>
      </c>
      <c r="DA47" s="2"/>
      <c r="DB47" s="2"/>
      <c r="DC47" s="2" t="s">
        <v>3</v>
      </c>
      <c r="DD47" s="2" t="s">
        <v>3</v>
      </c>
      <c r="DE47" s="2" t="s">
        <v>3</v>
      </c>
      <c r="DF47" s="2" t="s">
        <v>3</v>
      </c>
      <c r="DG47" s="2" t="s">
        <v>3</v>
      </c>
      <c r="DH47" s="2" t="s">
        <v>3</v>
      </c>
      <c r="DI47" s="2" t="s">
        <v>3</v>
      </c>
      <c r="DJ47" s="2" t="s">
        <v>3</v>
      </c>
      <c r="DK47" s="2" t="s">
        <v>3</v>
      </c>
      <c r="DL47" s="2" t="s">
        <v>3</v>
      </c>
      <c r="DM47" s="2" t="s">
        <v>3</v>
      </c>
      <c r="DN47" s="2">
        <v>0</v>
      </c>
      <c r="DO47" s="2">
        <v>0</v>
      </c>
      <c r="DP47" s="2">
        <v>1</v>
      </c>
      <c r="DQ47" s="2">
        <v>1</v>
      </c>
      <c r="DR47" s="2"/>
      <c r="DS47" s="2"/>
      <c r="DT47" s="2"/>
      <c r="DU47" s="2">
        <v>1013</v>
      </c>
      <c r="DV47" s="2" t="s">
        <v>20</v>
      </c>
      <c r="DW47" s="2" t="s">
        <v>20</v>
      </c>
      <c r="DX47" s="2">
        <v>1</v>
      </c>
      <c r="DY47" s="2"/>
      <c r="DZ47" s="2" t="s">
        <v>3</v>
      </c>
      <c r="EA47" s="2" t="s">
        <v>3</v>
      </c>
      <c r="EB47" s="2" t="s">
        <v>3</v>
      </c>
      <c r="EC47" s="2" t="s">
        <v>3</v>
      </c>
      <c r="ED47" s="2"/>
      <c r="EE47" s="2">
        <v>84053775</v>
      </c>
      <c r="EF47" s="2">
        <v>3</v>
      </c>
      <c r="EG47" s="2" t="s">
        <v>48</v>
      </c>
      <c r="EH47" s="2">
        <v>0</v>
      </c>
      <c r="EI47" s="2" t="s">
        <v>3</v>
      </c>
      <c r="EJ47" s="2">
        <v>2</v>
      </c>
      <c r="EK47" s="2">
        <v>108001</v>
      </c>
      <c r="EL47" s="2" t="s">
        <v>49</v>
      </c>
      <c r="EM47" s="2" t="s">
        <v>50</v>
      </c>
      <c r="EN47" s="2"/>
      <c r="EO47" s="2" t="s">
        <v>3</v>
      </c>
      <c r="EP47" s="2"/>
      <c r="EQ47" s="2">
        <v>0</v>
      </c>
      <c r="ER47" s="2">
        <v>4987.88</v>
      </c>
      <c r="ES47" s="2">
        <v>4987.88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>
        <v>0</v>
      </c>
      <c r="FR47" s="2">
        <v>0</v>
      </c>
      <c r="FS47" s="2">
        <v>0</v>
      </c>
      <c r="FT47" s="2"/>
      <c r="FU47" s="2"/>
      <c r="FV47" s="2"/>
      <c r="FW47" s="2"/>
      <c r="FX47" s="2">
        <v>97</v>
      </c>
      <c r="FY47" s="2">
        <v>51</v>
      </c>
      <c r="FZ47" s="2"/>
      <c r="GA47" s="2" t="s">
        <v>3</v>
      </c>
      <c r="GB47" s="2"/>
      <c r="GC47" s="2"/>
      <c r="GD47" s="2">
        <v>1</v>
      </c>
      <c r="GE47" s="2"/>
      <c r="GF47" s="2">
        <v>1446221371</v>
      </c>
      <c r="GG47" s="2">
        <v>2</v>
      </c>
      <c r="GH47" s="2">
        <v>1</v>
      </c>
      <c r="GI47" s="2">
        <v>2</v>
      </c>
      <c r="GJ47" s="2">
        <v>0</v>
      </c>
      <c r="GK47" s="2">
        <v>0</v>
      </c>
      <c r="GL47" s="2">
        <f t="shared" si="34"/>
        <v>0</v>
      </c>
      <c r="GM47" s="2">
        <f t="shared" si="35"/>
        <v>247.4</v>
      </c>
      <c r="GN47" s="2">
        <f t="shared" si="36"/>
        <v>0</v>
      </c>
      <c r="GO47" s="2">
        <f t="shared" si="37"/>
        <v>247.4</v>
      </c>
      <c r="GP47" s="2">
        <f t="shared" si="38"/>
        <v>0</v>
      </c>
      <c r="GQ47" s="2"/>
      <c r="GR47" s="2">
        <v>0</v>
      </c>
      <c r="GS47" s="2">
        <v>0</v>
      </c>
      <c r="GT47" s="2">
        <v>0</v>
      </c>
      <c r="GU47" s="2" t="s">
        <v>3</v>
      </c>
      <c r="GV47" s="2">
        <f t="shared" si="39"/>
        <v>0</v>
      </c>
      <c r="GW47" s="2">
        <v>1</v>
      </c>
      <c r="GX47" s="2">
        <f t="shared" si="40"/>
        <v>0</v>
      </c>
      <c r="GY47" s="2"/>
      <c r="GZ47" s="2"/>
      <c r="HA47" s="2">
        <v>0</v>
      </c>
      <c r="HB47" s="2">
        <v>0</v>
      </c>
      <c r="HC47" s="2">
        <f t="shared" si="48"/>
        <v>0</v>
      </c>
      <c r="HD47" s="2"/>
      <c r="HE47" s="2" t="s">
        <v>3</v>
      </c>
      <c r="HF47" s="2" t="s">
        <v>3</v>
      </c>
      <c r="HG47" s="2"/>
      <c r="HH47" s="2"/>
      <c r="HI47" s="2"/>
      <c r="HJ47" s="2"/>
      <c r="HK47" s="2"/>
      <c r="HL47" s="2"/>
      <c r="HM47" s="2" t="s">
        <v>3</v>
      </c>
      <c r="HN47" s="2" t="s">
        <v>52</v>
      </c>
      <c r="HO47" s="2" t="s">
        <v>53</v>
      </c>
      <c r="HP47" s="2" t="s">
        <v>49</v>
      </c>
      <c r="HQ47" s="2" t="s">
        <v>49</v>
      </c>
      <c r="HR47" s="2"/>
      <c r="HS47" s="2">
        <v>0</v>
      </c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>
        <v>0</v>
      </c>
      <c r="IL47" s="2"/>
      <c r="IM47" s="2"/>
      <c r="IN47" s="2"/>
      <c r="IO47" s="2"/>
      <c r="IP47" s="2"/>
      <c r="IQ47" s="2"/>
      <c r="IR47" s="2"/>
      <c r="IS47" s="2"/>
      <c r="IT47" s="2"/>
      <c r="IU47" s="2"/>
    </row>
    <row r="48" spans="1:255" x14ac:dyDescent="0.2">
      <c r="A48" s="2">
        <v>18</v>
      </c>
      <c r="B48" s="2">
        <v>1</v>
      </c>
      <c r="C48" s="2">
        <v>50</v>
      </c>
      <c r="D48" s="2"/>
      <c r="E48" s="2" t="s">
        <v>97</v>
      </c>
      <c r="F48" s="2" t="s">
        <v>98</v>
      </c>
      <c r="G48" s="2" t="s">
        <v>99</v>
      </c>
      <c r="H48" s="2" t="s">
        <v>20</v>
      </c>
      <c r="I48" s="2">
        <f>I44*J48</f>
        <v>0.01</v>
      </c>
      <c r="J48" s="2">
        <v>0.02</v>
      </c>
      <c r="K48" s="2">
        <v>0.02</v>
      </c>
      <c r="L48" s="2"/>
      <c r="M48" s="2"/>
      <c r="N48" s="2"/>
      <c r="O48" s="2">
        <f t="shared" si="44"/>
        <v>621.21</v>
      </c>
      <c r="P48" s="2">
        <f>ROUND(CQ48*I48,2)</f>
        <v>621.21</v>
      </c>
      <c r="Q48" s="2">
        <f t="shared" si="51"/>
        <v>0</v>
      </c>
      <c r="R48" s="2">
        <f t="shared" si="52"/>
        <v>0</v>
      </c>
      <c r="S48" s="2">
        <f t="shared" si="53"/>
        <v>0</v>
      </c>
      <c r="T48" s="2">
        <f t="shared" si="22"/>
        <v>0</v>
      </c>
      <c r="U48" s="2">
        <f t="shared" si="54"/>
        <v>0</v>
      </c>
      <c r="V48" s="2">
        <f t="shared" si="55"/>
        <v>0</v>
      </c>
      <c r="W48" s="2">
        <f t="shared" si="23"/>
        <v>0</v>
      </c>
      <c r="X48" s="2">
        <f t="shared" si="24"/>
        <v>0</v>
      </c>
      <c r="Y48" s="2">
        <f t="shared" si="25"/>
        <v>0</v>
      </c>
      <c r="Z48" s="2"/>
      <c r="AA48" s="2">
        <v>85997836</v>
      </c>
      <c r="AB48" s="2">
        <f t="shared" si="26"/>
        <v>50097.78</v>
      </c>
      <c r="AC48" s="2">
        <f t="shared" si="56"/>
        <v>50097.78</v>
      </c>
      <c r="AD48" s="2">
        <f t="shared" si="57"/>
        <v>0</v>
      </c>
      <c r="AE48" s="2">
        <f t="shared" si="58"/>
        <v>0</v>
      </c>
      <c r="AF48" s="2">
        <f t="shared" si="58"/>
        <v>0</v>
      </c>
      <c r="AG48" s="2">
        <f t="shared" si="27"/>
        <v>0</v>
      </c>
      <c r="AH48" s="2">
        <f t="shared" si="59"/>
        <v>0</v>
      </c>
      <c r="AI48" s="2">
        <f t="shared" si="59"/>
        <v>0</v>
      </c>
      <c r="AJ48" s="2">
        <f t="shared" si="28"/>
        <v>0</v>
      </c>
      <c r="AK48" s="2">
        <v>50097.78</v>
      </c>
      <c r="AL48" s="2">
        <v>50097.78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97</v>
      </c>
      <c r="AU48" s="2">
        <v>51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1.24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3</v>
      </c>
      <c r="BI48" s="2">
        <v>2</v>
      </c>
      <c r="BJ48" s="2" t="s">
        <v>100</v>
      </c>
      <c r="BK48" s="2"/>
      <c r="BL48" s="2"/>
      <c r="BM48" s="2">
        <v>108001</v>
      </c>
      <c r="BN48" s="2">
        <v>0</v>
      </c>
      <c r="BO48" s="2" t="s">
        <v>98</v>
      </c>
      <c r="BP48" s="2">
        <v>1</v>
      </c>
      <c r="BQ48" s="2">
        <v>3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97</v>
      </c>
      <c r="CA48" s="2">
        <v>51</v>
      </c>
      <c r="CB48" s="2" t="s">
        <v>3</v>
      </c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</v>
      </c>
      <c r="CO48" s="2">
        <v>0</v>
      </c>
      <c r="CP48" s="2">
        <f t="shared" si="45"/>
        <v>621.21</v>
      </c>
      <c r="CQ48" s="2">
        <f>ROUND(AL48*BC48,2)</f>
        <v>62121.25</v>
      </c>
      <c r="CR48" s="2">
        <f>ROUND(AM48*BB48,2)</f>
        <v>0</v>
      </c>
      <c r="CS48" s="2">
        <f>ROUND(AN48*BS48,2)</f>
        <v>0</v>
      </c>
      <c r="CT48" s="2">
        <f>ROUND(AO48*BA48,2)</f>
        <v>0</v>
      </c>
      <c r="CU48" s="2">
        <f t="shared" si="49"/>
        <v>0</v>
      </c>
      <c r="CV48" s="2">
        <f t="shared" si="60"/>
        <v>0</v>
      </c>
      <c r="CW48" s="2">
        <f t="shared" si="60"/>
        <v>0</v>
      </c>
      <c r="CX48" s="2">
        <f t="shared" si="50"/>
        <v>0</v>
      </c>
      <c r="CY48" s="2">
        <f t="shared" si="46"/>
        <v>0</v>
      </c>
      <c r="CZ48" s="2">
        <f t="shared" si="47"/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20</v>
      </c>
      <c r="DW48" s="2" t="s">
        <v>20</v>
      </c>
      <c r="DX48" s="2">
        <v>1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84053775</v>
      </c>
      <c r="EF48" s="2">
        <v>3</v>
      </c>
      <c r="EG48" s="2" t="s">
        <v>48</v>
      </c>
      <c r="EH48" s="2">
        <v>0</v>
      </c>
      <c r="EI48" s="2" t="s">
        <v>3</v>
      </c>
      <c r="EJ48" s="2">
        <v>2</v>
      </c>
      <c r="EK48" s="2">
        <v>108001</v>
      </c>
      <c r="EL48" s="2" t="s">
        <v>49</v>
      </c>
      <c r="EM48" s="2" t="s">
        <v>50</v>
      </c>
      <c r="EN48" s="2"/>
      <c r="EO48" s="2" t="s">
        <v>3</v>
      </c>
      <c r="EP48" s="2"/>
      <c r="EQ48" s="2">
        <v>0</v>
      </c>
      <c r="ER48" s="2">
        <v>50097.78</v>
      </c>
      <c r="ES48" s="2">
        <v>50097.78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v>0</v>
      </c>
      <c r="FS48" s="2">
        <v>0</v>
      </c>
      <c r="FT48" s="2"/>
      <c r="FU48" s="2"/>
      <c r="FV48" s="2"/>
      <c r="FW48" s="2"/>
      <c r="FX48" s="2">
        <v>97</v>
      </c>
      <c r="FY48" s="2">
        <v>51</v>
      </c>
      <c r="FZ48" s="2"/>
      <c r="GA48" s="2" t="s">
        <v>3</v>
      </c>
      <c r="GB48" s="2"/>
      <c r="GC48" s="2"/>
      <c r="GD48" s="2">
        <v>1</v>
      </c>
      <c r="GE48" s="2"/>
      <c r="GF48" s="2">
        <v>554754660</v>
      </c>
      <c r="GG48" s="2">
        <v>2</v>
      </c>
      <c r="GH48" s="2">
        <v>1</v>
      </c>
      <c r="GI48" s="2">
        <v>2</v>
      </c>
      <c r="GJ48" s="2">
        <v>0</v>
      </c>
      <c r="GK48" s="2">
        <v>0</v>
      </c>
      <c r="GL48" s="2">
        <f t="shared" si="34"/>
        <v>0</v>
      </c>
      <c r="GM48" s="2">
        <f t="shared" si="35"/>
        <v>621.21</v>
      </c>
      <c r="GN48" s="2">
        <f t="shared" si="36"/>
        <v>0</v>
      </c>
      <c r="GO48" s="2">
        <f t="shared" si="37"/>
        <v>621.21</v>
      </c>
      <c r="GP48" s="2">
        <f t="shared" si="38"/>
        <v>0</v>
      </c>
      <c r="GQ48" s="2"/>
      <c r="GR48" s="2">
        <v>0</v>
      </c>
      <c r="GS48" s="2">
        <v>0</v>
      </c>
      <c r="GT48" s="2">
        <v>0</v>
      </c>
      <c r="GU48" s="2" t="s">
        <v>3</v>
      </c>
      <c r="GV48" s="2">
        <f t="shared" si="39"/>
        <v>0</v>
      </c>
      <c r="GW48" s="2">
        <v>1</v>
      </c>
      <c r="GX48" s="2">
        <f t="shared" si="40"/>
        <v>0</v>
      </c>
      <c r="GY48" s="2"/>
      <c r="GZ48" s="2"/>
      <c r="HA48" s="2">
        <v>0</v>
      </c>
      <c r="HB48" s="2">
        <v>0</v>
      </c>
      <c r="HC48" s="2">
        <f t="shared" si="48"/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52</v>
      </c>
      <c r="HO48" s="2" t="s">
        <v>53</v>
      </c>
      <c r="HP48" s="2" t="s">
        <v>49</v>
      </c>
      <c r="HQ48" s="2" t="s">
        <v>49</v>
      </c>
      <c r="HR48" s="2"/>
      <c r="HS48" s="2">
        <v>0</v>
      </c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 s="2">
        <v>18</v>
      </c>
      <c r="B49" s="2">
        <v>1</v>
      </c>
      <c r="C49" s="2">
        <v>51</v>
      </c>
      <c r="D49" s="2"/>
      <c r="E49" s="2" t="s">
        <v>101</v>
      </c>
      <c r="F49" s="2" t="s">
        <v>102</v>
      </c>
      <c r="G49" s="2" t="s">
        <v>103</v>
      </c>
      <c r="H49" s="2" t="s">
        <v>20</v>
      </c>
      <c r="I49" s="2">
        <f>I44*J49</f>
        <v>0.06</v>
      </c>
      <c r="J49" s="2">
        <v>0.12</v>
      </c>
      <c r="K49" s="2">
        <v>0.12</v>
      </c>
      <c r="L49" s="2"/>
      <c r="M49" s="2"/>
      <c r="N49" s="2"/>
      <c r="O49" s="2">
        <f t="shared" si="44"/>
        <v>819.8</v>
      </c>
      <c r="P49" s="2">
        <f>ROUND(CQ49*I49,2)</f>
        <v>819.8</v>
      </c>
      <c r="Q49" s="2">
        <f t="shared" si="51"/>
        <v>0</v>
      </c>
      <c r="R49" s="2">
        <f t="shared" si="52"/>
        <v>0</v>
      </c>
      <c r="S49" s="2">
        <f t="shared" si="53"/>
        <v>0</v>
      </c>
      <c r="T49" s="2">
        <f t="shared" si="22"/>
        <v>0</v>
      </c>
      <c r="U49" s="2">
        <f t="shared" si="54"/>
        <v>0</v>
      </c>
      <c r="V49" s="2">
        <f t="shared" si="55"/>
        <v>0</v>
      </c>
      <c r="W49" s="2">
        <f t="shared" si="23"/>
        <v>0</v>
      </c>
      <c r="X49" s="2">
        <f t="shared" si="24"/>
        <v>0</v>
      </c>
      <c r="Y49" s="2">
        <f t="shared" si="25"/>
        <v>0</v>
      </c>
      <c r="Z49" s="2"/>
      <c r="AA49" s="2">
        <v>85997836</v>
      </c>
      <c r="AB49" s="2">
        <f t="shared" si="26"/>
        <v>11018.76</v>
      </c>
      <c r="AC49" s="2">
        <f t="shared" si="56"/>
        <v>11018.76</v>
      </c>
      <c r="AD49" s="2">
        <f t="shared" si="57"/>
        <v>0</v>
      </c>
      <c r="AE49" s="2">
        <f t="shared" si="58"/>
        <v>0</v>
      </c>
      <c r="AF49" s="2">
        <f t="shared" si="58"/>
        <v>0</v>
      </c>
      <c r="AG49" s="2">
        <f t="shared" si="27"/>
        <v>0</v>
      </c>
      <c r="AH49" s="2">
        <f t="shared" si="59"/>
        <v>0</v>
      </c>
      <c r="AI49" s="2">
        <f t="shared" si="59"/>
        <v>0</v>
      </c>
      <c r="AJ49" s="2">
        <f t="shared" si="28"/>
        <v>0</v>
      </c>
      <c r="AK49" s="2">
        <v>11018.76</v>
      </c>
      <c r="AL49" s="2">
        <v>11018.76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97</v>
      </c>
      <c r="AU49" s="2">
        <v>51</v>
      </c>
      <c r="AV49" s="2">
        <v>1</v>
      </c>
      <c r="AW49" s="2">
        <v>1</v>
      </c>
      <c r="AX49" s="2"/>
      <c r="AY49" s="2"/>
      <c r="AZ49" s="2">
        <v>1</v>
      </c>
      <c r="BA49" s="2">
        <v>1</v>
      </c>
      <c r="BB49" s="2">
        <v>1</v>
      </c>
      <c r="BC49" s="2">
        <v>1.24</v>
      </c>
      <c r="BD49" s="2" t="s">
        <v>3</v>
      </c>
      <c r="BE49" s="2" t="s">
        <v>3</v>
      </c>
      <c r="BF49" s="2" t="s">
        <v>3</v>
      </c>
      <c r="BG49" s="2" t="s">
        <v>3</v>
      </c>
      <c r="BH49" s="2">
        <v>3</v>
      </c>
      <c r="BI49" s="2">
        <v>2</v>
      </c>
      <c r="BJ49" s="2" t="s">
        <v>104</v>
      </c>
      <c r="BK49" s="2"/>
      <c r="BL49" s="2"/>
      <c r="BM49" s="2">
        <v>108001</v>
      </c>
      <c r="BN49" s="2">
        <v>0</v>
      </c>
      <c r="BO49" s="2" t="s">
        <v>102</v>
      </c>
      <c r="BP49" s="2">
        <v>1</v>
      </c>
      <c r="BQ49" s="2">
        <v>3</v>
      </c>
      <c r="BR49" s="2">
        <v>0</v>
      </c>
      <c r="BS49" s="2">
        <v>1</v>
      </c>
      <c r="BT49" s="2">
        <v>1</v>
      </c>
      <c r="BU49" s="2">
        <v>1</v>
      </c>
      <c r="BV49" s="2">
        <v>1</v>
      </c>
      <c r="BW49" s="2">
        <v>1</v>
      </c>
      <c r="BX49" s="2">
        <v>1</v>
      </c>
      <c r="BY49" s="2" t="s">
        <v>3</v>
      </c>
      <c r="BZ49" s="2">
        <v>97</v>
      </c>
      <c r="CA49" s="2">
        <v>51</v>
      </c>
      <c r="CB49" s="2" t="s">
        <v>3</v>
      </c>
      <c r="CC49" s="2"/>
      <c r="CD49" s="2"/>
      <c r="CE49" s="2">
        <v>0</v>
      </c>
      <c r="CF49" s="2">
        <v>0</v>
      </c>
      <c r="CG49" s="2">
        <v>0</v>
      </c>
      <c r="CH49" s="2"/>
      <c r="CI49" s="2"/>
      <c r="CJ49" s="2"/>
      <c r="CK49" s="2"/>
      <c r="CL49" s="2"/>
      <c r="CM49" s="2">
        <v>0</v>
      </c>
      <c r="CN49" s="2" t="s">
        <v>3</v>
      </c>
      <c r="CO49" s="2">
        <v>0</v>
      </c>
      <c r="CP49" s="2">
        <f t="shared" si="45"/>
        <v>819.8</v>
      </c>
      <c r="CQ49" s="2">
        <f>ROUND(AL49*BC49,2)</f>
        <v>13663.26</v>
      </c>
      <c r="CR49" s="2">
        <f>ROUND(AM49*BB49,2)</f>
        <v>0</v>
      </c>
      <c r="CS49" s="2">
        <f>ROUND(AN49*BS49,2)</f>
        <v>0</v>
      </c>
      <c r="CT49" s="2">
        <f>ROUND(AO49*BA49,2)</f>
        <v>0</v>
      </c>
      <c r="CU49" s="2">
        <f t="shared" si="49"/>
        <v>0</v>
      </c>
      <c r="CV49" s="2">
        <f t="shared" si="60"/>
        <v>0</v>
      </c>
      <c r="CW49" s="2">
        <f t="shared" si="60"/>
        <v>0</v>
      </c>
      <c r="CX49" s="2">
        <f t="shared" si="50"/>
        <v>0</v>
      </c>
      <c r="CY49" s="2">
        <f t="shared" si="46"/>
        <v>0</v>
      </c>
      <c r="CZ49" s="2">
        <f t="shared" si="47"/>
        <v>0</v>
      </c>
      <c r="DA49" s="2"/>
      <c r="DB49" s="2"/>
      <c r="DC49" s="2" t="s">
        <v>3</v>
      </c>
      <c r="DD49" s="2" t="s">
        <v>3</v>
      </c>
      <c r="DE49" s="2" t="s">
        <v>3</v>
      </c>
      <c r="DF49" s="2" t="s">
        <v>3</v>
      </c>
      <c r="DG49" s="2" t="s">
        <v>3</v>
      </c>
      <c r="DH49" s="2" t="s">
        <v>3</v>
      </c>
      <c r="DI49" s="2" t="s">
        <v>3</v>
      </c>
      <c r="DJ49" s="2" t="s">
        <v>3</v>
      </c>
      <c r="DK49" s="2" t="s">
        <v>3</v>
      </c>
      <c r="DL49" s="2" t="s">
        <v>3</v>
      </c>
      <c r="DM49" s="2" t="s">
        <v>3</v>
      </c>
      <c r="DN49" s="2">
        <v>0</v>
      </c>
      <c r="DO49" s="2">
        <v>0</v>
      </c>
      <c r="DP49" s="2">
        <v>1</v>
      </c>
      <c r="DQ49" s="2">
        <v>1</v>
      </c>
      <c r="DR49" s="2"/>
      <c r="DS49" s="2"/>
      <c r="DT49" s="2"/>
      <c r="DU49" s="2">
        <v>1013</v>
      </c>
      <c r="DV49" s="2" t="s">
        <v>20</v>
      </c>
      <c r="DW49" s="2" t="s">
        <v>20</v>
      </c>
      <c r="DX49" s="2">
        <v>1</v>
      </c>
      <c r="DY49" s="2"/>
      <c r="DZ49" s="2" t="s">
        <v>3</v>
      </c>
      <c r="EA49" s="2" t="s">
        <v>3</v>
      </c>
      <c r="EB49" s="2" t="s">
        <v>3</v>
      </c>
      <c r="EC49" s="2" t="s">
        <v>3</v>
      </c>
      <c r="ED49" s="2"/>
      <c r="EE49" s="2">
        <v>84053775</v>
      </c>
      <c r="EF49" s="2">
        <v>3</v>
      </c>
      <c r="EG49" s="2" t="s">
        <v>48</v>
      </c>
      <c r="EH49" s="2">
        <v>0</v>
      </c>
      <c r="EI49" s="2" t="s">
        <v>3</v>
      </c>
      <c r="EJ49" s="2">
        <v>2</v>
      </c>
      <c r="EK49" s="2">
        <v>108001</v>
      </c>
      <c r="EL49" s="2" t="s">
        <v>49</v>
      </c>
      <c r="EM49" s="2" t="s">
        <v>50</v>
      </c>
      <c r="EN49" s="2"/>
      <c r="EO49" s="2" t="s">
        <v>3</v>
      </c>
      <c r="EP49" s="2"/>
      <c r="EQ49" s="2">
        <v>0</v>
      </c>
      <c r="ER49" s="2">
        <v>11018.76</v>
      </c>
      <c r="ES49" s="2">
        <v>11018.76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>
        <v>0</v>
      </c>
      <c r="FR49" s="2">
        <v>0</v>
      </c>
      <c r="FS49" s="2">
        <v>0</v>
      </c>
      <c r="FT49" s="2"/>
      <c r="FU49" s="2"/>
      <c r="FV49" s="2"/>
      <c r="FW49" s="2"/>
      <c r="FX49" s="2">
        <v>97</v>
      </c>
      <c r="FY49" s="2">
        <v>51</v>
      </c>
      <c r="FZ49" s="2"/>
      <c r="GA49" s="2" t="s">
        <v>3</v>
      </c>
      <c r="GB49" s="2"/>
      <c r="GC49" s="2"/>
      <c r="GD49" s="2">
        <v>1</v>
      </c>
      <c r="GE49" s="2"/>
      <c r="GF49" s="2">
        <v>983944946</v>
      </c>
      <c r="GG49" s="2">
        <v>2</v>
      </c>
      <c r="GH49" s="2">
        <v>1</v>
      </c>
      <c r="GI49" s="2">
        <v>2</v>
      </c>
      <c r="GJ49" s="2">
        <v>0</v>
      </c>
      <c r="GK49" s="2">
        <v>0</v>
      </c>
      <c r="GL49" s="2">
        <f t="shared" si="34"/>
        <v>0</v>
      </c>
      <c r="GM49" s="2">
        <f t="shared" si="35"/>
        <v>819.8</v>
      </c>
      <c r="GN49" s="2">
        <f t="shared" si="36"/>
        <v>0</v>
      </c>
      <c r="GO49" s="2">
        <f t="shared" si="37"/>
        <v>819.8</v>
      </c>
      <c r="GP49" s="2">
        <f t="shared" si="38"/>
        <v>0</v>
      </c>
      <c r="GQ49" s="2"/>
      <c r="GR49" s="2">
        <v>0</v>
      </c>
      <c r="GS49" s="2">
        <v>0</v>
      </c>
      <c r="GT49" s="2">
        <v>0</v>
      </c>
      <c r="GU49" s="2" t="s">
        <v>3</v>
      </c>
      <c r="GV49" s="2">
        <f t="shared" si="39"/>
        <v>0</v>
      </c>
      <c r="GW49" s="2">
        <v>1</v>
      </c>
      <c r="GX49" s="2">
        <f t="shared" si="40"/>
        <v>0</v>
      </c>
      <c r="GY49" s="2"/>
      <c r="GZ49" s="2"/>
      <c r="HA49" s="2">
        <v>0</v>
      </c>
      <c r="HB49" s="2">
        <v>0</v>
      </c>
      <c r="HC49" s="2">
        <f t="shared" si="48"/>
        <v>0</v>
      </c>
      <c r="HD49" s="2"/>
      <c r="HE49" s="2" t="s">
        <v>3</v>
      </c>
      <c r="HF49" s="2" t="s">
        <v>3</v>
      </c>
      <c r="HG49" s="2"/>
      <c r="HH49" s="2"/>
      <c r="HI49" s="2"/>
      <c r="HJ49" s="2"/>
      <c r="HK49" s="2"/>
      <c r="HL49" s="2"/>
      <c r="HM49" s="2" t="s">
        <v>3</v>
      </c>
      <c r="HN49" s="2" t="s">
        <v>52</v>
      </c>
      <c r="HO49" s="2" t="s">
        <v>53</v>
      </c>
      <c r="HP49" s="2" t="s">
        <v>49</v>
      </c>
      <c r="HQ49" s="2" t="s">
        <v>49</v>
      </c>
      <c r="HR49" s="2"/>
      <c r="HS49" s="2">
        <v>0</v>
      </c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>
        <v>0</v>
      </c>
      <c r="IL49" s="2"/>
      <c r="IM49" s="2"/>
      <c r="IN49" s="2"/>
      <c r="IO49" s="2"/>
      <c r="IP49" s="2"/>
      <c r="IQ49" s="2"/>
      <c r="IR49" s="2"/>
      <c r="IS49" s="2"/>
      <c r="IT49" s="2"/>
      <c r="IU49" s="2"/>
    </row>
    <row r="50" spans="1:255" x14ac:dyDescent="0.2">
      <c r="A50" s="2">
        <v>18</v>
      </c>
      <c r="B50" s="2">
        <v>1</v>
      </c>
      <c r="C50" s="2">
        <v>53</v>
      </c>
      <c r="D50" s="2"/>
      <c r="E50" s="2" t="s">
        <v>105</v>
      </c>
      <c r="F50" s="2" t="s">
        <v>55</v>
      </c>
      <c r="G50" s="2" t="s">
        <v>56</v>
      </c>
      <c r="H50" s="2" t="s">
        <v>57</v>
      </c>
      <c r="I50" s="2">
        <f>J50</f>
        <v>2</v>
      </c>
      <c r="J50" s="2">
        <v>2</v>
      </c>
      <c r="K50" s="2">
        <v>2</v>
      </c>
      <c r="L50" s="2"/>
      <c r="M50" s="2"/>
      <c r="N50" s="2"/>
      <c r="O50" s="2">
        <f>ROUND(P50,2)</f>
        <v>145.15</v>
      </c>
      <c r="P50" s="2">
        <f>ROUND(ROUND(ROUND(SUMIF(SmtRes!AQ42:'SmtRes'!AQ53,"=1",SmtRes!CU42:'SmtRes'!CU53),2),2)*I50/100,2)</f>
        <v>145.15</v>
      </c>
      <c r="Q50" s="2">
        <f t="shared" si="51"/>
        <v>0</v>
      </c>
      <c r="R50" s="2">
        <f t="shared" si="52"/>
        <v>0</v>
      </c>
      <c r="S50" s="2">
        <f t="shared" si="53"/>
        <v>0</v>
      </c>
      <c r="T50" s="2">
        <f t="shared" si="22"/>
        <v>0</v>
      </c>
      <c r="U50" s="2">
        <f t="shared" si="54"/>
        <v>0</v>
      </c>
      <c r="V50" s="2">
        <f t="shared" si="55"/>
        <v>0</v>
      </c>
      <c r="W50" s="2">
        <f t="shared" si="23"/>
        <v>0</v>
      </c>
      <c r="X50" s="2">
        <f t="shared" si="24"/>
        <v>0</v>
      </c>
      <c r="Y50" s="2">
        <f t="shared" si="25"/>
        <v>0</v>
      </c>
      <c r="Z50" s="2"/>
      <c r="AA50" s="2">
        <v>85997836</v>
      </c>
      <c r="AB50" s="2">
        <f t="shared" si="26"/>
        <v>0</v>
      </c>
      <c r="AC50" s="2">
        <f t="shared" si="56"/>
        <v>0</v>
      </c>
      <c r="AD50" s="2">
        <f t="shared" si="57"/>
        <v>0</v>
      </c>
      <c r="AE50" s="2">
        <f t="shared" si="58"/>
        <v>0</v>
      </c>
      <c r="AF50" s="2">
        <f t="shared" si="58"/>
        <v>0</v>
      </c>
      <c r="AG50" s="2">
        <f t="shared" si="27"/>
        <v>0</v>
      </c>
      <c r="AH50" s="2">
        <f t="shared" si="59"/>
        <v>0</v>
      </c>
      <c r="AI50" s="2">
        <f t="shared" si="59"/>
        <v>0</v>
      </c>
      <c r="AJ50" s="2">
        <f t="shared" si="28"/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97</v>
      </c>
      <c r="AU50" s="2">
        <v>51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2</v>
      </c>
      <c r="BJ50" s="2" t="s">
        <v>3</v>
      </c>
      <c r="BK50" s="2"/>
      <c r="BL50" s="2"/>
      <c r="BM50" s="2">
        <v>108001</v>
      </c>
      <c r="BN50" s="2">
        <v>0</v>
      </c>
      <c r="BO50" s="2" t="s">
        <v>3</v>
      </c>
      <c r="BP50" s="2">
        <v>0</v>
      </c>
      <c r="BQ50" s="2">
        <v>3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97</v>
      </c>
      <c r="CA50" s="2">
        <v>51</v>
      </c>
      <c r="CB50" s="2" t="s">
        <v>3</v>
      </c>
      <c r="CC50" s="2"/>
      <c r="CD50" s="2"/>
      <c r="CE50" s="2">
        <v>0</v>
      </c>
      <c r="CF50" s="2">
        <v>0</v>
      </c>
      <c r="CG50" s="2">
        <v>0</v>
      </c>
      <c r="CH50" s="2"/>
      <c r="CI50" s="2"/>
      <c r="CJ50" s="2"/>
      <c r="CK50" s="2"/>
      <c r="CL50" s="2"/>
      <c r="CM50" s="2">
        <v>0</v>
      </c>
      <c r="CN50" s="2" t="s">
        <v>3</v>
      </c>
      <c r="CO50" s="2">
        <v>0</v>
      </c>
      <c r="CP50" s="2">
        <f>0</f>
        <v>0</v>
      </c>
      <c r="CQ50" s="2">
        <f>0</f>
        <v>0</v>
      </c>
      <c r="CR50" s="2">
        <f>0</f>
        <v>0</v>
      </c>
      <c r="CS50" s="2">
        <f>0</f>
        <v>0</v>
      </c>
      <c r="CT50" s="2">
        <f>0</f>
        <v>0</v>
      </c>
      <c r="CU50" s="2">
        <f>0</f>
        <v>0</v>
      </c>
      <c r="CV50" s="2">
        <f>0</f>
        <v>0</v>
      </c>
      <c r="CW50" s="2">
        <f>0</f>
        <v>0</v>
      </c>
      <c r="CX50" s="2">
        <f>0</f>
        <v>0</v>
      </c>
      <c r="CY50" s="2">
        <f>0</f>
        <v>0</v>
      </c>
      <c r="CZ50" s="2">
        <f>0</f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1013</v>
      </c>
      <c r="DV50" s="2" t="s">
        <v>57</v>
      </c>
      <c r="DW50" s="2" t="s">
        <v>57</v>
      </c>
      <c r="DX50" s="2">
        <v>1</v>
      </c>
      <c r="DY50" s="2"/>
      <c r="DZ50" s="2" t="s">
        <v>3</v>
      </c>
      <c r="EA50" s="2" t="s">
        <v>3</v>
      </c>
      <c r="EB50" s="2" t="s">
        <v>3</v>
      </c>
      <c r="EC50" s="2" t="s">
        <v>3</v>
      </c>
      <c r="ED50" s="2"/>
      <c r="EE50" s="2">
        <v>84053775</v>
      </c>
      <c r="EF50" s="2">
        <v>3</v>
      </c>
      <c r="EG50" s="2" t="s">
        <v>48</v>
      </c>
      <c r="EH50" s="2">
        <v>0</v>
      </c>
      <c r="EI50" s="2" t="s">
        <v>3</v>
      </c>
      <c r="EJ50" s="2">
        <v>2</v>
      </c>
      <c r="EK50" s="2">
        <v>108001</v>
      </c>
      <c r="EL50" s="2" t="s">
        <v>49</v>
      </c>
      <c r="EM50" s="2" t="s">
        <v>50</v>
      </c>
      <c r="EN50" s="2"/>
      <c r="EO50" s="2" t="s">
        <v>3</v>
      </c>
      <c r="EP50" s="2"/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v>0</v>
      </c>
      <c r="FS50" s="2">
        <v>0</v>
      </c>
      <c r="FT50" s="2"/>
      <c r="FU50" s="2"/>
      <c r="FV50" s="2"/>
      <c r="FW50" s="2"/>
      <c r="FX50" s="2">
        <v>97</v>
      </c>
      <c r="FY50" s="2">
        <v>51</v>
      </c>
      <c r="FZ50" s="2"/>
      <c r="GA50" s="2" t="s">
        <v>3</v>
      </c>
      <c r="GB50" s="2"/>
      <c r="GC50" s="2"/>
      <c r="GD50" s="2">
        <v>1</v>
      </c>
      <c r="GE50" s="2"/>
      <c r="GF50" s="2">
        <v>274903907</v>
      </c>
      <c r="GG50" s="2">
        <v>2</v>
      </c>
      <c r="GH50" s="2">
        <v>1</v>
      </c>
      <c r="GI50" s="2">
        <v>-2</v>
      </c>
      <c r="GJ50" s="2">
        <v>0</v>
      </c>
      <c r="GK50" s="2">
        <v>0</v>
      </c>
      <c r="GL50" s="2">
        <f t="shared" si="34"/>
        <v>0</v>
      </c>
      <c r="GM50" s="2">
        <f t="shared" si="35"/>
        <v>145.15</v>
      </c>
      <c r="GN50" s="2">
        <f t="shared" si="36"/>
        <v>0</v>
      </c>
      <c r="GO50" s="2">
        <f t="shared" si="37"/>
        <v>145.15</v>
      </c>
      <c r="GP50" s="2">
        <f t="shared" si="38"/>
        <v>0</v>
      </c>
      <c r="GQ50" s="2"/>
      <c r="GR50" s="2">
        <v>0</v>
      </c>
      <c r="GS50" s="2">
        <v>0</v>
      </c>
      <c r="GT50" s="2">
        <v>0</v>
      </c>
      <c r="GU50" s="2" t="s">
        <v>3</v>
      </c>
      <c r="GV50" s="2">
        <f t="shared" si="39"/>
        <v>0</v>
      </c>
      <c r="GW50" s="2">
        <v>1</v>
      </c>
      <c r="GX50" s="2">
        <f t="shared" si="40"/>
        <v>0</v>
      </c>
      <c r="GY50" s="2"/>
      <c r="GZ50" s="2"/>
      <c r="HA50" s="2">
        <v>0</v>
      </c>
      <c r="HB50" s="2">
        <v>0</v>
      </c>
      <c r="HC50" s="2">
        <f>0</f>
        <v>0</v>
      </c>
      <c r="HD50" s="2"/>
      <c r="HE50" s="2" t="s">
        <v>3</v>
      </c>
      <c r="HF50" s="2" t="s">
        <v>3</v>
      </c>
      <c r="HG50" s="2"/>
      <c r="HH50" s="2"/>
      <c r="HI50" s="2"/>
      <c r="HJ50" s="2"/>
      <c r="HK50" s="2"/>
      <c r="HL50" s="2"/>
      <c r="HM50" s="2" t="s">
        <v>3</v>
      </c>
      <c r="HN50" s="2" t="s">
        <v>52</v>
      </c>
      <c r="HO50" s="2" t="s">
        <v>53</v>
      </c>
      <c r="HP50" s="2" t="s">
        <v>49</v>
      </c>
      <c r="HQ50" s="2" t="s">
        <v>49</v>
      </c>
      <c r="HR50" s="2"/>
      <c r="HS50" s="2">
        <v>0</v>
      </c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 s="2">
        <v>18</v>
      </c>
      <c r="B51" s="2">
        <v>1</v>
      </c>
      <c r="C51" s="2">
        <v>44</v>
      </c>
      <c r="D51" s="2"/>
      <c r="E51" s="2" t="s">
        <v>106</v>
      </c>
      <c r="F51" s="2" t="s">
        <v>27</v>
      </c>
      <c r="G51" s="2" t="s">
        <v>28</v>
      </c>
      <c r="H51" s="2" t="s">
        <v>29</v>
      </c>
      <c r="I51" s="2">
        <f>I44*J51</f>
        <v>-5.0000000000000001E-3</v>
      </c>
      <c r="J51" s="2">
        <v>-0.01</v>
      </c>
      <c r="K51" s="2">
        <v>-0.01</v>
      </c>
      <c r="L51" s="2"/>
      <c r="M51" s="2"/>
      <c r="N51" s="2"/>
      <c r="O51" s="2">
        <f>ROUND(CP51,2)</f>
        <v>-3.5</v>
      </c>
      <c r="P51" s="2">
        <f>ROUND(CQ51*I51,2)</f>
        <v>0</v>
      </c>
      <c r="Q51" s="2">
        <f t="shared" si="51"/>
        <v>-0.28999999999999998</v>
      </c>
      <c r="R51" s="2">
        <f t="shared" si="52"/>
        <v>-3.21</v>
      </c>
      <c r="S51" s="2">
        <f t="shared" si="53"/>
        <v>0</v>
      </c>
      <c r="T51" s="2">
        <f t="shared" si="22"/>
        <v>0</v>
      </c>
      <c r="U51" s="2">
        <f t="shared" si="54"/>
        <v>0</v>
      </c>
      <c r="V51" s="2">
        <f t="shared" si="55"/>
        <v>0</v>
      </c>
      <c r="W51" s="2">
        <f t="shared" si="23"/>
        <v>0</v>
      </c>
      <c r="X51" s="2">
        <f t="shared" si="24"/>
        <v>-3.11</v>
      </c>
      <c r="Y51" s="2">
        <f t="shared" si="25"/>
        <v>-1.64</v>
      </c>
      <c r="Z51" s="2"/>
      <c r="AA51" s="2">
        <v>85997836</v>
      </c>
      <c r="AB51" s="2">
        <f t="shared" si="26"/>
        <v>37.32</v>
      </c>
      <c r="AC51" s="2">
        <f t="shared" si="56"/>
        <v>0</v>
      </c>
      <c r="AD51" s="2">
        <f t="shared" si="57"/>
        <v>37.32</v>
      </c>
      <c r="AE51" s="2">
        <f t="shared" si="58"/>
        <v>641.22</v>
      </c>
      <c r="AF51" s="2">
        <f t="shared" si="58"/>
        <v>0</v>
      </c>
      <c r="AG51" s="2">
        <f t="shared" si="27"/>
        <v>0</v>
      </c>
      <c r="AH51" s="2">
        <f t="shared" si="59"/>
        <v>0</v>
      </c>
      <c r="AI51" s="2">
        <f t="shared" si="59"/>
        <v>0</v>
      </c>
      <c r="AJ51" s="2">
        <f t="shared" si="28"/>
        <v>0</v>
      </c>
      <c r="AK51" s="2">
        <v>37.32</v>
      </c>
      <c r="AL51" s="2">
        <v>0</v>
      </c>
      <c r="AM51" s="2">
        <v>37.32</v>
      </c>
      <c r="AN51" s="2">
        <v>641.22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97</v>
      </c>
      <c r="AU51" s="2">
        <v>51</v>
      </c>
      <c r="AV51" s="2">
        <v>1</v>
      </c>
      <c r="AW51" s="2">
        <v>1</v>
      </c>
      <c r="AX51" s="2"/>
      <c r="AY51" s="2"/>
      <c r="AZ51" s="2">
        <v>1</v>
      </c>
      <c r="BA51" s="2">
        <v>1</v>
      </c>
      <c r="BB51" s="2">
        <v>1.54</v>
      </c>
      <c r="BC51" s="2">
        <v>1</v>
      </c>
      <c r="BD51" s="2" t="s">
        <v>3</v>
      </c>
      <c r="BE51" s="2" t="s">
        <v>3</v>
      </c>
      <c r="BF51" s="2" t="s">
        <v>3</v>
      </c>
      <c r="BG51" s="2" t="s">
        <v>3</v>
      </c>
      <c r="BH51" s="2">
        <v>2</v>
      </c>
      <c r="BI51" s="2">
        <v>2</v>
      </c>
      <c r="BJ51" s="2" t="s">
        <v>30</v>
      </c>
      <c r="BK51" s="2"/>
      <c r="BL51" s="2"/>
      <c r="BM51" s="2">
        <v>108001</v>
      </c>
      <c r="BN51" s="2">
        <v>0</v>
      </c>
      <c r="BO51" s="2" t="s">
        <v>27</v>
      </c>
      <c r="BP51" s="2">
        <v>1</v>
      </c>
      <c r="BQ51" s="2">
        <v>3</v>
      </c>
      <c r="BR51" s="2">
        <v>0</v>
      </c>
      <c r="BS51" s="2">
        <v>1</v>
      </c>
      <c r="BT51" s="2">
        <v>1</v>
      </c>
      <c r="BU51" s="2">
        <v>1</v>
      </c>
      <c r="BV51" s="2">
        <v>1</v>
      </c>
      <c r="BW51" s="2">
        <v>1</v>
      </c>
      <c r="BX51" s="2">
        <v>1</v>
      </c>
      <c r="BY51" s="2" t="s">
        <v>3</v>
      </c>
      <c r="BZ51" s="2">
        <v>97</v>
      </c>
      <c r="CA51" s="2">
        <v>51</v>
      </c>
      <c r="CB51" s="2" t="s">
        <v>3</v>
      </c>
      <c r="CC51" s="2"/>
      <c r="CD51" s="2"/>
      <c r="CE51" s="2">
        <v>0</v>
      </c>
      <c r="CF51" s="2">
        <v>0</v>
      </c>
      <c r="CG51" s="2">
        <v>0</v>
      </c>
      <c r="CH51" s="2"/>
      <c r="CI51" s="2"/>
      <c r="CJ51" s="2"/>
      <c r="CK51" s="2"/>
      <c r="CL51" s="2"/>
      <c r="CM51" s="2">
        <v>0</v>
      </c>
      <c r="CN51" s="2" t="s">
        <v>3</v>
      </c>
      <c r="CO51" s="2">
        <v>0</v>
      </c>
      <c r="CP51" s="2">
        <f>(P51+Q51+S51+R51)</f>
        <v>-3.5</v>
      </c>
      <c r="CQ51" s="2">
        <f>ROUND(AL51*BC51,2)</f>
        <v>0</v>
      </c>
      <c r="CR51" s="2">
        <f>ROUND(AM51*BB51,2)</f>
        <v>57.47</v>
      </c>
      <c r="CS51" s="2">
        <f>ROUND(AN51*BS51,2)</f>
        <v>641.22</v>
      </c>
      <c r="CT51" s="2">
        <f>ROUND(AO51*BA51,2)</f>
        <v>0</v>
      </c>
      <c r="CU51" s="2">
        <f>AG51</f>
        <v>0</v>
      </c>
      <c r="CV51" s="2">
        <f>AH51</f>
        <v>0</v>
      </c>
      <c r="CW51" s="2">
        <f>AI51</f>
        <v>0</v>
      </c>
      <c r="CX51" s="2">
        <f>AJ51</f>
        <v>0</v>
      </c>
      <c r="CY51" s="2">
        <f>(((S51+R51)*AT51)/100)</f>
        <v>-3.1137000000000001</v>
      </c>
      <c r="CZ51" s="2">
        <f>(((S51+R51)*AU51)/100)</f>
        <v>-1.6371</v>
      </c>
      <c r="DA51" s="2"/>
      <c r="DB51" s="2"/>
      <c r="DC51" s="2" t="s">
        <v>3</v>
      </c>
      <c r="DD51" s="2" t="s">
        <v>3</v>
      </c>
      <c r="DE51" s="2" t="s">
        <v>3</v>
      </c>
      <c r="DF51" s="2" t="s">
        <v>3</v>
      </c>
      <c r="DG51" s="2" t="s">
        <v>3</v>
      </c>
      <c r="DH51" s="2" t="s">
        <v>3</v>
      </c>
      <c r="DI51" s="2" t="s">
        <v>3</v>
      </c>
      <c r="DJ51" s="2" t="s">
        <v>3</v>
      </c>
      <c r="DK51" s="2" t="s">
        <v>3</v>
      </c>
      <c r="DL51" s="2" t="s">
        <v>3</v>
      </c>
      <c r="DM51" s="2" t="s">
        <v>3</v>
      </c>
      <c r="DN51" s="2">
        <v>0</v>
      </c>
      <c r="DO51" s="2">
        <v>0</v>
      </c>
      <c r="DP51" s="2">
        <v>1</v>
      </c>
      <c r="DQ51" s="2">
        <v>1</v>
      </c>
      <c r="DR51" s="2"/>
      <c r="DS51" s="2"/>
      <c r="DT51" s="2"/>
      <c r="DU51" s="2">
        <v>1011</v>
      </c>
      <c r="DV51" s="2" t="s">
        <v>29</v>
      </c>
      <c r="DW51" s="2" t="s">
        <v>29</v>
      </c>
      <c r="DX51" s="2">
        <v>1</v>
      </c>
      <c r="DY51" s="2"/>
      <c r="DZ51" s="2" t="s">
        <v>3</v>
      </c>
      <c r="EA51" s="2" t="s">
        <v>3</v>
      </c>
      <c r="EB51" s="2" t="s">
        <v>3</v>
      </c>
      <c r="EC51" s="2" t="s">
        <v>3</v>
      </c>
      <c r="ED51" s="2"/>
      <c r="EE51" s="2">
        <v>84053775</v>
      </c>
      <c r="EF51" s="2">
        <v>3</v>
      </c>
      <c r="EG51" s="2" t="s">
        <v>48</v>
      </c>
      <c r="EH51" s="2">
        <v>0</v>
      </c>
      <c r="EI51" s="2" t="s">
        <v>3</v>
      </c>
      <c r="EJ51" s="2">
        <v>2</v>
      </c>
      <c r="EK51" s="2">
        <v>108001</v>
      </c>
      <c r="EL51" s="2" t="s">
        <v>49</v>
      </c>
      <c r="EM51" s="2" t="s">
        <v>50</v>
      </c>
      <c r="EN51" s="2"/>
      <c r="EO51" s="2" t="s">
        <v>3</v>
      </c>
      <c r="EP51" s="2"/>
      <c r="EQ51" s="2">
        <v>0</v>
      </c>
      <c r="ER51" s="2">
        <v>37.32</v>
      </c>
      <c r="ES51" s="2">
        <v>0</v>
      </c>
      <c r="ET51" s="2">
        <v>37.32</v>
      </c>
      <c r="EU51" s="2">
        <v>641.22</v>
      </c>
      <c r="EV51" s="2">
        <v>0</v>
      </c>
      <c r="EW51" s="2">
        <v>0</v>
      </c>
      <c r="EX51" s="2">
        <v>0</v>
      </c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>
        <v>0</v>
      </c>
      <c r="FR51" s="2">
        <v>0</v>
      </c>
      <c r="FS51" s="2">
        <v>1</v>
      </c>
      <c r="FT51" s="2"/>
      <c r="FU51" s="2"/>
      <c r="FV51" s="2"/>
      <c r="FW51" s="2"/>
      <c r="FX51" s="2">
        <v>97</v>
      </c>
      <c r="FY51" s="2">
        <v>51</v>
      </c>
      <c r="FZ51" s="2"/>
      <c r="GA51" s="2" t="s">
        <v>3</v>
      </c>
      <c r="GB51" s="2"/>
      <c r="GC51" s="2"/>
      <c r="GD51" s="2">
        <v>1</v>
      </c>
      <c r="GE51" s="2"/>
      <c r="GF51" s="2">
        <v>945201097</v>
      </c>
      <c r="GG51" s="2">
        <v>2</v>
      </c>
      <c r="GH51" s="2">
        <v>1</v>
      </c>
      <c r="GI51" s="2">
        <v>2</v>
      </c>
      <c r="GJ51" s="2">
        <v>0</v>
      </c>
      <c r="GK51" s="2">
        <v>0</v>
      </c>
      <c r="GL51" s="2">
        <f t="shared" si="34"/>
        <v>0</v>
      </c>
      <c r="GM51" s="2">
        <f t="shared" si="35"/>
        <v>-8.25</v>
      </c>
      <c r="GN51" s="2">
        <f t="shared" si="36"/>
        <v>0</v>
      </c>
      <c r="GO51" s="2">
        <f t="shared" si="37"/>
        <v>-8.25</v>
      </c>
      <c r="GP51" s="2">
        <f t="shared" si="38"/>
        <v>0</v>
      </c>
      <c r="GQ51" s="2"/>
      <c r="GR51" s="2">
        <v>0</v>
      </c>
      <c r="GS51" s="2">
        <v>7</v>
      </c>
      <c r="GT51" s="2">
        <v>0</v>
      </c>
      <c r="GU51" s="2" t="s">
        <v>3</v>
      </c>
      <c r="GV51" s="2">
        <f t="shared" si="39"/>
        <v>0</v>
      </c>
      <c r="GW51" s="2">
        <v>1</v>
      </c>
      <c r="GX51" s="2">
        <f t="shared" si="40"/>
        <v>0</v>
      </c>
      <c r="GY51" s="2"/>
      <c r="GZ51" s="2"/>
      <c r="HA51" s="2">
        <v>0</v>
      </c>
      <c r="HB51" s="2">
        <v>0</v>
      </c>
      <c r="HC51" s="2">
        <f>GV51*GW51</f>
        <v>0</v>
      </c>
      <c r="HD51" s="2"/>
      <c r="HE51" s="2" t="s">
        <v>3</v>
      </c>
      <c r="HF51" s="2" t="s">
        <v>3</v>
      </c>
      <c r="HG51" s="2"/>
      <c r="HH51" s="2"/>
      <c r="HI51" s="2"/>
      <c r="HJ51" s="2"/>
      <c r="HK51" s="2"/>
      <c r="HL51" s="2"/>
      <c r="HM51" s="2" t="s">
        <v>3</v>
      </c>
      <c r="HN51" s="2" t="s">
        <v>52</v>
      </c>
      <c r="HO51" s="2" t="s">
        <v>53</v>
      </c>
      <c r="HP51" s="2" t="s">
        <v>49</v>
      </c>
      <c r="HQ51" s="2" t="s">
        <v>49</v>
      </c>
      <c r="HR51" s="2"/>
      <c r="HS51" s="2">
        <v>0</v>
      </c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>
        <v>0</v>
      </c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x14ac:dyDescent="0.2">
      <c r="A52" s="2">
        <v>17</v>
      </c>
      <c r="B52" s="2">
        <v>1</v>
      </c>
      <c r="C52" s="2">
        <f>ROW(SmtRes!A63)</f>
        <v>63</v>
      </c>
      <c r="D52" s="2">
        <f>ROW(EtalonRes!A55)</f>
        <v>55</v>
      </c>
      <c r="E52" s="2" t="s">
        <v>107</v>
      </c>
      <c r="F52" s="2" t="s">
        <v>108</v>
      </c>
      <c r="G52" s="2" t="s">
        <v>109</v>
      </c>
      <c r="H52" s="2" t="s">
        <v>61</v>
      </c>
      <c r="I52" s="2">
        <f>ROUND((200+200)/100,7)</f>
        <v>4</v>
      </c>
      <c r="J52" s="2">
        <v>0</v>
      </c>
      <c r="K52" s="2">
        <f>ROUND((200+200)/100,7)</f>
        <v>4</v>
      </c>
      <c r="L52" s="2"/>
      <c r="M52" s="2"/>
      <c r="N52" s="2"/>
      <c r="O52" s="2">
        <f>ROUND(CP52,2)</f>
        <v>8375.76</v>
      </c>
      <c r="P52" s="2">
        <f>SUMIF(SmtRes!AQ54:'SmtRes'!AQ63,"=1",SmtRes!DF54:'SmtRes'!DF63)</f>
        <v>413.43000000000006</v>
      </c>
      <c r="Q52" s="2">
        <f>SUMIF(SmtRes!AQ54:'SmtRes'!AQ63,"=1",SmtRes!DG54:'SmtRes'!DG63)</f>
        <v>0</v>
      </c>
      <c r="R52" s="2">
        <f>SUMIF(SmtRes!AQ54:'SmtRes'!AQ63,"=1",SmtRes!DH54:'SmtRes'!DH63)</f>
        <v>0</v>
      </c>
      <c r="S52" s="2">
        <f>SUMIF(SmtRes!AQ54:'SmtRes'!AQ63,"=1",SmtRes!DI54:'SmtRes'!DI63)</f>
        <v>7962.33</v>
      </c>
      <c r="T52" s="2">
        <f t="shared" si="22"/>
        <v>0</v>
      </c>
      <c r="U52" s="2">
        <f>SUMIF(SmtRes!AQ54:'SmtRes'!AQ63,"=1",SmtRes!CV54:'SmtRes'!CV63)</f>
        <v>11.28</v>
      </c>
      <c r="V52" s="2">
        <f>SUMIF(SmtRes!AQ54:'SmtRes'!AQ63,"=1",SmtRes!CW54:'SmtRes'!CW63)</f>
        <v>0</v>
      </c>
      <c r="W52" s="2">
        <f t="shared" si="23"/>
        <v>0</v>
      </c>
      <c r="X52" s="2">
        <f t="shared" si="24"/>
        <v>7723.46</v>
      </c>
      <c r="Y52" s="2">
        <f t="shared" si="25"/>
        <v>4060.79</v>
      </c>
      <c r="Z52" s="2"/>
      <c r="AA52" s="2">
        <v>85997836</v>
      </c>
      <c r="AB52" s="2">
        <f t="shared" si="26"/>
        <v>2091.6777000000002</v>
      </c>
      <c r="AC52" s="2">
        <f>ROUND((SUM(SmtRes!BQ54:'SmtRes'!BQ63)),6)</f>
        <v>101.09610000000001</v>
      </c>
      <c r="AD52" s="2">
        <f>ROUND((((0)-(0))+AE52),6)</f>
        <v>0</v>
      </c>
      <c r="AE52" s="2">
        <f>ROUND((0),6)</f>
        <v>0</v>
      </c>
      <c r="AF52" s="2">
        <f>ROUND((SUM(SmtRes!BT54:'SmtRes'!BT63)),6)</f>
        <v>1990.5816</v>
      </c>
      <c r="AG52" s="2">
        <f t="shared" si="27"/>
        <v>0</v>
      </c>
      <c r="AH52" s="2">
        <f>(SUM(SmtRes!BU54:'SmtRes'!BU63))</f>
        <v>2.82</v>
      </c>
      <c r="AI52" s="2">
        <f>(0)</f>
        <v>0</v>
      </c>
      <c r="AJ52" s="2">
        <f t="shared" si="28"/>
        <v>0</v>
      </c>
      <c r="AK52" s="2">
        <v>2091.6777000000002</v>
      </c>
      <c r="AL52" s="2">
        <v>101.09610000000001</v>
      </c>
      <c r="AM52" s="2">
        <v>0</v>
      </c>
      <c r="AN52" s="2">
        <v>0</v>
      </c>
      <c r="AO52" s="2">
        <v>1990.5816</v>
      </c>
      <c r="AP52" s="2">
        <v>0</v>
      </c>
      <c r="AQ52" s="2">
        <v>2.82</v>
      </c>
      <c r="AR52" s="2">
        <v>0.02</v>
      </c>
      <c r="AS52" s="2">
        <v>0</v>
      </c>
      <c r="AT52" s="2">
        <v>97</v>
      </c>
      <c r="AU52" s="2">
        <v>51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2</v>
      </c>
      <c r="BJ52" s="2" t="s">
        <v>110</v>
      </c>
      <c r="BK52" s="2"/>
      <c r="BL52" s="2"/>
      <c r="BM52" s="2">
        <v>108001</v>
      </c>
      <c r="BN52" s="2">
        <v>0</v>
      </c>
      <c r="BO52" s="2" t="s">
        <v>3</v>
      </c>
      <c r="BP52" s="2">
        <v>0</v>
      </c>
      <c r="BQ52" s="2">
        <v>3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97</v>
      </c>
      <c r="CA52" s="2">
        <v>51</v>
      </c>
      <c r="CB52" s="2" t="s">
        <v>3</v>
      </c>
      <c r="CC52" s="2"/>
      <c r="CD52" s="2"/>
      <c r="CE52" s="2">
        <v>0</v>
      </c>
      <c r="CF52" s="2">
        <v>0</v>
      </c>
      <c r="CG52" s="2">
        <v>0</v>
      </c>
      <c r="CH52" s="2"/>
      <c r="CI52" s="2"/>
      <c r="CJ52" s="2"/>
      <c r="CK52" s="2"/>
      <c r="CL52" s="2"/>
      <c r="CM52" s="2">
        <v>0</v>
      </c>
      <c r="CN52" s="2" t="s">
        <v>3</v>
      </c>
      <c r="CO52" s="2">
        <v>0</v>
      </c>
      <c r="CP52" s="2">
        <f>(P52+Q52+S52+R52)</f>
        <v>8375.76</v>
      </c>
      <c r="CQ52" s="2">
        <f>SUMIF(SmtRes!AQ54:'SmtRes'!AQ63,"=1",SmtRes!AA54:'SmtRes'!AA63)</f>
        <v>174.7</v>
      </c>
      <c r="CR52" s="2">
        <f>SUMIF(SmtRes!AQ54:'SmtRes'!AQ63,"=1",SmtRes!AB54:'SmtRes'!AB63)</f>
        <v>0</v>
      </c>
      <c r="CS52" s="2">
        <f>SUMIF(SmtRes!AQ54:'SmtRes'!AQ63,"=1",SmtRes!AC54:'SmtRes'!AC63)</f>
        <v>0</v>
      </c>
      <c r="CT52" s="2">
        <f>SUMIF(SmtRes!AQ54:'SmtRes'!AQ63,"=1",SmtRes!AD54:'SmtRes'!AD63)</f>
        <v>705.88</v>
      </c>
      <c r="CU52" s="2">
        <f>AG52</f>
        <v>0</v>
      </c>
      <c r="CV52" s="2">
        <f>SUMIF(SmtRes!AQ54:'SmtRes'!AQ63,"=1",SmtRes!BU54:'SmtRes'!BU63)</f>
        <v>2.82</v>
      </c>
      <c r="CW52" s="2">
        <f>SUMIF(SmtRes!AQ54:'SmtRes'!AQ63,"=1",SmtRes!BV54:'SmtRes'!BV63)</f>
        <v>0</v>
      </c>
      <c r="CX52" s="2">
        <f>AJ52</f>
        <v>0</v>
      </c>
      <c r="CY52" s="2">
        <f>(((S52+R52)*AT52)/100)</f>
        <v>7723.4601000000002</v>
      </c>
      <c r="CZ52" s="2">
        <f>(((S52+R52)*AU52)/100)</f>
        <v>4060.7883000000002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</v>
      </c>
      <c r="DQ52" s="2">
        <v>1</v>
      </c>
      <c r="DR52" s="2"/>
      <c r="DS52" s="2"/>
      <c r="DT52" s="2"/>
      <c r="DU52" s="2">
        <v>1003</v>
      </c>
      <c r="DV52" s="2" t="s">
        <v>61</v>
      </c>
      <c r="DW52" s="2" t="s">
        <v>61</v>
      </c>
      <c r="DX52" s="2">
        <v>100</v>
      </c>
      <c r="DY52" s="2"/>
      <c r="DZ52" s="2" t="s">
        <v>3</v>
      </c>
      <c r="EA52" s="2" t="s">
        <v>3</v>
      </c>
      <c r="EB52" s="2" t="s">
        <v>3</v>
      </c>
      <c r="EC52" s="2" t="s">
        <v>3</v>
      </c>
      <c r="ED52" s="2"/>
      <c r="EE52" s="2">
        <v>84053775</v>
      </c>
      <c r="EF52" s="2">
        <v>3</v>
      </c>
      <c r="EG52" s="2" t="s">
        <v>48</v>
      </c>
      <c r="EH52" s="2">
        <v>0</v>
      </c>
      <c r="EI52" s="2" t="s">
        <v>3</v>
      </c>
      <c r="EJ52" s="2">
        <v>2</v>
      </c>
      <c r="EK52" s="2">
        <v>108001</v>
      </c>
      <c r="EL52" s="2" t="s">
        <v>49</v>
      </c>
      <c r="EM52" s="2" t="s">
        <v>50</v>
      </c>
      <c r="EN52" s="2"/>
      <c r="EO52" s="2" t="s">
        <v>3</v>
      </c>
      <c r="EP52" s="2"/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2.82</v>
      </c>
      <c r="EX52" s="2">
        <v>0.02</v>
      </c>
      <c r="EY52" s="2">
        <v>0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v>0</v>
      </c>
      <c r="FS52" s="2">
        <v>0</v>
      </c>
      <c r="FT52" s="2"/>
      <c r="FU52" s="2"/>
      <c r="FV52" s="2"/>
      <c r="FW52" s="2"/>
      <c r="FX52" s="2">
        <v>97</v>
      </c>
      <c r="FY52" s="2">
        <v>51</v>
      </c>
      <c r="FZ52" s="2"/>
      <c r="GA52" s="2" t="s">
        <v>3</v>
      </c>
      <c r="GB52" s="2"/>
      <c r="GC52" s="2"/>
      <c r="GD52" s="2">
        <v>1</v>
      </c>
      <c r="GE52" s="2"/>
      <c r="GF52" s="2">
        <v>-140651320</v>
      </c>
      <c r="GG52" s="2">
        <v>2</v>
      </c>
      <c r="GH52" s="2">
        <v>1</v>
      </c>
      <c r="GI52" s="2">
        <v>-2</v>
      </c>
      <c r="GJ52" s="2">
        <v>0</v>
      </c>
      <c r="GK52" s="2">
        <v>0</v>
      </c>
      <c r="GL52" s="2">
        <f t="shared" si="34"/>
        <v>0</v>
      </c>
      <c r="GM52" s="2">
        <f t="shared" si="35"/>
        <v>20160.009999999998</v>
      </c>
      <c r="GN52" s="2">
        <f t="shared" si="36"/>
        <v>0</v>
      </c>
      <c r="GO52" s="2">
        <f t="shared" si="37"/>
        <v>20160.009999999998</v>
      </c>
      <c r="GP52" s="2">
        <f t="shared" si="38"/>
        <v>0</v>
      </c>
      <c r="GQ52" s="2"/>
      <c r="GR52" s="2">
        <v>0</v>
      </c>
      <c r="GS52" s="2">
        <v>0</v>
      </c>
      <c r="GT52" s="2">
        <v>0</v>
      </c>
      <c r="GU52" s="2" t="s">
        <v>3</v>
      </c>
      <c r="GV52" s="2">
        <f t="shared" si="39"/>
        <v>0</v>
      </c>
      <c r="GW52" s="2">
        <v>1</v>
      </c>
      <c r="GX52" s="2">
        <f t="shared" si="40"/>
        <v>0</v>
      </c>
      <c r="GY52" s="2"/>
      <c r="GZ52" s="2"/>
      <c r="HA52" s="2">
        <v>0</v>
      </c>
      <c r="HB52" s="2">
        <v>0</v>
      </c>
      <c r="HC52" s="2">
        <f>GV52*GW52</f>
        <v>0</v>
      </c>
      <c r="HD52" s="2"/>
      <c r="HE52" s="2" t="s">
        <v>3</v>
      </c>
      <c r="HF52" s="2" t="s">
        <v>3</v>
      </c>
      <c r="HG52" s="2"/>
      <c r="HH52" s="2"/>
      <c r="HI52" s="2"/>
      <c r="HJ52" s="2"/>
      <c r="HK52" s="2"/>
      <c r="HL52" s="2"/>
      <c r="HM52" s="2" t="s">
        <v>3</v>
      </c>
      <c r="HN52" s="2" t="s">
        <v>52</v>
      </c>
      <c r="HO52" s="2" t="s">
        <v>53</v>
      </c>
      <c r="HP52" s="2" t="s">
        <v>49</v>
      </c>
      <c r="HQ52" s="2" t="s">
        <v>49</v>
      </c>
      <c r="HR52" s="2"/>
      <c r="HS52" s="2">
        <v>0</v>
      </c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 s="2">
        <v>18</v>
      </c>
      <c r="B53" s="2">
        <v>1</v>
      </c>
      <c r="C53" s="2">
        <v>61</v>
      </c>
      <c r="D53" s="2"/>
      <c r="E53" s="2" t="s">
        <v>111</v>
      </c>
      <c r="F53" s="2" t="s">
        <v>112</v>
      </c>
      <c r="G53" s="2" t="s">
        <v>113</v>
      </c>
      <c r="H53" s="2" t="s">
        <v>114</v>
      </c>
      <c r="I53" s="2">
        <f>I52*J53</f>
        <v>0.2</v>
      </c>
      <c r="J53" s="2">
        <v>0.05</v>
      </c>
      <c r="K53" s="2">
        <v>0.05</v>
      </c>
      <c r="L53" s="2"/>
      <c r="M53" s="2"/>
      <c r="N53" s="2"/>
      <c r="O53" s="2">
        <f>ROUND(CP53,2)</f>
        <v>9073.7800000000007</v>
      </c>
      <c r="P53" s="2">
        <f>ROUND(CQ53*I53,2)</f>
        <v>9073.7800000000007</v>
      </c>
      <c r="Q53" s="2">
        <f>ROUND(CR53*I53,2)</f>
        <v>0</v>
      </c>
      <c r="R53" s="2">
        <f>ROUND(CS53*I53,2)</f>
        <v>0</v>
      </c>
      <c r="S53" s="2">
        <f>ROUND(CT53*I53,2)</f>
        <v>0</v>
      </c>
      <c r="T53" s="2">
        <f t="shared" si="22"/>
        <v>0</v>
      </c>
      <c r="U53" s="2">
        <f>ROUND(CV53*I53,7)</f>
        <v>0</v>
      </c>
      <c r="V53" s="2">
        <f>ROUND(CW53*I53,7)</f>
        <v>0</v>
      </c>
      <c r="W53" s="2">
        <f t="shared" si="23"/>
        <v>0</v>
      </c>
      <c r="X53" s="2">
        <f t="shared" si="24"/>
        <v>0</v>
      </c>
      <c r="Y53" s="2">
        <f t="shared" si="25"/>
        <v>0</v>
      </c>
      <c r="Z53" s="2"/>
      <c r="AA53" s="2">
        <v>85997836</v>
      </c>
      <c r="AB53" s="2">
        <f t="shared" si="26"/>
        <v>45368.9</v>
      </c>
      <c r="AC53" s="2">
        <f>ROUND((ES53),6)</f>
        <v>45368.9</v>
      </c>
      <c r="AD53" s="2">
        <f>ROUND((((ET53)-(EU53))+AE53),6)</f>
        <v>0</v>
      </c>
      <c r="AE53" s="2">
        <f t="shared" ref="AE53:AF57" si="61">ROUND((EU53),6)</f>
        <v>0</v>
      </c>
      <c r="AF53" s="2">
        <f t="shared" si="61"/>
        <v>0</v>
      </c>
      <c r="AG53" s="2">
        <f t="shared" si="27"/>
        <v>0</v>
      </c>
      <c r="AH53" s="2">
        <f t="shared" ref="AH53:AI57" si="62">(EW53)</f>
        <v>0</v>
      </c>
      <c r="AI53" s="2">
        <f t="shared" si="62"/>
        <v>0</v>
      </c>
      <c r="AJ53" s="2">
        <f t="shared" si="28"/>
        <v>0</v>
      </c>
      <c r="AK53" s="2">
        <v>45368.9</v>
      </c>
      <c r="AL53" s="2">
        <v>45368.9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97</v>
      </c>
      <c r="AU53" s="2">
        <v>51</v>
      </c>
      <c r="AV53" s="2">
        <v>1</v>
      </c>
      <c r="AW53" s="2">
        <v>1</v>
      </c>
      <c r="AX53" s="2"/>
      <c r="AY53" s="2"/>
      <c r="AZ53" s="2">
        <v>1</v>
      </c>
      <c r="BA53" s="2">
        <v>1</v>
      </c>
      <c r="BB53" s="2">
        <v>1</v>
      </c>
      <c r="BC53" s="2">
        <v>1</v>
      </c>
      <c r="BD53" s="2" t="s">
        <v>3</v>
      </c>
      <c r="BE53" s="2" t="s">
        <v>3</v>
      </c>
      <c r="BF53" s="2" t="s">
        <v>3</v>
      </c>
      <c r="BG53" s="2" t="s">
        <v>3</v>
      </c>
      <c r="BH53" s="2">
        <v>3</v>
      </c>
      <c r="BI53" s="2">
        <v>2</v>
      </c>
      <c r="BJ53" s="2" t="s">
        <v>115</v>
      </c>
      <c r="BK53" s="2"/>
      <c r="BL53" s="2"/>
      <c r="BM53" s="2">
        <v>108001</v>
      </c>
      <c r="BN53" s="2">
        <v>0</v>
      </c>
      <c r="BO53" s="2" t="s">
        <v>3</v>
      </c>
      <c r="BP53" s="2">
        <v>0</v>
      </c>
      <c r="BQ53" s="2">
        <v>3</v>
      </c>
      <c r="BR53" s="2">
        <v>0</v>
      </c>
      <c r="BS53" s="2">
        <v>1</v>
      </c>
      <c r="BT53" s="2">
        <v>1</v>
      </c>
      <c r="BU53" s="2">
        <v>1</v>
      </c>
      <c r="BV53" s="2">
        <v>1</v>
      </c>
      <c r="BW53" s="2">
        <v>1</v>
      </c>
      <c r="BX53" s="2">
        <v>1</v>
      </c>
      <c r="BY53" s="2" t="s">
        <v>3</v>
      </c>
      <c r="BZ53" s="2">
        <v>97</v>
      </c>
      <c r="CA53" s="2">
        <v>51</v>
      </c>
      <c r="CB53" s="2" t="s">
        <v>3</v>
      </c>
      <c r="CC53" s="2"/>
      <c r="CD53" s="2"/>
      <c r="CE53" s="2">
        <v>0</v>
      </c>
      <c r="CF53" s="2">
        <v>0</v>
      </c>
      <c r="CG53" s="2">
        <v>0</v>
      </c>
      <c r="CH53" s="2"/>
      <c r="CI53" s="2"/>
      <c r="CJ53" s="2"/>
      <c r="CK53" s="2"/>
      <c r="CL53" s="2"/>
      <c r="CM53" s="2">
        <v>0</v>
      </c>
      <c r="CN53" s="2" t="s">
        <v>3</v>
      </c>
      <c r="CO53" s="2">
        <v>0</v>
      </c>
      <c r="CP53" s="2">
        <f>(P53+Q53+S53+R53)</f>
        <v>9073.7800000000007</v>
      </c>
      <c r="CQ53" s="2">
        <f>ROUND(AL53*BC53,2)</f>
        <v>45368.9</v>
      </c>
      <c r="CR53" s="2">
        <f>ROUND(AM53*BB53,2)</f>
        <v>0</v>
      </c>
      <c r="CS53" s="2">
        <f>ROUND(AN53*BS53,2)</f>
        <v>0</v>
      </c>
      <c r="CT53" s="2">
        <f>ROUND(AO53*BA53,2)</f>
        <v>0</v>
      </c>
      <c r="CU53" s="2">
        <f>AG53</f>
        <v>0</v>
      </c>
      <c r="CV53" s="2">
        <f>AH53</f>
        <v>0</v>
      </c>
      <c r="CW53" s="2">
        <f>AI53</f>
        <v>0</v>
      </c>
      <c r="CX53" s="2">
        <f>AJ53</f>
        <v>0</v>
      </c>
      <c r="CY53" s="2">
        <f>(((S53+R53)*AT53)/100)</f>
        <v>0</v>
      </c>
      <c r="CZ53" s="2">
        <f>(((S53+R53)*AU53)/100)</f>
        <v>0</v>
      </c>
      <c r="DA53" s="2"/>
      <c r="DB53" s="2"/>
      <c r="DC53" s="2" t="s">
        <v>3</v>
      </c>
      <c r="DD53" s="2" t="s">
        <v>3</v>
      </c>
      <c r="DE53" s="2" t="s">
        <v>3</v>
      </c>
      <c r="DF53" s="2" t="s">
        <v>3</v>
      </c>
      <c r="DG53" s="2" t="s">
        <v>3</v>
      </c>
      <c r="DH53" s="2" t="s">
        <v>3</v>
      </c>
      <c r="DI53" s="2" t="s">
        <v>3</v>
      </c>
      <c r="DJ53" s="2" t="s">
        <v>3</v>
      </c>
      <c r="DK53" s="2" t="s">
        <v>3</v>
      </c>
      <c r="DL53" s="2" t="s">
        <v>3</v>
      </c>
      <c r="DM53" s="2" t="s">
        <v>3</v>
      </c>
      <c r="DN53" s="2">
        <v>0</v>
      </c>
      <c r="DO53" s="2">
        <v>0</v>
      </c>
      <c r="DP53" s="2">
        <v>1</v>
      </c>
      <c r="DQ53" s="2">
        <v>1</v>
      </c>
      <c r="DR53" s="2"/>
      <c r="DS53" s="2"/>
      <c r="DT53" s="2"/>
      <c r="DU53" s="2">
        <v>1013</v>
      </c>
      <c r="DV53" s="2" t="s">
        <v>114</v>
      </c>
      <c r="DW53" s="2" t="s">
        <v>116</v>
      </c>
      <c r="DX53" s="2">
        <v>1</v>
      </c>
      <c r="DY53" s="2"/>
      <c r="DZ53" s="2" t="s">
        <v>3</v>
      </c>
      <c r="EA53" s="2" t="s">
        <v>3</v>
      </c>
      <c r="EB53" s="2" t="s">
        <v>3</v>
      </c>
      <c r="EC53" s="2" t="s">
        <v>3</v>
      </c>
      <c r="ED53" s="2"/>
      <c r="EE53" s="2">
        <v>84053775</v>
      </c>
      <c r="EF53" s="2">
        <v>3</v>
      </c>
      <c r="EG53" s="2" t="s">
        <v>48</v>
      </c>
      <c r="EH53" s="2">
        <v>0</v>
      </c>
      <c r="EI53" s="2" t="s">
        <v>3</v>
      </c>
      <c r="EJ53" s="2">
        <v>2</v>
      </c>
      <c r="EK53" s="2">
        <v>108001</v>
      </c>
      <c r="EL53" s="2" t="s">
        <v>49</v>
      </c>
      <c r="EM53" s="2" t="s">
        <v>50</v>
      </c>
      <c r="EN53" s="2"/>
      <c r="EO53" s="2" t="s">
        <v>3</v>
      </c>
      <c r="EP53" s="2"/>
      <c r="EQ53" s="2">
        <v>0</v>
      </c>
      <c r="ER53" s="2">
        <v>45368.9</v>
      </c>
      <c r="ES53" s="2">
        <v>45368.9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>
        <v>0</v>
      </c>
      <c r="FR53" s="2">
        <v>0</v>
      </c>
      <c r="FS53" s="2">
        <v>0</v>
      </c>
      <c r="FT53" s="2"/>
      <c r="FU53" s="2"/>
      <c r="FV53" s="2"/>
      <c r="FW53" s="2"/>
      <c r="FX53" s="2">
        <v>97</v>
      </c>
      <c r="FY53" s="2">
        <v>51</v>
      </c>
      <c r="FZ53" s="2"/>
      <c r="GA53" s="2" t="s">
        <v>3</v>
      </c>
      <c r="GB53" s="2"/>
      <c r="GC53" s="2"/>
      <c r="GD53" s="2">
        <v>1</v>
      </c>
      <c r="GE53" s="2">
        <v>47048.63</v>
      </c>
      <c r="GF53" s="2">
        <v>-291009528</v>
      </c>
      <c r="GG53" s="2">
        <v>2</v>
      </c>
      <c r="GH53" s="2">
        <v>1</v>
      </c>
      <c r="GI53" s="2">
        <v>-2</v>
      </c>
      <c r="GJ53" s="2">
        <v>0</v>
      </c>
      <c r="GK53" s="2">
        <v>0</v>
      </c>
      <c r="GL53" s="2">
        <f t="shared" si="34"/>
        <v>0</v>
      </c>
      <c r="GM53" s="2">
        <f t="shared" si="35"/>
        <v>9073.7800000000007</v>
      </c>
      <c r="GN53" s="2">
        <f t="shared" si="36"/>
        <v>0</v>
      </c>
      <c r="GO53" s="2">
        <f t="shared" si="37"/>
        <v>9073.7800000000007</v>
      </c>
      <c r="GP53" s="2">
        <f t="shared" si="38"/>
        <v>0</v>
      </c>
      <c r="GQ53" s="2"/>
      <c r="GR53" s="2">
        <v>3</v>
      </c>
      <c r="GS53" s="2">
        <v>0</v>
      </c>
      <c r="GT53" s="2">
        <v>0</v>
      </c>
      <c r="GU53" s="2" t="s">
        <v>3</v>
      </c>
      <c r="GV53" s="2">
        <f t="shared" si="39"/>
        <v>0</v>
      </c>
      <c r="GW53" s="2">
        <v>1</v>
      </c>
      <c r="GX53" s="2">
        <f t="shared" si="40"/>
        <v>0</v>
      </c>
      <c r="GY53" s="2"/>
      <c r="GZ53" s="2"/>
      <c r="HA53" s="2">
        <v>0</v>
      </c>
      <c r="HB53" s="2">
        <v>0</v>
      </c>
      <c r="HC53" s="2">
        <f>GV53*GW53</f>
        <v>0</v>
      </c>
      <c r="HD53" s="2"/>
      <c r="HE53" s="2" t="s">
        <v>3</v>
      </c>
      <c r="HF53" s="2" t="s">
        <v>3</v>
      </c>
      <c r="HG53" s="2"/>
      <c r="HH53" s="2"/>
      <c r="HI53" s="2"/>
      <c r="HJ53" s="2"/>
      <c r="HK53" s="2"/>
      <c r="HL53" s="2"/>
      <c r="HM53" s="2" t="s">
        <v>3</v>
      </c>
      <c r="HN53" s="2" t="s">
        <v>52</v>
      </c>
      <c r="HO53" s="2" t="s">
        <v>53</v>
      </c>
      <c r="HP53" s="2" t="s">
        <v>49</v>
      </c>
      <c r="HQ53" s="2" t="s">
        <v>49</v>
      </c>
      <c r="HR53" s="2"/>
      <c r="HS53" s="2">
        <v>0</v>
      </c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>
        <v>0</v>
      </c>
      <c r="IL53" s="2"/>
      <c r="IM53" s="2"/>
      <c r="IN53" s="2"/>
      <c r="IO53" s="2"/>
      <c r="IP53" s="2"/>
      <c r="IQ53" s="2"/>
      <c r="IR53" s="2"/>
      <c r="IS53" s="2"/>
      <c r="IT53" s="2"/>
      <c r="IU53" s="2"/>
    </row>
    <row r="54" spans="1:255" x14ac:dyDescent="0.2">
      <c r="A54" s="2">
        <v>18</v>
      </c>
      <c r="B54" s="2">
        <v>1</v>
      </c>
      <c r="C54" s="2">
        <v>62</v>
      </c>
      <c r="D54" s="2"/>
      <c r="E54" s="2" t="s">
        <v>117</v>
      </c>
      <c r="F54" s="2" t="s">
        <v>118</v>
      </c>
      <c r="G54" s="2" t="s">
        <v>119</v>
      </c>
      <c r="H54" s="2" t="s">
        <v>114</v>
      </c>
      <c r="I54" s="2">
        <f>I52*J54</f>
        <v>0.2</v>
      </c>
      <c r="J54" s="2">
        <v>0.05</v>
      </c>
      <c r="K54" s="2">
        <v>0.05</v>
      </c>
      <c r="L54" s="2"/>
      <c r="M54" s="2"/>
      <c r="N54" s="2"/>
      <c r="O54" s="2">
        <f>ROUND(CP54,2)</f>
        <v>14089.98</v>
      </c>
      <c r="P54" s="2">
        <f>ROUND(CQ54*I54,2)</f>
        <v>14089.98</v>
      </c>
      <c r="Q54" s="2">
        <f>ROUND(CR54*I54,2)</f>
        <v>0</v>
      </c>
      <c r="R54" s="2">
        <f>ROUND(CS54*I54,2)</f>
        <v>0</v>
      </c>
      <c r="S54" s="2">
        <f>ROUND(CT54*I54,2)</f>
        <v>0</v>
      </c>
      <c r="T54" s="2">
        <f t="shared" si="22"/>
        <v>0</v>
      </c>
      <c r="U54" s="2">
        <f>ROUND(CV54*I54,7)</f>
        <v>0</v>
      </c>
      <c r="V54" s="2">
        <f>ROUND(CW54*I54,7)</f>
        <v>0</v>
      </c>
      <c r="W54" s="2">
        <f t="shared" si="23"/>
        <v>0</v>
      </c>
      <c r="X54" s="2">
        <f t="shared" si="24"/>
        <v>0</v>
      </c>
      <c r="Y54" s="2">
        <f t="shared" si="25"/>
        <v>0</v>
      </c>
      <c r="Z54" s="2"/>
      <c r="AA54" s="2">
        <v>85997836</v>
      </c>
      <c r="AB54" s="2">
        <f t="shared" si="26"/>
        <v>70449.91</v>
      </c>
      <c r="AC54" s="2">
        <f>ROUND((ES54),6)</f>
        <v>70449.91</v>
      </c>
      <c r="AD54" s="2">
        <f>ROUND((((ET54)-(EU54))+AE54),6)</f>
        <v>0</v>
      </c>
      <c r="AE54" s="2">
        <f t="shared" si="61"/>
        <v>0</v>
      </c>
      <c r="AF54" s="2">
        <f t="shared" si="61"/>
        <v>0</v>
      </c>
      <c r="AG54" s="2">
        <f t="shared" si="27"/>
        <v>0</v>
      </c>
      <c r="AH54" s="2">
        <f t="shared" si="62"/>
        <v>0</v>
      </c>
      <c r="AI54" s="2">
        <f t="shared" si="62"/>
        <v>0</v>
      </c>
      <c r="AJ54" s="2">
        <f t="shared" si="28"/>
        <v>0</v>
      </c>
      <c r="AK54" s="2">
        <v>70449.91</v>
      </c>
      <c r="AL54" s="2">
        <v>70449.91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97</v>
      </c>
      <c r="AU54" s="2">
        <v>51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3</v>
      </c>
      <c r="BI54" s="2">
        <v>2</v>
      </c>
      <c r="BJ54" s="2" t="s">
        <v>120</v>
      </c>
      <c r="BK54" s="2"/>
      <c r="BL54" s="2"/>
      <c r="BM54" s="2">
        <v>108001</v>
      </c>
      <c r="BN54" s="2">
        <v>0</v>
      </c>
      <c r="BO54" s="2" t="s">
        <v>3</v>
      </c>
      <c r="BP54" s="2">
        <v>0</v>
      </c>
      <c r="BQ54" s="2">
        <v>3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97</v>
      </c>
      <c r="CA54" s="2">
        <v>51</v>
      </c>
      <c r="CB54" s="2" t="s">
        <v>3</v>
      </c>
      <c r="CC54" s="2"/>
      <c r="CD54" s="2"/>
      <c r="CE54" s="2">
        <v>0</v>
      </c>
      <c r="CF54" s="2">
        <v>0</v>
      </c>
      <c r="CG54" s="2">
        <v>0</v>
      </c>
      <c r="CH54" s="2"/>
      <c r="CI54" s="2"/>
      <c r="CJ54" s="2"/>
      <c r="CK54" s="2"/>
      <c r="CL54" s="2"/>
      <c r="CM54" s="2">
        <v>0</v>
      </c>
      <c r="CN54" s="2" t="s">
        <v>3</v>
      </c>
      <c r="CO54" s="2">
        <v>0</v>
      </c>
      <c r="CP54" s="2">
        <f>(P54+Q54+S54+R54)</f>
        <v>14089.98</v>
      </c>
      <c r="CQ54" s="2">
        <f>ROUND(AL54*BC54,2)</f>
        <v>70449.91</v>
      </c>
      <c r="CR54" s="2">
        <f>ROUND(AM54*BB54,2)</f>
        <v>0</v>
      </c>
      <c r="CS54" s="2">
        <f>ROUND(AN54*BS54,2)</f>
        <v>0</v>
      </c>
      <c r="CT54" s="2">
        <f>ROUND(AO54*BA54,2)</f>
        <v>0</v>
      </c>
      <c r="CU54" s="2">
        <f>AG54</f>
        <v>0</v>
      </c>
      <c r="CV54" s="2">
        <f>AH54</f>
        <v>0</v>
      </c>
      <c r="CW54" s="2">
        <f>AI54</f>
        <v>0</v>
      </c>
      <c r="CX54" s="2">
        <f>AJ54</f>
        <v>0</v>
      </c>
      <c r="CY54" s="2">
        <f>(((S54+R54)*AT54)/100)</f>
        <v>0</v>
      </c>
      <c r="CZ54" s="2">
        <f>(((S54+R54)*AU54)/100)</f>
        <v>0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</v>
      </c>
      <c r="DQ54" s="2">
        <v>1</v>
      </c>
      <c r="DR54" s="2"/>
      <c r="DS54" s="2"/>
      <c r="DT54" s="2"/>
      <c r="DU54" s="2">
        <v>1013</v>
      </c>
      <c r="DV54" s="2" t="s">
        <v>114</v>
      </c>
      <c r="DW54" s="2" t="s">
        <v>116</v>
      </c>
      <c r="DX54" s="2">
        <v>1</v>
      </c>
      <c r="DY54" s="2"/>
      <c r="DZ54" s="2" t="s">
        <v>3</v>
      </c>
      <c r="EA54" s="2" t="s">
        <v>3</v>
      </c>
      <c r="EB54" s="2" t="s">
        <v>3</v>
      </c>
      <c r="EC54" s="2" t="s">
        <v>3</v>
      </c>
      <c r="ED54" s="2"/>
      <c r="EE54" s="2">
        <v>84053775</v>
      </c>
      <c r="EF54" s="2">
        <v>3</v>
      </c>
      <c r="EG54" s="2" t="s">
        <v>48</v>
      </c>
      <c r="EH54" s="2">
        <v>0</v>
      </c>
      <c r="EI54" s="2" t="s">
        <v>3</v>
      </c>
      <c r="EJ54" s="2">
        <v>2</v>
      </c>
      <c r="EK54" s="2">
        <v>108001</v>
      </c>
      <c r="EL54" s="2" t="s">
        <v>49</v>
      </c>
      <c r="EM54" s="2" t="s">
        <v>50</v>
      </c>
      <c r="EN54" s="2"/>
      <c r="EO54" s="2" t="s">
        <v>3</v>
      </c>
      <c r="EP54" s="2"/>
      <c r="EQ54" s="2">
        <v>0</v>
      </c>
      <c r="ER54" s="2">
        <v>70449.91</v>
      </c>
      <c r="ES54" s="2">
        <v>70449.91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v>0</v>
      </c>
      <c r="FS54" s="2">
        <v>0</v>
      </c>
      <c r="FT54" s="2"/>
      <c r="FU54" s="2"/>
      <c r="FV54" s="2"/>
      <c r="FW54" s="2"/>
      <c r="FX54" s="2">
        <v>97</v>
      </c>
      <c r="FY54" s="2">
        <v>51</v>
      </c>
      <c r="FZ54" s="2"/>
      <c r="GA54" s="2" t="s">
        <v>3</v>
      </c>
      <c r="GB54" s="2"/>
      <c r="GC54" s="2"/>
      <c r="GD54" s="2">
        <v>1</v>
      </c>
      <c r="GE54" s="2">
        <v>72551.44</v>
      </c>
      <c r="GF54" s="2">
        <v>1901007357</v>
      </c>
      <c r="GG54" s="2">
        <v>2</v>
      </c>
      <c r="GH54" s="2">
        <v>1</v>
      </c>
      <c r="GI54" s="2">
        <v>-2</v>
      </c>
      <c r="GJ54" s="2">
        <v>0</v>
      </c>
      <c r="GK54" s="2">
        <v>0</v>
      </c>
      <c r="GL54" s="2">
        <f t="shared" si="34"/>
        <v>0</v>
      </c>
      <c r="GM54" s="2">
        <f t="shared" si="35"/>
        <v>14089.98</v>
      </c>
      <c r="GN54" s="2">
        <f t="shared" si="36"/>
        <v>0</v>
      </c>
      <c r="GO54" s="2">
        <f t="shared" si="37"/>
        <v>14089.98</v>
      </c>
      <c r="GP54" s="2">
        <f t="shared" si="38"/>
        <v>0</v>
      </c>
      <c r="GQ54" s="2"/>
      <c r="GR54" s="2">
        <v>3</v>
      </c>
      <c r="GS54" s="2">
        <v>0</v>
      </c>
      <c r="GT54" s="2">
        <v>0</v>
      </c>
      <c r="GU54" s="2" t="s">
        <v>3</v>
      </c>
      <c r="GV54" s="2">
        <f t="shared" si="39"/>
        <v>0</v>
      </c>
      <c r="GW54" s="2">
        <v>1</v>
      </c>
      <c r="GX54" s="2">
        <f t="shared" si="40"/>
        <v>0</v>
      </c>
      <c r="GY54" s="2"/>
      <c r="GZ54" s="2"/>
      <c r="HA54" s="2">
        <v>0</v>
      </c>
      <c r="HB54" s="2">
        <v>0</v>
      </c>
      <c r="HC54" s="2">
        <f>GV54*GW54</f>
        <v>0</v>
      </c>
      <c r="HD54" s="2"/>
      <c r="HE54" s="2" t="s">
        <v>3</v>
      </c>
      <c r="HF54" s="2" t="s">
        <v>3</v>
      </c>
      <c r="HG54" s="2"/>
      <c r="HH54" s="2"/>
      <c r="HI54" s="2"/>
      <c r="HJ54" s="2"/>
      <c r="HK54" s="2"/>
      <c r="HL54" s="2"/>
      <c r="HM54" s="2" t="s">
        <v>3</v>
      </c>
      <c r="HN54" s="2" t="s">
        <v>52</v>
      </c>
      <c r="HO54" s="2" t="s">
        <v>53</v>
      </c>
      <c r="HP54" s="2" t="s">
        <v>49</v>
      </c>
      <c r="HQ54" s="2" t="s">
        <v>49</v>
      </c>
      <c r="HR54" s="2"/>
      <c r="HS54" s="2">
        <v>0</v>
      </c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">
      <c r="A55" s="2">
        <v>18</v>
      </c>
      <c r="B55" s="2">
        <v>1</v>
      </c>
      <c r="C55" s="2">
        <v>63</v>
      </c>
      <c r="D55" s="2"/>
      <c r="E55" s="2" t="s">
        <v>121</v>
      </c>
      <c r="F55" s="2" t="s">
        <v>55</v>
      </c>
      <c r="G55" s="2" t="s">
        <v>56</v>
      </c>
      <c r="H55" s="2" t="s">
        <v>57</v>
      </c>
      <c r="I55" s="2">
        <f>J55</f>
        <v>2</v>
      </c>
      <c r="J55" s="2">
        <v>2</v>
      </c>
      <c r="K55" s="2">
        <v>2</v>
      </c>
      <c r="L55" s="2"/>
      <c r="M55" s="2"/>
      <c r="N55" s="2"/>
      <c r="O55" s="2">
        <f>ROUND(P55,2)</f>
        <v>159.25</v>
      </c>
      <c r="P55" s="2">
        <f>ROUND(ROUND(ROUND(SUMIF(SmtRes!AQ54:'SmtRes'!AQ63,"=1",SmtRes!CU54:'SmtRes'!CU63),2),2)*I55/100,2)</f>
        <v>159.25</v>
      </c>
      <c r="Q55" s="2">
        <f>ROUND(CR55*I55,2)</f>
        <v>0</v>
      </c>
      <c r="R55" s="2">
        <f>ROUND(CS55*I55,2)</f>
        <v>0</v>
      </c>
      <c r="S55" s="2">
        <f>ROUND(CT55*I55,2)</f>
        <v>0</v>
      </c>
      <c r="T55" s="2">
        <f t="shared" si="22"/>
        <v>0</v>
      </c>
      <c r="U55" s="2">
        <f>ROUND(CV55*I55,7)</f>
        <v>0</v>
      </c>
      <c r="V55" s="2">
        <f>ROUND(CW55*I55,7)</f>
        <v>0</v>
      </c>
      <c r="W55" s="2">
        <f t="shared" si="23"/>
        <v>0</v>
      </c>
      <c r="X55" s="2">
        <f t="shared" si="24"/>
        <v>0</v>
      </c>
      <c r="Y55" s="2">
        <f t="shared" si="25"/>
        <v>0</v>
      </c>
      <c r="Z55" s="2"/>
      <c r="AA55" s="2">
        <v>85997836</v>
      </c>
      <c r="AB55" s="2">
        <f t="shared" si="26"/>
        <v>0</v>
      </c>
      <c r="AC55" s="2">
        <f>ROUND((ES55),6)</f>
        <v>0</v>
      </c>
      <c r="AD55" s="2">
        <f>ROUND((((ET55)-(EU55))+AE55),6)</f>
        <v>0</v>
      </c>
      <c r="AE55" s="2">
        <f t="shared" si="61"/>
        <v>0</v>
      </c>
      <c r="AF55" s="2">
        <f t="shared" si="61"/>
        <v>0</v>
      </c>
      <c r="AG55" s="2">
        <f t="shared" si="27"/>
        <v>0</v>
      </c>
      <c r="AH55" s="2">
        <f t="shared" si="62"/>
        <v>0</v>
      </c>
      <c r="AI55" s="2">
        <f t="shared" si="62"/>
        <v>0</v>
      </c>
      <c r="AJ55" s="2">
        <f t="shared" si="28"/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97</v>
      </c>
      <c r="AU55" s="2">
        <v>51</v>
      </c>
      <c r="AV55" s="2">
        <v>1</v>
      </c>
      <c r="AW55" s="2">
        <v>1</v>
      </c>
      <c r="AX55" s="2"/>
      <c r="AY55" s="2"/>
      <c r="AZ55" s="2">
        <v>1</v>
      </c>
      <c r="BA55" s="2">
        <v>1</v>
      </c>
      <c r="BB55" s="2">
        <v>1</v>
      </c>
      <c r="BC55" s="2">
        <v>1</v>
      </c>
      <c r="BD55" s="2" t="s">
        <v>3</v>
      </c>
      <c r="BE55" s="2" t="s">
        <v>3</v>
      </c>
      <c r="BF55" s="2" t="s">
        <v>3</v>
      </c>
      <c r="BG55" s="2" t="s">
        <v>3</v>
      </c>
      <c r="BH55" s="2">
        <v>3</v>
      </c>
      <c r="BI55" s="2">
        <v>2</v>
      </c>
      <c r="BJ55" s="2" t="s">
        <v>3</v>
      </c>
      <c r="BK55" s="2"/>
      <c r="BL55" s="2"/>
      <c r="BM55" s="2">
        <v>108001</v>
      </c>
      <c r="BN55" s="2">
        <v>0</v>
      </c>
      <c r="BO55" s="2" t="s">
        <v>3</v>
      </c>
      <c r="BP55" s="2">
        <v>0</v>
      </c>
      <c r="BQ55" s="2">
        <v>3</v>
      </c>
      <c r="BR55" s="2">
        <v>0</v>
      </c>
      <c r="BS55" s="2">
        <v>1</v>
      </c>
      <c r="BT55" s="2">
        <v>1</v>
      </c>
      <c r="BU55" s="2">
        <v>1</v>
      </c>
      <c r="BV55" s="2">
        <v>1</v>
      </c>
      <c r="BW55" s="2">
        <v>1</v>
      </c>
      <c r="BX55" s="2">
        <v>1</v>
      </c>
      <c r="BY55" s="2" t="s">
        <v>3</v>
      </c>
      <c r="BZ55" s="2">
        <v>97</v>
      </c>
      <c r="CA55" s="2">
        <v>51</v>
      </c>
      <c r="CB55" s="2" t="s">
        <v>3</v>
      </c>
      <c r="CC55" s="2"/>
      <c r="CD55" s="2"/>
      <c r="CE55" s="2">
        <v>0</v>
      </c>
      <c r="CF55" s="2">
        <v>0</v>
      </c>
      <c r="CG55" s="2">
        <v>0</v>
      </c>
      <c r="CH55" s="2"/>
      <c r="CI55" s="2"/>
      <c r="CJ55" s="2"/>
      <c r="CK55" s="2"/>
      <c r="CL55" s="2"/>
      <c r="CM55" s="2">
        <v>0</v>
      </c>
      <c r="CN55" s="2" t="s">
        <v>3</v>
      </c>
      <c r="CO55" s="2">
        <v>0</v>
      </c>
      <c r="CP55" s="2">
        <f>0</f>
        <v>0</v>
      </c>
      <c r="CQ55" s="2">
        <f>0</f>
        <v>0</v>
      </c>
      <c r="CR55" s="2">
        <f>0</f>
        <v>0</v>
      </c>
      <c r="CS55" s="2">
        <f>0</f>
        <v>0</v>
      </c>
      <c r="CT55" s="2">
        <f>0</f>
        <v>0</v>
      </c>
      <c r="CU55" s="2">
        <f>0</f>
        <v>0</v>
      </c>
      <c r="CV55" s="2">
        <f>0</f>
        <v>0</v>
      </c>
      <c r="CW55" s="2">
        <f>0</f>
        <v>0</v>
      </c>
      <c r="CX55" s="2">
        <f>0</f>
        <v>0</v>
      </c>
      <c r="CY55" s="2">
        <f>0</f>
        <v>0</v>
      </c>
      <c r="CZ55" s="2">
        <f>0</f>
        <v>0</v>
      </c>
      <c r="DA55" s="2"/>
      <c r="DB55" s="2"/>
      <c r="DC55" s="2" t="s">
        <v>3</v>
      </c>
      <c r="DD55" s="2" t="s">
        <v>3</v>
      </c>
      <c r="DE55" s="2" t="s">
        <v>3</v>
      </c>
      <c r="DF55" s="2" t="s">
        <v>3</v>
      </c>
      <c r="DG55" s="2" t="s">
        <v>3</v>
      </c>
      <c r="DH55" s="2" t="s">
        <v>3</v>
      </c>
      <c r="DI55" s="2" t="s">
        <v>3</v>
      </c>
      <c r="DJ55" s="2" t="s">
        <v>3</v>
      </c>
      <c r="DK55" s="2" t="s">
        <v>3</v>
      </c>
      <c r="DL55" s="2" t="s">
        <v>3</v>
      </c>
      <c r="DM55" s="2" t="s">
        <v>3</v>
      </c>
      <c r="DN55" s="2">
        <v>0</v>
      </c>
      <c r="DO55" s="2">
        <v>0</v>
      </c>
      <c r="DP55" s="2">
        <v>1</v>
      </c>
      <c r="DQ55" s="2">
        <v>1</v>
      </c>
      <c r="DR55" s="2"/>
      <c r="DS55" s="2"/>
      <c r="DT55" s="2"/>
      <c r="DU55" s="2">
        <v>1013</v>
      </c>
      <c r="DV55" s="2" t="s">
        <v>57</v>
      </c>
      <c r="DW55" s="2" t="s">
        <v>57</v>
      </c>
      <c r="DX55" s="2">
        <v>1</v>
      </c>
      <c r="DY55" s="2"/>
      <c r="DZ55" s="2" t="s">
        <v>3</v>
      </c>
      <c r="EA55" s="2" t="s">
        <v>3</v>
      </c>
      <c r="EB55" s="2" t="s">
        <v>3</v>
      </c>
      <c r="EC55" s="2" t="s">
        <v>3</v>
      </c>
      <c r="ED55" s="2"/>
      <c r="EE55" s="2">
        <v>84053775</v>
      </c>
      <c r="EF55" s="2">
        <v>3</v>
      </c>
      <c r="EG55" s="2" t="s">
        <v>48</v>
      </c>
      <c r="EH55" s="2">
        <v>0</v>
      </c>
      <c r="EI55" s="2" t="s">
        <v>3</v>
      </c>
      <c r="EJ55" s="2">
        <v>2</v>
      </c>
      <c r="EK55" s="2">
        <v>108001</v>
      </c>
      <c r="EL55" s="2" t="s">
        <v>49</v>
      </c>
      <c r="EM55" s="2" t="s">
        <v>50</v>
      </c>
      <c r="EN55" s="2"/>
      <c r="EO55" s="2" t="s">
        <v>3</v>
      </c>
      <c r="EP55" s="2"/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>
        <v>0</v>
      </c>
      <c r="FR55" s="2">
        <v>0</v>
      </c>
      <c r="FS55" s="2">
        <v>0</v>
      </c>
      <c r="FT55" s="2"/>
      <c r="FU55" s="2"/>
      <c r="FV55" s="2"/>
      <c r="FW55" s="2"/>
      <c r="FX55" s="2">
        <v>97</v>
      </c>
      <c r="FY55" s="2">
        <v>51</v>
      </c>
      <c r="FZ55" s="2"/>
      <c r="GA55" s="2" t="s">
        <v>3</v>
      </c>
      <c r="GB55" s="2"/>
      <c r="GC55" s="2"/>
      <c r="GD55" s="2">
        <v>1</v>
      </c>
      <c r="GE55" s="2"/>
      <c r="GF55" s="2">
        <v>274903907</v>
      </c>
      <c r="GG55" s="2">
        <v>2</v>
      </c>
      <c r="GH55" s="2">
        <v>1</v>
      </c>
      <c r="GI55" s="2">
        <v>-2</v>
      </c>
      <c r="GJ55" s="2">
        <v>0</v>
      </c>
      <c r="GK55" s="2">
        <v>0</v>
      </c>
      <c r="GL55" s="2">
        <f t="shared" si="34"/>
        <v>0</v>
      </c>
      <c r="GM55" s="2">
        <f t="shared" si="35"/>
        <v>159.25</v>
      </c>
      <c r="GN55" s="2">
        <f t="shared" si="36"/>
        <v>0</v>
      </c>
      <c r="GO55" s="2">
        <f t="shared" si="37"/>
        <v>159.25</v>
      </c>
      <c r="GP55" s="2">
        <f t="shared" si="38"/>
        <v>0</v>
      </c>
      <c r="GQ55" s="2"/>
      <c r="GR55" s="2">
        <v>0</v>
      </c>
      <c r="GS55" s="2">
        <v>0</v>
      </c>
      <c r="GT55" s="2">
        <v>0</v>
      </c>
      <c r="GU55" s="2" t="s">
        <v>3</v>
      </c>
      <c r="GV55" s="2">
        <f t="shared" si="39"/>
        <v>0</v>
      </c>
      <c r="GW55" s="2">
        <v>1</v>
      </c>
      <c r="GX55" s="2">
        <f t="shared" si="40"/>
        <v>0</v>
      </c>
      <c r="GY55" s="2"/>
      <c r="GZ55" s="2"/>
      <c r="HA55" s="2">
        <v>0</v>
      </c>
      <c r="HB55" s="2">
        <v>0</v>
      </c>
      <c r="HC55" s="2">
        <f>0</f>
        <v>0</v>
      </c>
      <c r="HD55" s="2"/>
      <c r="HE55" s="2" t="s">
        <v>3</v>
      </c>
      <c r="HF55" s="2" t="s">
        <v>3</v>
      </c>
      <c r="HG55" s="2"/>
      <c r="HH55" s="2"/>
      <c r="HI55" s="2"/>
      <c r="HJ55" s="2"/>
      <c r="HK55" s="2"/>
      <c r="HL55" s="2"/>
      <c r="HM55" s="2" t="s">
        <v>3</v>
      </c>
      <c r="HN55" s="2" t="s">
        <v>52</v>
      </c>
      <c r="HO55" s="2" t="s">
        <v>53</v>
      </c>
      <c r="HP55" s="2" t="s">
        <v>49</v>
      </c>
      <c r="HQ55" s="2" t="s">
        <v>49</v>
      </c>
      <c r="HR55" s="2"/>
      <c r="HS55" s="2">
        <v>0</v>
      </c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>
        <v>0</v>
      </c>
      <c r="IL55" s="2"/>
      <c r="IM55" s="2"/>
      <c r="IN55" s="2"/>
      <c r="IO55" s="2"/>
      <c r="IP55" s="2"/>
      <c r="IQ55" s="2"/>
      <c r="IR55" s="2"/>
      <c r="IS55" s="2"/>
      <c r="IT55" s="2"/>
      <c r="IU55" s="2"/>
    </row>
    <row r="56" spans="1:255" x14ac:dyDescent="0.2">
      <c r="A56" s="2">
        <v>18</v>
      </c>
      <c r="B56" s="2">
        <v>1</v>
      </c>
      <c r="C56" s="2">
        <v>56</v>
      </c>
      <c r="D56" s="2"/>
      <c r="E56" s="2" t="s">
        <v>122</v>
      </c>
      <c r="F56" s="2" t="s">
        <v>123</v>
      </c>
      <c r="G56" s="2" t="s">
        <v>124</v>
      </c>
      <c r="H56" s="2" t="s">
        <v>29</v>
      </c>
      <c r="I56" s="2">
        <f>I52*J56</f>
        <v>-0.04</v>
      </c>
      <c r="J56" s="2">
        <v>-0.01</v>
      </c>
      <c r="K56" s="2">
        <v>-0.01</v>
      </c>
      <c r="L56" s="2"/>
      <c r="M56" s="2"/>
      <c r="N56" s="2"/>
      <c r="O56" s="2">
        <f>ROUND(CP56,2)</f>
        <v>-103.98</v>
      </c>
      <c r="P56" s="2">
        <f>ROUND(CQ56*I56,2)</f>
        <v>0</v>
      </c>
      <c r="Q56" s="2">
        <f>ROUND(CR56*I56,2)</f>
        <v>-65.180000000000007</v>
      </c>
      <c r="R56" s="2">
        <f>ROUND(CS56*I56,2)</f>
        <v>-38.799999999999997</v>
      </c>
      <c r="S56" s="2">
        <f>ROUND(CT56*I56,2)</f>
        <v>0</v>
      </c>
      <c r="T56" s="2">
        <f t="shared" si="22"/>
        <v>0</v>
      </c>
      <c r="U56" s="2">
        <f>ROUND(CV56*I56,7)</f>
        <v>0</v>
      </c>
      <c r="V56" s="2">
        <f>ROUND(CW56*I56,7)</f>
        <v>0</v>
      </c>
      <c r="W56" s="2">
        <f t="shared" si="23"/>
        <v>0</v>
      </c>
      <c r="X56" s="2">
        <f t="shared" si="24"/>
        <v>-37.64</v>
      </c>
      <c r="Y56" s="2">
        <f t="shared" si="25"/>
        <v>-19.79</v>
      </c>
      <c r="Z56" s="2"/>
      <c r="AA56" s="2">
        <v>85997836</v>
      </c>
      <c r="AB56" s="2">
        <f t="shared" si="26"/>
        <v>1629.55</v>
      </c>
      <c r="AC56" s="2">
        <f>ROUND((ES56),6)</f>
        <v>0</v>
      </c>
      <c r="AD56" s="2">
        <f>ROUND((((ET56)-(EU56))+AE56),6)</f>
        <v>1629.55</v>
      </c>
      <c r="AE56" s="2">
        <f t="shared" si="61"/>
        <v>969.91</v>
      </c>
      <c r="AF56" s="2">
        <f t="shared" si="61"/>
        <v>0</v>
      </c>
      <c r="AG56" s="2">
        <f t="shared" si="27"/>
        <v>0</v>
      </c>
      <c r="AH56" s="2">
        <f t="shared" si="62"/>
        <v>0</v>
      </c>
      <c r="AI56" s="2">
        <f t="shared" si="62"/>
        <v>0</v>
      </c>
      <c r="AJ56" s="2">
        <f t="shared" si="28"/>
        <v>0</v>
      </c>
      <c r="AK56" s="2">
        <v>1629.55</v>
      </c>
      <c r="AL56" s="2">
        <v>0</v>
      </c>
      <c r="AM56" s="2">
        <v>1629.55</v>
      </c>
      <c r="AN56" s="2">
        <v>969.91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97</v>
      </c>
      <c r="AU56" s="2">
        <v>51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2</v>
      </c>
      <c r="BI56" s="2">
        <v>2</v>
      </c>
      <c r="BJ56" s="2" t="s">
        <v>125</v>
      </c>
      <c r="BK56" s="2"/>
      <c r="BL56" s="2"/>
      <c r="BM56" s="2">
        <v>108001</v>
      </c>
      <c r="BN56" s="2">
        <v>0</v>
      </c>
      <c r="BO56" s="2" t="s">
        <v>3</v>
      </c>
      <c r="BP56" s="2">
        <v>0</v>
      </c>
      <c r="BQ56" s="2">
        <v>3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97</v>
      </c>
      <c r="CA56" s="2">
        <v>51</v>
      </c>
      <c r="CB56" s="2" t="s">
        <v>3</v>
      </c>
      <c r="CC56" s="2"/>
      <c r="CD56" s="2"/>
      <c r="CE56" s="2">
        <v>0</v>
      </c>
      <c r="CF56" s="2">
        <v>0</v>
      </c>
      <c r="CG56" s="2">
        <v>0</v>
      </c>
      <c r="CH56" s="2"/>
      <c r="CI56" s="2"/>
      <c r="CJ56" s="2"/>
      <c r="CK56" s="2"/>
      <c r="CL56" s="2"/>
      <c r="CM56" s="2">
        <v>0</v>
      </c>
      <c r="CN56" s="2" t="s">
        <v>3</v>
      </c>
      <c r="CO56" s="2">
        <v>0</v>
      </c>
      <c r="CP56" s="2">
        <f>(P56+Q56+S56+R56)</f>
        <v>-103.98</v>
      </c>
      <c r="CQ56" s="2">
        <f>ROUND(AL56*BC56,2)</f>
        <v>0</v>
      </c>
      <c r="CR56" s="2">
        <f>ROUND(AM56*BB56,2)</f>
        <v>1629.55</v>
      </c>
      <c r="CS56" s="2">
        <f>ROUND(AN56*BS56,2)</f>
        <v>969.91</v>
      </c>
      <c r="CT56" s="2">
        <f>ROUND(AO56*BA56,2)</f>
        <v>0</v>
      </c>
      <c r="CU56" s="2">
        <f t="shared" ref="CU56:CX57" si="63">AG56</f>
        <v>0</v>
      </c>
      <c r="CV56" s="2">
        <f t="shared" si="63"/>
        <v>0</v>
      </c>
      <c r="CW56" s="2">
        <f t="shared" si="63"/>
        <v>0</v>
      </c>
      <c r="CX56" s="2">
        <f t="shared" si="63"/>
        <v>0</v>
      </c>
      <c r="CY56" s="2">
        <f>(((S56+R56)*AT56)/100)</f>
        <v>-37.635999999999996</v>
      </c>
      <c r="CZ56" s="2">
        <f>(((S56+R56)*AU56)/100)</f>
        <v>-19.788</v>
      </c>
      <c r="DA56" s="2"/>
      <c r="DB56" s="2"/>
      <c r="DC56" s="2" t="s">
        <v>3</v>
      </c>
      <c r="DD56" s="2" t="s">
        <v>3</v>
      </c>
      <c r="DE56" s="2" t="s">
        <v>3</v>
      </c>
      <c r="DF56" s="2" t="s">
        <v>3</v>
      </c>
      <c r="DG56" s="2" t="s">
        <v>3</v>
      </c>
      <c r="DH56" s="2" t="s">
        <v>3</v>
      </c>
      <c r="DI56" s="2" t="s">
        <v>3</v>
      </c>
      <c r="DJ56" s="2" t="s">
        <v>3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</v>
      </c>
      <c r="DQ56" s="2">
        <v>1</v>
      </c>
      <c r="DR56" s="2"/>
      <c r="DS56" s="2"/>
      <c r="DT56" s="2"/>
      <c r="DU56" s="2">
        <v>1011</v>
      </c>
      <c r="DV56" s="2" t="s">
        <v>29</v>
      </c>
      <c r="DW56" s="2" t="s">
        <v>29</v>
      </c>
      <c r="DX56" s="2">
        <v>1</v>
      </c>
      <c r="DY56" s="2"/>
      <c r="DZ56" s="2" t="s">
        <v>3</v>
      </c>
      <c r="EA56" s="2" t="s">
        <v>3</v>
      </c>
      <c r="EB56" s="2" t="s">
        <v>3</v>
      </c>
      <c r="EC56" s="2" t="s">
        <v>3</v>
      </c>
      <c r="ED56" s="2"/>
      <c r="EE56" s="2">
        <v>84053775</v>
      </c>
      <c r="EF56" s="2">
        <v>3</v>
      </c>
      <c r="EG56" s="2" t="s">
        <v>48</v>
      </c>
      <c r="EH56" s="2">
        <v>0</v>
      </c>
      <c r="EI56" s="2" t="s">
        <v>3</v>
      </c>
      <c r="EJ56" s="2">
        <v>2</v>
      </c>
      <c r="EK56" s="2">
        <v>108001</v>
      </c>
      <c r="EL56" s="2" t="s">
        <v>49</v>
      </c>
      <c r="EM56" s="2" t="s">
        <v>50</v>
      </c>
      <c r="EN56" s="2"/>
      <c r="EO56" s="2" t="s">
        <v>3</v>
      </c>
      <c r="EP56" s="2"/>
      <c r="EQ56" s="2">
        <v>0</v>
      </c>
      <c r="ER56" s="2">
        <v>1629.55</v>
      </c>
      <c r="ES56" s="2">
        <v>0</v>
      </c>
      <c r="ET56" s="2">
        <v>1629.55</v>
      </c>
      <c r="EU56" s="2">
        <v>969.91</v>
      </c>
      <c r="EV56" s="2">
        <v>0</v>
      </c>
      <c r="EW56" s="2">
        <v>0</v>
      </c>
      <c r="EX56" s="2">
        <v>0</v>
      </c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v>0</v>
      </c>
      <c r="FS56" s="2">
        <v>1</v>
      </c>
      <c r="FT56" s="2"/>
      <c r="FU56" s="2"/>
      <c r="FV56" s="2"/>
      <c r="FW56" s="2"/>
      <c r="FX56" s="2">
        <v>97</v>
      </c>
      <c r="FY56" s="2">
        <v>51</v>
      </c>
      <c r="FZ56" s="2"/>
      <c r="GA56" s="2" t="s">
        <v>3</v>
      </c>
      <c r="GB56" s="2"/>
      <c r="GC56" s="2"/>
      <c r="GD56" s="2">
        <v>1</v>
      </c>
      <c r="GE56" s="2"/>
      <c r="GF56" s="2">
        <v>639918019</v>
      </c>
      <c r="GG56" s="2">
        <v>2</v>
      </c>
      <c r="GH56" s="2">
        <v>1</v>
      </c>
      <c r="GI56" s="2">
        <v>-2</v>
      </c>
      <c r="GJ56" s="2">
        <v>0</v>
      </c>
      <c r="GK56" s="2">
        <v>0</v>
      </c>
      <c r="GL56" s="2">
        <f t="shared" si="34"/>
        <v>0</v>
      </c>
      <c r="GM56" s="2">
        <f t="shared" si="35"/>
        <v>-161.41</v>
      </c>
      <c r="GN56" s="2">
        <f t="shared" si="36"/>
        <v>0</v>
      </c>
      <c r="GO56" s="2">
        <f t="shared" si="37"/>
        <v>-161.41</v>
      </c>
      <c r="GP56" s="2">
        <f t="shared" si="38"/>
        <v>0</v>
      </c>
      <c r="GQ56" s="2"/>
      <c r="GR56" s="2">
        <v>0</v>
      </c>
      <c r="GS56" s="2">
        <v>7</v>
      </c>
      <c r="GT56" s="2">
        <v>0</v>
      </c>
      <c r="GU56" s="2" t="s">
        <v>3</v>
      </c>
      <c r="GV56" s="2">
        <f t="shared" si="39"/>
        <v>0</v>
      </c>
      <c r="GW56" s="2">
        <v>1</v>
      </c>
      <c r="GX56" s="2">
        <f t="shared" si="40"/>
        <v>0</v>
      </c>
      <c r="GY56" s="2"/>
      <c r="GZ56" s="2"/>
      <c r="HA56" s="2">
        <v>0</v>
      </c>
      <c r="HB56" s="2">
        <v>0</v>
      </c>
      <c r="HC56" s="2">
        <f>GV56*GW56</f>
        <v>0</v>
      </c>
      <c r="HD56" s="2"/>
      <c r="HE56" s="2" t="s">
        <v>3</v>
      </c>
      <c r="HF56" s="2" t="s">
        <v>3</v>
      </c>
      <c r="HG56" s="2"/>
      <c r="HH56" s="2"/>
      <c r="HI56" s="2"/>
      <c r="HJ56" s="2"/>
      <c r="HK56" s="2"/>
      <c r="HL56" s="2"/>
      <c r="HM56" s="2" t="s">
        <v>3</v>
      </c>
      <c r="HN56" s="2" t="s">
        <v>52</v>
      </c>
      <c r="HO56" s="2" t="s">
        <v>53</v>
      </c>
      <c r="HP56" s="2" t="s">
        <v>49</v>
      </c>
      <c r="HQ56" s="2" t="s">
        <v>49</v>
      </c>
      <c r="HR56" s="2"/>
      <c r="HS56" s="2">
        <v>0</v>
      </c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x14ac:dyDescent="0.2">
      <c r="A57" s="2">
        <v>18</v>
      </c>
      <c r="B57" s="2">
        <v>1</v>
      </c>
      <c r="C57" s="2">
        <v>57</v>
      </c>
      <c r="D57" s="2"/>
      <c r="E57" s="2" t="s">
        <v>126</v>
      </c>
      <c r="F57" s="2" t="s">
        <v>127</v>
      </c>
      <c r="G57" s="2" t="s">
        <v>128</v>
      </c>
      <c r="H57" s="2" t="s">
        <v>29</v>
      </c>
      <c r="I57" s="2">
        <f>I52*J57</f>
        <v>-0.04</v>
      </c>
      <c r="J57" s="2">
        <v>-0.01</v>
      </c>
      <c r="K57" s="2">
        <v>-0.01</v>
      </c>
      <c r="L57" s="2"/>
      <c r="M57" s="2"/>
      <c r="N57" s="2"/>
      <c r="O57" s="2">
        <f>ROUND(CP57,2)</f>
        <v>-54.61</v>
      </c>
      <c r="P57" s="2">
        <f>ROUND(CQ57*I57,2)</f>
        <v>0</v>
      </c>
      <c r="Q57" s="2">
        <f>ROUND(CR57*I57,2)</f>
        <v>-25.73</v>
      </c>
      <c r="R57" s="2">
        <f>ROUND(CS57*I57,2)</f>
        <v>-28.88</v>
      </c>
      <c r="S57" s="2">
        <f>ROUND(CT57*I57,2)</f>
        <v>0</v>
      </c>
      <c r="T57" s="2">
        <f t="shared" si="22"/>
        <v>0</v>
      </c>
      <c r="U57" s="2">
        <f>ROUND(CV57*I57,7)</f>
        <v>0</v>
      </c>
      <c r="V57" s="2">
        <f>ROUND(CW57*I57,7)</f>
        <v>0</v>
      </c>
      <c r="W57" s="2">
        <f t="shared" si="23"/>
        <v>0</v>
      </c>
      <c r="X57" s="2">
        <f t="shared" si="24"/>
        <v>-28.01</v>
      </c>
      <c r="Y57" s="2">
        <f t="shared" si="25"/>
        <v>-14.73</v>
      </c>
      <c r="Z57" s="2"/>
      <c r="AA57" s="2">
        <v>85997836</v>
      </c>
      <c r="AB57" s="2">
        <f t="shared" si="26"/>
        <v>643.29</v>
      </c>
      <c r="AC57" s="2">
        <f>ROUND((ES57),6)</f>
        <v>0</v>
      </c>
      <c r="AD57" s="2">
        <f>ROUND((((ET57)-(EU57))+AE57),6)</f>
        <v>643.29</v>
      </c>
      <c r="AE57" s="2">
        <f t="shared" si="61"/>
        <v>722.05</v>
      </c>
      <c r="AF57" s="2">
        <f t="shared" si="61"/>
        <v>0</v>
      </c>
      <c r="AG57" s="2">
        <f t="shared" si="27"/>
        <v>0</v>
      </c>
      <c r="AH57" s="2">
        <f t="shared" si="62"/>
        <v>0</v>
      </c>
      <c r="AI57" s="2">
        <f t="shared" si="62"/>
        <v>0</v>
      </c>
      <c r="AJ57" s="2">
        <f t="shared" si="28"/>
        <v>0</v>
      </c>
      <c r="AK57" s="2">
        <v>643.29</v>
      </c>
      <c r="AL57" s="2">
        <v>0</v>
      </c>
      <c r="AM57" s="2">
        <v>643.29</v>
      </c>
      <c r="AN57" s="2">
        <v>722.05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97</v>
      </c>
      <c r="AU57" s="2">
        <v>51</v>
      </c>
      <c r="AV57" s="2">
        <v>1</v>
      </c>
      <c r="AW57" s="2">
        <v>1</v>
      </c>
      <c r="AX57" s="2"/>
      <c r="AY57" s="2"/>
      <c r="AZ57" s="2">
        <v>1</v>
      </c>
      <c r="BA57" s="2">
        <v>1</v>
      </c>
      <c r="BB57" s="2">
        <v>1</v>
      </c>
      <c r="BC57" s="2">
        <v>1</v>
      </c>
      <c r="BD57" s="2" t="s">
        <v>3</v>
      </c>
      <c r="BE57" s="2" t="s">
        <v>3</v>
      </c>
      <c r="BF57" s="2" t="s">
        <v>3</v>
      </c>
      <c r="BG57" s="2" t="s">
        <v>3</v>
      </c>
      <c r="BH57" s="2">
        <v>2</v>
      </c>
      <c r="BI57" s="2">
        <v>2</v>
      </c>
      <c r="BJ57" s="2" t="s">
        <v>129</v>
      </c>
      <c r="BK57" s="2"/>
      <c r="BL57" s="2"/>
      <c r="BM57" s="2">
        <v>108001</v>
      </c>
      <c r="BN57" s="2">
        <v>0</v>
      </c>
      <c r="BO57" s="2" t="s">
        <v>3</v>
      </c>
      <c r="BP57" s="2">
        <v>0</v>
      </c>
      <c r="BQ57" s="2">
        <v>3</v>
      </c>
      <c r="BR57" s="2">
        <v>0</v>
      </c>
      <c r="BS57" s="2">
        <v>1</v>
      </c>
      <c r="BT57" s="2">
        <v>1</v>
      </c>
      <c r="BU57" s="2">
        <v>1</v>
      </c>
      <c r="BV57" s="2">
        <v>1</v>
      </c>
      <c r="BW57" s="2">
        <v>1</v>
      </c>
      <c r="BX57" s="2">
        <v>1</v>
      </c>
      <c r="BY57" s="2" t="s">
        <v>3</v>
      </c>
      <c r="BZ57" s="2">
        <v>97</v>
      </c>
      <c r="CA57" s="2">
        <v>51</v>
      </c>
      <c r="CB57" s="2" t="s">
        <v>3</v>
      </c>
      <c r="CC57" s="2"/>
      <c r="CD57" s="2"/>
      <c r="CE57" s="2">
        <v>0</v>
      </c>
      <c r="CF57" s="2">
        <v>0</v>
      </c>
      <c r="CG57" s="2">
        <v>0</v>
      </c>
      <c r="CH57" s="2"/>
      <c r="CI57" s="2"/>
      <c r="CJ57" s="2"/>
      <c r="CK57" s="2"/>
      <c r="CL57" s="2"/>
      <c r="CM57" s="2">
        <v>0</v>
      </c>
      <c r="CN57" s="2" t="s">
        <v>3</v>
      </c>
      <c r="CO57" s="2">
        <v>0</v>
      </c>
      <c r="CP57" s="2">
        <f>(P57+Q57+S57+R57)</f>
        <v>-54.61</v>
      </c>
      <c r="CQ57" s="2">
        <f>ROUND(AL57*BC57,2)</f>
        <v>0</v>
      </c>
      <c r="CR57" s="2">
        <f>ROUND(AM57*BB57,2)</f>
        <v>643.29</v>
      </c>
      <c r="CS57" s="2">
        <f>ROUND(AN57*BS57,2)</f>
        <v>722.05</v>
      </c>
      <c r="CT57" s="2">
        <f>ROUND(AO57*BA57,2)</f>
        <v>0</v>
      </c>
      <c r="CU57" s="2">
        <f t="shared" si="63"/>
        <v>0</v>
      </c>
      <c r="CV57" s="2">
        <f t="shared" si="63"/>
        <v>0</v>
      </c>
      <c r="CW57" s="2">
        <f t="shared" si="63"/>
        <v>0</v>
      </c>
      <c r="CX57" s="2">
        <f t="shared" si="63"/>
        <v>0</v>
      </c>
      <c r="CY57" s="2">
        <f>(((S57+R57)*AT57)/100)</f>
        <v>-28.0136</v>
      </c>
      <c r="CZ57" s="2">
        <f>(((S57+R57)*AU57)/100)</f>
        <v>-14.7288</v>
      </c>
      <c r="DA57" s="2"/>
      <c r="DB57" s="2"/>
      <c r="DC57" s="2" t="s">
        <v>3</v>
      </c>
      <c r="DD57" s="2" t="s">
        <v>3</v>
      </c>
      <c r="DE57" s="2" t="s">
        <v>3</v>
      </c>
      <c r="DF57" s="2" t="s">
        <v>3</v>
      </c>
      <c r="DG57" s="2" t="s">
        <v>3</v>
      </c>
      <c r="DH57" s="2" t="s">
        <v>3</v>
      </c>
      <c r="DI57" s="2" t="s">
        <v>3</v>
      </c>
      <c r="DJ57" s="2" t="s">
        <v>3</v>
      </c>
      <c r="DK57" s="2" t="s">
        <v>3</v>
      </c>
      <c r="DL57" s="2" t="s">
        <v>3</v>
      </c>
      <c r="DM57" s="2" t="s">
        <v>3</v>
      </c>
      <c r="DN57" s="2">
        <v>0</v>
      </c>
      <c r="DO57" s="2">
        <v>0</v>
      </c>
      <c r="DP57" s="2">
        <v>1</v>
      </c>
      <c r="DQ57" s="2">
        <v>1</v>
      </c>
      <c r="DR57" s="2"/>
      <c r="DS57" s="2"/>
      <c r="DT57" s="2"/>
      <c r="DU57" s="2">
        <v>1011</v>
      </c>
      <c r="DV57" s="2" t="s">
        <v>29</v>
      </c>
      <c r="DW57" s="2" t="s">
        <v>29</v>
      </c>
      <c r="DX57" s="2">
        <v>1</v>
      </c>
      <c r="DY57" s="2"/>
      <c r="DZ57" s="2" t="s">
        <v>3</v>
      </c>
      <c r="EA57" s="2" t="s">
        <v>3</v>
      </c>
      <c r="EB57" s="2" t="s">
        <v>3</v>
      </c>
      <c r="EC57" s="2" t="s">
        <v>3</v>
      </c>
      <c r="ED57" s="2"/>
      <c r="EE57" s="2">
        <v>84053775</v>
      </c>
      <c r="EF57" s="2">
        <v>3</v>
      </c>
      <c r="EG57" s="2" t="s">
        <v>48</v>
      </c>
      <c r="EH57" s="2">
        <v>0</v>
      </c>
      <c r="EI57" s="2" t="s">
        <v>3</v>
      </c>
      <c r="EJ57" s="2">
        <v>2</v>
      </c>
      <c r="EK57" s="2">
        <v>108001</v>
      </c>
      <c r="EL57" s="2" t="s">
        <v>49</v>
      </c>
      <c r="EM57" s="2" t="s">
        <v>50</v>
      </c>
      <c r="EN57" s="2"/>
      <c r="EO57" s="2" t="s">
        <v>3</v>
      </c>
      <c r="EP57" s="2"/>
      <c r="EQ57" s="2">
        <v>0</v>
      </c>
      <c r="ER57" s="2">
        <v>643.29</v>
      </c>
      <c r="ES57" s="2">
        <v>0</v>
      </c>
      <c r="ET57" s="2">
        <v>643.29</v>
      </c>
      <c r="EU57" s="2">
        <v>722.05</v>
      </c>
      <c r="EV57" s="2">
        <v>0</v>
      </c>
      <c r="EW57" s="2">
        <v>0</v>
      </c>
      <c r="EX57" s="2">
        <v>0</v>
      </c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>
        <v>0</v>
      </c>
      <c r="FR57" s="2">
        <v>0</v>
      </c>
      <c r="FS57" s="2">
        <v>1</v>
      </c>
      <c r="FT57" s="2"/>
      <c r="FU57" s="2"/>
      <c r="FV57" s="2"/>
      <c r="FW57" s="2"/>
      <c r="FX57" s="2">
        <v>97</v>
      </c>
      <c r="FY57" s="2">
        <v>51</v>
      </c>
      <c r="FZ57" s="2"/>
      <c r="GA57" s="2" t="s">
        <v>3</v>
      </c>
      <c r="GB57" s="2"/>
      <c r="GC57" s="2"/>
      <c r="GD57" s="2">
        <v>1</v>
      </c>
      <c r="GE57" s="2"/>
      <c r="GF57" s="2">
        <v>-849950259</v>
      </c>
      <c r="GG57" s="2">
        <v>2</v>
      </c>
      <c r="GH57" s="2">
        <v>1</v>
      </c>
      <c r="GI57" s="2">
        <v>-2</v>
      </c>
      <c r="GJ57" s="2">
        <v>0</v>
      </c>
      <c r="GK57" s="2">
        <v>0</v>
      </c>
      <c r="GL57" s="2">
        <f t="shared" si="34"/>
        <v>0</v>
      </c>
      <c r="GM57" s="2">
        <f t="shared" si="35"/>
        <v>-97.35</v>
      </c>
      <c r="GN57" s="2">
        <f t="shared" si="36"/>
        <v>0</v>
      </c>
      <c r="GO57" s="2">
        <f t="shared" si="37"/>
        <v>-97.35</v>
      </c>
      <c r="GP57" s="2">
        <f t="shared" si="38"/>
        <v>0</v>
      </c>
      <c r="GQ57" s="2"/>
      <c r="GR57" s="2">
        <v>0</v>
      </c>
      <c r="GS57" s="2">
        <v>7</v>
      </c>
      <c r="GT57" s="2">
        <v>0</v>
      </c>
      <c r="GU57" s="2" t="s">
        <v>3</v>
      </c>
      <c r="GV57" s="2">
        <f t="shared" si="39"/>
        <v>0</v>
      </c>
      <c r="GW57" s="2">
        <v>1</v>
      </c>
      <c r="GX57" s="2">
        <f t="shared" si="40"/>
        <v>0</v>
      </c>
      <c r="GY57" s="2"/>
      <c r="GZ57" s="2"/>
      <c r="HA57" s="2">
        <v>0</v>
      </c>
      <c r="HB57" s="2">
        <v>0</v>
      </c>
      <c r="HC57" s="2">
        <f>GV57*GW57</f>
        <v>0</v>
      </c>
      <c r="HD57" s="2"/>
      <c r="HE57" s="2" t="s">
        <v>3</v>
      </c>
      <c r="HF57" s="2" t="s">
        <v>3</v>
      </c>
      <c r="HG57" s="2"/>
      <c r="HH57" s="2"/>
      <c r="HI57" s="2"/>
      <c r="HJ57" s="2"/>
      <c r="HK57" s="2"/>
      <c r="HL57" s="2"/>
      <c r="HM57" s="2" t="s">
        <v>3</v>
      </c>
      <c r="HN57" s="2" t="s">
        <v>52</v>
      </c>
      <c r="HO57" s="2" t="s">
        <v>53</v>
      </c>
      <c r="HP57" s="2" t="s">
        <v>49</v>
      </c>
      <c r="HQ57" s="2" t="s">
        <v>49</v>
      </c>
      <c r="HR57" s="2"/>
      <c r="HS57" s="2">
        <v>0</v>
      </c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>
        <v>0</v>
      </c>
      <c r="IL57" s="2"/>
      <c r="IM57" s="2"/>
      <c r="IN57" s="2"/>
      <c r="IO57" s="2"/>
      <c r="IP57" s="2"/>
      <c r="IQ57" s="2"/>
      <c r="IR57" s="2"/>
      <c r="IS57" s="2"/>
      <c r="IT57" s="2"/>
      <c r="IU57" s="2"/>
    </row>
    <row r="58" spans="1:255" x14ac:dyDescent="0.2">
      <c r="A58" s="2">
        <v>17</v>
      </c>
      <c r="B58" s="2">
        <v>1</v>
      </c>
      <c r="C58" s="2">
        <f>ROW(SmtRes!A73)</f>
        <v>73</v>
      </c>
      <c r="D58" s="2">
        <f>ROW(EtalonRes!A64)</f>
        <v>64</v>
      </c>
      <c r="E58" s="2" t="s">
        <v>130</v>
      </c>
      <c r="F58" s="2" t="s">
        <v>131</v>
      </c>
      <c r="G58" s="2" t="s">
        <v>132</v>
      </c>
      <c r="H58" s="2" t="s">
        <v>20</v>
      </c>
      <c r="I58" s="2">
        <f>ROUND((50+5)/100,7)</f>
        <v>0.55000000000000004</v>
      </c>
      <c r="J58" s="2">
        <v>0</v>
      </c>
      <c r="K58" s="2">
        <f>ROUND((50+5)/100,7)</f>
        <v>0.55000000000000004</v>
      </c>
      <c r="L58" s="2"/>
      <c r="M58" s="2"/>
      <c r="N58" s="2"/>
      <c r="O58" s="2">
        <f>ROUND(CP58,2)</f>
        <v>13016.32</v>
      </c>
      <c r="P58" s="2">
        <f>SUMIF(SmtRes!AQ64:'SmtRes'!AQ73,"=1",SmtRes!DF64:'SmtRes'!DF73)</f>
        <v>550.6099999999999</v>
      </c>
      <c r="Q58" s="2">
        <f>SUMIF(SmtRes!AQ64:'SmtRes'!AQ73,"=1",SmtRes!DG64:'SmtRes'!DG73)</f>
        <v>0</v>
      </c>
      <c r="R58" s="2">
        <f>SUMIF(SmtRes!AQ64:'SmtRes'!AQ73,"=1",SmtRes!DH64:'SmtRes'!DH73)</f>
        <v>0</v>
      </c>
      <c r="S58" s="2">
        <f>SUMIF(SmtRes!AQ64:'SmtRes'!AQ73,"=1",SmtRes!DI64:'SmtRes'!DI73)</f>
        <v>12465.71</v>
      </c>
      <c r="T58" s="2">
        <f t="shared" si="22"/>
        <v>0</v>
      </c>
      <c r="U58" s="2">
        <f>SUMIF(SmtRes!AQ64:'SmtRes'!AQ73,"=1",SmtRes!CV64:'SmtRes'!CV73)</f>
        <v>16.763999999999999</v>
      </c>
      <c r="V58" s="2">
        <f>SUMIF(SmtRes!AQ64:'SmtRes'!AQ73,"=1",SmtRes!CW64:'SmtRes'!CW73)</f>
        <v>0</v>
      </c>
      <c r="W58" s="2">
        <f t="shared" si="23"/>
        <v>0</v>
      </c>
      <c r="X58" s="2">
        <f t="shared" si="24"/>
        <v>12091.74</v>
      </c>
      <c r="Y58" s="2">
        <f t="shared" si="25"/>
        <v>6357.51</v>
      </c>
      <c r="Z58" s="2"/>
      <c r="AA58" s="2">
        <v>85997836</v>
      </c>
      <c r="AB58" s="2">
        <f t="shared" si="26"/>
        <v>23519.650430999998</v>
      </c>
      <c r="AC58" s="2">
        <f>ROUND((SUM(SmtRes!BQ64:'SmtRes'!BQ73)),6)</f>
        <v>854.72243100000003</v>
      </c>
      <c r="AD58" s="2">
        <f>ROUND((((0)-(0))+AE58),6)</f>
        <v>0</v>
      </c>
      <c r="AE58" s="2">
        <f>ROUND((0),6)</f>
        <v>0</v>
      </c>
      <c r="AF58" s="2">
        <f>ROUND((SUM(SmtRes!BT64:'SmtRes'!BT73)),6)</f>
        <v>22664.928</v>
      </c>
      <c r="AG58" s="2">
        <f t="shared" si="27"/>
        <v>0</v>
      </c>
      <c r="AH58" s="2">
        <f>(SUM(SmtRes!BU64:'SmtRes'!BU73))</f>
        <v>30.48</v>
      </c>
      <c r="AI58" s="2">
        <f>(0)</f>
        <v>0</v>
      </c>
      <c r="AJ58" s="2">
        <f t="shared" si="28"/>
        <v>0</v>
      </c>
      <c r="AK58" s="2">
        <v>23519.650430499998</v>
      </c>
      <c r="AL58" s="2">
        <v>854.72243049999997</v>
      </c>
      <c r="AM58" s="2">
        <v>0</v>
      </c>
      <c r="AN58" s="2">
        <v>0</v>
      </c>
      <c r="AO58" s="2">
        <v>22664.928</v>
      </c>
      <c r="AP58" s="2">
        <v>0</v>
      </c>
      <c r="AQ58" s="2">
        <v>30.48</v>
      </c>
      <c r="AR58" s="2">
        <v>0.05</v>
      </c>
      <c r="AS58" s="2">
        <v>0</v>
      </c>
      <c r="AT58" s="2">
        <v>97</v>
      </c>
      <c r="AU58" s="2">
        <v>51</v>
      </c>
      <c r="AV58" s="2">
        <v>1</v>
      </c>
      <c r="AW58" s="2">
        <v>1</v>
      </c>
      <c r="AX58" s="2"/>
      <c r="AY58" s="2"/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0</v>
      </c>
      <c r="BI58" s="2">
        <v>2</v>
      </c>
      <c r="BJ58" s="2" t="s">
        <v>133</v>
      </c>
      <c r="BK58" s="2"/>
      <c r="BL58" s="2"/>
      <c r="BM58" s="2">
        <v>108001</v>
      </c>
      <c r="BN58" s="2">
        <v>0</v>
      </c>
      <c r="BO58" s="2" t="s">
        <v>3</v>
      </c>
      <c r="BP58" s="2">
        <v>0</v>
      </c>
      <c r="BQ58" s="2">
        <v>3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97</v>
      </c>
      <c r="CA58" s="2">
        <v>51</v>
      </c>
      <c r="CB58" s="2" t="s">
        <v>3</v>
      </c>
      <c r="CC58" s="2"/>
      <c r="CD58" s="2"/>
      <c r="CE58" s="2">
        <v>0</v>
      </c>
      <c r="CF58" s="2">
        <v>0</v>
      </c>
      <c r="CG58" s="2">
        <v>0</v>
      </c>
      <c r="CH58" s="2"/>
      <c r="CI58" s="2"/>
      <c r="CJ58" s="2"/>
      <c r="CK58" s="2"/>
      <c r="CL58" s="2"/>
      <c r="CM58" s="2">
        <v>0</v>
      </c>
      <c r="CN58" s="2" t="s">
        <v>3</v>
      </c>
      <c r="CO58" s="2">
        <v>0</v>
      </c>
      <c r="CP58" s="2">
        <f>(P58+Q58+S58+R58)</f>
        <v>13016.32</v>
      </c>
      <c r="CQ58" s="2">
        <f>SUMIF(SmtRes!AQ64:'SmtRes'!AQ73,"=1",SmtRes!AA64:'SmtRes'!AA73)</f>
        <v>11318.76</v>
      </c>
      <c r="CR58" s="2">
        <f>SUMIF(SmtRes!AQ64:'SmtRes'!AQ73,"=1",SmtRes!AB64:'SmtRes'!AB73)</f>
        <v>0</v>
      </c>
      <c r="CS58" s="2">
        <f>SUMIF(SmtRes!AQ64:'SmtRes'!AQ73,"=1",SmtRes!AC64:'SmtRes'!AC73)</f>
        <v>0</v>
      </c>
      <c r="CT58" s="2">
        <f>SUMIF(SmtRes!AQ64:'SmtRes'!AQ73,"=1",SmtRes!AD64:'SmtRes'!AD73)</f>
        <v>743.6</v>
      </c>
      <c r="CU58" s="2">
        <f>AG58</f>
        <v>0</v>
      </c>
      <c r="CV58" s="2">
        <f>SUMIF(SmtRes!AQ64:'SmtRes'!AQ73,"=1",SmtRes!BU64:'SmtRes'!BU73)</f>
        <v>30.48</v>
      </c>
      <c r="CW58" s="2">
        <f>SUMIF(SmtRes!AQ64:'SmtRes'!AQ73,"=1",SmtRes!BV64:'SmtRes'!BV73)</f>
        <v>0</v>
      </c>
      <c r="CX58" s="2">
        <f>AJ58</f>
        <v>0</v>
      </c>
      <c r="CY58" s="2">
        <f>(((S58+R58)*AT58)/100)</f>
        <v>12091.738699999998</v>
      </c>
      <c r="CZ58" s="2">
        <f>(((S58+R58)*AU58)/100)</f>
        <v>6357.5120999999999</v>
      </c>
      <c r="DA58" s="2"/>
      <c r="DB58" s="2"/>
      <c r="DC58" s="2" t="s">
        <v>3</v>
      </c>
      <c r="DD58" s="2" t="s">
        <v>3</v>
      </c>
      <c r="DE58" s="2" t="s">
        <v>3</v>
      </c>
      <c r="DF58" s="2" t="s">
        <v>3</v>
      </c>
      <c r="DG58" s="2" t="s">
        <v>3</v>
      </c>
      <c r="DH58" s="2" t="s">
        <v>3</v>
      </c>
      <c r="DI58" s="2" t="s">
        <v>3</v>
      </c>
      <c r="DJ58" s="2" t="s">
        <v>3</v>
      </c>
      <c r="DK58" s="2" t="s">
        <v>3</v>
      </c>
      <c r="DL58" s="2" t="s">
        <v>3</v>
      </c>
      <c r="DM58" s="2" t="s">
        <v>3</v>
      </c>
      <c r="DN58" s="2">
        <v>0</v>
      </c>
      <c r="DO58" s="2">
        <v>0</v>
      </c>
      <c r="DP58" s="2">
        <v>1</v>
      </c>
      <c r="DQ58" s="2">
        <v>1</v>
      </c>
      <c r="DR58" s="2"/>
      <c r="DS58" s="2"/>
      <c r="DT58" s="2"/>
      <c r="DU58" s="2">
        <v>1013</v>
      </c>
      <c r="DV58" s="2" t="s">
        <v>20</v>
      </c>
      <c r="DW58" s="2" t="s">
        <v>20</v>
      </c>
      <c r="DX58" s="2">
        <v>1</v>
      </c>
      <c r="DY58" s="2"/>
      <c r="DZ58" s="2" t="s">
        <v>3</v>
      </c>
      <c r="EA58" s="2" t="s">
        <v>3</v>
      </c>
      <c r="EB58" s="2" t="s">
        <v>3</v>
      </c>
      <c r="EC58" s="2" t="s">
        <v>3</v>
      </c>
      <c r="ED58" s="2"/>
      <c r="EE58" s="2">
        <v>84053775</v>
      </c>
      <c r="EF58" s="2">
        <v>3</v>
      </c>
      <c r="EG58" s="2" t="s">
        <v>48</v>
      </c>
      <c r="EH58" s="2">
        <v>0</v>
      </c>
      <c r="EI58" s="2" t="s">
        <v>3</v>
      </c>
      <c r="EJ58" s="2">
        <v>2</v>
      </c>
      <c r="EK58" s="2">
        <v>108001</v>
      </c>
      <c r="EL58" s="2" t="s">
        <v>49</v>
      </c>
      <c r="EM58" s="2" t="s">
        <v>50</v>
      </c>
      <c r="EN58" s="2"/>
      <c r="EO58" s="2" t="s">
        <v>3</v>
      </c>
      <c r="EP58" s="2"/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30.48</v>
      </c>
      <c r="EX58" s="2">
        <v>0.05</v>
      </c>
      <c r="EY58" s="2">
        <v>0</v>
      </c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>
        <v>0</v>
      </c>
      <c r="FR58" s="2">
        <v>0</v>
      </c>
      <c r="FS58" s="2">
        <v>0</v>
      </c>
      <c r="FT58" s="2"/>
      <c r="FU58" s="2"/>
      <c r="FV58" s="2"/>
      <c r="FW58" s="2"/>
      <c r="FX58" s="2">
        <v>97</v>
      </c>
      <c r="FY58" s="2">
        <v>51</v>
      </c>
      <c r="FZ58" s="2"/>
      <c r="GA58" s="2" t="s">
        <v>3</v>
      </c>
      <c r="GB58" s="2"/>
      <c r="GC58" s="2"/>
      <c r="GD58" s="2">
        <v>1</v>
      </c>
      <c r="GE58" s="2"/>
      <c r="GF58" s="2">
        <v>-1543817102</v>
      </c>
      <c r="GG58" s="2">
        <v>2</v>
      </c>
      <c r="GH58" s="2">
        <v>1</v>
      </c>
      <c r="GI58" s="2">
        <v>-2</v>
      </c>
      <c r="GJ58" s="2">
        <v>0</v>
      </c>
      <c r="GK58" s="2">
        <v>0</v>
      </c>
      <c r="GL58" s="2">
        <f t="shared" si="34"/>
        <v>0</v>
      </c>
      <c r="GM58" s="2">
        <f t="shared" si="35"/>
        <v>31465.57</v>
      </c>
      <c r="GN58" s="2">
        <f t="shared" si="36"/>
        <v>0</v>
      </c>
      <c r="GO58" s="2">
        <f t="shared" si="37"/>
        <v>31465.57</v>
      </c>
      <c r="GP58" s="2">
        <f t="shared" si="38"/>
        <v>0</v>
      </c>
      <c r="GQ58" s="2"/>
      <c r="GR58" s="2">
        <v>0</v>
      </c>
      <c r="GS58" s="2">
        <v>0</v>
      </c>
      <c r="GT58" s="2">
        <v>0</v>
      </c>
      <c r="GU58" s="2" t="s">
        <v>3</v>
      </c>
      <c r="GV58" s="2">
        <f t="shared" si="39"/>
        <v>0</v>
      </c>
      <c r="GW58" s="2">
        <v>1</v>
      </c>
      <c r="GX58" s="2">
        <f t="shared" si="40"/>
        <v>0</v>
      </c>
      <c r="GY58" s="2"/>
      <c r="GZ58" s="2"/>
      <c r="HA58" s="2">
        <v>0</v>
      </c>
      <c r="HB58" s="2">
        <v>0</v>
      </c>
      <c r="HC58" s="2">
        <f>GV58*GW58</f>
        <v>0</v>
      </c>
      <c r="HD58" s="2"/>
      <c r="HE58" s="2" t="s">
        <v>3</v>
      </c>
      <c r="HF58" s="2" t="s">
        <v>3</v>
      </c>
      <c r="HG58" s="2"/>
      <c r="HH58" s="2"/>
      <c r="HI58" s="2"/>
      <c r="HJ58" s="2"/>
      <c r="HK58" s="2"/>
      <c r="HL58" s="2"/>
      <c r="HM58" s="2" t="s">
        <v>3</v>
      </c>
      <c r="HN58" s="2" t="s">
        <v>52</v>
      </c>
      <c r="HO58" s="2" t="s">
        <v>53</v>
      </c>
      <c r="HP58" s="2" t="s">
        <v>49</v>
      </c>
      <c r="HQ58" s="2" t="s">
        <v>49</v>
      </c>
      <c r="HR58" s="2"/>
      <c r="HS58" s="2">
        <v>0</v>
      </c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>
        <v>0</v>
      </c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x14ac:dyDescent="0.2">
      <c r="A59" s="2">
        <v>18</v>
      </c>
      <c r="B59" s="2">
        <v>1</v>
      </c>
      <c r="C59" s="2">
        <v>72</v>
      </c>
      <c r="D59" s="2"/>
      <c r="E59" s="2" t="s">
        <v>134</v>
      </c>
      <c r="F59" s="2" t="s">
        <v>135</v>
      </c>
      <c r="G59" s="2" t="s">
        <v>136</v>
      </c>
      <c r="H59" s="2" t="s">
        <v>43</v>
      </c>
      <c r="I59" s="2">
        <f>I58*J59</f>
        <v>50</v>
      </c>
      <c r="J59" s="2">
        <v>90.909090909090907</v>
      </c>
      <c r="K59" s="2">
        <v>90.909090899999995</v>
      </c>
      <c r="L59" s="2"/>
      <c r="M59" s="2"/>
      <c r="N59" s="2"/>
      <c r="O59" s="2">
        <f>ROUND(CP59,2)</f>
        <v>3410</v>
      </c>
      <c r="P59" s="2">
        <f>ROUND(CQ59*I59,2)</f>
        <v>3410</v>
      </c>
      <c r="Q59" s="2">
        <f>ROUND(CR59*I59,2)</f>
        <v>0</v>
      </c>
      <c r="R59" s="2">
        <f>ROUND(CS59*I59,2)</f>
        <v>0</v>
      </c>
      <c r="S59" s="2">
        <f>ROUND(CT59*I59,2)</f>
        <v>0</v>
      </c>
      <c r="T59" s="2">
        <f t="shared" si="22"/>
        <v>0</v>
      </c>
      <c r="U59" s="2">
        <f>ROUND(CV59*I59,7)</f>
        <v>0</v>
      </c>
      <c r="V59" s="2">
        <f>ROUND(CW59*I59,7)</f>
        <v>0</v>
      </c>
      <c r="W59" s="2">
        <f t="shared" si="23"/>
        <v>0</v>
      </c>
      <c r="X59" s="2">
        <f t="shared" si="24"/>
        <v>0</v>
      </c>
      <c r="Y59" s="2">
        <f t="shared" si="25"/>
        <v>0</v>
      </c>
      <c r="Z59" s="2"/>
      <c r="AA59" s="2">
        <v>85997836</v>
      </c>
      <c r="AB59" s="2">
        <f t="shared" si="26"/>
        <v>74.94</v>
      </c>
      <c r="AC59" s="2">
        <f>ROUND((ES59),6)</f>
        <v>74.94</v>
      </c>
      <c r="AD59" s="2">
        <f>ROUND((((ET59)-(EU59))+AE59),6)</f>
        <v>0</v>
      </c>
      <c r="AE59" s="2">
        <f t="shared" ref="AE59:AF62" si="64">ROUND((EU59),6)</f>
        <v>0</v>
      </c>
      <c r="AF59" s="2">
        <f t="shared" si="64"/>
        <v>0</v>
      </c>
      <c r="AG59" s="2">
        <f t="shared" si="27"/>
        <v>0</v>
      </c>
      <c r="AH59" s="2">
        <f t="shared" ref="AH59:AI62" si="65">(EW59)</f>
        <v>0</v>
      </c>
      <c r="AI59" s="2">
        <f t="shared" si="65"/>
        <v>0</v>
      </c>
      <c r="AJ59" s="2">
        <f t="shared" si="28"/>
        <v>0</v>
      </c>
      <c r="AK59" s="2">
        <v>74.94</v>
      </c>
      <c r="AL59" s="2">
        <v>74.94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97</v>
      </c>
      <c r="AU59" s="2">
        <v>51</v>
      </c>
      <c r="AV59" s="2">
        <v>1</v>
      </c>
      <c r="AW59" s="2">
        <v>1</v>
      </c>
      <c r="AX59" s="2"/>
      <c r="AY59" s="2"/>
      <c r="AZ59" s="2">
        <v>1</v>
      </c>
      <c r="BA59" s="2">
        <v>1</v>
      </c>
      <c r="BB59" s="2">
        <v>1</v>
      </c>
      <c r="BC59" s="2">
        <v>0.91</v>
      </c>
      <c r="BD59" s="2" t="s">
        <v>3</v>
      </c>
      <c r="BE59" s="2" t="s">
        <v>3</v>
      </c>
      <c r="BF59" s="2" t="s">
        <v>3</v>
      </c>
      <c r="BG59" s="2" t="s">
        <v>3</v>
      </c>
      <c r="BH59" s="2">
        <v>3</v>
      </c>
      <c r="BI59" s="2">
        <v>2</v>
      </c>
      <c r="BJ59" s="2" t="s">
        <v>137</v>
      </c>
      <c r="BK59" s="2"/>
      <c r="BL59" s="2"/>
      <c r="BM59" s="2">
        <v>108001</v>
      </c>
      <c r="BN59" s="2">
        <v>0</v>
      </c>
      <c r="BO59" s="2" t="s">
        <v>135</v>
      </c>
      <c r="BP59" s="2">
        <v>1</v>
      </c>
      <c r="BQ59" s="2">
        <v>3</v>
      </c>
      <c r="BR59" s="2">
        <v>0</v>
      </c>
      <c r="BS59" s="2">
        <v>1</v>
      </c>
      <c r="BT59" s="2">
        <v>1</v>
      </c>
      <c r="BU59" s="2">
        <v>1</v>
      </c>
      <c r="BV59" s="2">
        <v>1</v>
      </c>
      <c r="BW59" s="2">
        <v>1</v>
      </c>
      <c r="BX59" s="2">
        <v>1</v>
      </c>
      <c r="BY59" s="2" t="s">
        <v>3</v>
      </c>
      <c r="BZ59" s="2">
        <v>97</v>
      </c>
      <c r="CA59" s="2">
        <v>51</v>
      </c>
      <c r="CB59" s="2" t="s">
        <v>3</v>
      </c>
      <c r="CC59" s="2"/>
      <c r="CD59" s="2"/>
      <c r="CE59" s="2">
        <v>0</v>
      </c>
      <c r="CF59" s="2">
        <v>0</v>
      </c>
      <c r="CG59" s="2">
        <v>0</v>
      </c>
      <c r="CH59" s="2"/>
      <c r="CI59" s="2"/>
      <c r="CJ59" s="2"/>
      <c r="CK59" s="2"/>
      <c r="CL59" s="2"/>
      <c r="CM59" s="2">
        <v>0</v>
      </c>
      <c r="CN59" s="2" t="s">
        <v>3</v>
      </c>
      <c r="CO59" s="2">
        <v>0</v>
      </c>
      <c r="CP59" s="2">
        <f>(P59+Q59+S59+R59)</f>
        <v>3410</v>
      </c>
      <c r="CQ59" s="2">
        <f>ROUND(AL59*BC59,2)</f>
        <v>68.2</v>
      </c>
      <c r="CR59" s="2">
        <f>ROUND(AM59*BB59,2)</f>
        <v>0</v>
      </c>
      <c r="CS59" s="2">
        <f>ROUND(AN59*BS59,2)</f>
        <v>0</v>
      </c>
      <c r="CT59" s="2">
        <f>ROUND(AO59*BA59,2)</f>
        <v>0</v>
      </c>
      <c r="CU59" s="2">
        <f>AG59</f>
        <v>0</v>
      </c>
      <c r="CV59" s="2">
        <f>AH59</f>
        <v>0</v>
      </c>
      <c r="CW59" s="2">
        <f>AI59</f>
        <v>0</v>
      </c>
      <c r="CX59" s="2">
        <f>AJ59</f>
        <v>0</v>
      </c>
      <c r="CY59" s="2">
        <f>(((S59+R59)*AT59)/100)</f>
        <v>0</v>
      </c>
      <c r="CZ59" s="2">
        <f>(((S59+R59)*AU59)/100)</f>
        <v>0</v>
      </c>
      <c r="DA59" s="2"/>
      <c r="DB59" s="2"/>
      <c r="DC59" s="2" t="s">
        <v>3</v>
      </c>
      <c r="DD59" s="2" t="s">
        <v>3</v>
      </c>
      <c r="DE59" s="2" t="s">
        <v>3</v>
      </c>
      <c r="DF59" s="2" t="s">
        <v>3</v>
      </c>
      <c r="DG59" s="2" t="s">
        <v>3</v>
      </c>
      <c r="DH59" s="2" t="s">
        <v>3</v>
      </c>
      <c r="DI59" s="2" t="s">
        <v>3</v>
      </c>
      <c r="DJ59" s="2" t="s">
        <v>3</v>
      </c>
      <c r="DK59" s="2" t="s">
        <v>3</v>
      </c>
      <c r="DL59" s="2" t="s">
        <v>3</v>
      </c>
      <c r="DM59" s="2" t="s">
        <v>3</v>
      </c>
      <c r="DN59" s="2">
        <v>0</v>
      </c>
      <c r="DO59" s="2">
        <v>0</v>
      </c>
      <c r="DP59" s="2">
        <v>1</v>
      </c>
      <c r="DQ59" s="2">
        <v>1</v>
      </c>
      <c r="DR59" s="2"/>
      <c r="DS59" s="2"/>
      <c r="DT59" s="2"/>
      <c r="DU59" s="2">
        <v>1013</v>
      </c>
      <c r="DV59" s="2" t="s">
        <v>43</v>
      </c>
      <c r="DW59" s="2" t="s">
        <v>43</v>
      </c>
      <c r="DX59" s="2">
        <v>1</v>
      </c>
      <c r="DY59" s="2"/>
      <c r="DZ59" s="2" t="s">
        <v>3</v>
      </c>
      <c r="EA59" s="2" t="s">
        <v>3</v>
      </c>
      <c r="EB59" s="2" t="s">
        <v>3</v>
      </c>
      <c r="EC59" s="2" t="s">
        <v>3</v>
      </c>
      <c r="ED59" s="2"/>
      <c r="EE59" s="2">
        <v>84053775</v>
      </c>
      <c r="EF59" s="2">
        <v>3</v>
      </c>
      <c r="EG59" s="2" t="s">
        <v>48</v>
      </c>
      <c r="EH59" s="2">
        <v>0</v>
      </c>
      <c r="EI59" s="2" t="s">
        <v>3</v>
      </c>
      <c r="EJ59" s="2">
        <v>2</v>
      </c>
      <c r="EK59" s="2">
        <v>108001</v>
      </c>
      <c r="EL59" s="2" t="s">
        <v>49</v>
      </c>
      <c r="EM59" s="2" t="s">
        <v>50</v>
      </c>
      <c r="EN59" s="2"/>
      <c r="EO59" s="2" t="s">
        <v>3</v>
      </c>
      <c r="EP59" s="2"/>
      <c r="EQ59" s="2">
        <v>0</v>
      </c>
      <c r="ER59" s="2">
        <v>74.94</v>
      </c>
      <c r="ES59" s="2">
        <v>74.94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>
        <v>0</v>
      </c>
      <c r="FR59" s="2">
        <v>0</v>
      </c>
      <c r="FS59" s="2">
        <v>0</v>
      </c>
      <c r="FT59" s="2"/>
      <c r="FU59" s="2"/>
      <c r="FV59" s="2"/>
      <c r="FW59" s="2"/>
      <c r="FX59" s="2">
        <v>97</v>
      </c>
      <c r="FY59" s="2">
        <v>51</v>
      </c>
      <c r="FZ59" s="2"/>
      <c r="GA59" s="2" t="s">
        <v>3</v>
      </c>
      <c r="GB59" s="2"/>
      <c r="GC59" s="2"/>
      <c r="GD59" s="2">
        <v>1</v>
      </c>
      <c r="GE59" s="2"/>
      <c r="GF59" s="2">
        <v>547879322</v>
      </c>
      <c r="GG59" s="2">
        <v>2</v>
      </c>
      <c r="GH59" s="2">
        <v>1</v>
      </c>
      <c r="GI59" s="2">
        <v>2</v>
      </c>
      <c r="GJ59" s="2">
        <v>0</v>
      </c>
      <c r="GK59" s="2">
        <v>0</v>
      </c>
      <c r="GL59" s="2">
        <f t="shared" si="34"/>
        <v>0</v>
      </c>
      <c r="GM59" s="2">
        <f t="shared" si="35"/>
        <v>3410</v>
      </c>
      <c r="GN59" s="2">
        <f t="shared" si="36"/>
        <v>0</v>
      </c>
      <c r="GO59" s="2">
        <f t="shared" si="37"/>
        <v>3410</v>
      </c>
      <c r="GP59" s="2">
        <f t="shared" si="38"/>
        <v>0</v>
      </c>
      <c r="GQ59" s="2"/>
      <c r="GR59" s="2">
        <v>0</v>
      </c>
      <c r="GS59" s="2">
        <v>0</v>
      </c>
      <c r="GT59" s="2">
        <v>0</v>
      </c>
      <c r="GU59" s="2" t="s">
        <v>3</v>
      </c>
      <c r="GV59" s="2">
        <f t="shared" si="39"/>
        <v>0</v>
      </c>
      <c r="GW59" s="2">
        <v>1</v>
      </c>
      <c r="GX59" s="2">
        <f t="shared" si="40"/>
        <v>0</v>
      </c>
      <c r="GY59" s="2"/>
      <c r="GZ59" s="2"/>
      <c r="HA59" s="2">
        <v>0</v>
      </c>
      <c r="HB59" s="2">
        <v>0</v>
      </c>
      <c r="HC59" s="2">
        <f>GV59*GW59</f>
        <v>0</v>
      </c>
      <c r="HD59" s="2"/>
      <c r="HE59" s="2" t="s">
        <v>3</v>
      </c>
      <c r="HF59" s="2" t="s">
        <v>3</v>
      </c>
      <c r="HG59" s="2"/>
      <c r="HH59" s="2"/>
      <c r="HI59" s="2"/>
      <c r="HJ59" s="2"/>
      <c r="HK59" s="2"/>
      <c r="HL59" s="2"/>
      <c r="HM59" s="2" t="s">
        <v>3</v>
      </c>
      <c r="HN59" s="2" t="s">
        <v>52</v>
      </c>
      <c r="HO59" s="2" t="s">
        <v>53</v>
      </c>
      <c r="HP59" s="2" t="s">
        <v>49</v>
      </c>
      <c r="HQ59" s="2" t="s">
        <v>49</v>
      </c>
      <c r="HR59" s="2"/>
      <c r="HS59" s="2">
        <v>0</v>
      </c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>
        <v>0</v>
      </c>
      <c r="IL59" s="2"/>
      <c r="IM59" s="2"/>
      <c r="IN59" s="2"/>
      <c r="IO59" s="2"/>
      <c r="IP59" s="2"/>
      <c r="IQ59" s="2"/>
      <c r="IR59" s="2"/>
      <c r="IS59" s="2"/>
      <c r="IT59" s="2"/>
      <c r="IU59" s="2"/>
    </row>
    <row r="60" spans="1:255" x14ac:dyDescent="0.2">
      <c r="A60" s="2">
        <v>18</v>
      </c>
      <c r="B60" s="2">
        <v>1</v>
      </c>
      <c r="C60" s="2">
        <v>71</v>
      </c>
      <c r="D60" s="2"/>
      <c r="E60" s="2" t="s">
        <v>138</v>
      </c>
      <c r="F60" s="2" t="s">
        <v>139</v>
      </c>
      <c r="G60" s="2" t="s">
        <v>140</v>
      </c>
      <c r="H60" s="2" t="s">
        <v>20</v>
      </c>
      <c r="I60" s="2">
        <f>I58*J60</f>
        <v>5</v>
      </c>
      <c r="J60" s="2">
        <v>9.0909090909090899</v>
      </c>
      <c r="K60" s="2">
        <v>9.0909090999999993</v>
      </c>
      <c r="L60" s="2"/>
      <c r="M60" s="2"/>
      <c r="N60" s="2"/>
      <c r="O60" s="2">
        <f>ROUND(CP60,2)</f>
        <v>48002.25</v>
      </c>
      <c r="P60" s="2">
        <f>ROUND(CQ60*I60,2)</f>
        <v>48002.25</v>
      </c>
      <c r="Q60" s="2">
        <f>ROUND(CR60*I60,2)</f>
        <v>0</v>
      </c>
      <c r="R60" s="2">
        <f>ROUND(CS60*I60,2)</f>
        <v>0</v>
      </c>
      <c r="S60" s="2">
        <f>ROUND(CT60*I60,2)</f>
        <v>0</v>
      </c>
      <c r="T60" s="2">
        <f t="shared" ref="T60:T81" si="66">ROUND(CU60*I60,2)</f>
        <v>0</v>
      </c>
      <c r="U60" s="2">
        <f>ROUND(CV60*I60,7)</f>
        <v>0</v>
      </c>
      <c r="V60" s="2">
        <f>ROUND(CW60*I60,7)</f>
        <v>0</v>
      </c>
      <c r="W60" s="2">
        <f t="shared" ref="W60:W81" si="67">ROUND(CX60*I60,2)</f>
        <v>0</v>
      </c>
      <c r="X60" s="2">
        <f t="shared" ref="X60:X81" si="68">ROUND(CY60,2)</f>
        <v>0</v>
      </c>
      <c r="Y60" s="2">
        <f t="shared" ref="Y60:Y81" si="69">ROUND(CZ60,2)</f>
        <v>0</v>
      </c>
      <c r="Z60" s="2"/>
      <c r="AA60" s="2">
        <v>85997836</v>
      </c>
      <c r="AB60" s="2">
        <f t="shared" ref="AB60:AB81" si="70">ROUND((AC60+AD60+AF60),6)</f>
        <v>10549.95</v>
      </c>
      <c r="AC60" s="2">
        <f>ROUND((ES60),6)</f>
        <v>10549.95</v>
      </c>
      <c r="AD60" s="2">
        <f>ROUND((((ET60)-(EU60))+AE60),6)</f>
        <v>0</v>
      </c>
      <c r="AE60" s="2">
        <f t="shared" si="64"/>
        <v>0</v>
      </c>
      <c r="AF60" s="2">
        <f t="shared" si="64"/>
        <v>0</v>
      </c>
      <c r="AG60" s="2">
        <f t="shared" ref="AG60:AG81" si="71">ROUND((AP60),6)</f>
        <v>0</v>
      </c>
      <c r="AH60" s="2">
        <f t="shared" si="65"/>
        <v>0</v>
      </c>
      <c r="AI60" s="2">
        <f t="shared" si="65"/>
        <v>0</v>
      </c>
      <c r="AJ60" s="2">
        <f t="shared" ref="AJ60:AJ81" si="72">(AS60)</f>
        <v>0</v>
      </c>
      <c r="AK60" s="2">
        <v>10549.95</v>
      </c>
      <c r="AL60" s="2">
        <v>10549.95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97</v>
      </c>
      <c r="AU60" s="2">
        <v>51</v>
      </c>
      <c r="AV60" s="2">
        <v>1</v>
      </c>
      <c r="AW60" s="2">
        <v>1</v>
      </c>
      <c r="AX60" s="2"/>
      <c r="AY60" s="2"/>
      <c r="AZ60" s="2">
        <v>1</v>
      </c>
      <c r="BA60" s="2">
        <v>1</v>
      </c>
      <c r="BB60" s="2">
        <v>1</v>
      </c>
      <c r="BC60" s="2">
        <v>0.91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3</v>
      </c>
      <c r="BI60" s="2">
        <v>2</v>
      </c>
      <c r="BJ60" s="2" t="s">
        <v>141</v>
      </c>
      <c r="BK60" s="2"/>
      <c r="BL60" s="2"/>
      <c r="BM60" s="2">
        <v>108001</v>
      </c>
      <c r="BN60" s="2">
        <v>0</v>
      </c>
      <c r="BO60" s="2" t="s">
        <v>139</v>
      </c>
      <c r="BP60" s="2">
        <v>1</v>
      </c>
      <c r="BQ60" s="2">
        <v>3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97</v>
      </c>
      <c r="CA60" s="2">
        <v>51</v>
      </c>
      <c r="CB60" s="2" t="s">
        <v>3</v>
      </c>
      <c r="CC60" s="2"/>
      <c r="CD60" s="2"/>
      <c r="CE60" s="2">
        <v>0</v>
      </c>
      <c r="CF60" s="2">
        <v>0</v>
      </c>
      <c r="CG60" s="2">
        <v>0</v>
      </c>
      <c r="CH60" s="2"/>
      <c r="CI60" s="2"/>
      <c r="CJ60" s="2"/>
      <c r="CK60" s="2"/>
      <c r="CL60" s="2"/>
      <c r="CM60" s="2">
        <v>0</v>
      </c>
      <c r="CN60" s="2" t="s">
        <v>3</v>
      </c>
      <c r="CO60" s="2">
        <v>0</v>
      </c>
      <c r="CP60" s="2">
        <f>(P60+Q60+S60+R60)</f>
        <v>48002.25</v>
      </c>
      <c r="CQ60" s="2">
        <f>ROUND(AL60*BC60,2)</f>
        <v>9600.4500000000007</v>
      </c>
      <c r="CR60" s="2">
        <f>ROUND(AM60*BB60,2)</f>
        <v>0</v>
      </c>
      <c r="CS60" s="2">
        <f>ROUND(AN60*BS60,2)</f>
        <v>0</v>
      </c>
      <c r="CT60" s="2">
        <f>ROUND(AO60*BA60,2)</f>
        <v>0</v>
      </c>
      <c r="CU60" s="2">
        <f>AG60</f>
        <v>0</v>
      </c>
      <c r="CV60" s="2">
        <f>AH60</f>
        <v>0</v>
      </c>
      <c r="CW60" s="2">
        <f>AI60</f>
        <v>0</v>
      </c>
      <c r="CX60" s="2">
        <f>AJ60</f>
        <v>0</v>
      </c>
      <c r="CY60" s="2">
        <f>(((S60+R60)*AT60)/100)</f>
        <v>0</v>
      </c>
      <c r="CZ60" s="2">
        <f>(((S60+R60)*AU60)/100)</f>
        <v>0</v>
      </c>
      <c r="DA60" s="2"/>
      <c r="DB60" s="2"/>
      <c r="DC60" s="2" t="s">
        <v>3</v>
      </c>
      <c r="DD60" s="2" t="s">
        <v>3</v>
      </c>
      <c r="DE60" s="2" t="s">
        <v>3</v>
      </c>
      <c r="DF60" s="2" t="s">
        <v>3</v>
      </c>
      <c r="DG60" s="2" t="s">
        <v>3</v>
      </c>
      <c r="DH60" s="2" t="s">
        <v>3</v>
      </c>
      <c r="DI60" s="2" t="s">
        <v>3</v>
      </c>
      <c r="DJ60" s="2" t="s">
        <v>3</v>
      </c>
      <c r="DK60" s="2" t="s">
        <v>3</v>
      </c>
      <c r="DL60" s="2" t="s">
        <v>3</v>
      </c>
      <c r="DM60" s="2" t="s">
        <v>3</v>
      </c>
      <c r="DN60" s="2">
        <v>0</v>
      </c>
      <c r="DO60" s="2">
        <v>0</v>
      </c>
      <c r="DP60" s="2">
        <v>1</v>
      </c>
      <c r="DQ60" s="2">
        <v>1</v>
      </c>
      <c r="DR60" s="2"/>
      <c r="DS60" s="2"/>
      <c r="DT60" s="2"/>
      <c r="DU60" s="2">
        <v>1013</v>
      </c>
      <c r="DV60" s="2" t="s">
        <v>20</v>
      </c>
      <c r="DW60" s="2" t="s">
        <v>20</v>
      </c>
      <c r="DX60" s="2">
        <v>1</v>
      </c>
      <c r="DY60" s="2"/>
      <c r="DZ60" s="2" t="s">
        <v>3</v>
      </c>
      <c r="EA60" s="2" t="s">
        <v>3</v>
      </c>
      <c r="EB60" s="2" t="s">
        <v>3</v>
      </c>
      <c r="EC60" s="2" t="s">
        <v>3</v>
      </c>
      <c r="ED60" s="2"/>
      <c r="EE60" s="2">
        <v>84053775</v>
      </c>
      <c r="EF60" s="2">
        <v>3</v>
      </c>
      <c r="EG60" s="2" t="s">
        <v>48</v>
      </c>
      <c r="EH60" s="2">
        <v>0</v>
      </c>
      <c r="EI60" s="2" t="s">
        <v>3</v>
      </c>
      <c r="EJ60" s="2">
        <v>2</v>
      </c>
      <c r="EK60" s="2">
        <v>108001</v>
      </c>
      <c r="EL60" s="2" t="s">
        <v>49</v>
      </c>
      <c r="EM60" s="2" t="s">
        <v>50</v>
      </c>
      <c r="EN60" s="2"/>
      <c r="EO60" s="2" t="s">
        <v>3</v>
      </c>
      <c r="EP60" s="2"/>
      <c r="EQ60" s="2">
        <v>0</v>
      </c>
      <c r="ER60" s="2">
        <v>10549.95</v>
      </c>
      <c r="ES60" s="2">
        <v>10549.95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>
        <v>0</v>
      </c>
      <c r="FR60" s="2">
        <v>0</v>
      </c>
      <c r="FS60" s="2">
        <v>0</v>
      </c>
      <c r="FT60" s="2"/>
      <c r="FU60" s="2"/>
      <c r="FV60" s="2"/>
      <c r="FW60" s="2"/>
      <c r="FX60" s="2">
        <v>97</v>
      </c>
      <c r="FY60" s="2">
        <v>51</v>
      </c>
      <c r="FZ60" s="2"/>
      <c r="GA60" s="2" t="s">
        <v>3</v>
      </c>
      <c r="GB60" s="2"/>
      <c r="GC60" s="2"/>
      <c r="GD60" s="2">
        <v>1</v>
      </c>
      <c r="GE60" s="2"/>
      <c r="GF60" s="2">
        <v>1362774190</v>
      </c>
      <c r="GG60" s="2">
        <v>2</v>
      </c>
      <c r="GH60" s="2">
        <v>1</v>
      </c>
      <c r="GI60" s="2">
        <v>2</v>
      </c>
      <c r="GJ60" s="2">
        <v>0</v>
      </c>
      <c r="GK60" s="2">
        <v>0</v>
      </c>
      <c r="GL60" s="2">
        <f t="shared" ref="GL60:GL81" si="73">ROUND(IF(AND(BH60=3,BI60=3,FS60&lt;&gt;0),P60,0),2)</f>
        <v>0</v>
      </c>
      <c r="GM60" s="2">
        <f t="shared" ref="GM60:GM81" si="74">ROUND(O60+X60+Y60,2)+GX60</f>
        <v>48002.25</v>
      </c>
      <c r="GN60" s="2">
        <f t="shared" ref="GN60:GN81" si="75">IF(OR(BI60=0,BI60=1),GM60-GX60,0)</f>
        <v>0</v>
      </c>
      <c r="GO60" s="2">
        <f t="shared" ref="GO60:GO81" si="76">IF(BI60=2,GM60-GX60,0)</f>
        <v>48002.25</v>
      </c>
      <c r="GP60" s="2">
        <f t="shared" ref="GP60:GP81" si="77">IF(BI60=4,GM60-GX60,0)</f>
        <v>0</v>
      </c>
      <c r="GQ60" s="2"/>
      <c r="GR60" s="2">
        <v>0</v>
      </c>
      <c r="GS60" s="2">
        <v>3</v>
      </c>
      <c r="GT60" s="2">
        <v>0</v>
      </c>
      <c r="GU60" s="2" t="s">
        <v>3</v>
      </c>
      <c r="GV60" s="2">
        <f t="shared" ref="GV60:GV81" si="78">ROUND((GT60),6)</f>
        <v>0</v>
      </c>
      <c r="GW60" s="2">
        <v>1</v>
      </c>
      <c r="GX60" s="2">
        <f t="shared" ref="GX60:GX81" si="79">ROUND(HC60*I60,2)</f>
        <v>0</v>
      </c>
      <c r="GY60" s="2"/>
      <c r="GZ60" s="2"/>
      <c r="HA60" s="2">
        <v>0</v>
      </c>
      <c r="HB60" s="2">
        <v>0</v>
      </c>
      <c r="HC60" s="2">
        <f>GV60*GW60</f>
        <v>0</v>
      </c>
      <c r="HD60" s="2"/>
      <c r="HE60" s="2" t="s">
        <v>3</v>
      </c>
      <c r="HF60" s="2" t="s">
        <v>3</v>
      </c>
      <c r="HG60" s="2"/>
      <c r="HH60" s="2"/>
      <c r="HI60" s="2"/>
      <c r="HJ60" s="2"/>
      <c r="HK60" s="2"/>
      <c r="HL60" s="2"/>
      <c r="HM60" s="2" t="s">
        <v>3</v>
      </c>
      <c r="HN60" s="2" t="s">
        <v>52</v>
      </c>
      <c r="HO60" s="2" t="s">
        <v>53</v>
      </c>
      <c r="HP60" s="2" t="s">
        <v>49</v>
      </c>
      <c r="HQ60" s="2" t="s">
        <v>49</v>
      </c>
      <c r="HR60" s="2"/>
      <c r="HS60" s="2">
        <v>0</v>
      </c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>
        <v>0</v>
      </c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x14ac:dyDescent="0.2">
      <c r="A61" s="2">
        <v>18</v>
      </c>
      <c r="B61" s="2">
        <v>1</v>
      </c>
      <c r="C61" s="2">
        <v>73</v>
      </c>
      <c r="D61" s="2"/>
      <c r="E61" s="2" t="s">
        <v>142</v>
      </c>
      <c r="F61" s="2" t="s">
        <v>55</v>
      </c>
      <c r="G61" s="2" t="s">
        <v>56</v>
      </c>
      <c r="H61" s="2" t="s">
        <v>57</v>
      </c>
      <c r="I61" s="2">
        <f>J61</f>
        <v>2</v>
      </c>
      <c r="J61" s="2">
        <v>2</v>
      </c>
      <c r="K61" s="2">
        <v>2</v>
      </c>
      <c r="L61" s="2"/>
      <c r="M61" s="2"/>
      <c r="N61" s="2"/>
      <c r="O61" s="2">
        <f>ROUND(P61,2)</f>
        <v>249.31</v>
      </c>
      <c r="P61" s="2">
        <f>ROUND(ROUND(ROUND(SUMIF(SmtRes!AQ64:'SmtRes'!AQ73,"=1",SmtRes!CU64:'SmtRes'!CU73),2),2)*I61/100,2)</f>
        <v>249.31</v>
      </c>
      <c r="Q61" s="2">
        <f>ROUND(CR61*I61,2)</f>
        <v>0</v>
      </c>
      <c r="R61" s="2">
        <f>ROUND(CS61*I61,2)</f>
        <v>0</v>
      </c>
      <c r="S61" s="2">
        <f>ROUND(CT61*I61,2)</f>
        <v>0</v>
      </c>
      <c r="T61" s="2">
        <f t="shared" si="66"/>
        <v>0</v>
      </c>
      <c r="U61" s="2">
        <f>ROUND(CV61*I61,7)</f>
        <v>0</v>
      </c>
      <c r="V61" s="2">
        <f>ROUND(CW61*I61,7)</f>
        <v>0</v>
      </c>
      <c r="W61" s="2">
        <f t="shared" si="67"/>
        <v>0</v>
      </c>
      <c r="X61" s="2">
        <f t="shared" si="68"/>
        <v>0</v>
      </c>
      <c r="Y61" s="2">
        <f t="shared" si="69"/>
        <v>0</v>
      </c>
      <c r="Z61" s="2"/>
      <c r="AA61" s="2">
        <v>85997836</v>
      </c>
      <c r="AB61" s="2">
        <f t="shared" si="70"/>
        <v>0</v>
      </c>
      <c r="AC61" s="2">
        <f>ROUND((ES61),6)</f>
        <v>0</v>
      </c>
      <c r="AD61" s="2">
        <f>ROUND((((ET61)-(EU61))+AE61),6)</f>
        <v>0</v>
      </c>
      <c r="AE61" s="2">
        <f t="shared" si="64"/>
        <v>0</v>
      </c>
      <c r="AF61" s="2">
        <f t="shared" si="64"/>
        <v>0</v>
      </c>
      <c r="AG61" s="2">
        <f t="shared" si="71"/>
        <v>0</v>
      </c>
      <c r="AH61" s="2">
        <f t="shared" si="65"/>
        <v>0</v>
      </c>
      <c r="AI61" s="2">
        <f t="shared" si="65"/>
        <v>0</v>
      </c>
      <c r="AJ61" s="2">
        <f t="shared" si="72"/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97</v>
      </c>
      <c r="AU61" s="2">
        <v>51</v>
      </c>
      <c r="AV61" s="2">
        <v>1</v>
      </c>
      <c r="AW61" s="2">
        <v>1</v>
      </c>
      <c r="AX61" s="2"/>
      <c r="AY61" s="2"/>
      <c r="AZ61" s="2">
        <v>1</v>
      </c>
      <c r="BA61" s="2">
        <v>1</v>
      </c>
      <c r="BB61" s="2">
        <v>1</v>
      </c>
      <c r="BC61" s="2">
        <v>1</v>
      </c>
      <c r="BD61" s="2" t="s">
        <v>3</v>
      </c>
      <c r="BE61" s="2" t="s">
        <v>3</v>
      </c>
      <c r="BF61" s="2" t="s">
        <v>3</v>
      </c>
      <c r="BG61" s="2" t="s">
        <v>3</v>
      </c>
      <c r="BH61" s="2">
        <v>3</v>
      </c>
      <c r="BI61" s="2">
        <v>2</v>
      </c>
      <c r="BJ61" s="2" t="s">
        <v>3</v>
      </c>
      <c r="BK61" s="2"/>
      <c r="BL61" s="2"/>
      <c r="BM61" s="2">
        <v>108001</v>
      </c>
      <c r="BN61" s="2">
        <v>0</v>
      </c>
      <c r="BO61" s="2" t="s">
        <v>3</v>
      </c>
      <c r="BP61" s="2">
        <v>0</v>
      </c>
      <c r="BQ61" s="2">
        <v>3</v>
      </c>
      <c r="BR61" s="2">
        <v>0</v>
      </c>
      <c r="BS61" s="2">
        <v>1</v>
      </c>
      <c r="BT61" s="2">
        <v>1</v>
      </c>
      <c r="BU61" s="2">
        <v>1</v>
      </c>
      <c r="BV61" s="2">
        <v>1</v>
      </c>
      <c r="BW61" s="2">
        <v>1</v>
      </c>
      <c r="BX61" s="2">
        <v>1</v>
      </c>
      <c r="BY61" s="2" t="s">
        <v>3</v>
      </c>
      <c r="BZ61" s="2">
        <v>97</v>
      </c>
      <c r="CA61" s="2">
        <v>51</v>
      </c>
      <c r="CB61" s="2" t="s">
        <v>3</v>
      </c>
      <c r="CC61" s="2"/>
      <c r="CD61" s="2"/>
      <c r="CE61" s="2">
        <v>0</v>
      </c>
      <c r="CF61" s="2">
        <v>0</v>
      </c>
      <c r="CG61" s="2">
        <v>0</v>
      </c>
      <c r="CH61" s="2"/>
      <c r="CI61" s="2"/>
      <c r="CJ61" s="2"/>
      <c r="CK61" s="2"/>
      <c r="CL61" s="2"/>
      <c r="CM61" s="2">
        <v>0</v>
      </c>
      <c r="CN61" s="2" t="s">
        <v>3</v>
      </c>
      <c r="CO61" s="2">
        <v>0</v>
      </c>
      <c r="CP61" s="2">
        <f>0</f>
        <v>0</v>
      </c>
      <c r="CQ61" s="2">
        <f>0</f>
        <v>0</v>
      </c>
      <c r="CR61" s="2">
        <f>0</f>
        <v>0</v>
      </c>
      <c r="CS61" s="2">
        <f>0</f>
        <v>0</v>
      </c>
      <c r="CT61" s="2">
        <f>0</f>
        <v>0</v>
      </c>
      <c r="CU61" s="2">
        <f>0</f>
        <v>0</v>
      </c>
      <c r="CV61" s="2">
        <f>0</f>
        <v>0</v>
      </c>
      <c r="CW61" s="2">
        <f>0</f>
        <v>0</v>
      </c>
      <c r="CX61" s="2">
        <f>0</f>
        <v>0</v>
      </c>
      <c r="CY61" s="2">
        <f>0</f>
        <v>0</v>
      </c>
      <c r="CZ61" s="2">
        <f>0</f>
        <v>0</v>
      </c>
      <c r="DA61" s="2"/>
      <c r="DB61" s="2"/>
      <c r="DC61" s="2" t="s">
        <v>3</v>
      </c>
      <c r="DD61" s="2" t="s">
        <v>3</v>
      </c>
      <c r="DE61" s="2" t="s">
        <v>3</v>
      </c>
      <c r="DF61" s="2" t="s">
        <v>3</v>
      </c>
      <c r="DG61" s="2" t="s">
        <v>3</v>
      </c>
      <c r="DH61" s="2" t="s">
        <v>3</v>
      </c>
      <c r="DI61" s="2" t="s">
        <v>3</v>
      </c>
      <c r="DJ61" s="2" t="s">
        <v>3</v>
      </c>
      <c r="DK61" s="2" t="s">
        <v>3</v>
      </c>
      <c r="DL61" s="2" t="s">
        <v>3</v>
      </c>
      <c r="DM61" s="2" t="s">
        <v>3</v>
      </c>
      <c r="DN61" s="2">
        <v>0</v>
      </c>
      <c r="DO61" s="2">
        <v>0</v>
      </c>
      <c r="DP61" s="2">
        <v>1</v>
      </c>
      <c r="DQ61" s="2">
        <v>1</v>
      </c>
      <c r="DR61" s="2"/>
      <c r="DS61" s="2"/>
      <c r="DT61" s="2"/>
      <c r="DU61" s="2">
        <v>1013</v>
      </c>
      <c r="DV61" s="2" t="s">
        <v>57</v>
      </c>
      <c r="DW61" s="2" t="s">
        <v>57</v>
      </c>
      <c r="DX61" s="2">
        <v>1</v>
      </c>
      <c r="DY61" s="2"/>
      <c r="DZ61" s="2" t="s">
        <v>3</v>
      </c>
      <c r="EA61" s="2" t="s">
        <v>3</v>
      </c>
      <c r="EB61" s="2" t="s">
        <v>3</v>
      </c>
      <c r="EC61" s="2" t="s">
        <v>3</v>
      </c>
      <c r="ED61" s="2"/>
      <c r="EE61" s="2">
        <v>84053775</v>
      </c>
      <c r="EF61" s="2">
        <v>3</v>
      </c>
      <c r="EG61" s="2" t="s">
        <v>48</v>
      </c>
      <c r="EH61" s="2">
        <v>0</v>
      </c>
      <c r="EI61" s="2" t="s">
        <v>3</v>
      </c>
      <c r="EJ61" s="2">
        <v>2</v>
      </c>
      <c r="EK61" s="2">
        <v>108001</v>
      </c>
      <c r="EL61" s="2" t="s">
        <v>49</v>
      </c>
      <c r="EM61" s="2" t="s">
        <v>50</v>
      </c>
      <c r="EN61" s="2"/>
      <c r="EO61" s="2" t="s">
        <v>3</v>
      </c>
      <c r="EP61" s="2"/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>
        <v>0</v>
      </c>
      <c r="FR61" s="2">
        <v>0</v>
      </c>
      <c r="FS61" s="2">
        <v>0</v>
      </c>
      <c r="FT61" s="2"/>
      <c r="FU61" s="2"/>
      <c r="FV61" s="2"/>
      <c r="FW61" s="2"/>
      <c r="FX61" s="2">
        <v>97</v>
      </c>
      <c r="FY61" s="2">
        <v>51</v>
      </c>
      <c r="FZ61" s="2"/>
      <c r="GA61" s="2" t="s">
        <v>3</v>
      </c>
      <c r="GB61" s="2"/>
      <c r="GC61" s="2"/>
      <c r="GD61" s="2">
        <v>1</v>
      </c>
      <c r="GE61" s="2"/>
      <c r="GF61" s="2">
        <v>274903907</v>
      </c>
      <c r="GG61" s="2">
        <v>2</v>
      </c>
      <c r="GH61" s="2">
        <v>1</v>
      </c>
      <c r="GI61" s="2">
        <v>-2</v>
      </c>
      <c r="GJ61" s="2">
        <v>0</v>
      </c>
      <c r="GK61" s="2">
        <v>0</v>
      </c>
      <c r="GL61" s="2">
        <f t="shared" si="73"/>
        <v>0</v>
      </c>
      <c r="GM61" s="2">
        <f t="shared" si="74"/>
        <v>249.31</v>
      </c>
      <c r="GN61" s="2">
        <f t="shared" si="75"/>
        <v>0</v>
      </c>
      <c r="GO61" s="2">
        <f t="shared" si="76"/>
        <v>249.31</v>
      </c>
      <c r="GP61" s="2">
        <f t="shared" si="77"/>
        <v>0</v>
      </c>
      <c r="GQ61" s="2"/>
      <c r="GR61" s="2">
        <v>0</v>
      </c>
      <c r="GS61" s="2">
        <v>0</v>
      </c>
      <c r="GT61" s="2">
        <v>0</v>
      </c>
      <c r="GU61" s="2" t="s">
        <v>3</v>
      </c>
      <c r="GV61" s="2">
        <f t="shared" si="78"/>
        <v>0</v>
      </c>
      <c r="GW61" s="2">
        <v>1</v>
      </c>
      <c r="GX61" s="2">
        <f t="shared" si="79"/>
        <v>0</v>
      </c>
      <c r="GY61" s="2"/>
      <c r="GZ61" s="2"/>
      <c r="HA61" s="2">
        <v>0</v>
      </c>
      <c r="HB61" s="2">
        <v>0</v>
      </c>
      <c r="HC61" s="2">
        <f>0</f>
        <v>0</v>
      </c>
      <c r="HD61" s="2"/>
      <c r="HE61" s="2" t="s">
        <v>3</v>
      </c>
      <c r="HF61" s="2" t="s">
        <v>3</v>
      </c>
      <c r="HG61" s="2"/>
      <c r="HH61" s="2"/>
      <c r="HI61" s="2"/>
      <c r="HJ61" s="2"/>
      <c r="HK61" s="2"/>
      <c r="HL61" s="2"/>
      <c r="HM61" s="2" t="s">
        <v>3</v>
      </c>
      <c r="HN61" s="2" t="s">
        <v>52</v>
      </c>
      <c r="HO61" s="2" t="s">
        <v>53</v>
      </c>
      <c r="HP61" s="2" t="s">
        <v>49</v>
      </c>
      <c r="HQ61" s="2" t="s">
        <v>49</v>
      </c>
      <c r="HR61" s="2"/>
      <c r="HS61" s="2">
        <v>0</v>
      </c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>
        <v>0</v>
      </c>
      <c r="IL61" s="2"/>
      <c r="IM61" s="2"/>
      <c r="IN61" s="2"/>
      <c r="IO61" s="2"/>
      <c r="IP61" s="2"/>
      <c r="IQ61" s="2"/>
      <c r="IR61" s="2"/>
      <c r="IS61" s="2"/>
      <c r="IT61" s="2"/>
      <c r="IU61" s="2"/>
    </row>
    <row r="62" spans="1:255" x14ac:dyDescent="0.2">
      <c r="A62" s="2">
        <v>18</v>
      </c>
      <c r="B62" s="2">
        <v>1</v>
      </c>
      <c r="C62" s="2">
        <v>66</v>
      </c>
      <c r="D62" s="2"/>
      <c r="E62" s="2" t="s">
        <v>143</v>
      </c>
      <c r="F62" s="2" t="s">
        <v>123</v>
      </c>
      <c r="G62" s="2" t="s">
        <v>124</v>
      </c>
      <c r="H62" s="2" t="s">
        <v>29</v>
      </c>
      <c r="I62" s="2">
        <f>I58*J62</f>
        <v>1.6500000000000001E-2</v>
      </c>
      <c r="J62" s="2">
        <v>0.03</v>
      </c>
      <c r="K62" s="2">
        <v>0.03</v>
      </c>
      <c r="L62" s="2"/>
      <c r="M62" s="2"/>
      <c r="N62" s="2"/>
      <c r="O62" s="2">
        <f>ROUND(CP62,2)</f>
        <v>42.89</v>
      </c>
      <c r="P62" s="2">
        <f>ROUND(CQ62*I62,2)</f>
        <v>0</v>
      </c>
      <c r="Q62" s="2">
        <f>ROUND(CR62*I62,2)</f>
        <v>26.89</v>
      </c>
      <c r="R62" s="2">
        <f>ROUND(CS62*I62,2)</f>
        <v>16</v>
      </c>
      <c r="S62" s="2">
        <f>ROUND(CT62*I62,2)</f>
        <v>0</v>
      </c>
      <c r="T62" s="2">
        <f t="shared" si="66"/>
        <v>0</v>
      </c>
      <c r="U62" s="2">
        <f>ROUND(CV62*I62,7)</f>
        <v>0</v>
      </c>
      <c r="V62" s="2">
        <f>ROUND(CW62*I62,7)</f>
        <v>0</v>
      </c>
      <c r="W62" s="2">
        <f t="shared" si="67"/>
        <v>0</v>
      </c>
      <c r="X62" s="2">
        <f t="shared" si="68"/>
        <v>15.52</v>
      </c>
      <c r="Y62" s="2">
        <f t="shared" si="69"/>
        <v>8.16</v>
      </c>
      <c r="Z62" s="2"/>
      <c r="AA62" s="2">
        <v>85997836</v>
      </c>
      <c r="AB62" s="2">
        <f t="shared" si="70"/>
        <v>1629.55</v>
      </c>
      <c r="AC62" s="2">
        <f>ROUND((ES62),6)</f>
        <v>0</v>
      </c>
      <c r="AD62" s="2">
        <f>ROUND((((ET62)-(EU62))+AE62),6)</f>
        <v>1629.55</v>
      </c>
      <c r="AE62" s="2">
        <f t="shared" si="64"/>
        <v>969.91</v>
      </c>
      <c r="AF62" s="2">
        <f t="shared" si="64"/>
        <v>0</v>
      </c>
      <c r="AG62" s="2">
        <f t="shared" si="71"/>
        <v>0</v>
      </c>
      <c r="AH62" s="2">
        <f t="shared" si="65"/>
        <v>0</v>
      </c>
      <c r="AI62" s="2">
        <f t="shared" si="65"/>
        <v>0</v>
      </c>
      <c r="AJ62" s="2">
        <f t="shared" si="72"/>
        <v>0</v>
      </c>
      <c r="AK62" s="2">
        <v>1629.55</v>
      </c>
      <c r="AL62" s="2">
        <v>0</v>
      </c>
      <c r="AM62" s="2">
        <v>1629.55</v>
      </c>
      <c r="AN62" s="2">
        <v>969.91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97</v>
      </c>
      <c r="AU62" s="2">
        <v>51</v>
      </c>
      <c r="AV62" s="2">
        <v>1</v>
      </c>
      <c r="AW62" s="2">
        <v>1</v>
      </c>
      <c r="AX62" s="2"/>
      <c r="AY62" s="2"/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2</v>
      </c>
      <c r="BI62" s="2">
        <v>2</v>
      </c>
      <c r="BJ62" s="2" t="s">
        <v>125</v>
      </c>
      <c r="BK62" s="2"/>
      <c r="BL62" s="2"/>
      <c r="BM62" s="2">
        <v>108001</v>
      </c>
      <c r="BN62" s="2">
        <v>0</v>
      </c>
      <c r="BO62" s="2" t="s">
        <v>3</v>
      </c>
      <c r="BP62" s="2">
        <v>0</v>
      </c>
      <c r="BQ62" s="2">
        <v>3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97</v>
      </c>
      <c r="CA62" s="2">
        <v>51</v>
      </c>
      <c r="CB62" s="2" t="s">
        <v>3</v>
      </c>
      <c r="CC62" s="2"/>
      <c r="CD62" s="2"/>
      <c r="CE62" s="2">
        <v>0</v>
      </c>
      <c r="CF62" s="2">
        <v>0</v>
      </c>
      <c r="CG62" s="2">
        <v>0</v>
      </c>
      <c r="CH62" s="2"/>
      <c r="CI62" s="2"/>
      <c r="CJ62" s="2"/>
      <c r="CK62" s="2"/>
      <c r="CL62" s="2"/>
      <c r="CM62" s="2">
        <v>0</v>
      </c>
      <c r="CN62" s="2" t="s">
        <v>3</v>
      </c>
      <c r="CO62" s="2">
        <v>0</v>
      </c>
      <c r="CP62" s="2">
        <f>(P62+Q62+S62+R62)</f>
        <v>42.89</v>
      </c>
      <c r="CQ62" s="2">
        <f>ROUND(AL62*BC62,2)</f>
        <v>0</v>
      </c>
      <c r="CR62" s="2">
        <f>ROUND(AM62*BB62,2)</f>
        <v>1629.55</v>
      </c>
      <c r="CS62" s="2">
        <f>ROUND(AN62*BS62,2)</f>
        <v>969.91</v>
      </c>
      <c r="CT62" s="2">
        <f>ROUND(AO62*BA62,2)</f>
        <v>0</v>
      </c>
      <c r="CU62" s="2">
        <f>AG62</f>
        <v>0</v>
      </c>
      <c r="CV62" s="2">
        <f>AH62</f>
        <v>0</v>
      </c>
      <c r="CW62" s="2">
        <f>AI62</f>
        <v>0</v>
      </c>
      <c r="CX62" s="2">
        <f>AJ62</f>
        <v>0</v>
      </c>
      <c r="CY62" s="2">
        <f>(((S62+R62)*AT62)/100)</f>
        <v>15.52</v>
      </c>
      <c r="CZ62" s="2">
        <f>(((S62+R62)*AU62)/100)</f>
        <v>8.16</v>
      </c>
      <c r="DA62" s="2"/>
      <c r="DB62" s="2"/>
      <c r="DC62" s="2" t="s">
        <v>3</v>
      </c>
      <c r="DD62" s="2" t="s">
        <v>3</v>
      </c>
      <c r="DE62" s="2" t="s">
        <v>3</v>
      </c>
      <c r="DF62" s="2" t="s">
        <v>3</v>
      </c>
      <c r="DG62" s="2" t="s">
        <v>3</v>
      </c>
      <c r="DH62" s="2" t="s">
        <v>3</v>
      </c>
      <c r="DI62" s="2" t="s">
        <v>3</v>
      </c>
      <c r="DJ62" s="2" t="s">
        <v>3</v>
      </c>
      <c r="DK62" s="2" t="s">
        <v>3</v>
      </c>
      <c r="DL62" s="2" t="s">
        <v>3</v>
      </c>
      <c r="DM62" s="2" t="s">
        <v>3</v>
      </c>
      <c r="DN62" s="2">
        <v>0</v>
      </c>
      <c r="DO62" s="2">
        <v>0</v>
      </c>
      <c r="DP62" s="2">
        <v>1</v>
      </c>
      <c r="DQ62" s="2">
        <v>1</v>
      </c>
      <c r="DR62" s="2"/>
      <c r="DS62" s="2"/>
      <c r="DT62" s="2"/>
      <c r="DU62" s="2">
        <v>1011</v>
      </c>
      <c r="DV62" s="2" t="s">
        <v>29</v>
      </c>
      <c r="DW62" s="2" t="s">
        <v>29</v>
      </c>
      <c r="DX62" s="2">
        <v>1</v>
      </c>
      <c r="DY62" s="2"/>
      <c r="DZ62" s="2" t="s">
        <v>3</v>
      </c>
      <c r="EA62" s="2" t="s">
        <v>3</v>
      </c>
      <c r="EB62" s="2" t="s">
        <v>3</v>
      </c>
      <c r="EC62" s="2" t="s">
        <v>3</v>
      </c>
      <c r="ED62" s="2"/>
      <c r="EE62" s="2">
        <v>84053775</v>
      </c>
      <c r="EF62" s="2">
        <v>3</v>
      </c>
      <c r="EG62" s="2" t="s">
        <v>48</v>
      </c>
      <c r="EH62" s="2">
        <v>0</v>
      </c>
      <c r="EI62" s="2" t="s">
        <v>3</v>
      </c>
      <c r="EJ62" s="2">
        <v>2</v>
      </c>
      <c r="EK62" s="2">
        <v>108001</v>
      </c>
      <c r="EL62" s="2" t="s">
        <v>49</v>
      </c>
      <c r="EM62" s="2" t="s">
        <v>50</v>
      </c>
      <c r="EN62" s="2"/>
      <c r="EO62" s="2" t="s">
        <v>3</v>
      </c>
      <c r="EP62" s="2"/>
      <c r="EQ62" s="2">
        <v>0</v>
      </c>
      <c r="ER62" s="2">
        <v>1629.55</v>
      </c>
      <c r="ES62" s="2">
        <v>0</v>
      </c>
      <c r="ET62" s="2">
        <v>1629.55</v>
      </c>
      <c r="EU62" s="2">
        <v>969.91</v>
      </c>
      <c r="EV62" s="2">
        <v>0</v>
      </c>
      <c r="EW62" s="2">
        <v>0</v>
      </c>
      <c r="EX62" s="2">
        <v>0</v>
      </c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>
        <v>0</v>
      </c>
      <c r="FR62" s="2">
        <v>0</v>
      </c>
      <c r="FS62" s="2">
        <v>1</v>
      </c>
      <c r="FT62" s="2"/>
      <c r="FU62" s="2"/>
      <c r="FV62" s="2"/>
      <c r="FW62" s="2"/>
      <c r="FX62" s="2">
        <v>97</v>
      </c>
      <c r="FY62" s="2">
        <v>51</v>
      </c>
      <c r="FZ62" s="2"/>
      <c r="GA62" s="2" t="s">
        <v>3</v>
      </c>
      <c r="GB62" s="2"/>
      <c r="GC62" s="2"/>
      <c r="GD62" s="2">
        <v>1</v>
      </c>
      <c r="GE62" s="2"/>
      <c r="GF62" s="2">
        <v>639918019</v>
      </c>
      <c r="GG62" s="2">
        <v>2</v>
      </c>
      <c r="GH62" s="2">
        <v>1</v>
      </c>
      <c r="GI62" s="2">
        <v>-2</v>
      </c>
      <c r="GJ62" s="2">
        <v>0</v>
      </c>
      <c r="GK62" s="2">
        <v>0</v>
      </c>
      <c r="GL62" s="2">
        <f t="shared" si="73"/>
        <v>0</v>
      </c>
      <c r="GM62" s="2">
        <f t="shared" si="74"/>
        <v>66.569999999999993</v>
      </c>
      <c r="GN62" s="2">
        <f t="shared" si="75"/>
        <v>0</v>
      </c>
      <c r="GO62" s="2">
        <f t="shared" si="76"/>
        <v>66.569999999999993</v>
      </c>
      <c r="GP62" s="2">
        <f t="shared" si="77"/>
        <v>0</v>
      </c>
      <c r="GQ62" s="2"/>
      <c r="GR62" s="2">
        <v>0</v>
      </c>
      <c r="GS62" s="2">
        <v>7</v>
      </c>
      <c r="GT62" s="2">
        <v>0</v>
      </c>
      <c r="GU62" s="2" t="s">
        <v>3</v>
      </c>
      <c r="GV62" s="2">
        <f t="shared" si="78"/>
        <v>0</v>
      </c>
      <c r="GW62" s="2">
        <v>1</v>
      </c>
      <c r="GX62" s="2">
        <f t="shared" si="79"/>
        <v>0</v>
      </c>
      <c r="GY62" s="2"/>
      <c r="GZ62" s="2"/>
      <c r="HA62" s="2">
        <v>0</v>
      </c>
      <c r="HB62" s="2">
        <v>0</v>
      </c>
      <c r="HC62" s="2">
        <f>GV62*GW62</f>
        <v>0</v>
      </c>
      <c r="HD62" s="2"/>
      <c r="HE62" s="2" t="s">
        <v>3</v>
      </c>
      <c r="HF62" s="2" t="s">
        <v>3</v>
      </c>
      <c r="HG62" s="2"/>
      <c r="HH62" s="2"/>
      <c r="HI62" s="2"/>
      <c r="HJ62" s="2"/>
      <c r="HK62" s="2"/>
      <c r="HL62" s="2"/>
      <c r="HM62" s="2" t="s">
        <v>3</v>
      </c>
      <c r="HN62" s="2" t="s">
        <v>52</v>
      </c>
      <c r="HO62" s="2" t="s">
        <v>53</v>
      </c>
      <c r="HP62" s="2" t="s">
        <v>49</v>
      </c>
      <c r="HQ62" s="2" t="s">
        <v>49</v>
      </c>
      <c r="HR62" s="2"/>
      <c r="HS62" s="2">
        <v>0</v>
      </c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>
        <v>0</v>
      </c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x14ac:dyDescent="0.2">
      <c r="A63" s="2">
        <v>17</v>
      </c>
      <c r="B63" s="2">
        <v>1</v>
      </c>
      <c r="C63" s="2">
        <f>ROW(SmtRes!A85)</f>
        <v>85</v>
      </c>
      <c r="D63" s="2">
        <f>ROW(EtalonRes!A75)</f>
        <v>75</v>
      </c>
      <c r="E63" s="2" t="s">
        <v>144</v>
      </c>
      <c r="F63" s="2" t="s">
        <v>145</v>
      </c>
      <c r="G63" s="2" t="s">
        <v>146</v>
      </c>
      <c r="H63" s="2" t="s">
        <v>147</v>
      </c>
      <c r="I63" s="2">
        <f>ROUND(3,7)</f>
        <v>3</v>
      </c>
      <c r="J63" s="2">
        <v>0</v>
      </c>
      <c r="K63" s="2">
        <f>ROUND(3,7)</f>
        <v>3</v>
      </c>
      <c r="L63" s="2"/>
      <c r="M63" s="2"/>
      <c r="N63" s="2"/>
      <c r="O63" s="2">
        <f>ROUND(CP63,2)</f>
        <v>4497.32</v>
      </c>
      <c r="P63" s="2">
        <f>SUMIF(SmtRes!AQ74:'SmtRes'!AQ85,"=1",SmtRes!DF74:'SmtRes'!DF85)</f>
        <v>165.01999999999998</v>
      </c>
      <c r="Q63" s="2">
        <f>SUMIF(SmtRes!AQ74:'SmtRes'!AQ85,"=1",SmtRes!DG74:'SmtRes'!DG85)</f>
        <v>0</v>
      </c>
      <c r="R63" s="2">
        <f>SUMIF(SmtRes!AQ74:'SmtRes'!AQ85,"=1",SmtRes!DH74:'SmtRes'!DH85)</f>
        <v>0</v>
      </c>
      <c r="S63" s="2">
        <f>SUMIF(SmtRes!AQ74:'SmtRes'!AQ85,"=1",SmtRes!DI74:'SmtRes'!DI85)</f>
        <v>4332.3</v>
      </c>
      <c r="T63" s="2">
        <f t="shared" si="66"/>
        <v>0</v>
      </c>
      <c r="U63" s="2">
        <f>SUMIF(SmtRes!AQ74:'SmtRes'!AQ85,"=1",SmtRes!CV74:'SmtRes'!CV85)</f>
        <v>6</v>
      </c>
      <c r="V63" s="2">
        <f>SUMIF(SmtRes!AQ74:'SmtRes'!AQ85,"=1",SmtRes!CW74:'SmtRes'!CW85)</f>
        <v>0</v>
      </c>
      <c r="W63" s="2">
        <f t="shared" si="67"/>
        <v>0</v>
      </c>
      <c r="X63" s="2">
        <f t="shared" si="68"/>
        <v>3899.07</v>
      </c>
      <c r="Y63" s="2">
        <f t="shared" si="69"/>
        <v>1992.86</v>
      </c>
      <c r="Z63" s="2"/>
      <c r="AA63" s="2">
        <v>85997836</v>
      </c>
      <c r="AB63" s="2">
        <f t="shared" si="70"/>
        <v>1479.3177800000001</v>
      </c>
      <c r="AC63" s="2">
        <f>ROUND((SUM(SmtRes!BQ74:'SmtRes'!BQ85)),6)</f>
        <v>35.217779999999998</v>
      </c>
      <c r="AD63" s="2">
        <f>ROUND((((0)-(0))+AE63),6)</f>
        <v>0</v>
      </c>
      <c r="AE63" s="2">
        <f>ROUND((0),6)</f>
        <v>0</v>
      </c>
      <c r="AF63" s="2">
        <f>ROUND((SUM(SmtRes!BT74:'SmtRes'!BT85)),6)</f>
        <v>1444.1</v>
      </c>
      <c r="AG63" s="2">
        <f t="shared" si="71"/>
        <v>0</v>
      </c>
      <c r="AH63" s="2">
        <f>(SUM(SmtRes!BU74:'SmtRes'!BU85))</f>
        <v>2</v>
      </c>
      <c r="AI63" s="2">
        <f>(0)</f>
        <v>0</v>
      </c>
      <c r="AJ63" s="2">
        <f t="shared" si="72"/>
        <v>0</v>
      </c>
      <c r="AK63" s="2">
        <v>1479.3177796</v>
      </c>
      <c r="AL63" s="2">
        <v>35.2177796</v>
      </c>
      <c r="AM63" s="2">
        <v>0</v>
      </c>
      <c r="AN63" s="2">
        <v>0</v>
      </c>
      <c r="AO63" s="2">
        <v>1444.1</v>
      </c>
      <c r="AP63" s="2">
        <v>0</v>
      </c>
      <c r="AQ63" s="2">
        <v>2</v>
      </c>
      <c r="AR63" s="2">
        <v>0.34</v>
      </c>
      <c r="AS63" s="2">
        <v>0</v>
      </c>
      <c r="AT63" s="2">
        <v>90</v>
      </c>
      <c r="AU63" s="2">
        <v>46</v>
      </c>
      <c r="AV63" s="2">
        <v>1</v>
      </c>
      <c r="AW63" s="2">
        <v>1</v>
      </c>
      <c r="AX63" s="2"/>
      <c r="AY63" s="2"/>
      <c r="AZ63" s="2">
        <v>1</v>
      </c>
      <c r="BA63" s="2">
        <v>1</v>
      </c>
      <c r="BB63" s="2">
        <v>1</v>
      </c>
      <c r="BC63" s="2">
        <v>1</v>
      </c>
      <c r="BD63" s="2" t="s">
        <v>3</v>
      </c>
      <c r="BE63" s="2" t="s">
        <v>3</v>
      </c>
      <c r="BF63" s="2" t="s">
        <v>3</v>
      </c>
      <c r="BG63" s="2" t="s">
        <v>3</v>
      </c>
      <c r="BH63" s="2">
        <v>0</v>
      </c>
      <c r="BI63" s="2">
        <v>2</v>
      </c>
      <c r="BJ63" s="2" t="s">
        <v>148</v>
      </c>
      <c r="BK63" s="2"/>
      <c r="BL63" s="2"/>
      <c r="BM63" s="2">
        <v>110006</v>
      </c>
      <c r="BN63" s="2">
        <v>0</v>
      </c>
      <c r="BO63" s="2" t="s">
        <v>3</v>
      </c>
      <c r="BP63" s="2">
        <v>0</v>
      </c>
      <c r="BQ63" s="2">
        <v>3</v>
      </c>
      <c r="BR63" s="2">
        <v>0</v>
      </c>
      <c r="BS63" s="2">
        <v>1</v>
      </c>
      <c r="BT63" s="2">
        <v>1</v>
      </c>
      <c r="BU63" s="2">
        <v>1</v>
      </c>
      <c r="BV63" s="2">
        <v>1</v>
      </c>
      <c r="BW63" s="2">
        <v>1</v>
      </c>
      <c r="BX63" s="2">
        <v>1</v>
      </c>
      <c r="BY63" s="2" t="s">
        <v>3</v>
      </c>
      <c r="BZ63" s="2">
        <v>90</v>
      </c>
      <c r="CA63" s="2">
        <v>46</v>
      </c>
      <c r="CB63" s="2" t="s">
        <v>3</v>
      </c>
      <c r="CC63" s="2"/>
      <c r="CD63" s="2"/>
      <c r="CE63" s="2">
        <v>0</v>
      </c>
      <c r="CF63" s="2">
        <v>0</v>
      </c>
      <c r="CG63" s="2">
        <v>0</v>
      </c>
      <c r="CH63" s="2"/>
      <c r="CI63" s="2"/>
      <c r="CJ63" s="2"/>
      <c r="CK63" s="2"/>
      <c r="CL63" s="2"/>
      <c r="CM63" s="2">
        <v>0</v>
      </c>
      <c r="CN63" s="2" t="s">
        <v>3</v>
      </c>
      <c r="CO63" s="2">
        <v>0</v>
      </c>
      <c r="CP63" s="2">
        <f>(P63+Q63+S63+R63)</f>
        <v>4497.32</v>
      </c>
      <c r="CQ63" s="2">
        <f>SUMIF(SmtRes!AQ74:'SmtRes'!AQ85,"=1",SmtRes!AA74:'SmtRes'!AA85)</f>
        <v>106334.48</v>
      </c>
      <c r="CR63" s="2">
        <f>SUMIF(SmtRes!AQ74:'SmtRes'!AQ85,"=1",SmtRes!AB74:'SmtRes'!AB85)</f>
        <v>0</v>
      </c>
      <c r="CS63" s="2">
        <f>SUMIF(SmtRes!AQ74:'SmtRes'!AQ85,"=1",SmtRes!AC74:'SmtRes'!AC85)</f>
        <v>0</v>
      </c>
      <c r="CT63" s="2">
        <f>SUMIF(SmtRes!AQ74:'SmtRes'!AQ85,"=1",SmtRes!AD74:'SmtRes'!AD85)</f>
        <v>722.05</v>
      </c>
      <c r="CU63" s="2">
        <f>AG63</f>
        <v>0</v>
      </c>
      <c r="CV63" s="2">
        <f>SUMIF(SmtRes!AQ74:'SmtRes'!AQ85,"=1",SmtRes!BU74:'SmtRes'!BU85)</f>
        <v>2</v>
      </c>
      <c r="CW63" s="2">
        <f>SUMIF(SmtRes!AQ74:'SmtRes'!AQ85,"=1",SmtRes!BV74:'SmtRes'!BV85)</f>
        <v>0</v>
      </c>
      <c r="CX63" s="2">
        <f>AJ63</f>
        <v>0</v>
      </c>
      <c r="CY63" s="2">
        <f>(((S63+R63)*AT63)/100)</f>
        <v>3899.07</v>
      </c>
      <c r="CZ63" s="2">
        <f>(((S63+R63)*AU63)/100)</f>
        <v>1992.8580000000002</v>
      </c>
      <c r="DA63" s="2"/>
      <c r="DB63" s="2"/>
      <c r="DC63" s="2" t="s">
        <v>3</v>
      </c>
      <c r="DD63" s="2" t="s">
        <v>3</v>
      </c>
      <c r="DE63" s="2" t="s">
        <v>3</v>
      </c>
      <c r="DF63" s="2" t="s">
        <v>3</v>
      </c>
      <c r="DG63" s="2" t="s">
        <v>3</v>
      </c>
      <c r="DH63" s="2" t="s">
        <v>3</v>
      </c>
      <c r="DI63" s="2" t="s">
        <v>3</v>
      </c>
      <c r="DJ63" s="2" t="s">
        <v>3</v>
      </c>
      <c r="DK63" s="2" t="s">
        <v>3</v>
      </c>
      <c r="DL63" s="2" t="s">
        <v>3</v>
      </c>
      <c r="DM63" s="2" t="s">
        <v>3</v>
      </c>
      <c r="DN63" s="2">
        <v>0</v>
      </c>
      <c r="DO63" s="2">
        <v>0</v>
      </c>
      <c r="DP63" s="2">
        <v>1</v>
      </c>
      <c r="DQ63" s="2">
        <v>1</v>
      </c>
      <c r="DR63" s="2"/>
      <c r="DS63" s="2"/>
      <c r="DT63" s="2"/>
      <c r="DU63" s="2">
        <v>1013</v>
      </c>
      <c r="DV63" s="2" t="s">
        <v>147</v>
      </c>
      <c r="DW63" s="2" t="s">
        <v>147</v>
      </c>
      <c r="DX63" s="2">
        <v>1</v>
      </c>
      <c r="DY63" s="2"/>
      <c r="DZ63" s="2" t="s">
        <v>3</v>
      </c>
      <c r="EA63" s="2" t="s">
        <v>3</v>
      </c>
      <c r="EB63" s="2" t="s">
        <v>3</v>
      </c>
      <c r="EC63" s="2" t="s">
        <v>3</v>
      </c>
      <c r="ED63" s="2"/>
      <c r="EE63" s="2">
        <v>84053819</v>
      </c>
      <c r="EF63" s="2">
        <v>3</v>
      </c>
      <c r="EG63" s="2" t="s">
        <v>48</v>
      </c>
      <c r="EH63" s="2">
        <v>0</v>
      </c>
      <c r="EI63" s="2" t="s">
        <v>3</v>
      </c>
      <c r="EJ63" s="2">
        <v>2</v>
      </c>
      <c r="EK63" s="2">
        <v>110006</v>
      </c>
      <c r="EL63" s="2" t="s">
        <v>149</v>
      </c>
      <c r="EM63" s="2" t="s">
        <v>150</v>
      </c>
      <c r="EN63" s="2"/>
      <c r="EO63" s="2" t="s">
        <v>3</v>
      </c>
      <c r="EP63" s="2"/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2</v>
      </c>
      <c r="EX63" s="2">
        <v>0.34</v>
      </c>
      <c r="EY63" s="2">
        <v>0</v>
      </c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>
        <v>0</v>
      </c>
      <c r="FR63" s="2">
        <v>0</v>
      </c>
      <c r="FS63" s="2">
        <v>0</v>
      </c>
      <c r="FT63" s="2"/>
      <c r="FU63" s="2"/>
      <c r="FV63" s="2"/>
      <c r="FW63" s="2"/>
      <c r="FX63" s="2">
        <v>90</v>
      </c>
      <c r="FY63" s="2">
        <v>46</v>
      </c>
      <c r="FZ63" s="2"/>
      <c r="GA63" s="2" t="s">
        <v>3</v>
      </c>
      <c r="GB63" s="2"/>
      <c r="GC63" s="2"/>
      <c r="GD63" s="2">
        <v>1</v>
      </c>
      <c r="GE63" s="2"/>
      <c r="GF63" s="2">
        <v>-1627796939</v>
      </c>
      <c r="GG63" s="2">
        <v>2</v>
      </c>
      <c r="GH63" s="2">
        <v>1</v>
      </c>
      <c r="GI63" s="2">
        <v>-2</v>
      </c>
      <c r="GJ63" s="2">
        <v>0</v>
      </c>
      <c r="GK63" s="2">
        <v>0</v>
      </c>
      <c r="GL63" s="2">
        <f t="shared" si="73"/>
        <v>0</v>
      </c>
      <c r="GM63" s="2">
        <f t="shared" si="74"/>
        <v>10389.25</v>
      </c>
      <c r="GN63" s="2">
        <f t="shared" si="75"/>
        <v>0</v>
      </c>
      <c r="GO63" s="2">
        <f t="shared" si="76"/>
        <v>10389.25</v>
      </c>
      <c r="GP63" s="2">
        <f t="shared" si="77"/>
        <v>0</v>
      </c>
      <c r="GQ63" s="2"/>
      <c r="GR63" s="2">
        <v>0</v>
      </c>
      <c r="GS63" s="2">
        <v>3</v>
      </c>
      <c r="GT63" s="2">
        <v>0</v>
      </c>
      <c r="GU63" s="2" t="s">
        <v>3</v>
      </c>
      <c r="GV63" s="2">
        <f t="shared" si="78"/>
        <v>0</v>
      </c>
      <c r="GW63" s="2">
        <v>1</v>
      </c>
      <c r="GX63" s="2">
        <f t="shared" si="79"/>
        <v>0</v>
      </c>
      <c r="GY63" s="2"/>
      <c r="GZ63" s="2"/>
      <c r="HA63" s="2">
        <v>0</v>
      </c>
      <c r="HB63" s="2">
        <v>0</v>
      </c>
      <c r="HC63" s="2">
        <f>GV63*GW63</f>
        <v>0</v>
      </c>
      <c r="HD63" s="2"/>
      <c r="HE63" s="2" t="s">
        <v>3</v>
      </c>
      <c r="HF63" s="2" t="s">
        <v>3</v>
      </c>
      <c r="HG63" s="2"/>
      <c r="HH63" s="2"/>
      <c r="HI63" s="2"/>
      <c r="HJ63" s="2"/>
      <c r="HK63" s="2"/>
      <c r="HL63" s="2"/>
      <c r="HM63" s="2" t="s">
        <v>3</v>
      </c>
      <c r="HN63" s="2" t="s">
        <v>151</v>
      </c>
      <c r="HO63" s="2" t="s">
        <v>152</v>
      </c>
      <c r="HP63" s="2" t="s">
        <v>149</v>
      </c>
      <c r="HQ63" s="2" t="s">
        <v>149</v>
      </c>
      <c r="HR63" s="2"/>
      <c r="HS63" s="2">
        <v>0</v>
      </c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>
        <v>0</v>
      </c>
      <c r="IL63" s="2"/>
      <c r="IM63" s="2"/>
      <c r="IN63" s="2"/>
      <c r="IO63" s="2"/>
      <c r="IP63" s="2"/>
      <c r="IQ63" s="2"/>
      <c r="IR63" s="2"/>
      <c r="IS63" s="2"/>
      <c r="IT63" s="2"/>
      <c r="IU63" s="2"/>
    </row>
    <row r="64" spans="1:255" x14ac:dyDescent="0.2">
      <c r="A64" s="2">
        <v>18</v>
      </c>
      <c r="B64" s="2">
        <v>1</v>
      </c>
      <c r="C64" s="2">
        <v>84</v>
      </c>
      <c r="D64" s="2"/>
      <c r="E64" s="2" t="s">
        <v>153</v>
      </c>
      <c r="F64" s="2" t="s">
        <v>154</v>
      </c>
      <c r="G64" s="2" t="s">
        <v>155</v>
      </c>
      <c r="H64" s="2" t="s">
        <v>43</v>
      </c>
      <c r="I64" s="2">
        <f>I63*J64</f>
        <v>3</v>
      </c>
      <c r="J64" s="2">
        <v>1</v>
      </c>
      <c r="K64" s="2">
        <v>1</v>
      </c>
      <c r="L64" s="2"/>
      <c r="M64" s="2"/>
      <c r="N64" s="2"/>
      <c r="O64" s="2">
        <f>ROUND(CP64,2)</f>
        <v>269.16000000000003</v>
      </c>
      <c r="P64" s="2">
        <f>ROUND(CQ64*I64,2)</f>
        <v>269.16000000000003</v>
      </c>
      <c r="Q64" s="2">
        <f t="shared" ref="Q64:Q69" si="80">ROUND(CR64*I64,2)</f>
        <v>0</v>
      </c>
      <c r="R64" s="2">
        <f t="shared" ref="R64:R69" si="81">ROUND(CS64*I64,2)</f>
        <v>0</v>
      </c>
      <c r="S64" s="2">
        <f t="shared" ref="S64:S69" si="82">ROUND(CT64*I64,2)</f>
        <v>0</v>
      </c>
      <c r="T64" s="2">
        <f t="shared" si="66"/>
        <v>0</v>
      </c>
      <c r="U64" s="2">
        <f t="shared" ref="U64:U69" si="83">ROUND(CV64*I64,7)</f>
        <v>0</v>
      </c>
      <c r="V64" s="2">
        <f t="shared" ref="V64:V69" si="84">ROUND(CW64*I64,7)</f>
        <v>0</v>
      </c>
      <c r="W64" s="2">
        <f t="shared" si="67"/>
        <v>0</v>
      </c>
      <c r="X64" s="2">
        <f t="shared" si="68"/>
        <v>0</v>
      </c>
      <c r="Y64" s="2">
        <f t="shared" si="69"/>
        <v>0</v>
      </c>
      <c r="Z64" s="2"/>
      <c r="AA64" s="2">
        <v>85997836</v>
      </c>
      <c r="AB64" s="2">
        <f t="shared" si="70"/>
        <v>98.59</v>
      </c>
      <c r="AC64" s="2">
        <f t="shared" ref="AC64:AC69" si="85">ROUND((ES64),6)</f>
        <v>98.59</v>
      </c>
      <c r="AD64" s="2">
        <f t="shared" ref="AD64:AD69" si="86">ROUND((((ET64)-(EU64))+AE64),6)</f>
        <v>0</v>
      </c>
      <c r="AE64" s="2">
        <f t="shared" ref="AE64:AF69" si="87">ROUND((EU64),6)</f>
        <v>0</v>
      </c>
      <c r="AF64" s="2">
        <f t="shared" si="87"/>
        <v>0</v>
      </c>
      <c r="AG64" s="2">
        <f t="shared" si="71"/>
        <v>0</v>
      </c>
      <c r="AH64" s="2">
        <f t="shared" ref="AH64:AI69" si="88">(EW64)</f>
        <v>0</v>
      </c>
      <c r="AI64" s="2">
        <f t="shared" si="88"/>
        <v>0</v>
      </c>
      <c r="AJ64" s="2">
        <f t="shared" si="72"/>
        <v>0</v>
      </c>
      <c r="AK64" s="2">
        <v>98.59</v>
      </c>
      <c r="AL64" s="2">
        <v>98.59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90</v>
      </c>
      <c r="AU64" s="2">
        <v>46</v>
      </c>
      <c r="AV64" s="2">
        <v>1</v>
      </c>
      <c r="AW64" s="2">
        <v>1</v>
      </c>
      <c r="AX64" s="2"/>
      <c r="AY64" s="2"/>
      <c r="AZ64" s="2">
        <v>1</v>
      </c>
      <c r="BA64" s="2">
        <v>1</v>
      </c>
      <c r="BB64" s="2">
        <v>1</v>
      </c>
      <c r="BC64" s="2">
        <v>0.91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3</v>
      </c>
      <c r="BI64" s="2">
        <v>2</v>
      </c>
      <c r="BJ64" s="2" t="s">
        <v>156</v>
      </c>
      <c r="BK64" s="2"/>
      <c r="BL64" s="2"/>
      <c r="BM64" s="2">
        <v>110006</v>
      </c>
      <c r="BN64" s="2">
        <v>0</v>
      </c>
      <c r="BO64" s="2" t="s">
        <v>154</v>
      </c>
      <c r="BP64" s="2">
        <v>1</v>
      </c>
      <c r="BQ64" s="2">
        <v>3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90</v>
      </c>
      <c r="CA64" s="2">
        <v>46</v>
      </c>
      <c r="CB64" s="2" t="s">
        <v>3</v>
      </c>
      <c r="CC64" s="2"/>
      <c r="CD64" s="2"/>
      <c r="CE64" s="2">
        <v>0</v>
      </c>
      <c r="CF64" s="2">
        <v>0</v>
      </c>
      <c r="CG64" s="2">
        <v>0</v>
      </c>
      <c r="CH64" s="2"/>
      <c r="CI64" s="2"/>
      <c r="CJ64" s="2"/>
      <c r="CK64" s="2"/>
      <c r="CL64" s="2"/>
      <c r="CM64" s="2">
        <v>0</v>
      </c>
      <c r="CN64" s="2" t="s">
        <v>3</v>
      </c>
      <c r="CO64" s="2">
        <v>0</v>
      </c>
      <c r="CP64" s="2">
        <f>(P64+Q64+S64+R64)</f>
        <v>269.16000000000003</v>
      </c>
      <c r="CQ64" s="2">
        <f>ROUND(AL64*BC64,2)</f>
        <v>89.72</v>
      </c>
      <c r="CR64" s="2">
        <f>ROUND(AM64*BB64,2)</f>
        <v>0</v>
      </c>
      <c r="CS64" s="2">
        <f>ROUND(AN64*BS64,2)</f>
        <v>0</v>
      </c>
      <c r="CT64" s="2">
        <f>ROUND(AO64*BA64,2)</f>
        <v>0</v>
      </c>
      <c r="CU64" s="2">
        <f>AG64</f>
        <v>0</v>
      </c>
      <c r="CV64" s="2">
        <f>AH64</f>
        <v>0</v>
      </c>
      <c r="CW64" s="2">
        <f>AI64</f>
        <v>0</v>
      </c>
      <c r="CX64" s="2">
        <f>AJ64</f>
        <v>0</v>
      </c>
      <c r="CY64" s="2">
        <f>(((S64+R64)*AT64)/100)</f>
        <v>0</v>
      </c>
      <c r="CZ64" s="2">
        <f>(((S64+R64)*AU64)/100)</f>
        <v>0</v>
      </c>
      <c r="DA64" s="2"/>
      <c r="DB64" s="2"/>
      <c r="DC64" s="2" t="s">
        <v>3</v>
      </c>
      <c r="DD64" s="2" t="s">
        <v>3</v>
      </c>
      <c r="DE64" s="2" t="s">
        <v>3</v>
      </c>
      <c r="DF64" s="2" t="s">
        <v>3</v>
      </c>
      <c r="DG64" s="2" t="s">
        <v>3</v>
      </c>
      <c r="DH64" s="2" t="s">
        <v>3</v>
      </c>
      <c r="DI64" s="2" t="s">
        <v>3</v>
      </c>
      <c r="DJ64" s="2" t="s">
        <v>3</v>
      </c>
      <c r="DK64" s="2" t="s">
        <v>3</v>
      </c>
      <c r="DL64" s="2" t="s">
        <v>3</v>
      </c>
      <c r="DM64" s="2" t="s">
        <v>3</v>
      </c>
      <c r="DN64" s="2">
        <v>0</v>
      </c>
      <c r="DO64" s="2">
        <v>0</v>
      </c>
      <c r="DP64" s="2">
        <v>1</v>
      </c>
      <c r="DQ64" s="2">
        <v>1</v>
      </c>
      <c r="DR64" s="2"/>
      <c r="DS64" s="2"/>
      <c r="DT64" s="2"/>
      <c r="DU64" s="2">
        <v>1013</v>
      </c>
      <c r="DV64" s="2" t="s">
        <v>43</v>
      </c>
      <c r="DW64" s="2" t="s">
        <v>43</v>
      </c>
      <c r="DX64" s="2">
        <v>1</v>
      </c>
      <c r="DY64" s="2"/>
      <c r="DZ64" s="2" t="s">
        <v>3</v>
      </c>
      <c r="EA64" s="2" t="s">
        <v>3</v>
      </c>
      <c r="EB64" s="2" t="s">
        <v>3</v>
      </c>
      <c r="EC64" s="2" t="s">
        <v>3</v>
      </c>
      <c r="ED64" s="2"/>
      <c r="EE64" s="2">
        <v>84053819</v>
      </c>
      <c r="EF64" s="2">
        <v>3</v>
      </c>
      <c r="EG64" s="2" t="s">
        <v>48</v>
      </c>
      <c r="EH64" s="2">
        <v>0</v>
      </c>
      <c r="EI64" s="2" t="s">
        <v>3</v>
      </c>
      <c r="EJ64" s="2">
        <v>2</v>
      </c>
      <c r="EK64" s="2">
        <v>110006</v>
      </c>
      <c r="EL64" s="2" t="s">
        <v>149</v>
      </c>
      <c r="EM64" s="2" t="s">
        <v>150</v>
      </c>
      <c r="EN64" s="2"/>
      <c r="EO64" s="2" t="s">
        <v>3</v>
      </c>
      <c r="EP64" s="2"/>
      <c r="EQ64" s="2">
        <v>0</v>
      </c>
      <c r="ER64" s="2">
        <v>98.59</v>
      </c>
      <c r="ES64" s="2">
        <v>98.59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>
        <v>0</v>
      </c>
      <c r="FR64" s="2">
        <v>0</v>
      </c>
      <c r="FS64" s="2">
        <v>0</v>
      </c>
      <c r="FT64" s="2"/>
      <c r="FU64" s="2"/>
      <c r="FV64" s="2"/>
      <c r="FW64" s="2"/>
      <c r="FX64" s="2">
        <v>90</v>
      </c>
      <c r="FY64" s="2">
        <v>46</v>
      </c>
      <c r="FZ64" s="2"/>
      <c r="GA64" s="2" t="s">
        <v>3</v>
      </c>
      <c r="GB64" s="2"/>
      <c r="GC64" s="2"/>
      <c r="GD64" s="2">
        <v>1</v>
      </c>
      <c r="GE64" s="2"/>
      <c r="GF64" s="2">
        <v>-754861497</v>
      </c>
      <c r="GG64" s="2">
        <v>2</v>
      </c>
      <c r="GH64" s="2">
        <v>1</v>
      </c>
      <c r="GI64" s="2">
        <v>2</v>
      </c>
      <c r="GJ64" s="2">
        <v>0</v>
      </c>
      <c r="GK64" s="2">
        <v>0</v>
      </c>
      <c r="GL64" s="2">
        <f t="shared" si="73"/>
        <v>0</v>
      </c>
      <c r="GM64" s="2">
        <f t="shared" si="74"/>
        <v>269.16000000000003</v>
      </c>
      <c r="GN64" s="2">
        <f t="shared" si="75"/>
        <v>0</v>
      </c>
      <c r="GO64" s="2">
        <f t="shared" si="76"/>
        <v>269.16000000000003</v>
      </c>
      <c r="GP64" s="2">
        <f t="shared" si="77"/>
        <v>0</v>
      </c>
      <c r="GQ64" s="2"/>
      <c r="GR64" s="2">
        <v>0</v>
      </c>
      <c r="GS64" s="2">
        <v>3</v>
      </c>
      <c r="GT64" s="2">
        <v>0</v>
      </c>
      <c r="GU64" s="2" t="s">
        <v>3</v>
      </c>
      <c r="GV64" s="2">
        <f t="shared" si="78"/>
        <v>0</v>
      </c>
      <c r="GW64" s="2">
        <v>1</v>
      </c>
      <c r="GX64" s="2">
        <f t="shared" si="79"/>
        <v>0</v>
      </c>
      <c r="GY64" s="2"/>
      <c r="GZ64" s="2"/>
      <c r="HA64" s="2">
        <v>0</v>
      </c>
      <c r="HB64" s="2">
        <v>0</v>
      </c>
      <c r="HC64" s="2">
        <f>GV64*GW64</f>
        <v>0</v>
      </c>
      <c r="HD64" s="2"/>
      <c r="HE64" s="2" t="s">
        <v>3</v>
      </c>
      <c r="HF64" s="2" t="s">
        <v>3</v>
      </c>
      <c r="HG64" s="2"/>
      <c r="HH64" s="2"/>
      <c r="HI64" s="2"/>
      <c r="HJ64" s="2"/>
      <c r="HK64" s="2"/>
      <c r="HL64" s="2"/>
      <c r="HM64" s="2" t="s">
        <v>3</v>
      </c>
      <c r="HN64" s="2" t="s">
        <v>151</v>
      </c>
      <c r="HO64" s="2" t="s">
        <v>152</v>
      </c>
      <c r="HP64" s="2" t="s">
        <v>149</v>
      </c>
      <c r="HQ64" s="2" t="s">
        <v>149</v>
      </c>
      <c r="HR64" s="2"/>
      <c r="HS64" s="2">
        <v>0</v>
      </c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>
        <v>0</v>
      </c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x14ac:dyDescent="0.2">
      <c r="A65" s="2">
        <v>18</v>
      </c>
      <c r="B65" s="2">
        <v>1</v>
      </c>
      <c r="C65" s="2">
        <v>85</v>
      </c>
      <c r="D65" s="2"/>
      <c r="E65" s="2" t="s">
        <v>157</v>
      </c>
      <c r="F65" s="2" t="s">
        <v>55</v>
      </c>
      <c r="G65" s="2" t="s">
        <v>56</v>
      </c>
      <c r="H65" s="2" t="s">
        <v>57</v>
      </c>
      <c r="I65" s="2">
        <f>J65</f>
        <v>2</v>
      </c>
      <c r="J65" s="2">
        <v>2</v>
      </c>
      <c r="K65" s="2">
        <v>2</v>
      </c>
      <c r="L65" s="2"/>
      <c r="M65" s="2"/>
      <c r="N65" s="2"/>
      <c r="O65" s="2">
        <f>ROUND(P65,2)</f>
        <v>86.65</v>
      </c>
      <c r="P65" s="2">
        <f>ROUND(ROUND(ROUND(SUMIF(SmtRes!AQ74:'SmtRes'!AQ85,"=1",SmtRes!CU74:'SmtRes'!CU85),2),2)*I65/100,2)</f>
        <v>86.65</v>
      </c>
      <c r="Q65" s="2">
        <f t="shared" si="80"/>
        <v>0</v>
      </c>
      <c r="R65" s="2">
        <f t="shared" si="81"/>
        <v>0</v>
      </c>
      <c r="S65" s="2">
        <f t="shared" si="82"/>
        <v>0</v>
      </c>
      <c r="T65" s="2">
        <f t="shared" si="66"/>
        <v>0</v>
      </c>
      <c r="U65" s="2">
        <f t="shared" si="83"/>
        <v>0</v>
      </c>
      <c r="V65" s="2">
        <f t="shared" si="84"/>
        <v>0</v>
      </c>
      <c r="W65" s="2">
        <f t="shared" si="67"/>
        <v>0</v>
      </c>
      <c r="X65" s="2">
        <f t="shared" si="68"/>
        <v>0</v>
      </c>
      <c r="Y65" s="2">
        <f t="shared" si="69"/>
        <v>0</v>
      </c>
      <c r="Z65" s="2"/>
      <c r="AA65" s="2">
        <v>85997836</v>
      </c>
      <c r="AB65" s="2">
        <f t="shared" si="70"/>
        <v>0</v>
      </c>
      <c r="AC65" s="2">
        <f t="shared" si="85"/>
        <v>0</v>
      </c>
      <c r="AD65" s="2">
        <f t="shared" si="86"/>
        <v>0</v>
      </c>
      <c r="AE65" s="2">
        <f t="shared" si="87"/>
        <v>0</v>
      </c>
      <c r="AF65" s="2">
        <f t="shared" si="87"/>
        <v>0</v>
      </c>
      <c r="AG65" s="2">
        <f t="shared" si="71"/>
        <v>0</v>
      </c>
      <c r="AH65" s="2">
        <f t="shared" si="88"/>
        <v>0</v>
      </c>
      <c r="AI65" s="2">
        <f t="shared" si="88"/>
        <v>0</v>
      </c>
      <c r="AJ65" s="2">
        <f t="shared" si="72"/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90</v>
      </c>
      <c r="AU65" s="2">
        <v>46</v>
      </c>
      <c r="AV65" s="2">
        <v>1</v>
      </c>
      <c r="AW65" s="2">
        <v>1</v>
      </c>
      <c r="AX65" s="2"/>
      <c r="AY65" s="2"/>
      <c r="AZ65" s="2">
        <v>1</v>
      </c>
      <c r="BA65" s="2">
        <v>1</v>
      </c>
      <c r="BB65" s="2">
        <v>1</v>
      </c>
      <c r="BC65" s="2">
        <v>1</v>
      </c>
      <c r="BD65" s="2" t="s">
        <v>3</v>
      </c>
      <c r="BE65" s="2" t="s">
        <v>3</v>
      </c>
      <c r="BF65" s="2" t="s">
        <v>3</v>
      </c>
      <c r="BG65" s="2" t="s">
        <v>3</v>
      </c>
      <c r="BH65" s="2">
        <v>3</v>
      </c>
      <c r="BI65" s="2">
        <v>2</v>
      </c>
      <c r="BJ65" s="2" t="s">
        <v>3</v>
      </c>
      <c r="BK65" s="2"/>
      <c r="BL65" s="2"/>
      <c r="BM65" s="2">
        <v>110006</v>
      </c>
      <c r="BN65" s="2">
        <v>0</v>
      </c>
      <c r="BO65" s="2" t="s">
        <v>3</v>
      </c>
      <c r="BP65" s="2">
        <v>0</v>
      </c>
      <c r="BQ65" s="2">
        <v>3</v>
      </c>
      <c r="BR65" s="2">
        <v>0</v>
      </c>
      <c r="BS65" s="2">
        <v>1</v>
      </c>
      <c r="BT65" s="2">
        <v>1</v>
      </c>
      <c r="BU65" s="2">
        <v>1</v>
      </c>
      <c r="BV65" s="2">
        <v>1</v>
      </c>
      <c r="BW65" s="2">
        <v>1</v>
      </c>
      <c r="BX65" s="2">
        <v>1</v>
      </c>
      <c r="BY65" s="2" t="s">
        <v>3</v>
      </c>
      <c r="BZ65" s="2">
        <v>90</v>
      </c>
      <c r="CA65" s="2">
        <v>46</v>
      </c>
      <c r="CB65" s="2" t="s">
        <v>3</v>
      </c>
      <c r="CC65" s="2"/>
      <c r="CD65" s="2"/>
      <c r="CE65" s="2">
        <v>0</v>
      </c>
      <c r="CF65" s="2">
        <v>0</v>
      </c>
      <c r="CG65" s="2">
        <v>0</v>
      </c>
      <c r="CH65" s="2"/>
      <c r="CI65" s="2"/>
      <c r="CJ65" s="2"/>
      <c r="CK65" s="2"/>
      <c r="CL65" s="2"/>
      <c r="CM65" s="2">
        <v>0</v>
      </c>
      <c r="CN65" s="2" t="s">
        <v>3</v>
      </c>
      <c r="CO65" s="2">
        <v>0</v>
      </c>
      <c r="CP65" s="2">
        <f>0</f>
        <v>0</v>
      </c>
      <c r="CQ65" s="2">
        <f>0</f>
        <v>0</v>
      </c>
      <c r="CR65" s="2">
        <f>0</f>
        <v>0</v>
      </c>
      <c r="CS65" s="2">
        <f>0</f>
        <v>0</v>
      </c>
      <c r="CT65" s="2">
        <f>0</f>
        <v>0</v>
      </c>
      <c r="CU65" s="2">
        <f>0</f>
        <v>0</v>
      </c>
      <c r="CV65" s="2">
        <f>0</f>
        <v>0</v>
      </c>
      <c r="CW65" s="2">
        <f>0</f>
        <v>0</v>
      </c>
      <c r="CX65" s="2">
        <f>0</f>
        <v>0</v>
      </c>
      <c r="CY65" s="2">
        <f>0</f>
        <v>0</v>
      </c>
      <c r="CZ65" s="2">
        <f>0</f>
        <v>0</v>
      </c>
      <c r="DA65" s="2"/>
      <c r="DB65" s="2"/>
      <c r="DC65" s="2" t="s">
        <v>3</v>
      </c>
      <c r="DD65" s="2" t="s">
        <v>3</v>
      </c>
      <c r="DE65" s="2" t="s">
        <v>3</v>
      </c>
      <c r="DF65" s="2" t="s">
        <v>3</v>
      </c>
      <c r="DG65" s="2" t="s">
        <v>3</v>
      </c>
      <c r="DH65" s="2" t="s">
        <v>3</v>
      </c>
      <c r="DI65" s="2" t="s">
        <v>3</v>
      </c>
      <c r="DJ65" s="2" t="s">
        <v>3</v>
      </c>
      <c r="DK65" s="2" t="s">
        <v>3</v>
      </c>
      <c r="DL65" s="2" t="s">
        <v>3</v>
      </c>
      <c r="DM65" s="2" t="s">
        <v>3</v>
      </c>
      <c r="DN65" s="2">
        <v>0</v>
      </c>
      <c r="DO65" s="2">
        <v>0</v>
      </c>
      <c r="DP65" s="2">
        <v>1</v>
      </c>
      <c r="DQ65" s="2">
        <v>1</v>
      </c>
      <c r="DR65" s="2"/>
      <c r="DS65" s="2"/>
      <c r="DT65" s="2"/>
      <c r="DU65" s="2">
        <v>1013</v>
      </c>
      <c r="DV65" s="2" t="s">
        <v>57</v>
      </c>
      <c r="DW65" s="2" t="s">
        <v>57</v>
      </c>
      <c r="DX65" s="2">
        <v>1</v>
      </c>
      <c r="DY65" s="2"/>
      <c r="DZ65" s="2" t="s">
        <v>3</v>
      </c>
      <c r="EA65" s="2" t="s">
        <v>3</v>
      </c>
      <c r="EB65" s="2" t="s">
        <v>3</v>
      </c>
      <c r="EC65" s="2" t="s">
        <v>3</v>
      </c>
      <c r="ED65" s="2"/>
      <c r="EE65" s="2">
        <v>84053819</v>
      </c>
      <c r="EF65" s="2">
        <v>3</v>
      </c>
      <c r="EG65" s="2" t="s">
        <v>48</v>
      </c>
      <c r="EH65" s="2">
        <v>0</v>
      </c>
      <c r="EI65" s="2" t="s">
        <v>3</v>
      </c>
      <c r="EJ65" s="2">
        <v>2</v>
      </c>
      <c r="EK65" s="2">
        <v>110006</v>
      </c>
      <c r="EL65" s="2" t="s">
        <v>149</v>
      </c>
      <c r="EM65" s="2" t="s">
        <v>150</v>
      </c>
      <c r="EN65" s="2"/>
      <c r="EO65" s="2" t="s">
        <v>3</v>
      </c>
      <c r="EP65" s="2"/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>
        <v>0</v>
      </c>
      <c r="FR65" s="2">
        <v>0</v>
      </c>
      <c r="FS65" s="2">
        <v>0</v>
      </c>
      <c r="FT65" s="2"/>
      <c r="FU65" s="2"/>
      <c r="FV65" s="2"/>
      <c r="FW65" s="2"/>
      <c r="FX65" s="2">
        <v>90</v>
      </c>
      <c r="FY65" s="2">
        <v>46</v>
      </c>
      <c r="FZ65" s="2"/>
      <c r="GA65" s="2" t="s">
        <v>3</v>
      </c>
      <c r="GB65" s="2"/>
      <c r="GC65" s="2"/>
      <c r="GD65" s="2">
        <v>1</v>
      </c>
      <c r="GE65" s="2"/>
      <c r="GF65" s="2">
        <v>274903907</v>
      </c>
      <c r="GG65" s="2">
        <v>2</v>
      </c>
      <c r="GH65" s="2">
        <v>1</v>
      </c>
      <c r="GI65" s="2">
        <v>-2</v>
      </c>
      <c r="GJ65" s="2">
        <v>0</v>
      </c>
      <c r="GK65" s="2">
        <v>0</v>
      </c>
      <c r="GL65" s="2">
        <f t="shared" si="73"/>
        <v>0</v>
      </c>
      <c r="GM65" s="2">
        <f t="shared" si="74"/>
        <v>86.65</v>
      </c>
      <c r="GN65" s="2">
        <f t="shared" si="75"/>
        <v>0</v>
      </c>
      <c r="GO65" s="2">
        <f t="shared" si="76"/>
        <v>86.65</v>
      </c>
      <c r="GP65" s="2">
        <f t="shared" si="77"/>
        <v>0</v>
      </c>
      <c r="GQ65" s="2"/>
      <c r="GR65" s="2">
        <v>0</v>
      </c>
      <c r="GS65" s="2">
        <v>3</v>
      </c>
      <c r="GT65" s="2">
        <v>0</v>
      </c>
      <c r="GU65" s="2" t="s">
        <v>3</v>
      </c>
      <c r="GV65" s="2">
        <f t="shared" si="78"/>
        <v>0</v>
      </c>
      <c r="GW65" s="2">
        <v>1</v>
      </c>
      <c r="GX65" s="2">
        <f t="shared" si="79"/>
        <v>0</v>
      </c>
      <c r="GY65" s="2"/>
      <c r="GZ65" s="2"/>
      <c r="HA65" s="2">
        <v>0</v>
      </c>
      <c r="HB65" s="2">
        <v>0</v>
      </c>
      <c r="HC65" s="2">
        <f>0</f>
        <v>0</v>
      </c>
      <c r="HD65" s="2"/>
      <c r="HE65" s="2" t="s">
        <v>3</v>
      </c>
      <c r="HF65" s="2" t="s">
        <v>3</v>
      </c>
      <c r="HG65" s="2"/>
      <c r="HH65" s="2"/>
      <c r="HI65" s="2"/>
      <c r="HJ65" s="2"/>
      <c r="HK65" s="2"/>
      <c r="HL65" s="2"/>
      <c r="HM65" s="2" t="s">
        <v>3</v>
      </c>
      <c r="HN65" s="2" t="s">
        <v>151</v>
      </c>
      <c r="HO65" s="2" t="s">
        <v>152</v>
      </c>
      <c r="HP65" s="2" t="s">
        <v>149</v>
      </c>
      <c r="HQ65" s="2" t="s">
        <v>149</v>
      </c>
      <c r="HR65" s="2"/>
      <c r="HS65" s="2">
        <v>0</v>
      </c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>
        <v>0</v>
      </c>
      <c r="IL65" s="2"/>
      <c r="IM65" s="2"/>
      <c r="IN65" s="2"/>
      <c r="IO65" s="2"/>
      <c r="IP65" s="2"/>
      <c r="IQ65" s="2"/>
      <c r="IR65" s="2"/>
      <c r="IS65" s="2"/>
      <c r="IT65" s="2"/>
      <c r="IU65" s="2"/>
    </row>
    <row r="66" spans="1:255" x14ac:dyDescent="0.2">
      <c r="A66" s="2">
        <v>18</v>
      </c>
      <c r="B66" s="2">
        <v>1</v>
      </c>
      <c r="C66" s="2">
        <v>76</v>
      </c>
      <c r="D66" s="2"/>
      <c r="E66" s="2" t="s">
        <v>158</v>
      </c>
      <c r="F66" s="2" t="s">
        <v>159</v>
      </c>
      <c r="G66" s="2" t="s">
        <v>160</v>
      </c>
      <c r="H66" s="2" t="s">
        <v>29</v>
      </c>
      <c r="I66" s="2">
        <f>I63*J66</f>
        <v>-1.02</v>
      </c>
      <c r="J66" s="2">
        <v>-0.34</v>
      </c>
      <c r="K66" s="2">
        <v>-0.34</v>
      </c>
      <c r="L66" s="2"/>
      <c r="M66" s="2"/>
      <c r="N66" s="2"/>
      <c r="O66" s="2">
        <f t="shared" ref="O66:O71" si="89">ROUND(CP66,2)</f>
        <v>-2146.15</v>
      </c>
      <c r="P66" s="2">
        <f>ROUND(CQ66*I66,2)</f>
        <v>0</v>
      </c>
      <c r="Q66" s="2">
        <f t="shared" si="80"/>
        <v>-1299.74</v>
      </c>
      <c r="R66" s="2">
        <f t="shared" si="81"/>
        <v>-846.41</v>
      </c>
      <c r="S66" s="2">
        <f t="shared" si="82"/>
        <v>0</v>
      </c>
      <c r="T66" s="2">
        <f t="shared" si="66"/>
        <v>0</v>
      </c>
      <c r="U66" s="2">
        <f t="shared" si="83"/>
        <v>0</v>
      </c>
      <c r="V66" s="2">
        <f t="shared" si="84"/>
        <v>0</v>
      </c>
      <c r="W66" s="2">
        <f t="shared" si="67"/>
        <v>0</v>
      </c>
      <c r="X66" s="2">
        <f t="shared" si="68"/>
        <v>-761.77</v>
      </c>
      <c r="Y66" s="2">
        <f t="shared" si="69"/>
        <v>-389.35</v>
      </c>
      <c r="Z66" s="2"/>
      <c r="AA66" s="2">
        <v>85997836</v>
      </c>
      <c r="AB66" s="2">
        <f t="shared" si="70"/>
        <v>995.51</v>
      </c>
      <c r="AC66" s="2">
        <f t="shared" si="85"/>
        <v>0</v>
      </c>
      <c r="AD66" s="2">
        <f t="shared" si="86"/>
        <v>995.51</v>
      </c>
      <c r="AE66" s="2">
        <f t="shared" si="87"/>
        <v>829.81</v>
      </c>
      <c r="AF66" s="2">
        <f t="shared" si="87"/>
        <v>0</v>
      </c>
      <c r="AG66" s="2">
        <f t="shared" si="71"/>
        <v>0</v>
      </c>
      <c r="AH66" s="2">
        <f t="shared" si="88"/>
        <v>0</v>
      </c>
      <c r="AI66" s="2">
        <f t="shared" si="88"/>
        <v>0</v>
      </c>
      <c r="AJ66" s="2">
        <f t="shared" si="72"/>
        <v>0</v>
      </c>
      <c r="AK66" s="2">
        <v>995.51</v>
      </c>
      <c r="AL66" s="2">
        <v>0</v>
      </c>
      <c r="AM66" s="2">
        <v>995.51</v>
      </c>
      <c r="AN66" s="2">
        <v>829.81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90</v>
      </c>
      <c r="AU66" s="2">
        <v>46</v>
      </c>
      <c r="AV66" s="2">
        <v>1</v>
      </c>
      <c r="AW66" s="2">
        <v>1</v>
      </c>
      <c r="AX66" s="2"/>
      <c r="AY66" s="2"/>
      <c r="AZ66" s="2">
        <v>1</v>
      </c>
      <c r="BA66" s="2">
        <v>1</v>
      </c>
      <c r="BB66" s="2">
        <v>1.28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2</v>
      </c>
      <c r="BI66" s="2">
        <v>2</v>
      </c>
      <c r="BJ66" s="2" t="s">
        <v>161</v>
      </c>
      <c r="BK66" s="2"/>
      <c r="BL66" s="2"/>
      <c r="BM66" s="2">
        <v>110006</v>
      </c>
      <c r="BN66" s="2">
        <v>0</v>
      </c>
      <c r="BO66" s="2" t="s">
        <v>159</v>
      </c>
      <c r="BP66" s="2">
        <v>1</v>
      </c>
      <c r="BQ66" s="2">
        <v>3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90</v>
      </c>
      <c r="CA66" s="2">
        <v>46</v>
      </c>
      <c r="CB66" s="2" t="s">
        <v>3</v>
      </c>
      <c r="CC66" s="2"/>
      <c r="CD66" s="2"/>
      <c r="CE66" s="2">
        <v>0</v>
      </c>
      <c r="CF66" s="2">
        <v>0</v>
      </c>
      <c r="CG66" s="2">
        <v>0</v>
      </c>
      <c r="CH66" s="2"/>
      <c r="CI66" s="2"/>
      <c r="CJ66" s="2"/>
      <c r="CK66" s="2"/>
      <c r="CL66" s="2"/>
      <c r="CM66" s="2">
        <v>0</v>
      </c>
      <c r="CN66" s="2" t="s">
        <v>3</v>
      </c>
      <c r="CO66" s="2">
        <v>0</v>
      </c>
      <c r="CP66" s="2">
        <f t="shared" ref="CP66:CP71" si="90">(P66+Q66+S66+R66)</f>
        <v>-2146.15</v>
      </c>
      <c r="CQ66" s="2">
        <f>ROUND(AL66*BC66,2)</f>
        <v>0</v>
      </c>
      <c r="CR66" s="2">
        <f>ROUND(AM66*BB66,2)</f>
        <v>1274.25</v>
      </c>
      <c r="CS66" s="2">
        <f>ROUND(AN66*BS66,2)</f>
        <v>829.81</v>
      </c>
      <c r="CT66" s="2">
        <f>ROUND(AO66*BA66,2)</f>
        <v>0</v>
      </c>
      <c r="CU66" s="2">
        <f t="shared" ref="CU66:CX69" si="91">AG66</f>
        <v>0</v>
      </c>
      <c r="CV66" s="2">
        <f t="shared" si="91"/>
        <v>0</v>
      </c>
      <c r="CW66" s="2">
        <f t="shared" si="91"/>
        <v>0</v>
      </c>
      <c r="CX66" s="2">
        <f t="shared" si="91"/>
        <v>0</v>
      </c>
      <c r="CY66" s="2">
        <f t="shared" ref="CY66:CY71" si="92">(((S66+R66)*AT66)/100)</f>
        <v>-761.76899999999989</v>
      </c>
      <c r="CZ66" s="2">
        <f t="shared" ref="CZ66:CZ71" si="93">(((S66+R66)*AU66)/100)</f>
        <v>-389.34860000000003</v>
      </c>
      <c r="DA66" s="2"/>
      <c r="DB66" s="2"/>
      <c r="DC66" s="2" t="s">
        <v>3</v>
      </c>
      <c r="DD66" s="2" t="s">
        <v>3</v>
      </c>
      <c r="DE66" s="2" t="s">
        <v>3</v>
      </c>
      <c r="DF66" s="2" t="s">
        <v>3</v>
      </c>
      <c r="DG66" s="2" t="s">
        <v>3</v>
      </c>
      <c r="DH66" s="2" t="s">
        <v>3</v>
      </c>
      <c r="DI66" s="2" t="s">
        <v>3</v>
      </c>
      <c r="DJ66" s="2" t="s">
        <v>3</v>
      </c>
      <c r="DK66" s="2" t="s">
        <v>3</v>
      </c>
      <c r="DL66" s="2" t="s">
        <v>3</v>
      </c>
      <c r="DM66" s="2" t="s">
        <v>3</v>
      </c>
      <c r="DN66" s="2">
        <v>0</v>
      </c>
      <c r="DO66" s="2">
        <v>0</v>
      </c>
      <c r="DP66" s="2">
        <v>1</v>
      </c>
      <c r="DQ66" s="2">
        <v>1</v>
      </c>
      <c r="DR66" s="2"/>
      <c r="DS66" s="2"/>
      <c r="DT66" s="2"/>
      <c r="DU66" s="2">
        <v>1011</v>
      </c>
      <c r="DV66" s="2" t="s">
        <v>29</v>
      </c>
      <c r="DW66" s="2" t="s">
        <v>29</v>
      </c>
      <c r="DX66" s="2">
        <v>1</v>
      </c>
      <c r="DY66" s="2"/>
      <c r="DZ66" s="2" t="s">
        <v>3</v>
      </c>
      <c r="EA66" s="2" t="s">
        <v>3</v>
      </c>
      <c r="EB66" s="2" t="s">
        <v>3</v>
      </c>
      <c r="EC66" s="2" t="s">
        <v>3</v>
      </c>
      <c r="ED66" s="2"/>
      <c r="EE66" s="2">
        <v>84053819</v>
      </c>
      <c r="EF66" s="2">
        <v>3</v>
      </c>
      <c r="EG66" s="2" t="s">
        <v>48</v>
      </c>
      <c r="EH66" s="2">
        <v>0</v>
      </c>
      <c r="EI66" s="2" t="s">
        <v>3</v>
      </c>
      <c r="EJ66" s="2">
        <v>2</v>
      </c>
      <c r="EK66" s="2">
        <v>110006</v>
      </c>
      <c r="EL66" s="2" t="s">
        <v>149</v>
      </c>
      <c r="EM66" s="2" t="s">
        <v>150</v>
      </c>
      <c r="EN66" s="2"/>
      <c r="EO66" s="2" t="s">
        <v>3</v>
      </c>
      <c r="EP66" s="2"/>
      <c r="EQ66" s="2">
        <v>0</v>
      </c>
      <c r="ER66" s="2">
        <v>995.51</v>
      </c>
      <c r="ES66" s="2">
        <v>0</v>
      </c>
      <c r="ET66" s="2">
        <v>995.51</v>
      </c>
      <c r="EU66" s="2">
        <v>829.81</v>
      </c>
      <c r="EV66" s="2">
        <v>0</v>
      </c>
      <c r="EW66" s="2">
        <v>0</v>
      </c>
      <c r="EX66" s="2">
        <v>0</v>
      </c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>
        <v>0</v>
      </c>
      <c r="FR66" s="2">
        <v>0</v>
      </c>
      <c r="FS66" s="2">
        <v>1</v>
      </c>
      <c r="FT66" s="2"/>
      <c r="FU66" s="2"/>
      <c r="FV66" s="2"/>
      <c r="FW66" s="2"/>
      <c r="FX66" s="2">
        <v>90</v>
      </c>
      <c r="FY66" s="2">
        <v>46</v>
      </c>
      <c r="FZ66" s="2"/>
      <c r="GA66" s="2" t="s">
        <v>3</v>
      </c>
      <c r="GB66" s="2"/>
      <c r="GC66" s="2"/>
      <c r="GD66" s="2">
        <v>1</v>
      </c>
      <c r="GE66" s="2"/>
      <c r="GF66" s="2">
        <v>302479695</v>
      </c>
      <c r="GG66" s="2">
        <v>2</v>
      </c>
      <c r="GH66" s="2">
        <v>1</v>
      </c>
      <c r="GI66" s="2">
        <v>2</v>
      </c>
      <c r="GJ66" s="2">
        <v>0</v>
      </c>
      <c r="GK66" s="2">
        <v>0</v>
      </c>
      <c r="GL66" s="2">
        <f t="shared" si="73"/>
        <v>0</v>
      </c>
      <c r="GM66" s="2">
        <f t="shared" si="74"/>
        <v>-3297.27</v>
      </c>
      <c r="GN66" s="2">
        <f t="shared" si="75"/>
        <v>0</v>
      </c>
      <c r="GO66" s="2">
        <f t="shared" si="76"/>
        <v>-3297.27</v>
      </c>
      <c r="GP66" s="2">
        <f t="shared" si="77"/>
        <v>0</v>
      </c>
      <c r="GQ66" s="2"/>
      <c r="GR66" s="2">
        <v>0</v>
      </c>
      <c r="GS66" s="2">
        <v>7</v>
      </c>
      <c r="GT66" s="2">
        <v>0</v>
      </c>
      <c r="GU66" s="2" t="s">
        <v>3</v>
      </c>
      <c r="GV66" s="2">
        <f t="shared" si="78"/>
        <v>0</v>
      </c>
      <c r="GW66" s="2">
        <v>1</v>
      </c>
      <c r="GX66" s="2">
        <f t="shared" si="79"/>
        <v>0</v>
      </c>
      <c r="GY66" s="2"/>
      <c r="GZ66" s="2"/>
      <c r="HA66" s="2">
        <v>0</v>
      </c>
      <c r="HB66" s="2">
        <v>0</v>
      </c>
      <c r="HC66" s="2">
        <f t="shared" ref="HC66:HC71" si="94">GV66*GW66</f>
        <v>0</v>
      </c>
      <c r="HD66" s="2"/>
      <c r="HE66" s="2" t="s">
        <v>3</v>
      </c>
      <c r="HF66" s="2" t="s">
        <v>3</v>
      </c>
      <c r="HG66" s="2"/>
      <c r="HH66" s="2"/>
      <c r="HI66" s="2"/>
      <c r="HJ66" s="2"/>
      <c r="HK66" s="2"/>
      <c r="HL66" s="2"/>
      <c r="HM66" s="2" t="s">
        <v>3</v>
      </c>
      <c r="HN66" s="2" t="s">
        <v>151</v>
      </c>
      <c r="HO66" s="2" t="s">
        <v>152</v>
      </c>
      <c r="HP66" s="2" t="s">
        <v>149</v>
      </c>
      <c r="HQ66" s="2" t="s">
        <v>149</v>
      </c>
      <c r="HR66" s="2"/>
      <c r="HS66" s="2">
        <v>0</v>
      </c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>
        <v>0</v>
      </c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x14ac:dyDescent="0.2">
      <c r="A67" s="2">
        <v>18</v>
      </c>
      <c r="B67" s="2">
        <v>1</v>
      </c>
      <c r="C67" s="2">
        <v>77</v>
      </c>
      <c r="D67" s="2"/>
      <c r="E67" s="2" t="s">
        <v>162</v>
      </c>
      <c r="F67" s="2" t="s">
        <v>163</v>
      </c>
      <c r="G67" s="2" t="s">
        <v>164</v>
      </c>
      <c r="H67" s="2" t="s">
        <v>165</v>
      </c>
      <c r="I67" s="2">
        <f>I63*J67</f>
        <v>-4.4999999999999997E-3</v>
      </c>
      <c r="J67" s="2">
        <v>-1.4999999999999998E-3</v>
      </c>
      <c r="K67" s="2">
        <v>-1.5E-3</v>
      </c>
      <c r="L67" s="2"/>
      <c r="M67" s="2"/>
      <c r="N67" s="2"/>
      <c r="O67" s="2">
        <f t="shared" si="89"/>
        <v>-675.98</v>
      </c>
      <c r="P67" s="2">
        <f>ROUND(CQ67*I67,2)</f>
        <v>-675.98</v>
      </c>
      <c r="Q67" s="2">
        <f t="shared" si="80"/>
        <v>0</v>
      </c>
      <c r="R67" s="2">
        <f t="shared" si="81"/>
        <v>0</v>
      </c>
      <c r="S67" s="2">
        <f t="shared" si="82"/>
        <v>0</v>
      </c>
      <c r="T67" s="2">
        <f t="shared" si="66"/>
        <v>0</v>
      </c>
      <c r="U67" s="2">
        <f t="shared" si="83"/>
        <v>0</v>
      </c>
      <c r="V67" s="2">
        <f t="shared" si="84"/>
        <v>0</v>
      </c>
      <c r="W67" s="2">
        <f t="shared" si="67"/>
        <v>0</v>
      </c>
      <c r="X67" s="2">
        <f t="shared" si="68"/>
        <v>0</v>
      </c>
      <c r="Y67" s="2">
        <f t="shared" si="69"/>
        <v>0</v>
      </c>
      <c r="Z67" s="2"/>
      <c r="AA67" s="2">
        <v>85997836</v>
      </c>
      <c r="AB67" s="2">
        <f t="shared" si="70"/>
        <v>116448.72</v>
      </c>
      <c r="AC67" s="2">
        <f t="shared" si="85"/>
        <v>116448.72</v>
      </c>
      <c r="AD67" s="2">
        <f t="shared" si="86"/>
        <v>0</v>
      </c>
      <c r="AE67" s="2">
        <f t="shared" si="87"/>
        <v>0</v>
      </c>
      <c r="AF67" s="2">
        <f t="shared" si="87"/>
        <v>0</v>
      </c>
      <c r="AG67" s="2">
        <f t="shared" si="71"/>
        <v>0</v>
      </c>
      <c r="AH67" s="2">
        <f t="shared" si="88"/>
        <v>0</v>
      </c>
      <c r="AI67" s="2">
        <f t="shared" si="88"/>
        <v>0</v>
      </c>
      <c r="AJ67" s="2">
        <f t="shared" si="72"/>
        <v>0</v>
      </c>
      <c r="AK67" s="2">
        <v>116448.72</v>
      </c>
      <c r="AL67" s="2">
        <v>116448.72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90</v>
      </c>
      <c r="AU67" s="2">
        <v>46</v>
      </c>
      <c r="AV67" s="2">
        <v>1</v>
      </c>
      <c r="AW67" s="2">
        <v>1</v>
      </c>
      <c r="AX67" s="2"/>
      <c r="AY67" s="2"/>
      <c r="AZ67" s="2">
        <v>1</v>
      </c>
      <c r="BA67" s="2">
        <v>1</v>
      </c>
      <c r="BB67" s="2">
        <v>1</v>
      </c>
      <c r="BC67" s="2">
        <v>1.29</v>
      </c>
      <c r="BD67" s="2" t="s">
        <v>3</v>
      </c>
      <c r="BE67" s="2" t="s">
        <v>3</v>
      </c>
      <c r="BF67" s="2" t="s">
        <v>3</v>
      </c>
      <c r="BG67" s="2" t="s">
        <v>3</v>
      </c>
      <c r="BH67" s="2">
        <v>3</v>
      </c>
      <c r="BI67" s="2">
        <v>2</v>
      </c>
      <c r="BJ67" s="2" t="s">
        <v>166</v>
      </c>
      <c r="BK67" s="2"/>
      <c r="BL67" s="2"/>
      <c r="BM67" s="2">
        <v>110006</v>
      </c>
      <c r="BN67" s="2">
        <v>0</v>
      </c>
      <c r="BO67" s="2" t="s">
        <v>163</v>
      </c>
      <c r="BP67" s="2">
        <v>1</v>
      </c>
      <c r="BQ67" s="2">
        <v>3</v>
      </c>
      <c r="BR67" s="2">
        <v>0</v>
      </c>
      <c r="BS67" s="2">
        <v>1</v>
      </c>
      <c r="BT67" s="2">
        <v>1</v>
      </c>
      <c r="BU67" s="2">
        <v>1</v>
      </c>
      <c r="BV67" s="2">
        <v>1</v>
      </c>
      <c r="BW67" s="2">
        <v>1</v>
      </c>
      <c r="BX67" s="2">
        <v>1</v>
      </c>
      <c r="BY67" s="2" t="s">
        <v>3</v>
      </c>
      <c r="BZ67" s="2">
        <v>90</v>
      </c>
      <c r="CA67" s="2">
        <v>46</v>
      </c>
      <c r="CB67" s="2" t="s">
        <v>3</v>
      </c>
      <c r="CC67" s="2"/>
      <c r="CD67" s="2"/>
      <c r="CE67" s="2">
        <v>0</v>
      </c>
      <c r="CF67" s="2">
        <v>0</v>
      </c>
      <c r="CG67" s="2">
        <v>0</v>
      </c>
      <c r="CH67" s="2"/>
      <c r="CI67" s="2"/>
      <c r="CJ67" s="2"/>
      <c r="CK67" s="2"/>
      <c r="CL67" s="2"/>
      <c r="CM67" s="2">
        <v>0</v>
      </c>
      <c r="CN67" s="2" t="s">
        <v>3</v>
      </c>
      <c r="CO67" s="2">
        <v>0</v>
      </c>
      <c r="CP67" s="2">
        <f t="shared" si="90"/>
        <v>-675.98</v>
      </c>
      <c r="CQ67" s="2">
        <f>ROUND(AL67*BC67,2)</f>
        <v>150218.85</v>
      </c>
      <c r="CR67" s="2">
        <f>ROUND(AM67*BB67,2)</f>
        <v>0</v>
      </c>
      <c r="CS67" s="2">
        <f>ROUND(AN67*BS67,2)</f>
        <v>0</v>
      </c>
      <c r="CT67" s="2">
        <f>ROUND(AO67*BA67,2)</f>
        <v>0</v>
      </c>
      <c r="CU67" s="2">
        <f t="shared" si="91"/>
        <v>0</v>
      </c>
      <c r="CV67" s="2">
        <f t="shared" si="91"/>
        <v>0</v>
      </c>
      <c r="CW67" s="2">
        <f t="shared" si="91"/>
        <v>0</v>
      </c>
      <c r="CX67" s="2">
        <f t="shared" si="91"/>
        <v>0</v>
      </c>
      <c r="CY67" s="2">
        <f t="shared" si="92"/>
        <v>0</v>
      </c>
      <c r="CZ67" s="2">
        <f t="shared" si="93"/>
        <v>0</v>
      </c>
      <c r="DA67" s="2"/>
      <c r="DB67" s="2"/>
      <c r="DC67" s="2" t="s">
        <v>3</v>
      </c>
      <c r="DD67" s="2" t="s">
        <v>3</v>
      </c>
      <c r="DE67" s="2" t="s">
        <v>3</v>
      </c>
      <c r="DF67" s="2" t="s">
        <v>3</v>
      </c>
      <c r="DG67" s="2" t="s">
        <v>3</v>
      </c>
      <c r="DH67" s="2" t="s">
        <v>3</v>
      </c>
      <c r="DI67" s="2" t="s">
        <v>3</v>
      </c>
      <c r="DJ67" s="2" t="s">
        <v>3</v>
      </c>
      <c r="DK67" s="2" t="s">
        <v>3</v>
      </c>
      <c r="DL67" s="2" t="s">
        <v>3</v>
      </c>
      <c r="DM67" s="2" t="s">
        <v>3</v>
      </c>
      <c r="DN67" s="2">
        <v>0</v>
      </c>
      <c r="DO67" s="2">
        <v>0</v>
      </c>
      <c r="DP67" s="2">
        <v>1</v>
      </c>
      <c r="DQ67" s="2">
        <v>1</v>
      </c>
      <c r="DR67" s="2"/>
      <c r="DS67" s="2"/>
      <c r="DT67" s="2"/>
      <c r="DU67" s="2">
        <v>1009</v>
      </c>
      <c r="DV67" s="2" t="s">
        <v>165</v>
      </c>
      <c r="DW67" s="2" t="s">
        <v>165</v>
      </c>
      <c r="DX67" s="2">
        <v>1000</v>
      </c>
      <c r="DY67" s="2"/>
      <c r="DZ67" s="2" t="s">
        <v>3</v>
      </c>
      <c r="EA67" s="2" t="s">
        <v>3</v>
      </c>
      <c r="EB67" s="2" t="s">
        <v>3</v>
      </c>
      <c r="EC67" s="2" t="s">
        <v>3</v>
      </c>
      <c r="ED67" s="2"/>
      <c r="EE67" s="2">
        <v>84053819</v>
      </c>
      <c r="EF67" s="2">
        <v>3</v>
      </c>
      <c r="EG67" s="2" t="s">
        <v>48</v>
      </c>
      <c r="EH67" s="2">
        <v>0</v>
      </c>
      <c r="EI67" s="2" t="s">
        <v>3</v>
      </c>
      <c r="EJ67" s="2">
        <v>2</v>
      </c>
      <c r="EK67" s="2">
        <v>110006</v>
      </c>
      <c r="EL67" s="2" t="s">
        <v>149</v>
      </c>
      <c r="EM67" s="2" t="s">
        <v>150</v>
      </c>
      <c r="EN67" s="2"/>
      <c r="EO67" s="2" t="s">
        <v>3</v>
      </c>
      <c r="EP67" s="2"/>
      <c r="EQ67" s="2">
        <v>0</v>
      </c>
      <c r="ER67" s="2">
        <v>116448.72</v>
      </c>
      <c r="ES67" s="2">
        <v>116448.72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>
        <v>0</v>
      </c>
      <c r="FR67" s="2">
        <v>0</v>
      </c>
      <c r="FS67" s="2">
        <v>0</v>
      </c>
      <c r="FT67" s="2"/>
      <c r="FU67" s="2"/>
      <c r="FV67" s="2"/>
      <c r="FW67" s="2"/>
      <c r="FX67" s="2">
        <v>90</v>
      </c>
      <c r="FY67" s="2">
        <v>46</v>
      </c>
      <c r="FZ67" s="2"/>
      <c r="GA67" s="2" t="s">
        <v>3</v>
      </c>
      <c r="GB67" s="2"/>
      <c r="GC67" s="2"/>
      <c r="GD67" s="2">
        <v>1</v>
      </c>
      <c r="GE67" s="2"/>
      <c r="GF67" s="2">
        <v>-465588395</v>
      </c>
      <c r="GG67" s="2">
        <v>2</v>
      </c>
      <c r="GH67" s="2">
        <v>1</v>
      </c>
      <c r="GI67" s="2">
        <v>2</v>
      </c>
      <c r="GJ67" s="2">
        <v>0</v>
      </c>
      <c r="GK67" s="2">
        <v>0</v>
      </c>
      <c r="GL67" s="2">
        <f t="shared" si="73"/>
        <v>0</v>
      </c>
      <c r="GM67" s="2">
        <f t="shared" si="74"/>
        <v>-675.98</v>
      </c>
      <c r="GN67" s="2">
        <f t="shared" si="75"/>
        <v>0</v>
      </c>
      <c r="GO67" s="2">
        <f t="shared" si="76"/>
        <v>-675.98</v>
      </c>
      <c r="GP67" s="2">
        <f t="shared" si="77"/>
        <v>0</v>
      </c>
      <c r="GQ67" s="2"/>
      <c r="GR67" s="2">
        <v>0</v>
      </c>
      <c r="GS67" s="2">
        <v>3</v>
      </c>
      <c r="GT67" s="2">
        <v>0</v>
      </c>
      <c r="GU67" s="2" t="s">
        <v>3</v>
      </c>
      <c r="GV67" s="2">
        <f t="shared" si="78"/>
        <v>0</v>
      </c>
      <c r="GW67" s="2">
        <v>1</v>
      </c>
      <c r="GX67" s="2">
        <f t="shared" si="79"/>
        <v>0</v>
      </c>
      <c r="GY67" s="2"/>
      <c r="GZ67" s="2"/>
      <c r="HA67" s="2">
        <v>0</v>
      </c>
      <c r="HB67" s="2">
        <v>0</v>
      </c>
      <c r="HC67" s="2">
        <f t="shared" si="94"/>
        <v>0</v>
      </c>
      <c r="HD67" s="2"/>
      <c r="HE67" s="2" t="s">
        <v>3</v>
      </c>
      <c r="HF67" s="2" t="s">
        <v>3</v>
      </c>
      <c r="HG67" s="2"/>
      <c r="HH67" s="2"/>
      <c r="HI67" s="2"/>
      <c r="HJ67" s="2"/>
      <c r="HK67" s="2"/>
      <c r="HL67" s="2"/>
      <c r="HM67" s="2" t="s">
        <v>3</v>
      </c>
      <c r="HN67" s="2" t="s">
        <v>151</v>
      </c>
      <c r="HO67" s="2" t="s">
        <v>152</v>
      </c>
      <c r="HP67" s="2" t="s">
        <v>149</v>
      </c>
      <c r="HQ67" s="2" t="s">
        <v>149</v>
      </c>
      <c r="HR67" s="2"/>
      <c r="HS67" s="2">
        <v>0</v>
      </c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>
        <v>0</v>
      </c>
      <c r="IL67" s="2"/>
      <c r="IM67" s="2"/>
      <c r="IN67" s="2"/>
      <c r="IO67" s="2"/>
      <c r="IP67" s="2"/>
      <c r="IQ67" s="2"/>
      <c r="IR67" s="2"/>
      <c r="IS67" s="2"/>
      <c r="IT67" s="2"/>
      <c r="IU67" s="2"/>
    </row>
    <row r="68" spans="1:255" x14ac:dyDescent="0.2">
      <c r="A68" s="2">
        <v>18</v>
      </c>
      <c r="B68" s="2">
        <v>1</v>
      </c>
      <c r="C68" s="2">
        <v>78</v>
      </c>
      <c r="D68" s="2"/>
      <c r="E68" s="2" t="s">
        <v>167</v>
      </c>
      <c r="F68" s="2" t="s">
        <v>168</v>
      </c>
      <c r="G68" s="2" t="s">
        <v>169</v>
      </c>
      <c r="H68" s="2" t="s">
        <v>170</v>
      </c>
      <c r="I68" s="2">
        <f>I63*J68</f>
        <v>-0.309</v>
      </c>
      <c r="J68" s="2">
        <v>-0.10299999999999999</v>
      </c>
      <c r="K68" s="2">
        <v>-0.10299999999999999</v>
      </c>
      <c r="L68" s="2"/>
      <c r="M68" s="2"/>
      <c r="N68" s="2"/>
      <c r="O68" s="2">
        <f t="shared" si="89"/>
        <v>-17.899999999999999</v>
      </c>
      <c r="P68" s="2">
        <f>ROUND(CQ68*I68,2)</f>
        <v>-17.899999999999999</v>
      </c>
      <c r="Q68" s="2">
        <f t="shared" si="80"/>
        <v>0</v>
      </c>
      <c r="R68" s="2">
        <f t="shared" si="81"/>
        <v>0</v>
      </c>
      <c r="S68" s="2">
        <f t="shared" si="82"/>
        <v>0</v>
      </c>
      <c r="T68" s="2">
        <f t="shared" si="66"/>
        <v>0</v>
      </c>
      <c r="U68" s="2">
        <f t="shared" si="83"/>
        <v>0</v>
      </c>
      <c r="V68" s="2">
        <f t="shared" si="84"/>
        <v>0</v>
      </c>
      <c r="W68" s="2">
        <f t="shared" si="67"/>
        <v>0</v>
      </c>
      <c r="X68" s="2">
        <f t="shared" si="68"/>
        <v>0</v>
      </c>
      <c r="Y68" s="2">
        <f t="shared" si="69"/>
        <v>0</v>
      </c>
      <c r="Z68" s="2"/>
      <c r="AA68" s="2">
        <v>85997836</v>
      </c>
      <c r="AB68" s="2">
        <f t="shared" si="70"/>
        <v>41.38</v>
      </c>
      <c r="AC68" s="2">
        <f t="shared" si="85"/>
        <v>41.38</v>
      </c>
      <c r="AD68" s="2">
        <f t="shared" si="86"/>
        <v>0</v>
      </c>
      <c r="AE68" s="2">
        <f t="shared" si="87"/>
        <v>0</v>
      </c>
      <c r="AF68" s="2">
        <f t="shared" si="87"/>
        <v>0</v>
      </c>
      <c r="AG68" s="2">
        <f t="shared" si="71"/>
        <v>0</v>
      </c>
      <c r="AH68" s="2">
        <f t="shared" si="88"/>
        <v>0</v>
      </c>
      <c r="AI68" s="2">
        <f t="shared" si="88"/>
        <v>0</v>
      </c>
      <c r="AJ68" s="2">
        <f t="shared" si="72"/>
        <v>0</v>
      </c>
      <c r="AK68" s="2">
        <v>41.38</v>
      </c>
      <c r="AL68" s="2">
        <v>41.38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90</v>
      </c>
      <c r="AU68" s="2">
        <v>46</v>
      </c>
      <c r="AV68" s="2">
        <v>1</v>
      </c>
      <c r="AW68" s="2">
        <v>1</v>
      </c>
      <c r="AX68" s="2"/>
      <c r="AY68" s="2"/>
      <c r="AZ68" s="2">
        <v>1</v>
      </c>
      <c r="BA68" s="2">
        <v>1</v>
      </c>
      <c r="BB68" s="2">
        <v>1</v>
      </c>
      <c r="BC68" s="2">
        <v>1.4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3</v>
      </c>
      <c r="BI68" s="2">
        <v>2</v>
      </c>
      <c r="BJ68" s="2" t="s">
        <v>171</v>
      </c>
      <c r="BK68" s="2"/>
      <c r="BL68" s="2"/>
      <c r="BM68" s="2">
        <v>110006</v>
      </c>
      <c r="BN68" s="2">
        <v>0</v>
      </c>
      <c r="BO68" s="2" t="s">
        <v>168</v>
      </c>
      <c r="BP68" s="2">
        <v>1</v>
      </c>
      <c r="BQ68" s="2">
        <v>3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90</v>
      </c>
      <c r="CA68" s="2">
        <v>46</v>
      </c>
      <c r="CB68" s="2" t="s">
        <v>3</v>
      </c>
      <c r="CC68" s="2"/>
      <c r="CD68" s="2"/>
      <c r="CE68" s="2">
        <v>0</v>
      </c>
      <c r="CF68" s="2">
        <v>0</v>
      </c>
      <c r="CG68" s="2">
        <v>0</v>
      </c>
      <c r="CH68" s="2"/>
      <c r="CI68" s="2"/>
      <c r="CJ68" s="2"/>
      <c r="CK68" s="2"/>
      <c r="CL68" s="2"/>
      <c r="CM68" s="2">
        <v>0</v>
      </c>
      <c r="CN68" s="2" t="s">
        <v>3</v>
      </c>
      <c r="CO68" s="2">
        <v>0</v>
      </c>
      <c r="CP68" s="2">
        <f t="shared" si="90"/>
        <v>-17.899999999999999</v>
      </c>
      <c r="CQ68" s="2">
        <f>ROUND(AL68*BC68,2)</f>
        <v>57.93</v>
      </c>
      <c r="CR68" s="2">
        <f>ROUND(AM68*BB68,2)</f>
        <v>0</v>
      </c>
      <c r="CS68" s="2">
        <f>ROUND(AN68*BS68,2)</f>
        <v>0</v>
      </c>
      <c r="CT68" s="2">
        <f>ROUND(AO68*BA68,2)</f>
        <v>0</v>
      </c>
      <c r="CU68" s="2">
        <f t="shared" si="91"/>
        <v>0</v>
      </c>
      <c r="CV68" s="2">
        <f t="shared" si="91"/>
        <v>0</v>
      </c>
      <c r="CW68" s="2">
        <f t="shared" si="91"/>
        <v>0</v>
      </c>
      <c r="CX68" s="2">
        <f t="shared" si="91"/>
        <v>0</v>
      </c>
      <c r="CY68" s="2">
        <f t="shared" si="92"/>
        <v>0</v>
      </c>
      <c r="CZ68" s="2">
        <f t="shared" si="93"/>
        <v>0</v>
      </c>
      <c r="DA68" s="2"/>
      <c r="DB68" s="2"/>
      <c r="DC68" s="2" t="s">
        <v>3</v>
      </c>
      <c r="DD68" s="2" t="s">
        <v>3</v>
      </c>
      <c r="DE68" s="2" t="s">
        <v>3</v>
      </c>
      <c r="DF68" s="2" t="s">
        <v>3</v>
      </c>
      <c r="DG68" s="2" t="s">
        <v>3</v>
      </c>
      <c r="DH68" s="2" t="s">
        <v>3</v>
      </c>
      <c r="DI68" s="2" t="s">
        <v>3</v>
      </c>
      <c r="DJ68" s="2" t="s">
        <v>3</v>
      </c>
      <c r="DK68" s="2" t="s">
        <v>3</v>
      </c>
      <c r="DL68" s="2" t="s">
        <v>3</v>
      </c>
      <c r="DM68" s="2" t="s">
        <v>3</v>
      </c>
      <c r="DN68" s="2">
        <v>0</v>
      </c>
      <c r="DO68" s="2">
        <v>0</v>
      </c>
      <c r="DP68" s="2">
        <v>1</v>
      </c>
      <c r="DQ68" s="2">
        <v>1</v>
      </c>
      <c r="DR68" s="2"/>
      <c r="DS68" s="2"/>
      <c r="DT68" s="2"/>
      <c r="DU68" s="2">
        <v>1009</v>
      </c>
      <c r="DV68" s="2" t="s">
        <v>170</v>
      </c>
      <c r="DW68" s="2" t="s">
        <v>170</v>
      </c>
      <c r="DX68" s="2">
        <v>1</v>
      </c>
      <c r="DY68" s="2"/>
      <c r="DZ68" s="2" t="s">
        <v>3</v>
      </c>
      <c r="EA68" s="2" t="s">
        <v>3</v>
      </c>
      <c r="EB68" s="2" t="s">
        <v>3</v>
      </c>
      <c r="EC68" s="2" t="s">
        <v>3</v>
      </c>
      <c r="ED68" s="2"/>
      <c r="EE68" s="2">
        <v>84053819</v>
      </c>
      <c r="EF68" s="2">
        <v>3</v>
      </c>
      <c r="EG68" s="2" t="s">
        <v>48</v>
      </c>
      <c r="EH68" s="2">
        <v>0</v>
      </c>
      <c r="EI68" s="2" t="s">
        <v>3</v>
      </c>
      <c r="EJ68" s="2">
        <v>2</v>
      </c>
      <c r="EK68" s="2">
        <v>110006</v>
      </c>
      <c r="EL68" s="2" t="s">
        <v>149</v>
      </c>
      <c r="EM68" s="2" t="s">
        <v>150</v>
      </c>
      <c r="EN68" s="2"/>
      <c r="EO68" s="2" t="s">
        <v>3</v>
      </c>
      <c r="EP68" s="2"/>
      <c r="EQ68" s="2">
        <v>0</v>
      </c>
      <c r="ER68" s="2">
        <v>41.38</v>
      </c>
      <c r="ES68" s="2">
        <v>41.38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>
        <v>0</v>
      </c>
      <c r="FR68" s="2">
        <v>0</v>
      </c>
      <c r="FS68" s="2">
        <v>0</v>
      </c>
      <c r="FT68" s="2"/>
      <c r="FU68" s="2"/>
      <c r="FV68" s="2"/>
      <c r="FW68" s="2"/>
      <c r="FX68" s="2">
        <v>90</v>
      </c>
      <c r="FY68" s="2">
        <v>46</v>
      </c>
      <c r="FZ68" s="2"/>
      <c r="GA68" s="2" t="s">
        <v>3</v>
      </c>
      <c r="GB68" s="2"/>
      <c r="GC68" s="2"/>
      <c r="GD68" s="2">
        <v>1</v>
      </c>
      <c r="GE68" s="2"/>
      <c r="GF68" s="2">
        <v>-1568219933</v>
      </c>
      <c r="GG68" s="2">
        <v>2</v>
      </c>
      <c r="GH68" s="2">
        <v>1</v>
      </c>
      <c r="GI68" s="2">
        <v>2</v>
      </c>
      <c r="GJ68" s="2">
        <v>0</v>
      </c>
      <c r="GK68" s="2">
        <v>0</v>
      </c>
      <c r="GL68" s="2">
        <f t="shared" si="73"/>
        <v>0</v>
      </c>
      <c r="GM68" s="2">
        <f t="shared" si="74"/>
        <v>-17.899999999999999</v>
      </c>
      <c r="GN68" s="2">
        <f t="shared" si="75"/>
        <v>0</v>
      </c>
      <c r="GO68" s="2">
        <f t="shared" si="76"/>
        <v>-17.899999999999999</v>
      </c>
      <c r="GP68" s="2">
        <f t="shared" si="77"/>
        <v>0</v>
      </c>
      <c r="GQ68" s="2"/>
      <c r="GR68" s="2">
        <v>0</v>
      </c>
      <c r="GS68" s="2">
        <v>3</v>
      </c>
      <c r="GT68" s="2">
        <v>0</v>
      </c>
      <c r="GU68" s="2" t="s">
        <v>3</v>
      </c>
      <c r="GV68" s="2">
        <f t="shared" si="78"/>
        <v>0</v>
      </c>
      <c r="GW68" s="2">
        <v>1</v>
      </c>
      <c r="GX68" s="2">
        <f t="shared" si="79"/>
        <v>0</v>
      </c>
      <c r="GY68" s="2"/>
      <c r="GZ68" s="2"/>
      <c r="HA68" s="2">
        <v>0</v>
      </c>
      <c r="HB68" s="2">
        <v>0</v>
      </c>
      <c r="HC68" s="2">
        <f t="shared" si="94"/>
        <v>0</v>
      </c>
      <c r="HD68" s="2"/>
      <c r="HE68" s="2" t="s">
        <v>3</v>
      </c>
      <c r="HF68" s="2" t="s">
        <v>3</v>
      </c>
      <c r="HG68" s="2"/>
      <c r="HH68" s="2"/>
      <c r="HI68" s="2"/>
      <c r="HJ68" s="2"/>
      <c r="HK68" s="2"/>
      <c r="HL68" s="2"/>
      <c r="HM68" s="2" t="s">
        <v>3</v>
      </c>
      <c r="HN68" s="2" t="s">
        <v>151</v>
      </c>
      <c r="HO68" s="2" t="s">
        <v>152</v>
      </c>
      <c r="HP68" s="2" t="s">
        <v>149</v>
      </c>
      <c r="HQ68" s="2" t="s">
        <v>149</v>
      </c>
      <c r="HR68" s="2"/>
      <c r="HS68" s="2">
        <v>0</v>
      </c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>
        <v>0</v>
      </c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x14ac:dyDescent="0.2">
      <c r="A69" s="2">
        <v>18</v>
      </c>
      <c r="B69" s="2">
        <v>1</v>
      </c>
      <c r="C69" s="2">
        <v>79</v>
      </c>
      <c r="D69" s="2"/>
      <c r="E69" s="2" t="s">
        <v>172</v>
      </c>
      <c r="F69" s="2" t="s">
        <v>173</v>
      </c>
      <c r="G69" s="2" t="s">
        <v>174</v>
      </c>
      <c r="H69" s="2" t="s">
        <v>170</v>
      </c>
      <c r="I69" s="2">
        <f>I63*J69</f>
        <v>-0.06</v>
      </c>
      <c r="J69" s="2">
        <v>-0.02</v>
      </c>
      <c r="K69" s="2">
        <v>-0.02</v>
      </c>
      <c r="L69" s="2"/>
      <c r="M69" s="2"/>
      <c r="N69" s="2"/>
      <c r="O69" s="2">
        <f t="shared" si="89"/>
        <v>-24.55</v>
      </c>
      <c r="P69" s="2">
        <f>ROUND(CQ69*I69,2)</f>
        <v>-24.55</v>
      </c>
      <c r="Q69" s="2">
        <f t="shared" si="80"/>
        <v>0</v>
      </c>
      <c r="R69" s="2">
        <f t="shared" si="81"/>
        <v>0</v>
      </c>
      <c r="S69" s="2">
        <f t="shared" si="82"/>
        <v>0</v>
      </c>
      <c r="T69" s="2">
        <f t="shared" si="66"/>
        <v>0</v>
      </c>
      <c r="U69" s="2">
        <f t="shared" si="83"/>
        <v>0</v>
      </c>
      <c r="V69" s="2">
        <f t="shared" si="84"/>
        <v>0</v>
      </c>
      <c r="W69" s="2">
        <f t="shared" si="67"/>
        <v>0</v>
      </c>
      <c r="X69" s="2">
        <f t="shared" si="68"/>
        <v>0</v>
      </c>
      <c r="Y69" s="2">
        <f t="shared" si="69"/>
        <v>0</v>
      </c>
      <c r="Z69" s="2"/>
      <c r="AA69" s="2">
        <v>85997836</v>
      </c>
      <c r="AB69" s="2">
        <f t="shared" si="70"/>
        <v>284.14999999999998</v>
      </c>
      <c r="AC69" s="2">
        <f t="shared" si="85"/>
        <v>284.14999999999998</v>
      </c>
      <c r="AD69" s="2">
        <f t="shared" si="86"/>
        <v>0</v>
      </c>
      <c r="AE69" s="2">
        <f t="shared" si="87"/>
        <v>0</v>
      </c>
      <c r="AF69" s="2">
        <f t="shared" si="87"/>
        <v>0</v>
      </c>
      <c r="AG69" s="2">
        <f t="shared" si="71"/>
        <v>0</v>
      </c>
      <c r="AH69" s="2">
        <f t="shared" si="88"/>
        <v>0</v>
      </c>
      <c r="AI69" s="2">
        <f t="shared" si="88"/>
        <v>0</v>
      </c>
      <c r="AJ69" s="2">
        <f t="shared" si="72"/>
        <v>0</v>
      </c>
      <c r="AK69" s="2">
        <v>284.14999999999998</v>
      </c>
      <c r="AL69" s="2">
        <v>284.14999999999998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90</v>
      </c>
      <c r="AU69" s="2">
        <v>46</v>
      </c>
      <c r="AV69" s="2">
        <v>1</v>
      </c>
      <c r="AW69" s="2">
        <v>1</v>
      </c>
      <c r="AX69" s="2"/>
      <c r="AY69" s="2"/>
      <c r="AZ69" s="2">
        <v>1</v>
      </c>
      <c r="BA69" s="2">
        <v>1</v>
      </c>
      <c r="BB69" s="2">
        <v>1</v>
      </c>
      <c r="BC69" s="2">
        <v>1.44</v>
      </c>
      <c r="BD69" s="2" t="s">
        <v>3</v>
      </c>
      <c r="BE69" s="2" t="s">
        <v>3</v>
      </c>
      <c r="BF69" s="2" t="s">
        <v>3</v>
      </c>
      <c r="BG69" s="2" t="s">
        <v>3</v>
      </c>
      <c r="BH69" s="2">
        <v>3</v>
      </c>
      <c r="BI69" s="2">
        <v>2</v>
      </c>
      <c r="BJ69" s="2" t="s">
        <v>175</v>
      </c>
      <c r="BK69" s="2"/>
      <c r="BL69" s="2"/>
      <c r="BM69" s="2">
        <v>110006</v>
      </c>
      <c r="BN69" s="2">
        <v>0</v>
      </c>
      <c r="BO69" s="2" t="s">
        <v>173</v>
      </c>
      <c r="BP69" s="2">
        <v>1</v>
      </c>
      <c r="BQ69" s="2">
        <v>3</v>
      </c>
      <c r="BR69" s="2">
        <v>0</v>
      </c>
      <c r="BS69" s="2">
        <v>1</v>
      </c>
      <c r="BT69" s="2">
        <v>1</v>
      </c>
      <c r="BU69" s="2">
        <v>1</v>
      </c>
      <c r="BV69" s="2">
        <v>1</v>
      </c>
      <c r="BW69" s="2">
        <v>1</v>
      </c>
      <c r="BX69" s="2">
        <v>1</v>
      </c>
      <c r="BY69" s="2" t="s">
        <v>3</v>
      </c>
      <c r="BZ69" s="2">
        <v>90</v>
      </c>
      <c r="CA69" s="2">
        <v>46</v>
      </c>
      <c r="CB69" s="2" t="s">
        <v>3</v>
      </c>
      <c r="CC69" s="2"/>
      <c r="CD69" s="2"/>
      <c r="CE69" s="2">
        <v>0</v>
      </c>
      <c r="CF69" s="2">
        <v>0</v>
      </c>
      <c r="CG69" s="2">
        <v>0</v>
      </c>
      <c r="CH69" s="2"/>
      <c r="CI69" s="2"/>
      <c r="CJ69" s="2"/>
      <c r="CK69" s="2"/>
      <c r="CL69" s="2"/>
      <c r="CM69" s="2">
        <v>0</v>
      </c>
      <c r="CN69" s="2" t="s">
        <v>3</v>
      </c>
      <c r="CO69" s="2">
        <v>0</v>
      </c>
      <c r="CP69" s="2">
        <f t="shared" si="90"/>
        <v>-24.55</v>
      </c>
      <c r="CQ69" s="2">
        <f>ROUND(AL69*BC69,2)</f>
        <v>409.18</v>
      </c>
      <c r="CR69" s="2">
        <f>ROUND(AM69*BB69,2)</f>
        <v>0</v>
      </c>
      <c r="CS69" s="2">
        <f>ROUND(AN69*BS69,2)</f>
        <v>0</v>
      </c>
      <c r="CT69" s="2">
        <f>ROUND(AO69*BA69,2)</f>
        <v>0</v>
      </c>
      <c r="CU69" s="2">
        <f t="shared" si="91"/>
        <v>0</v>
      </c>
      <c r="CV69" s="2">
        <f t="shared" si="91"/>
        <v>0</v>
      </c>
      <c r="CW69" s="2">
        <f t="shared" si="91"/>
        <v>0</v>
      </c>
      <c r="CX69" s="2">
        <f t="shared" si="91"/>
        <v>0</v>
      </c>
      <c r="CY69" s="2">
        <f t="shared" si="92"/>
        <v>0</v>
      </c>
      <c r="CZ69" s="2">
        <f t="shared" si="93"/>
        <v>0</v>
      </c>
      <c r="DA69" s="2"/>
      <c r="DB69" s="2"/>
      <c r="DC69" s="2" t="s">
        <v>3</v>
      </c>
      <c r="DD69" s="2" t="s">
        <v>3</v>
      </c>
      <c r="DE69" s="2" t="s">
        <v>3</v>
      </c>
      <c r="DF69" s="2" t="s">
        <v>3</v>
      </c>
      <c r="DG69" s="2" t="s">
        <v>3</v>
      </c>
      <c r="DH69" s="2" t="s">
        <v>3</v>
      </c>
      <c r="DI69" s="2" t="s">
        <v>3</v>
      </c>
      <c r="DJ69" s="2" t="s">
        <v>3</v>
      </c>
      <c r="DK69" s="2" t="s">
        <v>3</v>
      </c>
      <c r="DL69" s="2" t="s">
        <v>3</v>
      </c>
      <c r="DM69" s="2" t="s">
        <v>3</v>
      </c>
      <c r="DN69" s="2">
        <v>0</v>
      </c>
      <c r="DO69" s="2">
        <v>0</v>
      </c>
      <c r="DP69" s="2">
        <v>1</v>
      </c>
      <c r="DQ69" s="2">
        <v>1</v>
      </c>
      <c r="DR69" s="2"/>
      <c r="DS69" s="2"/>
      <c r="DT69" s="2"/>
      <c r="DU69" s="2">
        <v>1009</v>
      </c>
      <c r="DV69" s="2" t="s">
        <v>170</v>
      </c>
      <c r="DW69" s="2" t="s">
        <v>170</v>
      </c>
      <c r="DX69" s="2">
        <v>1</v>
      </c>
      <c r="DY69" s="2"/>
      <c r="DZ69" s="2" t="s">
        <v>3</v>
      </c>
      <c r="EA69" s="2" t="s">
        <v>3</v>
      </c>
      <c r="EB69" s="2" t="s">
        <v>3</v>
      </c>
      <c r="EC69" s="2" t="s">
        <v>3</v>
      </c>
      <c r="ED69" s="2"/>
      <c r="EE69" s="2">
        <v>84053819</v>
      </c>
      <c r="EF69" s="2">
        <v>3</v>
      </c>
      <c r="EG69" s="2" t="s">
        <v>48</v>
      </c>
      <c r="EH69" s="2">
        <v>0</v>
      </c>
      <c r="EI69" s="2" t="s">
        <v>3</v>
      </c>
      <c r="EJ69" s="2">
        <v>2</v>
      </c>
      <c r="EK69" s="2">
        <v>110006</v>
      </c>
      <c r="EL69" s="2" t="s">
        <v>149</v>
      </c>
      <c r="EM69" s="2" t="s">
        <v>150</v>
      </c>
      <c r="EN69" s="2"/>
      <c r="EO69" s="2" t="s">
        <v>3</v>
      </c>
      <c r="EP69" s="2"/>
      <c r="EQ69" s="2">
        <v>0</v>
      </c>
      <c r="ER69" s="2">
        <v>284.14999999999998</v>
      </c>
      <c r="ES69" s="2">
        <v>284.14999999999998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>
        <v>0</v>
      </c>
      <c r="FR69" s="2">
        <v>0</v>
      </c>
      <c r="FS69" s="2">
        <v>0</v>
      </c>
      <c r="FT69" s="2"/>
      <c r="FU69" s="2"/>
      <c r="FV69" s="2"/>
      <c r="FW69" s="2"/>
      <c r="FX69" s="2">
        <v>90</v>
      </c>
      <c r="FY69" s="2">
        <v>46</v>
      </c>
      <c r="FZ69" s="2"/>
      <c r="GA69" s="2" t="s">
        <v>3</v>
      </c>
      <c r="GB69" s="2"/>
      <c r="GC69" s="2"/>
      <c r="GD69" s="2">
        <v>1</v>
      </c>
      <c r="GE69" s="2"/>
      <c r="GF69" s="2">
        <v>-1746966143</v>
      </c>
      <c r="GG69" s="2">
        <v>2</v>
      </c>
      <c r="GH69" s="2">
        <v>1</v>
      </c>
      <c r="GI69" s="2">
        <v>2</v>
      </c>
      <c r="GJ69" s="2">
        <v>0</v>
      </c>
      <c r="GK69" s="2">
        <v>0</v>
      </c>
      <c r="GL69" s="2">
        <f t="shared" si="73"/>
        <v>0</v>
      </c>
      <c r="GM69" s="2">
        <f t="shared" si="74"/>
        <v>-24.55</v>
      </c>
      <c r="GN69" s="2">
        <f t="shared" si="75"/>
        <v>0</v>
      </c>
      <c r="GO69" s="2">
        <f t="shared" si="76"/>
        <v>-24.55</v>
      </c>
      <c r="GP69" s="2">
        <f t="shared" si="77"/>
        <v>0</v>
      </c>
      <c r="GQ69" s="2"/>
      <c r="GR69" s="2">
        <v>0</v>
      </c>
      <c r="GS69" s="2">
        <v>3</v>
      </c>
      <c r="GT69" s="2">
        <v>0</v>
      </c>
      <c r="GU69" s="2" t="s">
        <v>3</v>
      </c>
      <c r="GV69" s="2">
        <f t="shared" si="78"/>
        <v>0</v>
      </c>
      <c r="GW69" s="2">
        <v>1</v>
      </c>
      <c r="GX69" s="2">
        <f t="shared" si="79"/>
        <v>0</v>
      </c>
      <c r="GY69" s="2"/>
      <c r="GZ69" s="2"/>
      <c r="HA69" s="2">
        <v>0</v>
      </c>
      <c r="HB69" s="2">
        <v>0</v>
      </c>
      <c r="HC69" s="2">
        <f t="shared" si="94"/>
        <v>0</v>
      </c>
      <c r="HD69" s="2"/>
      <c r="HE69" s="2" t="s">
        <v>3</v>
      </c>
      <c r="HF69" s="2" t="s">
        <v>3</v>
      </c>
      <c r="HG69" s="2"/>
      <c r="HH69" s="2"/>
      <c r="HI69" s="2"/>
      <c r="HJ69" s="2"/>
      <c r="HK69" s="2"/>
      <c r="HL69" s="2"/>
      <c r="HM69" s="2" t="s">
        <v>3</v>
      </c>
      <c r="HN69" s="2" t="s">
        <v>151</v>
      </c>
      <c r="HO69" s="2" t="s">
        <v>152</v>
      </c>
      <c r="HP69" s="2" t="s">
        <v>149</v>
      </c>
      <c r="HQ69" s="2" t="s">
        <v>149</v>
      </c>
      <c r="HR69" s="2"/>
      <c r="HS69" s="2">
        <v>0</v>
      </c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>
        <v>0</v>
      </c>
      <c r="IL69" s="2"/>
      <c r="IM69" s="2"/>
      <c r="IN69" s="2"/>
      <c r="IO69" s="2"/>
      <c r="IP69" s="2"/>
      <c r="IQ69" s="2"/>
      <c r="IR69" s="2"/>
      <c r="IS69" s="2"/>
      <c r="IT69" s="2"/>
      <c r="IU69" s="2"/>
    </row>
    <row r="70" spans="1:255" x14ac:dyDescent="0.2">
      <c r="A70" s="2">
        <v>17</v>
      </c>
      <c r="B70" s="2">
        <v>1</v>
      </c>
      <c r="C70" s="2">
        <f>ROW(SmtRes!A93)</f>
        <v>93</v>
      </c>
      <c r="D70" s="2">
        <f>ROW(EtalonRes!A82)</f>
        <v>82</v>
      </c>
      <c r="E70" s="2" t="s">
        <v>176</v>
      </c>
      <c r="F70" s="2" t="s">
        <v>177</v>
      </c>
      <c r="G70" s="2" t="s">
        <v>178</v>
      </c>
      <c r="H70" s="2" t="s">
        <v>20</v>
      </c>
      <c r="I70" s="2">
        <f>ROUND((3)/100,7)</f>
        <v>0.03</v>
      </c>
      <c r="J70" s="2">
        <v>0</v>
      </c>
      <c r="K70" s="2">
        <f>ROUND((3)/100,7)</f>
        <v>0.03</v>
      </c>
      <c r="L70" s="2"/>
      <c r="M70" s="2"/>
      <c r="N70" s="2"/>
      <c r="O70" s="2">
        <f t="shared" si="89"/>
        <v>590.66999999999996</v>
      </c>
      <c r="P70" s="2">
        <f>SUMIF(SmtRes!AQ86:'SmtRes'!AQ93,"=1",SmtRes!DF86:'SmtRes'!DF93)</f>
        <v>16.02</v>
      </c>
      <c r="Q70" s="2">
        <f>SUMIF(SmtRes!AQ86:'SmtRes'!AQ93,"=1",SmtRes!DG86:'SmtRes'!DG93)</f>
        <v>0</v>
      </c>
      <c r="R70" s="2">
        <f>SUMIF(SmtRes!AQ86:'SmtRes'!AQ93,"=1",SmtRes!DH86:'SmtRes'!DH93)</f>
        <v>0</v>
      </c>
      <c r="S70" s="2">
        <f>SUMIF(SmtRes!AQ86:'SmtRes'!AQ93,"=1",SmtRes!DI86:'SmtRes'!DI93)</f>
        <v>574.65</v>
      </c>
      <c r="T70" s="2">
        <f t="shared" si="66"/>
        <v>0</v>
      </c>
      <c r="U70" s="2">
        <f>SUMIF(SmtRes!AQ86:'SmtRes'!AQ93,"=1",SmtRes!CV86:'SmtRes'!CV93)</f>
        <v>0.77280000000000004</v>
      </c>
      <c r="V70" s="2">
        <f>SUMIF(SmtRes!AQ86:'SmtRes'!AQ93,"=1",SmtRes!CW86:'SmtRes'!CW93)</f>
        <v>0</v>
      </c>
      <c r="W70" s="2">
        <f t="shared" si="67"/>
        <v>0</v>
      </c>
      <c r="X70" s="2">
        <f t="shared" si="68"/>
        <v>557.41</v>
      </c>
      <c r="Y70" s="2">
        <f t="shared" si="69"/>
        <v>293.07</v>
      </c>
      <c r="Z70" s="2"/>
      <c r="AA70" s="2">
        <v>85997836</v>
      </c>
      <c r="AB70" s="2">
        <f t="shared" si="70"/>
        <v>19542.013430999999</v>
      </c>
      <c r="AC70" s="2">
        <f>ROUND((SUM(SmtRes!BQ86:'SmtRes'!BQ93)),6)</f>
        <v>386.877431</v>
      </c>
      <c r="AD70" s="2">
        <f>ROUND((((0)-(0))+AE70),6)</f>
        <v>0</v>
      </c>
      <c r="AE70" s="2">
        <f>ROUND((0),6)</f>
        <v>0</v>
      </c>
      <c r="AF70" s="2">
        <f>ROUND((SUM(SmtRes!BT86:'SmtRes'!BT93)),6)</f>
        <v>19155.135999999999</v>
      </c>
      <c r="AG70" s="2">
        <f t="shared" si="71"/>
        <v>0</v>
      </c>
      <c r="AH70" s="2">
        <f>(SUM(SmtRes!BU86:'SmtRes'!BU93))</f>
        <v>25.76</v>
      </c>
      <c r="AI70" s="2">
        <f>(0)</f>
        <v>0</v>
      </c>
      <c r="AJ70" s="2">
        <f t="shared" si="72"/>
        <v>0</v>
      </c>
      <c r="AK70" s="2">
        <v>19542.013430500003</v>
      </c>
      <c r="AL70" s="2">
        <v>386.8774305</v>
      </c>
      <c r="AM70" s="2">
        <v>0</v>
      </c>
      <c r="AN70" s="2">
        <v>0</v>
      </c>
      <c r="AO70" s="2">
        <v>19155.136000000002</v>
      </c>
      <c r="AP70" s="2">
        <v>0</v>
      </c>
      <c r="AQ70" s="2">
        <v>25.76</v>
      </c>
      <c r="AR70" s="2">
        <v>0.05</v>
      </c>
      <c r="AS70" s="2">
        <v>0</v>
      </c>
      <c r="AT70" s="2">
        <v>97</v>
      </c>
      <c r="AU70" s="2">
        <v>51</v>
      </c>
      <c r="AV70" s="2">
        <v>1</v>
      </c>
      <c r="AW70" s="2">
        <v>1</v>
      </c>
      <c r="AX70" s="2"/>
      <c r="AY70" s="2"/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0</v>
      </c>
      <c r="BI70" s="2">
        <v>2</v>
      </c>
      <c r="BJ70" s="2" t="s">
        <v>179</v>
      </c>
      <c r="BK70" s="2"/>
      <c r="BL70" s="2"/>
      <c r="BM70" s="2">
        <v>108001</v>
      </c>
      <c r="BN70" s="2">
        <v>0</v>
      </c>
      <c r="BO70" s="2" t="s">
        <v>3</v>
      </c>
      <c r="BP70" s="2">
        <v>0</v>
      </c>
      <c r="BQ70" s="2">
        <v>3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97</v>
      </c>
      <c r="CA70" s="2">
        <v>51</v>
      </c>
      <c r="CB70" s="2" t="s">
        <v>3</v>
      </c>
      <c r="CC70" s="2"/>
      <c r="CD70" s="2"/>
      <c r="CE70" s="2">
        <v>0</v>
      </c>
      <c r="CF70" s="2">
        <v>0</v>
      </c>
      <c r="CG70" s="2">
        <v>0</v>
      </c>
      <c r="CH70" s="2"/>
      <c r="CI70" s="2"/>
      <c r="CJ70" s="2"/>
      <c r="CK70" s="2"/>
      <c r="CL70" s="2"/>
      <c r="CM70" s="2">
        <v>0</v>
      </c>
      <c r="CN70" s="2" t="s">
        <v>3</v>
      </c>
      <c r="CO70" s="2">
        <v>0</v>
      </c>
      <c r="CP70" s="2">
        <f t="shared" si="90"/>
        <v>590.66999999999996</v>
      </c>
      <c r="CQ70" s="2">
        <f>SUMIF(SmtRes!AQ86:'SmtRes'!AQ93,"=1",SmtRes!AA86:'SmtRes'!AA93)</f>
        <v>11122.92</v>
      </c>
      <c r="CR70" s="2">
        <f>SUMIF(SmtRes!AQ86:'SmtRes'!AQ93,"=1",SmtRes!AB86:'SmtRes'!AB93)</f>
        <v>0</v>
      </c>
      <c r="CS70" s="2">
        <f>SUMIF(SmtRes!AQ86:'SmtRes'!AQ93,"=1",SmtRes!AC86:'SmtRes'!AC93)</f>
        <v>0</v>
      </c>
      <c r="CT70" s="2">
        <f>SUMIF(SmtRes!AQ86:'SmtRes'!AQ93,"=1",SmtRes!AD86:'SmtRes'!AD93)</f>
        <v>743.6</v>
      </c>
      <c r="CU70" s="2">
        <f>AG70</f>
        <v>0</v>
      </c>
      <c r="CV70" s="2">
        <f>SUMIF(SmtRes!AQ86:'SmtRes'!AQ93,"=1",SmtRes!BU86:'SmtRes'!BU93)</f>
        <v>25.76</v>
      </c>
      <c r="CW70" s="2">
        <f>SUMIF(SmtRes!AQ86:'SmtRes'!AQ93,"=1",SmtRes!BV86:'SmtRes'!BV93)</f>
        <v>0</v>
      </c>
      <c r="CX70" s="2">
        <f>AJ70</f>
        <v>0</v>
      </c>
      <c r="CY70" s="2">
        <f t="shared" si="92"/>
        <v>557.41049999999996</v>
      </c>
      <c r="CZ70" s="2">
        <f t="shared" si="93"/>
        <v>293.07149999999996</v>
      </c>
      <c r="DA70" s="2"/>
      <c r="DB70" s="2"/>
      <c r="DC70" s="2" t="s">
        <v>3</v>
      </c>
      <c r="DD70" s="2" t="s">
        <v>3</v>
      </c>
      <c r="DE70" s="2" t="s">
        <v>3</v>
      </c>
      <c r="DF70" s="2" t="s">
        <v>3</v>
      </c>
      <c r="DG70" s="2" t="s">
        <v>3</v>
      </c>
      <c r="DH70" s="2" t="s">
        <v>3</v>
      </c>
      <c r="DI70" s="2" t="s">
        <v>3</v>
      </c>
      <c r="DJ70" s="2" t="s">
        <v>3</v>
      </c>
      <c r="DK70" s="2" t="s">
        <v>3</v>
      </c>
      <c r="DL70" s="2" t="s">
        <v>3</v>
      </c>
      <c r="DM70" s="2" t="s">
        <v>3</v>
      </c>
      <c r="DN70" s="2">
        <v>0</v>
      </c>
      <c r="DO70" s="2">
        <v>0</v>
      </c>
      <c r="DP70" s="2">
        <v>1</v>
      </c>
      <c r="DQ70" s="2">
        <v>1</v>
      </c>
      <c r="DR70" s="2"/>
      <c r="DS70" s="2"/>
      <c r="DT70" s="2"/>
      <c r="DU70" s="2">
        <v>1013</v>
      </c>
      <c r="DV70" s="2" t="s">
        <v>20</v>
      </c>
      <c r="DW70" s="2" t="s">
        <v>20</v>
      </c>
      <c r="DX70" s="2">
        <v>1</v>
      </c>
      <c r="DY70" s="2"/>
      <c r="DZ70" s="2" t="s">
        <v>3</v>
      </c>
      <c r="EA70" s="2" t="s">
        <v>3</v>
      </c>
      <c r="EB70" s="2" t="s">
        <v>3</v>
      </c>
      <c r="EC70" s="2" t="s">
        <v>3</v>
      </c>
      <c r="ED70" s="2"/>
      <c r="EE70" s="2">
        <v>84053775</v>
      </c>
      <c r="EF70" s="2">
        <v>3</v>
      </c>
      <c r="EG70" s="2" t="s">
        <v>48</v>
      </c>
      <c r="EH70" s="2">
        <v>0</v>
      </c>
      <c r="EI70" s="2" t="s">
        <v>3</v>
      </c>
      <c r="EJ70" s="2">
        <v>2</v>
      </c>
      <c r="EK70" s="2">
        <v>108001</v>
      </c>
      <c r="EL70" s="2" t="s">
        <v>49</v>
      </c>
      <c r="EM70" s="2" t="s">
        <v>50</v>
      </c>
      <c r="EN70" s="2"/>
      <c r="EO70" s="2" t="s">
        <v>3</v>
      </c>
      <c r="EP70" s="2"/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25.76</v>
      </c>
      <c r="EX70" s="2">
        <v>0.05</v>
      </c>
      <c r="EY70" s="2">
        <v>0</v>
      </c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>
        <v>0</v>
      </c>
      <c r="FR70" s="2">
        <v>0</v>
      </c>
      <c r="FS70" s="2">
        <v>0</v>
      </c>
      <c r="FT70" s="2"/>
      <c r="FU70" s="2"/>
      <c r="FV70" s="2"/>
      <c r="FW70" s="2"/>
      <c r="FX70" s="2">
        <v>97</v>
      </c>
      <c r="FY70" s="2">
        <v>51</v>
      </c>
      <c r="FZ70" s="2"/>
      <c r="GA70" s="2" t="s">
        <v>3</v>
      </c>
      <c r="GB70" s="2"/>
      <c r="GC70" s="2"/>
      <c r="GD70" s="2">
        <v>1</v>
      </c>
      <c r="GE70" s="2"/>
      <c r="GF70" s="2">
        <v>1752263991</v>
      </c>
      <c r="GG70" s="2">
        <v>2</v>
      </c>
      <c r="GH70" s="2">
        <v>1</v>
      </c>
      <c r="GI70" s="2">
        <v>-2</v>
      </c>
      <c r="GJ70" s="2">
        <v>0</v>
      </c>
      <c r="GK70" s="2">
        <v>0</v>
      </c>
      <c r="GL70" s="2">
        <f t="shared" si="73"/>
        <v>0</v>
      </c>
      <c r="GM70" s="2">
        <f t="shared" si="74"/>
        <v>1441.15</v>
      </c>
      <c r="GN70" s="2">
        <f t="shared" si="75"/>
        <v>0</v>
      </c>
      <c r="GO70" s="2">
        <f t="shared" si="76"/>
        <v>1441.15</v>
      </c>
      <c r="GP70" s="2">
        <f t="shared" si="77"/>
        <v>0</v>
      </c>
      <c r="GQ70" s="2"/>
      <c r="GR70" s="2">
        <v>0</v>
      </c>
      <c r="GS70" s="2">
        <v>0</v>
      </c>
      <c r="GT70" s="2">
        <v>0</v>
      </c>
      <c r="GU70" s="2" t="s">
        <v>3</v>
      </c>
      <c r="GV70" s="2">
        <f t="shared" si="78"/>
        <v>0</v>
      </c>
      <c r="GW70" s="2">
        <v>1</v>
      </c>
      <c r="GX70" s="2">
        <f t="shared" si="79"/>
        <v>0</v>
      </c>
      <c r="GY70" s="2"/>
      <c r="GZ70" s="2"/>
      <c r="HA70" s="2">
        <v>0</v>
      </c>
      <c r="HB70" s="2">
        <v>0</v>
      </c>
      <c r="HC70" s="2">
        <f t="shared" si="94"/>
        <v>0</v>
      </c>
      <c r="HD70" s="2"/>
      <c r="HE70" s="2" t="s">
        <v>3</v>
      </c>
      <c r="HF70" s="2" t="s">
        <v>3</v>
      </c>
      <c r="HG70" s="2"/>
      <c r="HH70" s="2"/>
      <c r="HI70" s="2"/>
      <c r="HJ70" s="2"/>
      <c r="HK70" s="2"/>
      <c r="HL70" s="2"/>
      <c r="HM70" s="2" t="s">
        <v>3</v>
      </c>
      <c r="HN70" s="2" t="s">
        <v>52</v>
      </c>
      <c r="HO70" s="2" t="s">
        <v>53</v>
      </c>
      <c r="HP70" s="2" t="s">
        <v>49</v>
      </c>
      <c r="HQ70" s="2" t="s">
        <v>49</v>
      </c>
      <c r="HR70" s="2"/>
      <c r="HS70" s="2">
        <v>0</v>
      </c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>
        <v>0</v>
      </c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 spans="1:255" x14ac:dyDescent="0.2">
      <c r="A71" s="2">
        <v>18</v>
      </c>
      <c r="B71" s="2">
        <v>1</v>
      </c>
      <c r="C71" s="2">
        <v>92</v>
      </c>
      <c r="D71" s="2"/>
      <c r="E71" s="2" t="s">
        <v>180</v>
      </c>
      <c r="F71" s="2" t="s">
        <v>181</v>
      </c>
      <c r="G71" s="2" t="s">
        <v>182</v>
      </c>
      <c r="H71" s="2" t="s">
        <v>43</v>
      </c>
      <c r="I71" s="2">
        <f>I70*J71</f>
        <v>3</v>
      </c>
      <c r="J71" s="2">
        <v>100</v>
      </c>
      <c r="K71" s="2">
        <v>100</v>
      </c>
      <c r="L71" s="2"/>
      <c r="M71" s="2"/>
      <c r="N71" s="2"/>
      <c r="O71" s="2">
        <f t="shared" si="89"/>
        <v>159.66</v>
      </c>
      <c r="P71" s="2">
        <f>ROUND(CQ71*I71,2)</f>
        <v>159.66</v>
      </c>
      <c r="Q71" s="2">
        <f>ROUND(CR71*I71,2)</f>
        <v>0</v>
      </c>
      <c r="R71" s="2">
        <f>ROUND(CS71*I71,2)</f>
        <v>0</v>
      </c>
      <c r="S71" s="2">
        <f>ROUND(CT71*I71,2)</f>
        <v>0</v>
      </c>
      <c r="T71" s="2">
        <f t="shared" si="66"/>
        <v>0</v>
      </c>
      <c r="U71" s="2">
        <f>ROUND(CV71*I71,7)</f>
        <v>0</v>
      </c>
      <c r="V71" s="2">
        <f>ROUND(CW71*I71,7)</f>
        <v>0</v>
      </c>
      <c r="W71" s="2">
        <f t="shared" si="67"/>
        <v>0</v>
      </c>
      <c r="X71" s="2">
        <f t="shared" si="68"/>
        <v>0</v>
      </c>
      <c r="Y71" s="2">
        <f t="shared" si="69"/>
        <v>0</v>
      </c>
      <c r="Z71" s="2"/>
      <c r="AA71" s="2">
        <v>85997836</v>
      </c>
      <c r="AB71" s="2">
        <f t="shared" si="70"/>
        <v>53.22</v>
      </c>
      <c r="AC71" s="2">
        <f>ROUND((ES71),6)</f>
        <v>53.22</v>
      </c>
      <c r="AD71" s="2">
        <f>ROUND((((ET71)-(EU71))+AE71),6)</f>
        <v>0</v>
      </c>
      <c r="AE71" s="2">
        <f t="shared" ref="AE71:AF73" si="95">ROUND((EU71),6)</f>
        <v>0</v>
      </c>
      <c r="AF71" s="2">
        <f t="shared" si="95"/>
        <v>0</v>
      </c>
      <c r="AG71" s="2">
        <f t="shared" si="71"/>
        <v>0</v>
      </c>
      <c r="AH71" s="2">
        <f t="shared" ref="AH71:AI74" si="96">(EW71)</f>
        <v>0</v>
      </c>
      <c r="AI71" s="2">
        <f t="shared" si="96"/>
        <v>0</v>
      </c>
      <c r="AJ71" s="2">
        <f t="shared" si="72"/>
        <v>0</v>
      </c>
      <c r="AK71" s="2">
        <v>53.22</v>
      </c>
      <c r="AL71" s="2">
        <v>53.22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97</v>
      </c>
      <c r="AU71" s="2">
        <v>51</v>
      </c>
      <c r="AV71" s="2">
        <v>1</v>
      </c>
      <c r="AW71" s="2">
        <v>1</v>
      </c>
      <c r="AX71" s="2"/>
      <c r="AY71" s="2"/>
      <c r="AZ71" s="2">
        <v>1</v>
      </c>
      <c r="BA71" s="2">
        <v>1</v>
      </c>
      <c r="BB71" s="2">
        <v>1</v>
      </c>
      <c r="BC71" s="2">
        <v>1</v>
      </c>
      <c r="BD71" s="2" t="s">
        <v>3</v>
      </c>
      <c r="BE71" s="2" t="s">
        <v>3</v>
      </c>
      <c r="BF71" s="2" t="s">
        <v>3</v>
      </c>
      <c r="BG71" s="2" t="s">
        <v>3</v>
      </c>
      <c r="BH71" s="2">
        <v>3</v>
      </c>
      <c r="BI71" s="2">
        <v>2</v>
      </c>
      <c r="BJ71" s="2" t="s">
        <v>183</v>
      </c>
      <c r="BK71" s="2"/>
      <c r="BL71" s="2"/>
      <c r="BM71" s="2">
        <v>108001</v>
      </c>
      <c r="BN71" s="2">
        <v>0</v>
      </c>
      <c r="BO71" s="2" t="s">
        <v>3</v>
      </c>
      <c r="BP71" s="2">
        <v>0</v>
      </c>
      <c r="BQ71" s="2">
        <v>3</v>
      </c>
      <c r="BR71" s="2">
        <v>0</v>
      </c>
      <c r="BS71" s="2">
        <v>1</v>
      </c>
      <c r="BT71" s="2">
        <v>1</v>
      </c>
      <c r="BU71" s="2">
        <v>1</v>
      </c>
      <c r="BV71" s="2">
        <v>1</v>
      </c>
      <c r="BW71" s="2">
        <v>1</v>
      </c>
      <c r="BX71" s="2">
        <v>1</v>
      </c>
      <c r="BY71" s="2" t="s">
        <v>3</v>
      </c>
      <c r="BZ71" s="2">
        <v>97</v>
      </c>
      <c r="CA71" s="2">
        <v>51</v>
      </c>
      <c r="CB71" s="2" t="s">
        <v>3</v>
      </c>
      <c r="CC71" s="2"/>
      <c r="CD71" s="2"/>
      <c r="CE71" s="2">
        <v>0</v>
      </c>
      <c r="CF71" s="2">
        <v>0</v>
      </c>
      <c r="CG71" s="2">
        <v>0</v>
      </c>
      <c r="CH71" s="2"/>
      <c r="CI71" s="2"/>
      <c r="CJ71" s="2"/>
      <c r="CK71" s="2"/>
      <c r="CL71" s="2"/>
      <c r="CM71" s="2">
        <v>0</v>
      </c>
      <c r="CN71" s="2" t="s">
        <v>3</v>
      </c>
      <c r="CO71" s="2">
        <v>0</v>
      </c>
      <c r="CP71" s="2">
        <f t="shared" si="90"/>
        <v>159.66</v>
      </c>
      <c r="CQ71" s="2">
        <f>ROUND(AL71*BC71,2)</f>
        <v>53.22</v>
      </c>
      <c r="CR71" s="2">
        <f>ROUND(AM71*BB71,2)</f>
        <v>0</v>
      </c>
      <c r="CS71" s="2">
        <f>ROUND(AN71*BS71,2)</f>
        <v>0</v>
      </c>
      <c r="CT71" s="2">
        <f>ROUND(AO71*BA71,2)</f>
        <v>0</v>
      </c>
      <c r="CU71" s="2">
        <f>AG71</f>
        <v>0</v>
      </c>
      <c r="CV71" s="2">
        <f>AH71</f>
        <v>0</v>
      </c>
      <c r="CW71" s="2">
        <f>AI71</f>
        <v>0</v>
      </c>
      <c r="CX71" s="2">
        <f>AJ71</f>
        <v>0</v>
      </c>
      <c r="CY71" s="2">
        <f t="shared" si="92"/>
        <v>0</v>
      </c>
      <c r="CZ71" s="2">
        <f t="shared" si="93"/>
        <v>0</v>
      </c>
      <c r="DA71" s="2"/>
      <c r="DB71" s="2"/>
      <c r="DC71" s="2" t="s">
        <v>3</v>
      </c>
      <c r="DD71" s="2" t="s">
        <v>3</v>
      </c>
      <c r="DE71" s="2" t="s">
        <v>3</v>
      </c>
      <c r="DF71" s="2" t="s">
        <v>3</v>
      </c>
      <c r="DG71" s="2" t="s">
        <v>3</v>
      </c>
      <c r="DH71" s="2" t="s">
        <v>3</v>
      </c>
      <c r="DI71" s="2" t="s">
        <v>3</v>
      </c>
      <c r="DJ71" s="2" t="s">
        <v>3</v>
      </c>
      <c r="DK71" s="2" t="s">
        <v>3</v>
      </c>
      <c r="DL71" s="2" t="s">
        <v>3</v>
      </c>
      <c r="DM71" s="2" t="s">
        <v>3</v>
      </c>
      <c r="DN71" s="2">
        <v>0</v>
      </c>
      <c r="DO71" s="2">
        <v>0</v>
      </c>
      <c r="DP71" s="2">
        <v>1</v>
      </c>
      <c r="DQ71" s="2">
        <v>1</v>
      </c>
      <c r="DR71" s="2"/>
      <c r="DS71" s="2"/>
      <c r="DT71" s="2"/>
      <c r="DU71" s="2">
        <v>1013</v>
      </c>
      <c r="DV71" s="2" t="s">
        <v>43</v>
      </c>
      <c r="DW71" s="2" t="s">
        <v>43</v>
      </c>
      <c r="DX71" s="2">
        <v>1</v>
      </c>
      <c r="DY71" s="2"/>
      <c r="DZ71" s="2" t="s">
        <v>3</v>
      </c>
      <c r="EA71" s="2" t="s">
        <v>3</v>
      </c>
      <c r="EB71" s="2" t="s">
        <v>3</v>
      </c>
      <c r="EC71" s="2" t="s">
        <v>3</v>
      </c>
      <c r="ED71" s="2"/>
      <c r="EE71" s="2">
        <v>84053775</v>
      </c>
      <c r="EF71" s="2">
        <v>3</v>
      </c>
      <c r="EG71" s="2" t="s">
        <v>48</v>
      </c>
      <c r="EH71" s="2">
        <v>0</v>
      </c>
      <c r="EI71" s="2" t="s">
        <v>3</v>
      </c>
      <c r="EJ71" s="2">
        <v>2</v>
      </c>
      <c r="EK71" s="2">
        <v>108001</v>
      </c>
      <c r="EL71" s="2" t="s">
        <v>49</v>
      </c>
      <c r="EM71" s="2" t="s">
        <v>50</v>
      </c>
      <c r="EN71" s="2"/>
      <c r="EO71" s="2" t="s">
        <v>3</v>
      </c>
      <c r="EP71" s="2"/>
      <c r="EQ71" s="2">
        <v>0</v>
      </c>
      <c r="ER71" s="2">
        <v>53.22</v>
      </c>
      <c r="ES71" s="2">
        <v>53.22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>
        <v>0</v>
      </c>
      <c r="FR71" s="2">
        <v>0</v>
      </c>
      <c r="FS71" s="2">
        <v>0</v>
      </c>
      <c r="FT71" s="2"/>
      <c r="FU71" s="2"/>
      <c r="FV71" s="2"/>
      <c r="FW71" s="2"/>
      <c r="FX71" s="2">
        <v>97</v>
      </c>
      <c r="FY71" s="2">
        <v>51</v>
      </c>
      <c r="FZ71" s="2"/>
      <c r="GA71" s="2" t="s">
        <v>3</v>
      </c>
      <c r="GB71" s="2"/>
      <c r="GC71" s="2"/>
      <c r="GD71" s="2">
        <v>1</v>
      </c>
      <c r="GE71" s="2">
        <v>42.54</v>
      </c>
      <c r="GF71" s="2">
        <v>910537666</v>
      </c>
      <c r="GG71" s="2">
        <v>2</v>
      </c>
      <c r="GH71" s="2">
        <v>1</v>
      </c>
      <c r="GI71" s="2">
        <v>-2</v>
      </c>
      <c r="GJ71" s="2">
        <v>0</v>
      </c>
      <c r="GK71" s="2">
        <v>0</v>
      </c>
      <c r="GL71" s="2">
        <f t="shared" si="73"/>
        <v>0</v>
      </c>
      <c r="GM71" s="2">
        <f t="shared" si="74"/>
        <v>159.66</v>
      </c>
      <c r="GN71" s="2">
        <f t="shared" si="75"/>
        <v>0</v>
      </c>
      <c r="GO71" s="2">
        <f t="shared" si="76"/>
        <v>159.66</v>
      </c>
      <c r="GP71" s="2">
        <f t="shared" si="77"/>
        <v>0</v>
      </c>
      <c r="GQ71" s="2"/>
      <c r="GR71" s="2">
        <v>3</v>
      </c>
      <c r="GS71" s="2">
        <v>0</v>
      </c>
      <c r="GT71" s="2">
        <v>0</v>
      </c>
      <c r="GU71" s="2" t="s">
        <v>3</v>
      </c>
      <c r="GV71" s="2">
        <f t="shared" si="78"/>
        <v>0</v>
      </c>
      <c r="GW71" s="2">
        <v>1</v>
      </c>
      <c r="GX71" s="2">
        <f t="shared" si="79"/>
        <v>0</v>
      </c>
      <c r="GY71" s="2"/>
      <c r="GZ71" s="2"/>
      <c r="HA71" s="2">
        <v>0</v>
      </c>
      <c r="HB71" s="2">
        <v>0</v>
      </c>
      <c r="HC71" s="2">
        <f t="shared" si="94"/>
        <v>0</v>
      </c>
      <c r="HD71" s="2"/>
      <c r="HE71" s="2" t="s">
        <v>3</v>
      </c>
      <c r="HF71" s="2" t="s">
        <v>3</v>
      </c>
      <c r="HG71" s="2"/>
      <c r="HH71" s="2"/>
      <c r="HI71" s="2"/>
      <c r="HJ71" s="2"/>
      <c r="HK71" s="2"/>
      <c r="HL71" s="2"/>
      <c r="HM71" s="2" t="s">
        <v>3</v>
      </c>
      <c r="HN71" s="2" t="s">
        <v>52</v>
      </c>
      <c r="HO71" s="2" t="s">
        <v>53</v>
      </c>
      <c r="HP71" s="2" t="s">
        <v>49</v>
      </c>
      <c r="HQ71" s="2" t="s">
        <v>49</v>
      </c>
      <c r="HR71" s="2"/>
      <c r="HS71" s="2">
        <v>0</v>
      </c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>
        <v>0</v>
      </c>
      <c r="IL71" s="2"/>
      <c r="IM71" s="2"/>
      <c r="IN71" s="2"/>
      <c r="IO71" s="2"/>
      <c r="IP71" s="2"/>
      <c r="IQ71" s="2"/>
      <c r="IR71" s="2"/>
      <c r="IS71" s="2"/>
      <c r="IT71" s="2"/>
      <c r="IU71" s="2"/>
    </row>
    <row r="72" spans="1:255" x14ac:dyDescent="0.2">
      <c r="A72" s="2">
        <v>18</v>
      </c>
      <c r="B72" s="2">
        <v>1</v>
      </c>
      <c r="C72" s="2">
        <v>93</v>
      </c>
      <c r="D72" s="2"/>
      <c r="E72" s="2" t="s">
        <v>184</v>
      </c>
      <c r="F72" s="2" t="s">
        <v>55</v>
      </c>
      <c r="G72" s="2" t="s">
        <v>56</v>
      </c>
      <c r="H72" s="2" t="s">
        <v>57</v>
      </c>
      <c r="I72" s="2">
        <f>J72</f>
        <v>2</v>
      </c>
      <c r="J72" s="2">
        <v>2</v>
      </c>
      <c r="K72" s="2">
        <v>2</v>
      </c>
      <c r="L72" s="2"/>
      <c r="M72" s="2"/>
      <c r="N72" s="2"/>
      <c r="O72" s="2">
        <f>ROUND(P72,2)</f>
        <v>11.49</v>
      </c>
      <c r="P72" s="2">
        <f>ROUND(ROUND(ROUND(SUMIF(SmtRes!AQ86:'SmtRes'!AQ93,"=1",SmtRes!CU86:'SmtRes'!CU93),2),2)*I72/100,2)</f>
        <v>11.49</v>
      </c>
      <c r="Q72" s="2">
        <f>ROUND(CR72*I72,2)</f>
        <v>0</v>
      </c>
      <c r="R72" s="2">
        <f>ROUND(CS72*I72,2)</f>
        <v>0</v>
      </c>
      <c r="S72" s="2">
        <f>ROUND(CT72*I72,2)</f>
        <v>0</v>
      </c>
      <c r="T72" s="2">
        <f t="shared" si="66"/>
        <v>0</v>
      </c>
      <c r="U72" s="2">
        <f>ROUND(CV72*I72,7)</f>
        <v>0</v>
      </c>
      <c r="V72" s="2">
        <f>ROUND(CW72*I72,7)</f>
        <v>0</v>
      </c>
      <c r="W72" s="2">
        <f t="shared" si="67"/>
        <v>0</v>
      </c>
      <c r="X72" s="2">
        <f t="shared" si="68"/>
        <v>0</v>
      </c>
      <c r="Y72" s="2">
        <f t="shared" si="69"/>
        <v>0</v>
      </c>
      <c r="Z72" s="2"/>
      <c r="AA72" s="2">
        <v>85997836</v>
      </c>
      <c r="AB72" s="2">
        <f t="shared" si="70"/>
        <v>0</v>
      </c>
      <c r="AC72" s="2">
        <f>ROUND((ES72),6)</f>
        <v>0</v>
      </c>
      <c r="AD72" s="2">
        <f>ROUND((((ET72)-(EU72))+AE72),6)</f>
        <v>0</v>
      </c>
      <c r="AE72" s="2">
        <f t="shared" si="95"/>
        <v>0</v>
      </c>
      <c r="AF72" s="2">
        <f t="shared" si="95"/>
        <v>0</v>
      </c>
      <c r="AG72" s="2">
        <f t="shared" si="71"/>
        <v>0</v>
      </c>
      <c r="AH72" s="2">
        <f t="shared" si="96"/>
        <v>0</v>
      </c>
      <c r="AI72" s="2">
        <f t="shared" si="96"/>
        <v>0</v>
      </c>
      <c r="AJ72" s="2">
        <f t="shared" si="72"/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97</v>
      </c>
      <c r="AU72" s="2">
        <v>51</v>
      </c>
      <c r="AV72" s="2">
        <v>1</v>
      </c>
      <c r="AW72" s="2">
        <v>1</v>
      </c>
      <c r="AX72" s="2"/>
      <c r="AY72" s="2"/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3</v>
      </c>
      <c r="BI72" s="2">
        <v>2</v>
      </c>
      <c r="BJ72" s="2" t="s">
        <v>3</v>
      </c>
      <c r="BK72" s="2"/>
      <c r="BL72" s="2"/>
      <c r="BM72" s="2">
        <v>108001</v>
      </c>
      <c r="BN72" s="2">
        <v>0</v>
      </c>
      <c r="BO72" s="2" t="s">
        <v>3</v>
      </c>
      <c r="BP72" s="2">
        <v>0</v>
      </c>
      <c r="BQ72" s="2">
        <v>3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97</v>
      </c>
      <c r="CA72" s="2">
        <v>51</v>
      </c>
      <c r="CB72" s="2" t="s">
        <v>3</v>
      </c>
      <c r="CC72" s="2"/>
      <c r="CD72" s="2"/>
      <c r="CE72" s="2">
        <v>0</v>
      </c>
      <c r="CF72" s="2">
        <v>0</v>
      </c>
      <c r="CG72" s="2">
        <v>0</v>
      </c>
      <c r="CH72" s="2"/>
      <c r="CI72" s="2"/>
      <c r="CJ72" s="2"/>
      <c r="CK72" s="2"/>
      <c r="CL72" s="2"/>
      <c r="CM72" s="2">
        <v>0</v>
      </c>
      <c r="CN72" s="2" t="s">
        <v>3</v>
      </c>
      <c r="CO72" s="2">
        <v>0</v>
      </c>
      <c r="CP72" s="2">
        <f>0</f>
        <v>0</v>
      </c>
      <c r="CQ72" s="2">
        <f>0</f>
        <v>0</v>
      </c>
      <c r="CR72" s="2">
        <f>0</f>
        <v>0</v>
      </c>
      <c r="CS72" s="2">
        <f>0</f>
        <v>0</v>
      </c>
      <c r="CT72" s="2">
        <f>0</f>
        <v>0</v>
      </c>
      <c r="CU72" s="2">
        <f>0</f>
        <v>0</v>
      </c>
      <c r="CV72" s="2">
        <f>0</f>
        <v>0</v>
      </c>
      <c r="CW72" s="2">
        <f>0</f>
        <v>0</v>
      </c>
      <c r="CX72" s="2">
        <f>0</f>
        <v>0</v>
      </c>
      <c r="CY72" s="2">
        <f>0</f>
        <v>0</v>
      </c>
      <c r="CZ72" s="2">
        <f>0</f>
        <v>0</v>
      </c>
      <c r="DA72" s="2"/>
      <c r="DB72" s="2"/>
      <c r="DC72" s="2" t="s">
        <v>3</v>
      </c>
      <c r="DD72" s="2" t="s">
        <v>3</v>
      </c>
      <c r="DE72" s="2" t="s">
        <v>3</v>
      </c>
      <c r="DF72" s="2" t="s">
        <v>3</v>
      </c>
      <c r="DG72" s="2" t="s">
        <v>3</v>
      </c>
      <c r="DH72" s="2" t="s">
        <v>3</v>
      </c>
      <c r="DI72" s="2" t="s">
        <v>3</v>
      </c>
      <c r="DJ72" s="2" t="s">
        <v>3</v>
      </c>
      <c r="DK72" s="2" t="s">
        <v>3</v>
      </c>
      <c r="DL72" s="2" t="s">
        <v>3</v>
      </c>
      <c r="DM72" s="2" t="s">
        <v>3</v>
      </c>
      <c r="DN72" s="2">
        <v>0</v>
      </c>
      <c r="DO72" s="2">
        <v>0</v>
      </c>
      <c r="DP72" s="2">
        <v>1</v>
      </c>
      <c r="DQ72" s="2">
        <v>1</v>
      </c>
      <c r="DR72" s="2"/>
      <c r="DS72" s="2"/>
      <c r="DT72" s="2"/>
      <c r="DU72" s="2">
        <v>1013</v>
      </c>
      <c r="DV72" s="2" t="s">
        <v>57</v>
      </c>
      <c r="DW72" s="2" t="s">
        <v>57</v>
      </c>
      <c r="DX72" s="2">
        <v>1</v>
      </c>
      <c r="DY72" s="2"/>
      <c r="DZ72" s="2" t="s">
        <v>3</v>
      </c>
      <c r="EA72" s="2" t="s">
        <v>3</v>
      </c>
      <c r="EB72" s="2" t="s">
        <v>3</v>
      </c>
      <c r="EC72" s="2" t="s">
        <v>3</v>
      </c>
      <c r="ED72" s="2"/>
      <c r="EE72" s="2">
        <v>84053775</v>
      </c>
      <c r="EF72" s="2">
        <v>3</v>
      </c>
      <c r="EG72" s="2" t="s">
        <v>48</v>
      </c>
      <c r="EH72" s="2">
        <v>0</v>
      </c>
      <c r="EI72" s="2" t="s">
        <v>3</v>
      </c>
      <c r="EJ72" s="2">
        <v>2</v>
      </c>
      <c r="EK72" s="2">
        <v>108001</v>
      </c>
      <c r="EL72" s="2" t="s">
        <v>49</v>
      </c>
      <c r="EM72" s="2" t="s">
        <v>50</v>
      </c>
      <c r="EN72" s="2"/>
      <c r="EO72" s="2" t="s">
        <v>3</v>
      </c>
      <c r="EP72" s="2"/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>
        <v>0</v>
      </c>
      <c r="FR72" s="2">
        <v>0</v>
      </c>
      <c r="FS72" s="2">
        <v>0</v>
      </c>
      <c r="FT72" s="2"/>
      <c r="FU72" s="2"/>
      <c r="FV72" s="2"/>
      <c r="FW72" s="2"/>
      <c r="FX72" s="2">
        <v>97</v>
      </c>
      <c r="FY72" s="2">
        <v>51</v>
      </c>
      <c r="FZ72" s="2"/>
      <c r="GA72" s="2" t="s">
        <v>3</v>
      </c>
      <c r="GB72" s="2"/>
      <c r="GC72" s="2"/>
      <c r="GD72" s="2">
        <v>1</v>
      </c>
      <c r="GE72" s="2"/>
      <c r="GF72" s="2">
        <v>274903907</v>
      </c>
      <c r="GG72" s="2">
        <v>2</v>
      </c>
      <c r="GH72" s="2">
        <v>1</v>
      </c>
      <c r="GI72" s="2">
        <v>-2</v>
      </c>
      <c r="GJ72" s="2">
        <v>0</v>
      </c>
      <c r="GK72" s="2">
        <v>0</v>
      </c>
      <c r="GL72" s="2">
        <f t="shared" si="73"/>
        <v>0</v>
      </c>
      <c r="GM72" s="2">
        <f t="shared" si="74"/>
        <v>11.49</v>
      </c>
      <c r="GN72" s="2">
        <f t="shared" si="75"/>
        <v>0</v>
      </c>
      <c r="GO72" s="2">
        <f t="shared" si="76"/>
        <v>11.49</v>
      </c>
      <c r="GP72" s="2">
        <f t="shared" si="77"/>
        <v>0</v>
      </c>
      <c r="GQ72" s="2"/>
      <c r="GR72" s="2">
        <v>0</v>
      </c>
      <c r="GS72" s="2">
        <v>0</v>
      </c>
      <c r="GT72" s="2">
        <v>0</v>
      </c>
      <c r="GU72" s="2" t="s">
        <v>3</v>
      </c>
      <c r="GV72" s="2">
        <f t="shared" si="78"/>
        <v>0</v>
      </c>
      <c r="GW72" s="2">
        <v>1</v>
      </c>
      <c r="GX72" s="2">
        <f t="shared" si="79"/>
        <v>0</v>
      </c>
      <c r="GY72" s="2"/>
      <c r="GZ72" s="2"/>
      <c r="HA72" s="2">
        <v>0</v>
      </c>
      <c r="HB72" s="2">
        <v>0</v>
      </c>
      <c r="HC72" s="2">
        <f>0</f>
        <v>0</v>
      </c>
      <c r="HD72" s="2"/>
      <c r="HE72" s="2" t="s">
        <v>3</v>
      </c>
      <c r="HF72" s="2" t="s">
        <v>3</v>
      </c>
      <c r="HG72" s="2"/>
      <c r="HH72" s="2"/>
      <c r="HI72" s="2"/>
      <c r="HJ72" s="2"/>
      <c r="HK72" s="2"/>
      <c r="HL72" s="2"/>
      <c r="HM72" s="2" t="s">
        <v>3</v>
      </c>
      <c r="HN72" s="2" t="s">
        <v>52</v>
      </c>
      <c r="HO72" s="2" t="s">
        <v>53</v>
      </c>
      <c r="HP72" s="2" t="s">
        <v>49</v>
      </c>
      <c r="HQ72" s="2" t="s">
        <v>49</v>
      </c>
      <c r="HR72" s="2"/>
      <c r="HS72" s="2">
        <v>0</v>
      </c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>
        <v>0</v>
      </c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5" x14ac:dyDescent="0.2">
      <c r="A73" s="2">
        <v>18</v>
      </c>
      <c r="B73" s="2">
        <v>1</v>
      </c>
      <c r="C73" s="2">
        <v>89</v>
      </c>
      <c r="D73" s="2"/>
      <c r="E73" s="2" t="s">
        <v>185</v>
      </c>
      <c r="F73" s="2" t="s">
        <v>127</v>
      </c>
      <c r="G73" s="2" t="s">
        <v>128</v>
      </c>
      <c r="H73" s="2" t="s">
        <v>29</v>
      </c>
      <c r="I73" s="2">
        <f>I70*J73</f>
        <v>-5.9999999999999995E-4</v>
      </c>
      <c r="J73" s="2">
        <v>-0.02</v>
      </c>
      <c r="K73" s="2">
        <v>-0.02</v>
      </c>
      <c r="L73" s="2"/>
      <c r="M73" s="2"/>
      <c r="N73" s="2"/>
      <c r="O73" s="2">
        <f>ROUND(CP73,2)</f>
        <v>-0.82</v>
      </c>
      <c r="P73" s="2">
        <f>ROUND(CQ73*I73,2)</f>
        <v>0</v>
      </c>
      <c r="Q73" s="2">
        <f>ROUND(CR73*I73,2)</f>
        <v>-0.39</v>
      </c>
      <c r="R73" s="2">
        <f>ROUND(CS73*I73,2)</f>
        <v>-0.43</v>
      </c>
      <c r="S73" s="2">
        <f>ROUND(CT73*I73,2)</f>
        <v>0</v>
      </c>
      <c r="T73" s="2">
        <f t="shared" si="66"/>
        <v>0</v>
      </c>
      <c r="U73" s="2">
        <f>ROUND(CV73*I73,7)</f>
        <v>0</v>
      </c>
      <c r="V73" s="2">
        <f>ROUND(CW73*I73,7)</f>
        <v>0</v>
      </c>
      <c r="W73" s="2">
        <f t="shared" si="67"/>
        <v>0</v>
      </c>
      <c r="X73" s="2">
        <f t="shared" si="68"/>
        <v>-0.42</v>
      </c>
      <c r="Y73" s="2">
        <f t="shared" si="69"/>
        <v>-0.22</v>
      </c>
      <c r="Z73" s="2"/>
      <c r="AA73" s="2">
        <v>85997836</v>
      </c>
      <c r="AB73" s="2">
        <f t="shared" si="70"/>
        <v>643.29</v>
      </c>
      <c r="AC73" s="2">
        <f>ROUND((ES73),6)</f>
        <v>0</v>
      </c>
      <c r="AD73" s="2">
        <f>ROUND((((ET73)-(EU73))+AE73),6)</f>
        <v>643.29</v>
      </c>
      <c r="AE73" s="2">
        <f t="shared" si="95"/>
        <v>722.05</v>
      </c>
      <c r="AF73" s="2">
        <f t="shared" si="95"/>
        <v>0</v>
      </c>
      <c r="AG73" s="2">
        <f t="shared" si="71"/>
        <v>0</v>
      </c>
      <c r="AH73" s="2">
        <f t="shared" si="96"/>
        <v>0</v>
      </c>
      <c r="AI73" s="2">
        <f t="shared" si="96"/>
        <v>0</v>
      </c>
      <c r="AJ73" s="2">
        <f t="shared" si="72"/>
        <v>0</v>
      </c>
      <c r="AK73" s="2">
        <v>643.29</v>
      </c>
      <c r="AL73" s="2">
        <v>0</v>
      </c>
      <c r="AM73" s="2">
        <v>643.29</v>
      </c>
      <c r="AN73" s="2">
        <v>722.05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97</v>
      </c>
      <c r="AU73" s="2">
        <v>51</v>
      </c>
      <c r="AV73" s="2">
        <v>1</v>
      </c>
      <c r="AW73" s="2">
        <v>1</v>
      </c>
      <c r="AX73" s="2"/>
      <c r="AY73" s="2"/>
      <c r="AZ73" s="2">
        <v>1</v>
      </c>
      <c r="BA73" s="2">
        <v>1</v>
      </c>
      <c r="BB73" s="2">
        <v>1</v>
      </c>
      <c r="BC73" s="2">
        <v>1</v>
      </c>
      <c r="BD73" s="2" t="s">
        <v>3</v>
      </c>
      <c r="BE73" s="2" t="s">
        <v>3</v>
      </c>
      <c r="BF73" s="2" t="s">
        <v>3</v>
      </c>
      <c r="BG73" s="2" t="s">
        <v>3</v>
      </c>
      <c r="BH73" s="2">
        <v>2</v>
      </c>
      <c r="BI73" s="2">
        <v>2</v>
      </c>
      <c r="BJ73" s="2" t="s">
        <v>129</v>
      </c>
      <c r="BK73" s="2"/>
      <c r="BL73" s="2"/>
      <c r="BM73" s="2">
        <v>108001</v>
      </c>
      <c r="BN73" s="2">
        <v>0</v>
      </c>
      <c r="BO73" s="2" t="s">
        <v>3</v>
      </c>
      <c r="BP73" s="2">
        <v>0</v>
      </c>
      <c r="BQ73" s="2">
        <v>3</v>
      </c>
      <c r="BR73" s="2">
        <v>0</v>
      </c>
      <c r="BS73" s="2">
        <v>1</v>
      </c>
      <c r="BT73" s="2">
        <v>1</v>
      </c>
      <c r="BU73" s="2">
        <v>1</v>
      </c>
      <c r="BV73" s="2">
        <v>1</v>
      </c>
      <c r="BW73" s="2">
        <v>1</v>
      </c>
      <c r="BX73" s="2">
        <v>1</v>
      </c>
      <c r="BY73" s="2" t="s">
        <v>3</v>
      </c>
      <c r="BZ73" s="2">
        <v>97</v>
      </c>
      <c r="CA73" s="2">
        <v>51</v>
      </c>
      <c r="CB73" s="2" t="s">
        <v>3</v>
      </c>
      <c r="CC73" s="2"/>
      <c r="CD73" s="2"/>
      <c r="CE73" s="2">
        <v>0</v>
      </c>
      <c r="CF73" s="2">
        <v>0</v>
      </c>
      <c r="CG73" s="2">
        <v>0</v>
      </c>
      <c r="CH73" s="2"/>
      <c r="CI73" s="2"/>
      <c r="CJ73" s="2"/>
      <c r="CK73" s="2"/>
      <c r="CL73" s="2"/>
      <c r="CM73" s="2">
        <v>0</v>
      </c>
      <c r="CN73" s="2" t="s">
        <v>3</v>
      </c>
      <c r="CO73" s="2">
        <v>0</v>
      </c>
      <c r="CP73" s="2">
        <f>(P73+Q73+S73+R73)</f>
        <v>-0.82000000000000006</v>
      </c>
      <c r="CQ73" s="2">
        <f>ROUND(AL73*BC73,2)</f>
        <v>0</v>
      </c>
      <c r="CR73" s="2">
        <f>ROUND(AM73*BB73,2)</f>
        <v>643.29</v>
      </c>
      <c r="CS73" s="2">
        <f>ROUND(AN73*BS73,2)</f>
        <v>722.05</v>
      </c>
      <c r="CT73" s="2">
        <f>ROUND(AO73*BA73,2)</f>
        <v>0</v>
      </c>
      <c r="CU73" s="2">
        <f t="shared" ref="CU73:CX74" si="97">AG73</f>
        <v>0</v>
      </c>
      <c r="CV73" s="2">
        <f t="shared" si="97"/>
        <v>0</v>
      </c>
      <c r="CW73" s="2">
        <f t="shared" si="97"/>
        <v>0</v>
      </c>
      <c r="CX73" s="2">
        <f t="shared" si="97"/>
        <v>0</v>
      </c>
      <c r="CY73" s="2">
        <f>(((S73+R73)*AT73)/100)</f>
        <v>-0.41710000000000003</v>
      </c>
      <c r="CZ73" s="2">
        <f>(((S73+R73)*AU73)/100)</f>
        <v>-0.21929999999999999</v>
      </c>
      <c r="DA73" s="2"/>
      <c r="DB73" s="2"/>
      <c r="DC73" s="2" t="s">
        <v>3</v>
      </c>
      <c r="DD73" s="2" t="s">
        <v>3</v>
      </c>
      <c r="DE73" s="2" t="s">
        <v>3</v>
      </c>
      <c r="DF73" s="2" t="s">
        <v>3</v>
      </c>
      <c r="DG73" s="2" t="s">
        <v>3</v>
      </c>
      <c r="DH73" s="2" t="s">
        <v>3</v>
      </c>
      <c r="DI73" s="2" t="s">
        <v>3</v>
      </c>
      <c r="DJ73" s="2" t="s">
        <v>3</v>
      </c>
      <c r="DK73" s="2" t="s">
        <v>3</v>
      </c>
      <c r="DL73" s="2" t="s">
        <v>3</v>
      </c>
      <c r="DM73" s="2" t="s">
        <v>3</v>
      </c>
      <c r="DN73" s="2">
        <v>0</v>
      </c>
      <c r="DO73" s="2">
        <v>0</v>
      </c>
      <c r="DP73" s="2">
        <v>1</v>
      </c>
      <c r="DQ73" s="2">
        <v>1</v>
      </c>
      <c r="DR73" s="2"/>
      <c r="DS73" s="2"/>
      <c r="DT73" s="2"/>
      <c r="DU73" s="2">
        <v>1011</v>
      </c>
      <c r="DV73" s="2" t="s">
        <v>29</v>
      </c>
      <c r="DW73" s="2" t="s">
        <v>29</v>
      </c>
      <c r="DX73" s="2">
        <v>1</v>
      </c>
      <c r="DY73" s="2"/>
      <c r="DZ73" s="2" t="s">
        <v>3</v>
      </c>
      <c r="EA73" s="2" t="s">
        <v>3</v>
      </c>
      <c r="EB73" s="2" t="s">
        <v>3</v>
      </c>
      <c r="EC73" s="2" t="s">
        <v>3</v>
      </c>
      <c r="ED73" s="2"/>
      <c r="EE73" s="2">
        <v>84053775</v>
      </c>
      <c r="EF73" s="2">
        <v>3</v>
      </c>
      <c r="EG73" s="2" t="s">
        <v>48</v>
      </c>
      <c r="EH73" s="2">
        <v>0</v>
      </c>
      <c r="EI73" s="2" t="s">
        <v>3</v>
      </c>
      <c r="EJ73" s="2">
        <v>2</v>
      </c>
      <c r="EK73" s="2">
        <v>108001</v>
      </c>
      <c r="EL73" s="2" t="s">
        <v>49</v>
      </c>
      <c r="EM73" s="2" t="s">
        <v>50</v>
      </c>
      <c r="EN73" s="2"/>
      <c r="EO73" s="2" t="s">
        <v>3</v>
      </c>
      <c r="EP73" s="2"/>
      <c r="EQ73" s="2">
        <v>0</v>
      </c>
      <c r="ER73" s="2">
        <v>643.29</v>
      </c>
      <c r="ES73" s="2">
        <v>0</v>
      </c>
      <c r="ET73" s="2">
        <v>643.29</v>
      </c>
      <c r="EU73" s="2">
        <v>722.05</v>
      </c>
      <c r="EV73" s="2">
        <v>0</v>
      </c>
      <c r="EW73" s="2">
        <v>0</v>
      </c>
      <c r="EX73" s="2">
        <v>0</v>
      </c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>
        <v>0</v>
      </c>
      <c r="FR73" s="2">
        <v>0</v>
      </c>
      <c r="FS73" s="2">
        <v>1</v>
      </c>
      <c r="FT73" s="2"/>
      <c r="FU73" s="2"/>
      <c r="FV73" s="2"/>
      <c r="FW73" s="2"/>
      <c r="FX73" s="2">
        <v>97</v>
      </c>
      <c r="FY73" s="2">
        <v>51</v>
      </c>
      <c r="FZ73" s="2"/>
      <c r="GA73" s="2" t="s">
        <v>3</v>
      </c>
      <c r="GB73" s="2"/>
      <c r="GC73" s="2"/>
      <c r="GD73" s="2">
        <v>1</v>
      </c>
      <c r="GE73" s="2"/>
      <c r="GF73" s="2">
        <v>-849950259</v>
      </c>
      <c r="GG73" s="2">
        <v>2</v>
      </c>
      <c r="GH73" s="2">
        <v>1</v>
      </c>
      <c r="GI73" s="2">
        <v>-2</v>
      </c>
      <c r="GJ73" s="2">
        <v>0</v>
      </c>
      <c r="GK73" s="2">
        <v>0</v>
      </c>
      <c r="GL73" s="2">
        <f t="shared" si="73"/>
        <v>0</v>
      </c>
      <c r="GM73" s="2">
        <f t="shared" si="74"/>
        <v>-1.46</v>
      </c>
      <c r="GN73" s="2">
        <f t="shared" si="75"/>
        <v>0</v>
      </c>
      <c r="GO73" s="2">
        <f t="shared" si="76"/>
        <v>-1.46</v>
      </c>
      <c r="GP73" s="2">
        <f t="shared" si="77"/>
        <v>0</v>
      </c>
      <c r="GQ73" s="2"/>
      <c r="GR73" s="2">
        <v>0</v>
      </c>
      <c r="GS73" s="2">
        <v>7</v>
      </c>
      <c r="GT73" s="2">
        <v>0</v>
      </c>
      <c r="GU73" s="2" t="s">
        <v>3</v>
      </c>
      <c r="GV73" s="2">
        <f t="shared" si="78"/>
        <v>0</v>
      </c>
      <c r="GW73" s="2">
        <v>1</v>
      </c>
      <c r="GX73" s="2">
        <f t="shared" si="79"/>
        <v>0</v>
      </c>
      <c r="GY73" s="2"/>
      <c r="GZ73" s="2"/>
      <c r="HA73" s="2">
        <v>0</v>
      </c>
      <c r="HB73" s="2">
        <v>0</v>
      </c>
      <c r="HC73" s="2">
        <f>GV73*GW73</f>
        <v>0</v>
      </c>
      <c r="HD73" s="2"/>
      <c r="HE73" s="2" t="s">
        <v>3</v>
      </c>
      <c r="HF73" s="2" t="s">
        <v>3</v>
      </c>
      <c r="HG73" s="2"/>
      <c r="HH73" s="2"/>
      <c r="HI73" s="2"/>
      <c r="HJ73" s="2"/>
      <c r="HK73" s="2"/>
      <c r="HL73" s="2"/>
      <c r="HM73" s="2" t="s">
        <v>3</v>
      </c>
      <c r="HN73" s="2" t="s">
        <v>52</v>
      </c>
      <c r="HO73" s="2" t="s">
        <v>53</v>
      </c>
      <c r="HP73" s="2" t="s">
        <v>49</v>
      </c>
      <c r="HQ73" s="2" t="s">
        <v>49</v>
      </c>
      <c r="HR73" s="2"/>
      <c r="HS73" s="2">
        <v>0</v>
      </c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>
        <v>0</v>
      </c>
      <c r="IL73" s="2"/>
      <c r="IM73" s="2"/>
      <c r="IN73" s="2"/>
      <c r="IO73" s="2"/>
      <c r="IP73" s="2"/>
      <c r="IQ73" s="2"/>
      <c r="IR73" s="2"/>
      <c r="IS73" s="2"/>
      <c r="IT73" s="2"/>
      <c r="IU73" s="2"/>
    </row>
    <row r="74" spans="1:255" x14ac:dyDescent="0.2">
      <c r="A74" s="2">
        <v>18</v>
      </c>
      <c r="B74" s="2">
        <v>1</v>
      </c>
      <c r="C74" s="2">
        <v>88</v>
      </c>
      <c r="D74" s="2"/>
      <c r="E74" s="2" t="s">
        <v>186</v>
      </c>
      <c r="F74" s="2" t="s">
        <v>123</v>
      </c>
      <c r="G74" s="2" t="s">
        <v>124</v>
      </c>
      <c r="H74" s="2" t="s">
        <v>29</v>
      </c>
      <c r="I74" s="2">
        <f>I70*J74</f>
        <v>-8.9999999999999998E-4</v>
      </c>
      <c r="J74" s="2">
        <v>-0.03</v>
      </c>
      <c r="K74" s="2">
        <v>-0.03</v>
      </c>
      <c r="L74" s="2"/>
      <c r="M74" s="2"/>
      <c r="N74" s="2"/>
      <c r="O74" s="2">
        <f>ROUND(CP74,2)</f>
        <v>-1.47</v>
      </c>
      <c r="P74" s="2">
        <f>ROUND(CQ74*I74,2)</f>
        <v>0</v>
      </c>
      <c r="Q74" s="2">
        <f>ROUND(CR74*I74,2)</f>
        <v>-1.47</v>
      </c>
      <c r="R74" s="2">
        <f>ROUND(CS74*I74,2)</f>
        <v>0</v>
      </c>
      <c r="S74" s="2">
        <f>ROUND(CT74*I74,2)</f>
        <v>0</v>
      </c>
      <c r="T74" s="2">
        <f t="shared" si="66"/>
        <v>0</v>
      </c>
      <c r="U74" s="2">
        <f>ROUND(CV74*I74,7)</f>
        <v>0</v>
      </c>
      <c r="V74" s="2">
        <f>ROUND(CW74*I74,7)</f>
        <v>0</v>
      </c>
      <c r="W74" s="2">
        <f t="shared" si="67"/>
        <v>0</v>
      </c>
      <c r="X74" s="2">
        <f t="shared" si="68"/>
        <v>0</v>
      </c>
      <c r="Y74" s="2">
        <f t="shared" si="69"/>
        <v>0</v>
      </c>
      <c r="Z74" s="2"/>
      <c r="AA74" s="2">
        <v>85997836</v>
      </c>
      <c r="AB74" s="2">
        <f t="shared" si="70"/>
        <v>659.64</v>
      </c>
      <c r="AC74" s="2">
        <f>ROUND((ES74),6)</f>
        <v>0</v>
      </c>
      <c r="AD74" s="2">
        <f>ROUND((((ET74)-(EU74))+AE74),6)</f>
        <v>659.64</v>
      </c>
      <c r="AE74" s="2">
        <f>ROUND(((EU74*ROUND(0,7))),6)</f>
        <v>0</v>
      </c>
      <c r="AF74" s="2">
        <f>ROUND((EV74),6)</f>
        <v>0</v>
      </c>
      <c r="AG74" s="2">
        <f t="shared" si="71"/>
        <v>0</v>
      </c>
      <c r="AH74" s="2">
        <f t="shared" si="96"/>
        <v>0</v>
      </c>
      <c r="AI74" s="2">
        <f t="shared" si="96"/>
        <v>0</v>
      </c>
      <c r="AJ74" s="2">
        <f t="shared" si="72"/>
        <v>0</v>
      </c>
      <c r="AK74" s="2">
        <v>1629.55</v>
      </c>
      <c r="AL74" s="2">
        <v>0</v>
      </c>
      <c r="AM74" s="2">
        <v>1629.55</v>
      </c>
      <c r="AN74" s="2">
        <v>969.91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97</v>
      </c>
      <c r="AU74" s="2">
        <v>51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2</v>
      </c>
      <c r="BI74" s="2">
        <v>2</v>
      </c>
      <c r="BJ74" s="2" t="s">
        <v>125</v>
      </c>
      <c r="BK74" s="2"/>
      <c r="BL74" s="2"/>
      <c r="BM74" s="2">
        <v>108001</v>
      </c>
      <c r="BN74" s="2">
        <v>0</v>
      </c>
      <c r="BO74" s="2" t="s">
        <v>3</v>
      </c>
      <c r="BP74" s="2">
        <v>0</v>
      </c>
      <c r="BQ74" s="2">
        <v>3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97</v>
      </c>
      <c r="CA74" s="2">
        <v>51</v>
      </c>
      <c r="CB74" s="2" t="s">
        <v>3</v>
      </c>
      <c r="CC74" s="2"/>
      <c r="CD74" s="2"/>
      <c r="CE74" s="2">
        <v>0</v>
      </c>
      <c r="CF74" s="2">
        <v>0</v>
      </c>
      <c r="CG74" s="2">
        <v>0</v>
      </c>
      <c r="CH74" s="2"/>
      <c r="CI74" s="2"/>
      <c r="CJ74" s="2"/>
      <c r="CK74" s="2"/>
      <c r="CL74" s="2"/>
      <c r="CM74" s="2">
        <v>0</v>
      </c>
      <c r="CN74" s="2" t="s">
        <v>3</v>
      </c>
      <c r="CO74" s="2">
        <v>0</v>
      </c>
      <c r="CP74" s="2">
        <f>(P74+Q74+S74+R74)</f>
        <v>-1.47</v>
      </c>
      <c r="CQ74" s="2">
        <f>ROUND(AL74*BC74,2)</f>
        <v>0</v>
      </c>
      <c r="CR74" s="2">
        <f>ROUND(AM74*BB74,2)</f>
        <v>1629.55</v>
      </c>
      <c r="CS74" s="2">
        <f>(ROUND(AN74*BS74,2)*ROUND(0,7))</f>
        <v>0</v>
      </c>
      <c r="CT74" s="2">
        <f>ROUND(AO74*BA74,2)</f>
        <v>0</v>
      </c>
      <c r="CU74" s="2">
        <f t="shared" si="97"/>
        <v>0</v>
      </c>
      <c r="CV74" s="2">
        <f t="shared" si="97"/>
        <v>0</v>
      </c>
      <c r="CW74" s="2">
        <f t="shared" si="97"/>
        <v>0</v>
      </c>
      <c r="CX74" s="2">
        <f t="shared" si="97"/>
        <v>0</v>
      </c>
      <c r="CY74" s="2">
        <f>(((S74+R74)*AT74)/100)</f>
        <v>0</v>
      </c>
      <c r="CZ74" s="2">
        <f>(((S74+R74)*AU74)/100)</f>
        <v>0</v>
      </c>
      <c r="DA74" s="2"/>
      <c r="DB74" s="2"/>
      <c r="DC74" s="2" t="s">
        <v>3</v>
      </c>
      <c r="DD74" s="2" t="s">
        <v>3</v>
      </c>
      <c r="DE74" s="2" t="s">
        <v>3</v>
      </c>
      <c r="DF74" s="2" t="s">
        <v>46</v>
      </c>
      <c r="DG74" s="2" t="s">
        <v>3</v>
      </c>
      <c r="DH74" s="2" t="s">
        <v>3</v>
      </c>
      <c r="DI74" s="2" t="s">
        <v>3</v>
      </c>
      <c r="DJ74" s="2" t="s">
        <v>3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</v>
      </c>
      <c r="DQ74" s="2">
        <v>1</v>
      </c>
      <c r="DR74" s="2"/>
      <c r="DS74" s="2"/>
      <c r="DT74" s="2"/>
      <c r="DU74" s="2">
        <v>1011</v>
      </c>
      <c r="DV74" s="2" t="s">
        <v>29</v>
      </c>
      <c r="DW74" s="2" t="s">
        <v>29</v>
      </c>
      <c r="DX74" s="2">
        <v>1</v>
      </c>
      <c r="DY74" s="2"/>
      <c r="DZ74" s="2" t="s">
        <v>3</v>
      </c>
      <c r="EA74" s="2" t="s">
        <v>3</v>
      </c>
      <c r="EB74" s="2" t="s">
        <v>3</v>
      </c>
      <c r="EC74" s="2" t="s">
        <v>3</v>
      </c>
      <c r="ED74" s="2"/>
      <c r="EE74" s="2">
        <v>84053775</v>
      </c>
      <c r="EF74" s="2">
        <v>3</v>
      </c>
      <c r="EG74" s="2" t="s">
        <v>48</v>
      </c>
      <c r="EH74" s="2">
        <v>0</v>
      </c>
      <c r="EI74" s="2" t="s">
        <v>3</v>
      </c>
      <c r="EJ74" s="2">
        <v>2</v>
      </c>
      <c r="EK74" s="2">
        <v>108001</v>
      </c>
      <c r="EL74" s="2" t="s">
        <v>49</v>
      </c>
      <c r="EM74" s="2" t="s">
        <v>50</v>
      </c>
      <c r="EN74" s="2"/>
      <c r="EO74" s="2" t="s">
        <v>3</v>
      </c>
      <c r="EP74" s="2"/>
      <c r="EQ74" s="2">
        <v>0</v>
      </c>
      <c r="ER74" s="2">
        <v>1629.55</v>
      </c>
      <c r="ES74" s="2">
        <v>0</v>
      </c>
      <c r="ET74" s="2">
        <v>1629.55</v>
      </c>
      <c r="EU74" s="2">
        <v>969.91</v>
      </c>
      <c r="EV74" s="2">
        <v>0</v>
      </c>
      <c r="EW74" s="2">
        <v>0</v>
      </c>
      <c r="EX74" s="2">
        <v>0</v>
      </c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v>0</v>
      </c>
      <c r="FS74" s="2">
        <v>1</v>
      </c>
      <c r="FT74" s="2"/>
      <c r="FU74" s="2"/>
      <c r="FV74" s="2"/>
      <c r="FW74" s="2"/>
      <c r="FX74" s="2">
        <v>97</v>
      </c>
      <c r="FY74" s="2">
        <v>51</v>
      </c>
      <c r="FZ74" s="2"/>
      <c r="GA74" s="2" t="s">
        <v>3</v>
      </c>
      <c r="GB74" s="2"/>
      <c r="GC74" s="2"/>
      <c r="GD74" s="2">
        <v>1</v>
      </c>
      <c r="GE74" s="2"/>
      <c r="GF74" s="2">
        <v>639918019</v>
      </c>
      <c r="GG74" s="2">
        <v>2</v>
      </c>
      <c r="GH74" s="2">
        <v>1</v>
      </c>
      <c r="GI74" s="2">
        <v>-2</v>
      </c>
      <c r="GJ74" s="2">
        <v>0</v>
      </c>
      <c r="GK74" s="2">
        <v>0</v>
      </c>
      <c r="GL74" s="2">
        <f t="shared" si="73"/>
        <v>0</v>
      </c>
      <c r="GM74" s="2">
        <f t="shared" si="74"/>
        <v>-1.47</v>
      </c>
      <c r="GN74" s="2">
        <f t="shared" si="75"/>
        <v>0</v>
      </c>
      <c r="GO74" s="2">
        <f t="shared" si="76"/>
        <v>-1.47</v>
      </c>
      <c r="GP74" s="2">
        <f t="shared" si="77"/>
        <v>0</v>
      </c>
      <c r="GQ74" s="2"/>
      <c r="GR74" s="2">
        <v>0</v>
      </c>
      <c r="GS74" s="2">
        <v>7</v>
      </c>
      <c r="GT74" s="2">
        <v>0</v>
      </c>
      <c r="GU74" s="2" t="s">
        <v>3</v>
      </c>
      <c r="GV74" s="2">
        <f t="shared" si="78"/>
        <v>0</v>
      </c>
      <c r="GW74" s="2">
        <v>1</v>
      </c>
      <c r="GX74" s="2">
        <f t="shared" si="79"/>
        <v>0</v>
      </c>
      <c r="GY74" s="2"/>
      <c r="GZ74" s="2"/>
      <c r="HA74" s="2">
        <v>0</v>
      </c>
      <c r="HB74" s="2">
        <v>0</v>
      </c>
      <c r="HC74" s="2">
        <f>GV74*GW74</f>
        <v>0</v>
      </c>
      <c r="HD74" s="2"/>
      <c r="HE74" s="2" t="s">
        <v>3</v>
      </c>
      <c r="HF74" s="2" t="s">
        <v>3</v>
      </c>
      <c r="HG74" s="2"/>
      <c r="HH74" s="2"/>
      <c r="HI74" s="2"/>
      <c r="HJ74" s="2"/>
      <c r="HK74" s="2"/>
      <c r="HL74" s="2"/>
      <c r="HM74" s="2" t="s">
        <v>3</v>
      </c>
      <c r="HN74" s="2" t="s">
        <v>52</v>
      </c>
      <c r="HO74" s="2" t="s">
        <v>53</v>
      </c>
      <c r="HP74" s="2" t="s">
        <v>49</v>
      </c>
      <c r="HQ74" s="2" t="s">
        <v>49</v>
      </c>
      <c r="HR74" s="2"/>
      <c r="HS74" s="2">
        <v>0</v>
      </c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">
      <c r="A75" s="2">
        <v>17</v>
      </c>
      <c r="B75" s="2">
        <v>1</v>
      </c>
      <c r="C75" s="2">
        <f>ROW(SmtRes!A110)</f>
        <v>110</v>
      </c>
      <c r="D75" s="2">
        <f>ROW(EtalonRes!A97)</f>
        <v>97</v>
      </c>
      <c r="E75" s="2" t="s">
        <v>187</v>
      </c>
      <c r="F75" s="2" t="s">
        <v>188</v>
      </c>
      <c r="G75" s="2" t="s">
        <v>189</v>
      </c>
      <c r="H75" s="2" t="s">
        <v>43</v>
      </c>
      <c r="I75" s="2">
        <f>ROUND(3+3,7)</f>
        <v>6</v>
      </c>
      <c r="J75" s="2">
        <v>0</v>
      </c>
      <c r="K75" s="2">
        <f>ROUND(3+3,7)</f>
        <v>6</v>
      </c>
      <c r="L75" s="2"/>
      <c r="M75" s="2"/>
      <c r="N75" s="2"/>
      <c r="O75" s="2">
        <f>ROUND(CP75,2)</f>
        <v>7552.19</v>
      </c>
      <c r="P75" s="2">
        <f>SUMIF(SmtRes!AQ94:'SmtRes'!AQ110,"=1",SmtRes!DF94:'SmtRes'!DF110)</f>
        <v>1791.05</v>
      </c>
      <c r="Q75" s="2">
        <f>SUMIF(SmtRes!AQ94:'SmtRes'!AQ110,"=1",SmtRes!DG94:'SmtRes'!DG110)</f>
        <v>20.9</v>
      </c>
      <c r="R75" s="2">
        <f>SUMIF(SmtRes!AQ94:'SmtRes'!AQ110,"=1",SmtRes!DH94:'SmtRes'!DH110)</f>
        <v>0</v>
      </c>
      <c r="S75" s="2">
        <f>SUMIF(SmtRes!AQ94:'SmtRes'!AQ110,"=1",SmtRes!DI94:'SmtRes'!DI110)</f>
        <v>5740.24</v>
      </c>
      <c r="T75" s="2">
        <f t="shared" si="66"/>
        <v>0</v>
      </c>
      <c r="U75" s="2">
        <f>SUMIF(SmtRes!AQ94:'SmtRes'!AQ110,"=1",SmtRes!CV94:'SmtRes'!CV110)</f>
        <v>8.0399999999999991</v>
      </c>
      <c r="V75" s="2">
        <f>SUMIF(SmtRes!AQ94:'SmtRes'!AQ110,"=1",SmtRes!CW94:'SmtRes'!CW110)</f>
        <v>0</v>
      </c>
      <c r="W75" s="2">
        <f t="shared" si="67"/>
        <v>0</v>
      </c>
      <c r="X75" s="2">
        <f t="shared" si="68"/>
        <v>5568.03</v>
      </c>
      <c r="Y75" s="2">
        <f t="shared" si="69"/>
        <v>2927.52</v>
      </c>
      <c r="Z75" s="2"/>
      <c r="AA75" s="2">
        <v>85997836</v>
      </c>
      <c r="AB75" s="2">
        <f t="shared" si="70"/>
        <v>1191.302514</v>
      </c>
      <c r="AC75" s="2">
        <f>ROUND((SUM(SmtRes!BQ94:'SmtRes'!BQ110)),6)</f>
        <v>231.11203399999999</v>
      </c>
      <c r="AD75" s="2">
        <f>ROUND((((SUM(SmtRes!BR94:'SmtRes'!BR110))-(0))+AE75),6)</f>
        <v>3.4840800000000001</v>
      </c>
      <c r="AE75" s="2">
        <f>ROUND((0),6)</f>
        <v>0</v>
      </c>
      <c r="AF75" s="2">
        <f>ROUND((SUM(SmtRes!BT94:'SmtRes'!BT110)),6)</f>
        <v>956.70640000000003</v>
      </c>
      <c r="AG75" s="2">
        <f t="shared" si="71"/>
        <v>0</v>
      </c>
      <c r="AH75" s="2">
        <f>(SUM(SmtRes!BU94:'SmtRes'!BU110))</f>
        <v>1.34</v>
      </c>
      <c r="AI75" s="2">
        <f>(0)</f>
        <v>0</v>
      </c>
      <c r="AJ75" s="2">
        <f t="shared" si="72"/>
        <v>0</v>
      </c>
      <c r="AK75" s="2">
        <v>1191.3025140000002</v>
      </c>
      <c r="AL75" s="2">
        <v>231.11203399999999</v>
      </c>
      <c r="AM75" s="2">
        <v>3.4840799999999996</v>
      </c>
      <c r="AN75" s="2">
        <v>0</v>
      </c>
      <c r="AO75" s="2">
        <v>956.70640000000014</v>
      </c>
      <c r="AP75" s="2">
        <v>0</v>
      </c>
      <c r="AQ75" s="2">
        <v>1.34</v>
      </c>
      <c r="AR75" s="2">
        <v>0</v>
      </c>
      <c r="AS75" s="2">
        <v>0</v>
      </c>
      <c r="AT75" s="2">
        <v>97</v>
      </c>
      <c r="AU75" s="2">
        <v>51</v>
      </c>
      <c r="AV75" s="2">
        <v>1</v>
      </c>
      <c r="AW75" s="2">
        <v>1</v>
      </c>
      <c r="AX75" s="2"/>
      <c r="AY75" s="2"/>
      <c r="AZ75" s="2">
        <v>1</v>
      </c>
      <c r="BA75" s="2">
        <v>1</v>
      </c>
      <c r="BB75" s="2">
        <v>1</v>
      </c>
      <c r="BC75" s="2">
        <v>1</v>
      </c>
      <c r="BD75" s="2" t="s">
        <v>3</v>
      </c>
      <c r="BE75" s="2" t="s">
        <v>3</v>
      </c>
      <c r="BF75" s="2" t="s">
        <v>3</v>
      </c>
      <c r="BG75" s="2" t="s">
        <v>3</v>
      </c>
      <c r="BH75" s="2">
        <v>0</v>
      </c>
      <c r="BI75" s="2">
        <v>2</v>
      </c>
      <c r="BJ75" s="2" t="s">
        <v>190</v>
      </c>
      <c r="BK75" s="2"/>
      <c r="BL75" s="2"/>
      <c r="BM75" s="2">
        <v>108001</v>
      </c>
      <c r="BN75" s="2">
        <v>0</v>
      </c>
      <c r="BO75" s="2" t="s">
        <v>3</v>
      </c>
      <c r="BP75" s="2">
        <v>0</v>
      </c>
      <c r="BQ75" s="2">
        <v>3</v>
      </c>
      <c r="BR75" s="2">
        <v>0</v>
      </c>
      <c r="BS75" s="2">
        <v>1</v>
      </c>
      <c r="BT75" s="2">
        <v>1</v>
      </c>
      <c r="BU75" s="2">
        <v>1</v>
      </c>
      <c r="BV75" s="2">
        <v>1</v>
      </c>
      <c r="BW75" s="2">
        <v>1</v>
      </c>
      <c r="BX75" s="2">
        <v>1</v>
      </c>
      <c r="BY75" s="2" t="s">
        <v>3</v>
      </c>
      <c r="BZ75" s="2">
        <v>97</v>
      </c>
      <c r="CA75" s="2">
        <v>51</v>
      </c>
      <c r="CB75" s="2" t="s">
        <v>3</v>
      </c>
      <c r="CC75" s="2"/>
      <c r="CD75" s="2"/>
      <c r="CE75" s="2">
        <v>0</v>
      </c>
      <c r="CF75" s="2">
        <v>0</v>
      </c>
      <c r="CG75" s="2">
        <v>0</v>
      </c>
      <c r="CH75" s="2"/>
      <c r="CI75" s="2"/>
      <c r="CJ75" s="2"/>
      <c r="CK75" s="2"/>
      <c r="CL75" s="2"/>
      <c r="CM75" s="2">
        <v>0</v>
      </c>
      <c r="CN75" s="2" t="s">
        <v>3</v>
      </c>
      <c r="CO75" s="2">
        <v>0</v>
      </c>
      <c r="CP75" s="2">
        <f>(P75+Q75+S75+R75)</f>
        <v>7552.19</v>
      </c>
      <c r="CQ75" s="2">
        <f>SUMIF(SmtRes!AQ94:'SmtRes'!AQ110,"=1",SmtRes!AA94:'SmtRes'!AA110)</f>
        <v>139858.95000000001</v>
      </c>
      <c r="CR75" s="2">
        <f>SUMIF(SmtRes!AQ94:'SmtRes'!AQ110,"=1",SmtRes!AB94:'SmtRes'!AB110)</f>
        <v>32.26</v>
      </c>
      <c r="CS75" s="2">
        <f>SUMIF(SmtRes!AQ94:'SmtRes'!AQ110,"=1",SmtRes!AC94:'SmtRes'!AC110)</f>
        <v>0</v>
      </c>
      <c r="CT75" s="2">
        <f>SUMIF(SmtRes!AQ94:'SmtRes'!AQ110,"=1",SmtRes!AD94:'SmtRes'!AD110)</f>
        <v>713.96</v>
      </c>
      <c r="CU75" s="2">
        <f>AG75</f>
        <v>0</v>
      </c>
      <c r="CV75" s="2">
        <f>SUMIF(SmtRes!AQ94:'SmtRes'!AQ110,"=1",SmtRes!BU94:'SmtRes'!BU110)</f>
        <v>1.34</v>
      </c>
      <c r="CW75" s="2">
        <f>SUMIF(SmtRes!AQ94:'SmtRes'!AQ110,"=1",SmtRes!BV94:'SmtRes'!BV110)</f>
        <v>0</v>
      </c>
      <c r="CX75" s="2">
        <f>AJ75</f>
        <v>0</v>
      </c>
      <c r="CY75" s="2">
        <f>(((S75+R75)*AT75)/100)</f>
        <v>5568.0328</v>
      </c>
      <c r="CZ75" s="2">
        <f>(((S75+R75)*AU75)/100)</f>
        <v>2927.5223999999998</v>
      </c>
      <c r="DA75" s="2"/>
      <c r="DB75" s="2"/>
      <c r="DC75" s="2" t="s">
        <v>3</v>
      </c>
      <c r="DD75" s="2" t="s">
        <v>3</v>
      </c>
      <c r="DE75" s="2" t="s">
        <v>3</v>
      </c>
      <c r="DF75" s="2" t="s">
        <v>3</v>
      </c>
      <c r="DG75" s="2" t="s">
        <v>3</v>
      </c>
      <c r="DH75" s="2" t="s">
        <v>3</v>
      </c>
      <c r="DI75" s="2" t="s">
        <v>3</v>
      </c>
      <c r="DJ75" s="2" t="s">
        <v>3</v>
      </c>
      <c r="DK75" s="2" t="s">
        <v>3</v>
      </c>
      <c r="DL75" s="2" t="s">
        <v>3</v>
      </c>
      <c r="DM75" s="2" t="s">
        <v>3</v>
      </c>
      <c r="DN75" s="2">
        <v>0</v>
      </c>
      <c r="DO75" s="2">
        <v>0</v>
      </c>
      <c r="DP75" s="2">
        <v>1</v>
      </c>
      <c r="DQ75" s="2">
        <v>1</v>
      </c>
      <c r="DR75" s="2"/>
      <c r="DS75" s="2"/>
      <c r="DT75" s="2"/>
      <c r="DU75" s="2">
        <v>1013</v>
      </c>
      <c r="DV75" s="2" t="s">
        <v>43</v>
      </c>
      <c r="DW75" s="2" t="s">
        <v>43</v>
      </c>
      <c r="DX75" s="2">
        <v>1</v>
      </c>
      <c r="DY75" s="2"/>
      <c r="DZ75" s="2" t="s">
        <v>3</v>
      </c>
      <c r="EA75" s="2" t="s">
        <v>3</v>
      </c>
      <c r="EB75" s="2" t="s">
        <v>3</v>
      </c>
      <c r="EC75" s="2" t="s">
        <v>3</v>
      </c>
      <c r="ED75" s="2"/>
      <c r="EE75" s="2">
        <v>84053775</v>
      </c>
      <c r="EF75" s="2">
        <v>3</v>
      </c>
      <c r="EG75" s="2" t="s">
        <v>48</v>
      </c>
      <c r="EH75" s="2">
        <v>0</v>
      </c>
      <c r="EI75" s="2" t="s">
        <v>3</v>
      </c>
      <c r="EJ75" s="2">
        <v>2</v>
      </c>
      <c r="EK75" s="2">
        <v>108001</v>
      </c>
      <c r="EL75" s="2" t="s">
        <v>49</v>
      </c>
      <c r="EM75" s="2" t="s">
        <v>50</v>
      </c>
      <c r="EN75" s="2"/>
      <c r="EO75" s="2" t="s">
        <v>3</v>
      </c>
      <c r="EP75" s="2"/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1.34</v>
      </c>
      <c r="EX75" s="2">
        <v>0</v>
      </c>
      <c r="EY75" s="2">
        <v>0</v>
      </c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>
        <v>0</v>
      </c>
      <c r="FR75" s="2">
        <v>0</v>
      </c>
      <c r="FS75" s="2">
        <v>0</v>
      </c>
      <c r="FT75" s="2"/>
      <c r="FU75" s="2"/>
      <c r="FV75" s="2"/>
      <c r="FW75" s="2"/>
      <c r="FX75" s="2">
        <v>97</v>
      </c>
      <c r="FY75" s="2">
        <v>51</v>
      </c>
      <c r="FZ75" s="2"/>
      <c r="GA75" s="2" t="s">
        <v>3</v>
      </c>
      <c r="GB75" s="2"/>
      <c r="GC75" s="2"/>
      <c r="GD75" s="2">
        <v>1</v>
      </c>
      <c r="GE75" s="2"/>
      <c r="GF75" s="2">
        <v>798439408</v>
      </c>
      <c r="GG75" s="2">
        <v>2</v>
      </c>
      <c r="GH75" s="2">
        <v>1</v>
      </c>
      <c r="GI75" s="2">
        <v>-2</v>
      </c>
      <c r="GJ75" s="2">
        <v>0</v>
      </c>
      <c r="GK75" s="2">
        <v>0</v>
      </c>
      <c r="GL75" s="2">
        <f t="shared" si="73"/>
        <v>0</v>
      </c>
      <c r="GM75" s="2">
        <f t="shared" si="74"/>
        <v>16047.74</v>
      </c>
      <c r="GN75" s="2">
        <f t="shared" si="75"/>
        <v>0</v>
      </c>
      <c r="GO75" s="2">
        <f t="shared" si="76"/>
        <v>16047.74</v>
      </c>
      <c r="GP75" s="2">
        <f t="shared" si="77"/>
        <v>0</v>
      </c>
      <c r="GQ75" s="2"/>
      <c r="GR75" s="2">
        <v>0</v>
      </c>
      <c r="GS75" s="2">
        <v>0</v>
      </c>
      <c r="GT75" s="2">
        <v>0</v>
      </c>
      <c r="GU75" s="2" t="s">
        <v>3</v>
      </c>
      <c r="GV75" s="2">
        <f t="shared" si="78"/>
        <v>0</v>
      </c>
      <c r="GW75" s="2">
        <v>1</v>
      </c>
      <c r="GX75" s="2">
        <f t="shared" si="79"/>
        <v>0</v>
      </c>
      <c r="GY75" s="2"/>
      <c r="GZ75" s="2"/>
      <c r="HA75" s="2">
        <v>0</v>
      </c>
      <c r="HB75" s="2">
        <v>0</v>
      </c>
      <c r="HC75" s="2">
        <f>GV75*GW75</f>
        <v>0</v>
      </c>
      <c r="HD75" s="2"/>
      <c r="HE75" s="2" t="s">
        <v>3</v>
      </c>
      <c r="HF75" s="2" t="s">
        <v>3</v>
      </c>
      <c r="HG75" s="2"/>
      <c r="HH75" s="2"/>
      <c r="HI75" s="2"/>
      <c r="HJ75" s="2"/>
      <c r="HK75" s="2"/>
      <c r="HL75" s="2"/>
      <c r="HM75" s="2" t="s">
        <v>3</v>
      </c>
      <c r="HN75" s="2" t="s">
        <v>52</v>
      </c>
      <c r="HO75" s="2" t="s">
        <v>53</v>
      </c>
      <c r="HP75" s="2" t="s">
        <v>49</v>
      </c>
      <c r="HQ75" s="2" t="s">
        <v>49</v>
      </c>
      <c r="HR75" s="2"/>
      <c r="HS75" s="2">
        <v>0</v>
      </c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>
        <v>0</v>
      </c>
      <c r="IL75" s="2"/>
      <c r="IM75" s="2"/>
      <c r="IN75" s="2"/>
      <c r="IO75" s="2"/>
      <c r="IP75" s="2"/>
      <c r="IQ75" s="2"/>
      <c r="IR75" s="2"/>
      <c r="IS75" s="2"/>
      <c r="IT75" s="2"/>
      <c r="IU75" s="2"/>
    </row>
    <row r="76" spans="1:255" x14ac:dyDescent="0.2">
      <c r="A76" s="2">
        <v>18</v>
      </c>
      <c r="B76" s="2">
        <v>1</v>
      </c>
      <c r="C76" s="2">
        <v>109</v>
      </c>
      <c r="D76" s="2"/>
      <c r="E76" s="2" t="s">
        <v>191</v>
      </c>
      <c r="F76" s="2" t="s">
        <v>192</v>
      </c>
      <c r="G76" s="2" t="s">
        <v>193</v>
      </c>
      <c r="H76" s="2" t="s">
        <v>43</v>
      </c>
      <c r="I76" s="2">
        <f>I75*J76</f>
        <v>3</v>
      </c>
      <c r="J76" s="2">
        <v>0.5</v>
      </c>
      <c r="K76" s="2">
        <v>0.5</v>
      </c>
      <c r="L76" s="2"/>
      <c r="M76" s="2"/>
      <c r="N76" s="2"/>
      <c r="O76" s="2">
        <f>ROUND(CP76,2)</f>
        <v>2655.81</v>
      </c>
      <c r="P76" s="2">
        <f>ROUND(CQ76*I76,2)</f>
        <v>2655.81</v>
      </c>
      <c r="Q76" s="2">
        <f>ROUND(CR76*I76,2)</f>
        <v>0</v>
      </c>
      <c r="R76" s="2">
        <f>ROUND(CS76*I76,2)</f>
        <v>0</v>
      </c>
      <c r="S76" s="2">
        <f>ROUND(CT76*I76,2)</f>
        <v>0</v>
      </c>
      <c r="T76" s="2">
        <f t="shared" si="66"/>
        <v>0</v>
      </c>
      <c r="U76" s="2">
        <f>ROUND(CV76*I76,7)</f>
        <v>0</v>
      </c>
      <c r="V76" s="2">
        <f>ROUND(CW76*I76,7)</f>
        <v>0</v>
      </c>
      <c r="W76" s="2">
        <f t="shared" si="67"/>
        <v>0</v>
      </c>
      <c r="X76" s="2">
        <f t="shared" si="68"/>
        <v>0</v>
      </c>
      <c r="Y76" s="2">
        <f t="shared" si="69"/>
        <v>0</v>
      </c>
      <c r="Z76" s="2"/>
      <c r="AA76" s="2">
        <v>85997836</v>
      </c>
      <c r="AB76" s="2">
        <f t="shared" si="70"/>
        <v>763.16</v>
      </c>
      <c r="AC76" s="2">
        <f>ROUND((ES76),6)</f>
        <v>763.16</v>
      </c>
      <c r="AD76" s="2">
        <f>ROUND((((ET76)-(EU76))+AE76),6)</f>
        <v>0</v>
      </c>
      <c r="AE76" s="2">
        <f t="shared" ref="AE76:AF78" si="98">ROUND((EU76),6)</f>
        <v>0</v>
      </c>
      <c r="AF76" s="2">
        <f t="shared" si="98"/>
        <v>0</v>
      </c>
      <c r="AG76" s="2">
        <f t="shared" si="71"/>
        <v>0</v>
      </c>
      <c r="AH76" s="2">
        <f t="shared" ref="AH76:AI78" si="99">(EW76)</f>
        <v>0</v>
      </c>
      <c r="AI76" s="2">
        <f t="shared" si="99"/>
        <v>0</v>
      </c>
      <c r="AJ76" s="2">
        <f t="shared" si="72"/>
        <v>0</v>
      </c>
      <c r="AK76" s="2">
        <v>763.16</v>
      </c>
      <c r="AL76" s="2">
        <v>763.16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97</v>
      </c>
      <c r="AU76" s="2">
        <v>51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1.1599999999999999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3</v>
      </c>
      <c r="BI76" s="2">
        <v>2</v>
      </c>
      <c r="BJ76" s="2" t="s">
        <v>194</v>
      </c>
      <c r="BK76" s="2"/>
      <c r="BL76" s="2"/>
      <c r="BM76" s="2">
        <v>108001</v>
      </c>
      <c r="BN76" s="2">
        <v>0</v>
      </c>
      <c r="BO76" s="2" t="s">
        <v>192</v>
      </c>
      <c r="BP76" s="2">
        <v>1</v>
      </c>
      <c r="BQ76" s="2">
        <v>3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97</v>
      </c>
      <c r="CA76" s="2">
        <v>51</v>
      </c>
      <c r="CB76" s="2" t="s">
        <v>3</v>
      </c>
      <c r="CC76" s="2"/>
      <c r="CD76" s="2"/>
      <c r="CE76" s="2">
        <v>0</v>
      </c>
      <c r="CF76" s="2">
        <v>0</v>
      </c>
      <c r="CG76" s="2">
        <v>0</v>
      </c>
      <c r="CH76" s="2"/>
      <c r="CI76" s="2"/>
      <c r="CJ76" s="2"/>
      <c r="CK76" s="2"/>
      <c r="CL76" s="2"/>
      <c r="CM76" s="2">
        <v>0</v>
      </c>
      <c r="CN76" s="2" t="s">
        <v>3</v>
      </c>
      <c r="CO76" s="2">
        <v>0</v>
      </c>
      <c r="CP76" s="2">
        <f>(P76+Q76+S76+R76)</f>
        <v>2655.81</v>
      </c>
      <c r="CQ76" s="2">
        <f>ROUND(AL76*BC76,2)</f>
        <v>885.27</v>
      </c>
      <c r="CR76" s="2">
        <f>ROUND(AM76*BB76,2)</f>
        <v>0</v>
      </c>
      <c r="CS76" s="2">
        <f>ROUND(AN76*BS76,2)</f>
        <v>0</v>
      </c>
      <c r="CT76" s="2">
        <f>ROUND(AO76*BA76,2)</f>
        <v>0</v>
      </c>
      <c r="CU76" s="2">
        <f>AG76</f>
        <v>0</v>
      </c>
      <c r="CV76" s="2">
        <f>AH76</f>
        <v>0</v>
      </c>
      <c r="CW76" s="2">
        <f>AI76</f>
        <v>0</v>
      </c>
      <c r="CX76" s="2">
        <f>AJ76</f>
        <v>0</v>
      </c>
      <c r="CY76" s="2">
        <f>(((S76+R76)*AT76)/100)</f>
        <v>0</v>
      </c>
      <c r="CZ76" s="2">
        <f>(((S76+R76)*AU76)/100)</f>
        <v>0</v>
      </c>
      <c r="DA76" s="2"/>
      <c r="DB76" s="2"/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</v>
      </c>
      <c r="DQ76" s="2">
        <v>1</v>
      </c>
      <c r="DR76" s="2"/>
      <c r="DS76" s="2"/>
      <c r="DT76" s="2"/>
      <c r="DU76" s="2">
        <v>1013</v>
      </c>
      <c r="DV76" s="2" t="s">
        <v>43</v>
      </c>
      <c r="DW76" s="2" t="s">
        <v>43</v>
      </c>
      <c r="DX76" s="2">
        <v>1</v>
      </c>
      <c r="DY76" s="2"/>
      <c r="DZ76" s="2" t="s">
        <v>3</v>
      </c>
      <c r="EA76" s="2" t="s">
        <v>3</v>
      </c>
      <c r="EB76" s="2" t="s">
        <v>3</v>
      </c>
      <c r="EC76" s="2" t="s">
        <v>3</v>
      </c>
      <c r="ED76" s="2"/>
      <c r="EE76" s="2">
        <v>84053775</v>
      </c>
      <c r="EF76" s="2">
        <v>3</v>
      </c>
      <c r="EG76" s="2" t="s">
        <v>48</v>
      </c>
      <c r="EH76" s="2">
        <v>0</v>
      </c>
      <c r="EI76" s="2" t="s">
        <v>3</v>
      </c>
      <c r="EJ76" s="2">
        <v>2</v>
      </c>
      <c r="EK76" s="2">
        <v>108001</v>
      </c>
      <c r="EL76" s="2" t="s">
        <v>49</v>
      </c>
      <c r="EM76" s="2" t="s">
        <v>50</v>
      </c>
      <c r="EN76" s="2"/>
      <c r="EO76" s="2" t="s">
        <v>3</v>
      </c>
      <c r="EP76" s="2"/>
      <c r="EQ76" s="2">
        <v>0</v>
      </c>
      <c r="ER76" s="2">
        <v>763.16</v>
      </c>
      <c r="ES76" s="2">
        <v>763.16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v>0</v>
      </c>
      <c r="FS76" s="2">
        <v>0</v>
      </c>
      <c r="FT76" s="2"/>
      <c r="FU76" s="2"/>
      <c r="FV76" s="2"/>
      <c r="FW76" s="2"/>
      <c r="FX76" s="2">
        <v>97</v>
      </c>
      <c r="FY76" s="2">
        <v>51</v>
      </c>
      <c r="FZ76" s="2"/>
      <c r="GA76" s="2" t="s">
        <v>3</v>
      </c>
      <c r="GB76" s="2"/>
      <c r="GC76" s="2"/>
      <c r="GD76" s="2">
        <v>1</v>
      </c>
      <c r="GE76" s="2"/>
      <c r="GF76" s="2">
        <v>-1954825680</v>
      </c>
      <c r="GG76" s="2">
        <v>2</v>
      </c>
      <c r="GH76" s="2">
        <v>1</v>
      </c>
      <c r="GI76" s="2">
        <v>2</v>
      </c>
      <c r="GJ76" s="2">
        <v>0</v>
      </c>
      <c r="GK76" s="2">
        <v>0</v>
      </c>
      <c r="GL76" s="2">
        <f t="shared" si="73"/>
        <v>0</v>
      </c>
      <c r="GM76" s="2">
        <f t="shared" si="74"/>
        <v>2655.81</v>
      </c>
      <c r="GN76" s="2">
        <f t="shared" si="75"/>
        <v>0</v>
      </c>
      <c r="GO76" s="2">
        <f t="shared" si="76"/>
        <v>2655.81</v>
      </c>
      <c r="GP76" s="2">
        <f t="shared" si="77"/>
        <v>0</v>
      </c>
      <c r="GQ76" s="2"/>
      <c r="GR76" s="2">
        <v>0</v>
      </c>
      <c r="GS76" s="2">
        <v>0</v>
      </c>
      <c r="GT76" s="2">
        <v>0</v>
      </c>
      <c r="GU76" s="2" t="s">
        <v>3</v>
      </c>
      <c r="GV76" s="2">
        <f t="shared" si="78"/>
        <v>0</v>
      </c>
      <c r="GW76" s="2">
        <v>1</v>
      </c>
      <c r="GX76" s="2">
        <f t="shared" si="79"/>
        <v>0</v>
      </c>
      <c r="GY76" s="2"/>
      <c r="GZ76" s="2"/>
      <c r="HA76" s="2">
        <v>0</v>
      </c>
      <c r="HB76" s="2">
        <v>0</v>
      </c>
      <c r="HC76" s="2">
        <f>GV76*GW76</f>
        <v>0</v>
      </c>
      <c r="HD76" s="2"/>
      <c r="HE76" s="2" t="s">
        <v>3</v>
      </c>
      <c r="HF76" s="2" t="s">
        <v>3</v>
      </c>
      <c r="HG76" s="2"/>
      <c r="HH76" s="2"/>
      <c r="HI76" s="2"/>
      <c r="HJ76" s="2"/>
      <c r="HK76" s="2"/>
      <c r="HL76" s="2"/>
      <c r="HM76" s="2" t="s">
        <v>3</v>
      </c>
      <c r="HN76" s="2" t="s">
        <v>52</v>
      </c>
      <c r="HO76" s="2" t="s">
        <v>53</v>
      </c>
      <c r="HP76" s="2" t="s">
        <v>49</v>
      </c>
      <c r="HQ76" s="2" t="s">
        <v>49</v>
      </c>
      <c r="HR76" s="2"/>
      <c r="HS76" s="2">
        <v>0</v>
      </c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">
      <c r="A77" s="2">
        <v>18</v>
      </c>
      <c r="B77" s="2">
        <v>1</v>
      </c>
      <c r="C77" s="2">
        <v>110</v>
      </c>
      <c r="D77" s="2"/>
      <c r="E77" s="2" t="s">
        <v>195</v>
      </c>
      <c r="F77" s="2" t="s">
        <v>196</v>
      </c>
      <c r="G77" s="2" t="s">
        <v>197</v>
      </c>
      <c r="H77" s="2" t="s">
        <v>43</v>
      </c>
      <c r="I77" s="2">
        <f>I75*J77</f>
        <v>3</v>
      </c>
      <c r="J77" s="2">
        <v>0.5</v>
      </c>
      <c r="K77" s="2">
        <v>0.5</v>
      </c>
      <c r="L77" s="2"/>
      <c r="M77" s="2"/>
      <c r="N77" s="2"/>
      <c r="O77" s="2">
        <f>ROUND(CP77,2)</f>
        <v>2569.5</v>
      </c>
      <c r="P77" s="2">
        <f>ROUND(CQ77*I77,2)</f>
        <v>2569.5</v>
      </c>
      <c r="Q77" s="2">
        <f>ROUND(CR77*I77,2)</f>
        <v>0</v>
      </c>
      <c r="R77" s="2">
        <f>ROUND(CS77*I77,2)</f>
        <v>0</v>
      </c>
      <c r="S77" s="2">
        <f>ROUND(CT77*I77,2)</f>
        <v>0</v>
      </c>
      <c r="T77" s="2">
        <f t="shared" si="66"/>
        <v>0</v>
      </c>
      <c r="U77" s="2">
        <f>ROUND(CV77*I77,7)</f>
        <v>0</v>
      </c>
      <c r="V77" s="2">
        <f>ROUND(CW77*I77,7)</f>
        <v>0</v>
      </c>
      <c r="W77" s="2">
        <f t="shared" si="67"/>
        <v>0</v>
      </c>
      <c r="X77" s="2">
        <f t="shared" si="68"/>
        <v>0</v>
      </c>
      <c r="Y77" s="2">
        <f t="shared" si="69"/>
        <v>0</v>
      </c>
      <c r="Z77" s="2"/>
      <c r="AA77" s="2">
        <v>85997836</v>
      </c>
      <c r="AB77" s="2">
        <f t="shared" si="70"/>
        <v>738.36</v>
      </c>
      <c r="AC77" s="2">
        <f>ROUND((ES77),6)</f>
        <v>738.36</v>
      </c>
      <c r="AD77" s="2">
        <f>ROUND((((ET77)-(EU77))+AE77),6)</f>
        <v>0</v>
      </c>
      <c r="AE77" s="2">
        <f t="shared" si="98"/>
        <v>0</v>
      </c>
      <c r="AF77" s="2">
        <f t="shared" si="98"/>
        <v>0</v>
      </c>
      <c r="AG77" s="2">
        <f t="shared" si="71"/>
        <v>0</v>
      </c>
      <c r="AH77" s="2">
        <f t="shared" si="99"/>
        <v>0</v>
      </c>
      <c r="AI77" s="2">
        <f t="shared" si="99"/>
        <v>0</v>
      </c>
      <c r="AJ77" s="2">
        <f t="shared" si="72"/>
        <v>0</v>
      </c>
      <c r="AK77" s="2">
        <v>738.36</v>
      </c>
      <c r="AL77" s="2">
        <v>738.36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97</v>
      </c>
      <c r="AU77" s="2">
        <v>51</v>
      </c>
      <c r="AV77" s="2">
        <v>1</v>
      </c>
      <c r="AW77" s="2">
        <v>1</v>
      </c>
      <c r="AX77" s="2"/>
      <c r="AY77" s="2"/>
      <c r="AZ77" s="2">
        <v>1</v>
      </c>
      <c r="BA77" s="2">
        <v>1</v>
      </c>
      <c r="BB77" s="2">
        <v>1</v>
      </c>
      <c r="BC77" s="2">
        <v>1.1599999999999999</v>
      </c>
      <c r="BD77" s="2" t="s">
        <v>3</v>
      </c>
      <c r="BE77" s="2" t="s">
        <v>3</v>
      </c>
      <c r="BF77" s="2" t="s">
        <v>3</v>
      </c>
      <c r="BG77" s="2" t="s">
        <v>3</v>
      </c>
      <c r="BH77" s="2">
        <v>3</v>
      </c>
      <c r="BI77" s="2">
        <v>2</v>
      </c>
      <c r="BJ77" s="2" t="s">
        <v>198</v>
      </c>
      <c r="BK77" s="2"/>
      <c r="BL77" s="2"/>
      <c r="BM77" s="2">
        <v>108001</v>
      </c>
      <c r="BN77" s="2">
        <v>0</v>
      </c>
      <c r="BO77" s="2" t="s">
        <v>196</v>
      </c>
      <c r="BP77" s="2">
        <v>1</v>
      </c>
      <c r="BQ77" s="2">
        <v>3</v>
      </c>
      <c r="BR77" s="2">
        <v>0</v>
      </c>
      <c r="BS77" s="2">
        <v>1</v>
      </c>
      <c r="BT77" s="2">
        <v>1</v>
      </c>
      <c r="BU77" s="2">
        <v>1</v>
      </c>
      <c r="BV77" s="2">
        <v>1</v>
      </c>
      <c r="BW77" s="2">
        <v>1</v>
      </c>
      <c r="BX77" s="2">
        <v>1</v>
      </c>
      <c r="BY77" s="2" t="s">
        <v>3</v>
      </c>
      <c r="BZ77" s="2">
        <v>97</v>
      </c>
      <c r="CA77" s="2">
        <v>51</v>
      </c>
      <c r="CB77" s="2" t="s">
        <v>3</v>
      </c>
      <c r="CC77" s="2"/>
      <c r="CD77" s="2"/>
      <c r="CE77" s="2">
        <v>0</v>
      </c>
      <c r="CF77" s="2">
        <v>0</v>
      </c>
      <c r="CG77" s="2">
        <v>0</v>
      </c>
      <c r="CH77" s="2"/>
      <c r="CI77" s="2"/>
      <c r="CJ77" s="2"/>
      <c r="CK77" s="2"/>
      <c r="CL77" s="2"/>
      <c r="CM77" s="2">
        <v>0</v>
      </c>
      <c r="CN77" s="2" t="s">
        <v>3</v>
      </c>
      <c r="CO77" s="2">
        <v>0</v>
      </c>
      <c r="CP77" s="2">
        <f>(P77+Q77+S77+R77)</f>
        <v>2569.5</v>
      </c>
      <c r="CQ77" s="2">
        <f>ROUND(AL77*BC77,2)</f>
        <v>856.5</v>
      </c>
      <c r="CR77" s="2">
        <f>ROUND(AM77*BB77,2)</f>
        <v>0</v>
      </c>
      <c r="CS77" s="2">
        <f>ROUND(AN77*BS77,2)</f>
        <v>0</v>
      </c>
      <c r="CT77" s="2">
        <f>ROUND(AO77*BA77,2)</f>
        <v>0</v>
      </c>
      <c r="CU77" s="2">
        <f>AG77</f>
        <v>0</v>
      </c>
      <c r="CV77" s="2">
        <f>AH77</f>
        <v>0</v>
      </c>
      <c r="CW77" s="2">
        <f>AI77</f>
        <v>0</v>
      </c>
      <c r="CX77" s="2">
        <f>AJ77</f>
        <v>0</v>
      </c>
      <c r="CY77" s="2">
        <f>(((S77+R77)*AT77)/100)</f>
        <v>0</v>
      </c>
      <c r="CZ77" s="2">
        <f>(((S77+R77)*AU77)/100)</f>
        <v>0</v>
      </c>
      <c r="DA77" s="2"/>
      <c r="DB77" s="2"/>
      <c r="DC77" s="2" t="s">
        <v>3</v>
      </c>
      <c r="DD77" s="2" t="s">
        <v>3</v>
      </c>
      <c r="DE77" s="2" t="s">
        <v>3</v>
      </c>
      <c r="DF77" s="2" t="s">
        <v>3</v>
      </c>
      <c r="DG77" s="2" t="s">
        <v>3</v>
      </c>
      <c r="DH77" s="2" t="s">
        <v>3</v>
      </c>
      <c r="DI77" s="2" t="s">
        <v>3</v>
      </c>
      <c r="DJ77" s="2" t="s">
        <v>3</v>
      </c>
      <c r="DK77" s="2" t="s">
        <v>3</v>
      </c>
      <c r="DL77" s="2" t="s">
        <v>3</v>
      </c>
      <c r="DM77" s="2" t="s">
        <v>3</v>
      </c>
      <c r="DN77" s="2">
        <v>0</v>
      </c>
      <c r="DO77" s="2">
        <v>0</v>
      </c>
      <c r="DP77" s="2">
        <v>1</v>
      </c>
      <c r="DQ77" s="2">
        <v>1</v>
      </c>
      <c r="DR77" s="2"/>
      <c r="DS77" s="2"/>
      <c r="DT77" s="2"/>
      <c r="DU77" s="2">
        <v>1013</v>
      </c>
      <c r="DV77" s="2" t="s">
        <v>43</v>
      </c>
      <c r="DW77" s="2" t="s">
        <v>43</v>
      </c>
      <c r="DX77" s="2">
        <v>1</v>
      </c>
      <c r="DY77" s="2"/>
      <c r="DZ77" s="2" t="s">
        <v>3</v>
      </c>
      <c r="EA77" s="2" t="s">
        <v>3</v>
      </c>
      <c r="EB77" s="2" t="s">
        <v>3</v>
      </c>
      <c r="EC77" s="2" t="s">
        <v>3</v>
      </c>
      <c r="ED77" s="2"/>
      <c r="EE77" s="2">
        <v>84053775</v>
      </c>
      <c r="EF77" s="2">
        <v>3</v>
      </c>
      <c r="EG77" s="2" t="s">
        <v>48</v>
      </c>
      <c r="EH77" s="2">
        <v>0</v>
      </c>
      <c r="EI77" s="2" t="s">
        <v>3</v>
      </c>
      <c r="EJ77" s="2">
        <v>2</v>
      </c>
      <c r="EK77" s="2">
        <v>108001</v>
      </c>
      <c r="EL77" s="2" t="s">
        <v>49</v>
      </c>
      <c r="EM77" s="2" t="s">
        <v>50</v>
      </c>
      <c r="EN77" s="2"/>
      <c r="EO77" s="2" t="s">
        <v>3</v>
      </c>
      <c r="EP77" s="2"/>
      <c r="EQ77" s="2">
        <v>0</v>
      </c>
      <c r="ER77" s="2">
        <v>738.36</v>
      </c>
      <c r="ES77" s="2">
        <v>738.36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>
        <v>0</v>
      </c>
      <c r="FR77" s="2">
        <v>0</v>
      </c>
      <c r="FS77" s="2">
        <v>0</v>
      </c>
      <c r="FT77" s="2"/>
      <c r="FU77" s="2"/>
      <c r="FV77" s="2"/>
      <c r="FW77" s="2"/>
      <c r="FX77" s="2">
        <v>97</v>
      </c>
      <c r="FY77" s="2">
        <v>51</v>
      </c>
      <c r="FZ77" s="2"/>
      <c r="GA77" s="2" t="s">
        <v>3</v>
      </c>
      <c r="GB77" s="2"/>
      <c r="GC77" s="2"/>
      <c r="GD77" s="2">
        <v>1</v>
      </c>
      <c r="GE77" s="2"/>
      <c r="GF77" s="2">
        <v>-1464127844</v>
      </c>
      <c r="GG77" s="2">
        <v>2</v>
      </c>
      <c r="GH77" s="2">
        <v>1</v>
      </c>
      <c r="GI77" s="2">
        <v>2</v>
      </c>
      <c r="GJ77" s="2">
        <v>0</v>
      </c>
      <c r="GK77" s="2">
        <v>0</v>
      </c>
      <c r="GL77" s="2">
        <f t="shared" si="73"/>
        <v>0</v>
      </c>
      <c r="GM77" s="2">
        <f t="shared" si="74"/>
        <v>2569.5</v>
      </c>
      <c r="GN77" s="2">
        <f t="shared" si="75"/>
        <v>0</v>
      </c>
      <c r="GO77" s="2">
        <f t="shared" si="76"/>
        <v>2569.5</v>
      </c>
      <c r="GP77" s="2">
        <f t="shared" si="77"/>
        <v>0</v>
      </c>
      <c r="GQ77" s="2"/>
      <c r="GR77" s="2">
        <v>0</v>
      </c>
      <c r="GS77" s="2">
        <v>0</v>
      </c>
      <c r="GT77" s="2">
        <v>0</v>
      </c>
      <c r="GU77" s="2" t="s">
        <v>3</v>
      </c>
      <c r="GV77" s="2">
        <f t="shared" si="78"/>
        <v>0</v>
      </c>
      <c r="GW77" s="2">
        <v>1</v>
      </c>
      <c r="GX77" s="2">
        <f t="shared" si="79"/>
        <v>0</v>
      </c>
      <c r="GY77" s="2"/>
      <c r="GZ77" s="2"/>
      <c r="HA77" s="2">
        <v>0</v>
      </c>
      <c r="HB77" s="2">
        <v>0</v>
      </c>
      <c r="HC77" s="2">
        <f>GV77*GW77</f>
        <v>0</v>
      </c>
      <c r="HD77" s="2"/>
      <c r="HE77" s="2" t="s">
        <v>3</v>
      </c>
      <c r="HF77" s="2" t="s">
        <v>3</v>
      </c>
      <c r="HG77" s="2"/>
      <c r="HH77" s="2"/>
      <c r="HI77" s="2"/>
      <c r="HJ77" s="2"/>
      <c r="HK77" s="2"/>
      <c r="HL77" s="2"/>
      <c r="HM77" s="2" t="s">
        <v>3</v>
      </c>
      <c r="HN77" s="2" t="s">
        <v>52</v>
      </c>
      <c r="HO77" s="2" t="s">
        <v>53</v>
      </c>
      <c r="HP77" s="2" t="s">
        <v>49</v>
      </c>
      <c r="HQ77" s="2" t="s">
        <v>49</v>
      </c>
      <c r="HR77" s="2"/>
      <c r="HS77" s="2">
        <v>0</v>
      </c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>
        <v>0</v>
      </c>
      <c r="IL77" s="2"/>
      <c r="IM77" s="2"/>
      <c r="IN77" s="2"/>
      <c r="IO77" s="2"/>
      <c r="IP77" s="2"/>
      <c r="IQ77" s="2"/>
      <c r="IR77" s="2"/>
      <c r="IS77" s="2"/>
      <c r="IT77" s="2"/>
      <c r="IU77" s="2"/>
    </row>
    <row r="78" spans="1:255" x14ac:dyDescent="0.2">
      <c r="A78" s="2">
        <v>18</v>
      </c>
      <c r="B78" s="2">
        <v>1</v>
      </c>
      <c r="C78" s="2">
        <v>108</v>
      </c>
      <c r="D78" s="2"/>
      <c r="E78" s="2" t="s">
        <v>199</v>
      </c>
      <c r="F78" s="2" t="s">
        <v>55</v>
      </c>
      <c r="G78" s="2" t="s">
        <v>56</v>
      </c>
      <c r="H78" s="2" t="s">
        <v>57</v>
      </c>
      <c r="I78" s="2">
        <f>J78</f>
        <v>2</v>
      </c>
      <c r="J78" s="2">
        <v>2</v>
      </c>
      <c r="K78" s="2">
        <v>2</v>
      </c>
      <c r="L78" s="2"/>
      <c r="M78" s="2"/>
      <c r="N78" s="2"/>
      <c r="O78" s="2">
        <f>ROUND(P78,2)</f>
        <v>114.8</v>
      </c>
      <c r="P78" s="2">
        <f>ROUND(ROUND(ROUND(SUMIF(SmtRes!AQ94:'SmtRes'!AQ110,"=1",SmtRes!CU94:'SmtRes'!CU110),2),2)*I78/100,2)</f>
        <v>114.8</v>
      </c>
      <c r="Q78" s="2">
        <f>ROUND(CR78*I78,2)</f>
        <v>0</v>
      </c>
      <c r="R78" s="2">
        <f>ROUND(CS78*I78,2)</f>
        <v>0</v>
      </c>
      <c r="S78" s="2">
        <f>ROUND(CT78*I78,2)</f>
        <v>0</v>
      </c>
      <c r="T78" s="2">
        <f t="shared" si="66"/>
        <v>0</v>
      </c>
      <c r="U78" s="2">
        <f>ROUND(CV78*I78,7)</f>
        <v>0</v>
      </c>
      <c r="V78" s="2">
        <f>ROUND(CW78*I78,7)</f>
        <v>0</v>
      </c>
      <c r="W78" s="2">
        <f t="shared" si="67"/>
        <v>0</v>
      </c>
      <c r="X78" s="2">
        <f t="shared" si="68"/>
        <v>0</v>
      </c>
      <c r="Y78" s="2">
        <f t="shared" si="69"/>
        <v>0</v>
      </c>
      <c r="Z78" s="2"/>
      <c r="AA78" s="2">
        <v>85997836</v>
      </c>
      <c r="AB78" s="2">
        <f t="shared" si="70"/>
        <v>0</v>
      </c>
      <c r="AC78" s="2">
        <f>ROUND((ES78),6)</f>
        <v>0</v>
      </c>
      <c r="AD78" s="2">
        <f>ROUND((((ET78)-(EU78))+AE78),6)</f>
        <v>0</v>
      </c>
      <c r="AE78" s="2">
        <f t="shared" si="98"/>
        <v>0</v>
      </c>
      <c r="AF78" s="2">
        <f t="shared" si="98"/>
        <v>0</v>
      </c>
      <c r="AG78" s="2">
        <f t="shared" si="71"/>
        <v>0</v>
      </c>
      <c r="AH78" s="2">
        <f t="shared" si="99"/>
        <v>0</v>
      </c>
      <c r="AI78" s="2">
        <f t="shared" si="99"/>
        <v>0</v>
      </c>
      <c r="AJ78" s="2">
        <f t="shared" si="72"/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97</v>
      </c>
      <c r="AU78" s="2">
        <v>51</v>
      </c>
      <c r="AV78" s="2">
        <v>1</v>
      </c>
      <c r="AW78" s="2">
        <v>1</v>
      </c>
      <c r="AX78" s="2"/>
      <c r="AY78" s="2"/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3</v>
      </c>
      <c r="BI78" s="2">
        <v>2</v>
      </c>
      <c r="BJ78" s="2" t="s">
        <v>3</v>
      </c>
      <c r="BK78" s="2"/>
      <c r="BL78" s="2"/>
      <c r="BM78" s="2">
        <v>108001</v>
      </c>
      <c r="BN78" s="2">
        <v>0</v>
      </c>
      <c r="BO78" s="2" t="s">
        <v>3</v>
      </c>
      <c r="BP78" s="2">
        <v>0</v>
      </c>
      <c r="BQ78" s="2">
        <v>3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97</v>
      </c>
      <c r="CA78" s="2">
        <v>51</v>
      </c>
      <c r="CB78" s="2" t="s">
        <v>3</v>
      </c>
      <c r="CC78" s="2"/>
      <c r="CD78" s="2"/>
      <c r="CE78" s="2">
        <v>0</v>
      </c>
      <c r="CF78" s="2">
        <v>0</v>
      </c>
      <c r="CG78" s="2">
        <v>0</v>
      </c>
      <c r="CH78" s="2"/>
      <c r="CI78" s="2"/>
      <c r="CJ78" s="2"/>
      <c r="CK78" s="2"/>
      <c r="CL78" s="2"/>
      <c r="CM78" s="2">
        <v>0</v>
      </c>
      <c r="CN78" s="2" t="s">
        <v>3</v>
      </c>
      <c r="CO78" s="2">
        <v>0</v>
      </c>
      <c r="CP78" s="2">
        <f>0</f>
        <v>0</v>
      </c>
      <c r="CQ78" s="2">
        <f>0</f>
        <v>0</v>
      </c>
      <c r="CR78" s="2">
        <f>0</f>
        <v>0</v>
      </c>
      <c r="CS78" s="2">
        <f>0</f>
        <v>0</v>
      </c>
      <c r="CT78" s="2">
        <f>0</f>
        <v>0</v>
      </c>
      <c r="CU78" s="2">
        <f>0</f>
        <v>0</v>
      </c>
      <c r="CV78" s="2">
        <f>0</f>
        <v>0</v>
      </c>
      <c r="CW78" s="2">
        <f>0</f>
        <v>0</v>
      </c>
      <c r="CX78" s="2">
        <f>0</f>
        <v>0</v>
      </c>
      <c r="CY78" s="2">
        <f>0</f>
        <v>0</v>
      </c>
      <c r="CZ78" s="2">
        <f>0</f>
        <v>0</v>
      </c>
      <c r="DA78" s="2"/>
      <c r="DB78" s="2"/>
      <c r="DC78" s="2" t="s">
        <v>3</v>
      </c>
      <c r="DD78" s="2" t="s">
        <v>3</v>
      </c>
      <c r="DE78" s="2" t="s">
        <v>3</v>
      </c>
      <c r="DF78" s="2" t="s">
        <v>3</v>
      </c>
      <c r="DG78" s="2" t="s">
        <v>3</v>
      </c>
      <c r="DH78" s="2" t="s">
        <v>3</v>
      </c>
      <c r="DI78" s="2" t="s">
        <v>3</v>
      </c>
      <c r="DJ78" s="2" t="s">
        <v>3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</v>
      </c>
      <c r="DQ78" s="2">
        <v>1</v>
      </c>
      <c r="DR78" s="2"/>
      <c r="DS78" s="2"/>
      <c r="DT78" s="2"/>
      <c r="DU78" s="2">
        <v>1013</v>
      </c>
      <c r="DV78" s="2" t="s">
        <v>57</v>
      </c>
      <c r="DW78" s="2" t="s">
        <v>57</v>
      </c>
      <c r="DX78" s="2">
        <v>1</v>
      </c>
      <c r="DY78" s="2"/>
      <c r="DZ78" s="2" t="s">
        <v>3</v>
      </c>
      <c r="EA78" s="2" t="s">
        <v>3</v>
      </c>
      <c r="EB78" s="2" t="s">
        <v>3</v>
      </c>
      <c r="EC78" s="2" t="s">
        <v>3</v>
      </c>
      <c r="ED78" s="2"/>
      <c r="EE78" s="2">
        <v>84053775</v>
      </c>
      <c r="EF78" s="2">
        <v>3</v>
      </c>
      <c r="EG78" s="2" t="s">
        <v>48</v>
      </c>
      <c r="EH78" s="2">
        <v>0</v>
      </c>
      <c r="EI78" s="2" t="s">
        <v>3</v>
      </c>
      <c r="EJ78" s="2">
        <v>2</v>
      </c>
      <c r="EK78" s="2">
        <v>108001</v>
      </c>
      <c r="EL78" s="2" t="s">
        <v>49</v>
      </c>
      <c r="EM78" s="2" t="s">
        <v>50</v>
      </c>
      <c r="EN78" s="2"/>
      <c r="EO78" s="2" t="s">
        <v>3</v>
      </c>
      <c r="EP78" s="2"/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>
        <v>0</v>
      </c>
      <c r="FR78" s="2">
        <v>0</v>
      </c>
      <c r="FS78" s="2">
        <v>0</v>
      </c>
      <c r="FT78" s="2"/>
      <c r="FU78" s="2"/>
      <c r="FV78" s="2"/>
      <c r="FW78" s="2"/>
      <c r="FX78" s="2">
        <v>97</v>
      </c>
      <c r="FY78" s="2">
        <v>51</v>
      </c>
      <c r="FZ78" s="2"/>
      <c r="GA78" s="2" t="s">
        <v>3</v>
      </c>
      <c r="GB78" s="2"/>
      <c r="GC78" s="2"/>
      <c r="GD78" s="2">
        <v>1</v>
      </c>
      <c r="GE78" s="2"/>
      <c r="GF78" s="2">
        <v>274903907</v>
      </c>
      <c r="GG78" s="2">
        <v>2</v>
      </c>
      <c r="GH78" s="2">
        <v>1</v>
      </c>
      <c r="GI78" s="2">
        <v>-2</v>
      </c>
      <c r="GJ78" s="2">
        <v>0</v>
      </c>
      <c r="GK78" s="2">
        <v>0</v>
      </c>
      <c r="GL78" s="2">
        <f t="shared" si="73"/>
        <v>0</v>
      </c>
      <c r="GM78" s="2">
        <f t="shared" si="74"/>
        <v>114.8</v>
      </c>
      <c r="GN78" s="2">
        <f t="shared" si="75"/>
        <v>0</v>
      </c>
      <c r="GO78" s="2">
        <f t="shared" si="76"/>
        <v>114.8</v>
      </c>
      <c r="GP78" s="2">
        <f t="shared" si="77"/>
        <v>0</v>
      </c>
      <c r="GQ78" s="2"/>
      <c r="GR78" s="2">
        <v>0</v>
      </c>
      <c r="GS78" s="2">
        <v>0</v>
      </c>
      <c r="GT78" s="2">
        <v>0</v>
      </c>
      <c r="GU78" s="2" t="s">
        <v>3</v>
      </c>
      <c r="GV78" s="2">
        <f t="shared" si="78"/>
        <v>0</v>
      </c>
      <c r="GW78" s="2">
        <v>1</v>
      </c>
      <c r="GX78" s="2">
        <f t="shared" si="79"/>
        <v>0</v>
      </c>
      <c r="GY78" s="2"/>
      <c r="GZ78" s="2"/>
      <c r="HA78" s="2">
        <v>0</v>
      </c>
      <c r="HB78" s="2">
        <v>0</v>
      </c>
      <c r="HC78" s="2">
        <f>0</f>
        <v>0</v>
      </c>
      <c r="HD78" s="2"/>
      <c r="HE78" s="2" t="s">
        <v>3</v>
      </c>
      <c r="HF78" s="2" t="s">
        <v>3</v>
      </c>
      <c r="HG78" s="2"/>
      <c r="HH78" s="2"/>
      <c r="HI78" s="2"/>
      <c r="HJ78" s="2"/>
      <c r="HK78" s="2"/>
      <c r="HL78" s="2"/>
      <c r="HM78" s="2" t="s">
        <v>3</v>
      </c>
      <c r="HN78" s="2" t="s">
        <v>52</v>
      </c>
      <c r="HO78" s="2" t="s">
        <v>53</v>
      </c>
      <c r="HP78" s="2" t="s">
        <v>49</v>
      </c>
      <c r="HQ78" s="2" t="s">
        <v>49</v>
      </c>
      <c r="HR78" s="2"/>
      <c r="HS78" s="2">
        <v>0</v>
      </c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>
        <v>0</v>
      </c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5" x14ac:dyDescent="0.2">
      <c r="A79" s="2">
        <v>17</v>
      </c>
      <c r="B79" s="2">
        <v>1</v>
      </c>
      <c r="C79" s="2">
        <f>ROW(SmtRes!A121)</f>
        <v>121</v>
      </c>
      <c r="D79" s="2">
        <f>ROW(EtalonRes!A107)</f>
        <v>107</v>
      </c>
      <c r="E79" s="2" t="s">
        <v>200</v>
      </c>
      <c r="F79" s="2" t="s">
        <v>201</v>
      </c>
      <c r="G79" s="2" t="s">
        <v>202</v>
      </c>
      <c r="H79" s="2" t="s">
        <v>20</v>
      </c>
      <c r="I79" s="2">
        <f>ROUND((20)/100,7)</f>
        <v>0.2</v>
      </c>
      <c r="J79" s="2">
        <v>0</v>
      </c>
      <c r="K79" s="2">
        <f>ROUND((20)/100,7)</f>
        <v>0.2</v>
      </c>
      <c r="L79" s="2"/>
      <c r="M79" s="2"/>
      <c r="N79" s="2"/>
      <c r="O79" s="2">
        <f>ROUND(CP79,2)</f>
        <v>7698.98</v>
      </c>
      <c r="P79" s="2">
        <f>SUMIF(SmtRes!AQ111:'SmtRes'!AQ121,"=1",SmtRes!DF111:'SmtRes'!DF121)</f>
        <v>24.520000000000003</v>
      </c>
      <c r="Q79" s="2">
        <f>SUMIF(SmtRes!AQ111:'SmtRes'!AQ121,"=1",SmtRes!DG111:'SmtRes'!DG121)</f>
        <v>25.73</v>
      </c>
      <c r="R79" s="2">
        <f>SUMIF(SmtRes!AQ111:'SmtRes'!AQ121,"=1",SmtRes!DH111:'SmtRes'!DH121)</f>
        <v>28.88</v>
      </c>
      <c r="S79" s="2">
        <f>SUMIF(SmtRes!AQ111:'SmtRes'!AQ121,"=1",SmtRes!DI111:'SmtRes'!DI121)</f>
        <v>7619.85</v>
      </c>
      <c r="T79" s="2">
        <f t="shared" si="66"/>
        <v>0</v>
      </c>
      <c r="U79" s="2">
        <f>SUMIF(SmtRes!AQ111:'SmtRes'!AQ121,"=1",SmtRes!CV111:'SmtRes'!CV121)</f>
        <v>11.678000000000001</v>
      </c>
      <c r="V79" s="2">
        <f>SUMIF(SmtRes!AQ111:'SmtRes'!AQ121,"=1",SmtRes!CW111:'SmtRes'!CW121)</f>
        <v>0.04</v>
      </c>
      <c r="W79" s="2">
        <f t="shared" si="67"/>
        <v>0</v>
      </c>
      <c r="X79" s="2">
        <f t="shared" si="68"/>
        <v>7419.27</v>
      </c>
      <c r="Y79" s="2">
        <f t="shared" si="69"/>
        <v>3900.85</v>
      </c>
      <c r="Z79" s="2"/>
      <c r="AA79" s="2">
        <v>85997836</v>
      </c>
      <c r="AB79" s="2">
        <f t="shared" si="70"/>
        <v>38325.45865</v>
      </c>
      <c r="AC79" s="2">
        <f>ROUND((SUM(SmtRes!BQ111:'SmtRes'!BQ121)),6)</f>
        <v>97.539550000000006</v>
      </c>
      <c r="AD79" s="2">
        <f>ROUND((((SUM(SmtRes!BR111:'SmtRes'!BR121))-(SUM(SmtRes!BS111:'SmtRes'!BS121)))+AE79),6)</f>
        <v>128.65799999999999</v>
      </c>
      <c r="AE79" s="2">
        <f>ROUND((SUM(SmtRes!BS111:'SmtRes'!BS121)),6)</f>
        <v>144.41</v>
      </c>
      <c r="AF79" s="2">
        <f>ROUND((SUM(SmtRes!BT111:'SmtRes'!BT121)),6)</f>
        <v>38099.261100000003</v>
      </c>
      <c r="AG79" s="2">
        <f t="shared" si="71"/>
        <v>0</v>
      </c>
      <c r="AH79" s="2">
        <f>(SUM(SmtRes!BU111:'SmtRes'!BU121))</f>
        <v>58.39</v>
      </c>
      <c r="AI79" s="2">
        <f>(SUM(SmtRes!BV111:'SmtRes'!BV121))</f>
        <v>0.2</v>
      </c>
      <c r="AJ79" s="2">
        <f t="shared" si="72"/>
        <v>0</v>
      </c>
      <c r="AK79" s="2">
        <v>38469.868650000004</v>
      </c>
      <c r="AL79" s="2">
        <v>97.539549999999991</v>
      </c>
      <c r="AM79" s="2">
        <v>128.65799999999999</v>
      </c>
      <c r="AN79" s="2">
        <v>144.41</v>
      </c>
      <c r="AO79" s="2">
        <v>38099.261100000003</v>
      </c>
      <c r="AP79" s="2">
        <v>0</v>
      </c>
      <c r="AQ79" s="2">
        <v>58.39</v>
      </c>
      <c r="AR79" s="2">
        <v>0.2</v>
      </c>
      <c r="AS79" s="2">
        <v>0</v>
      </c>
      <c r="AT79" s="2">
        <v>97</v>
      </c>
      <c r="AU79" s="2">
        <v>51</v>
      </c>
      <c r="AV79" s="2">
        <v>1</v>
      </c>
      <c r="AW79" s="2">
        <v>1</v>
      </c>
      <c r="AX79" s="2"/>
      <c r="AY79" s="2"/>
      <c r="AZ79" s="2">
        <v>1</v>
      </c>
      <c r="BA79" s="2">
        <v>1</v>
      </c>
      <c r="BB79" s="2">
        <v>1</v>
      </c>
      <c r="BC79" s="2">
        <v>1</v>
      </c>
      <c r="BD79" s="2" t="s">
        <v>3</v>
      </c>
      <c r="BE79" s="2" t="s">
        <v>3</v>
      </c>
      <c r="BF79" s="2" t="s">
        <v>3</v>
      </c>
      <c r="BG79" s="2" t="s">
        <v>3</v>
      </c>
      <c r="BH79" s="2">
        <v>0</v>
      </c>
      <c r="BI79" s="2">
        <v>2</v>
      </c>
      <c r="BJ79" s="2" t="s">
        <v>203</v>
      </c>
      <c r="BK79" s="2"/>
      <c r="BL79" s="2"/>
      <c r="BM79" s="2">
        <v>108001</v>
      </c>
      <c r="BN79" s="2">
        <v>0</v>
      </c>
      <c r="BO79" s="2" t="s">
        <v>3</v>
      </c>
      <c r="BP79" s="2">
        <v>0</v>
      </c>
      <c r="BQ79" s="2">
        <v>3</v>
      </c>
      <c r="BR79" s="2">
        <v>0</v>
      </c>
      <c r="BS79" s="2">
        <v>1</v>
      </c>
      <c r="BT79" s="2">
        <v>1</v>
      </c>
      <c r="BU79" s="2">
        <v>1</v>
      </c>
      <c r="BV79" s="2">
        <v>1</v>
      </c>
      <c r="BW79" s="2">
        <v>1</v>
      </c>
      <c r="BX79" s="2">
        <v>1</v>
      </c>
      <c r="BY79" s="2" t="s">
        <v>3</v>
      </c>
      <c r="BZ79" s="2">
        <v>97</v>
      </c>
      <c r="CA79" s="2">
        <v>51</v>
      </c>
      <c r="CB79" s="2" t="s">
        <v>3</v>
      </c>
      <c r="CC79" s="2"/>
      <c r="CD79" s="2"/>
      <c r="CE79" s="2">
        <v>0</v>
      </c>
      <c r="CF79" s="2">
        <v>0</v>
      </c>
      <c r="CG79" s="2">
        <v>0</v>
      </c>
      <c r="CH79" s="2"/>
      <c r="CI79" s="2"/>
      <c r="CJ79" s="2"/>
      <c r="CK79" s="2"/>
      <c r="CL79" s="2"/>
      <c r="CM79" s="2">
        <v>0</v>
      </c>
      <c r="CN79" s="2" t="s">
        <v>3</v>
      </c>
      <c r="CO79" s="2">
        <v>0</v>
      </c>
      <c r="CP79" s="2">
        <f>(P79+Q79+S79+R79)</f>
        <v>7698.9800000000005</v>
      </c>
      <c r="CQ79" s="2">
        <f>SUMIF(SmtRes!AQ111:'SmtRes'!AQ121,"=1",SmtRes!AA111:'SmtRes'!AA121)</f>
        <v>446.07</v>
      </c>
      <c r="CR79" s="2">
        <f>SUMIF(SmtRes!AQ111:'SmtRes'!AQ121,"=1",SmtRes!AB111:'SmtRes'!AB121)</f>
        <v>643.29</v>
      </c>
      <c r="CS79" s="2">
        <f>SUMIF(SmtRes!AQ111:'SmtRes'!AQ121,"=1",SmtRes!AC111:'SmtRes'!AC121)</f>
        <v>722.05</v>
      </c>
      <c r="CT79" s="2">
        <f>SUMIF(SmtRes!AQ111:'SmtRes'!AQ121,"=1",SmtRes!AD111:'SmtRes'!AD121)</f>
        <v>1848.23</v>
      </c>
      <c r="CU79" s="2">
        <f>AG79</f>
        <v>0</v>
      </c>
      <c r="CV79" s="2">
        <f>SUMIF(SmtRes!AQ111:'SmtRes'!AQ121,"=1",SmtRes!BU111:'SmtRes'!BU121)</f>
        <v>58.39</v>
      </c>
      <c r="CW79" s="2">
        <f>SUMIF(SmtRes!AQ111:'SmtRes'!AQ121,"=1",SmtRes!BV111:'SmtRes'!BV121)</f>
        <v>0.2</v>
      </c>
      <c r="CX79" s="2">
        <f>AJ79</f>
        <v>0</v>
      </c>
      <c r="CY79" s="2">
        <f>(((S79+R79)*AT79)/100)</f>
        <v>7419.2681000000002</v>
      </c>
      <c r="CZ79" s="2">
        <f>(((S79+R79)*AU79)/100)</f>
        <v>3900.8523000000005</v>
      </c>
      <c r="DA79" s="2"/>
      <c r="DB79" s="2"/>
      <c r="DC79" s="2" t="s">
        <v>3</v>
      </c>
      <c r="DD79" s="2" t="s">
        <v>3</v>
      </c>
      <c r="DE79" s="2" t="s">
        <v>3</v>
      </c>
      <c r="DF79" s="2" t="s">
        <v>3</v>
      </c>
      <c r="DG79" s="2" t="s">
        <v>3</v>
      </c>
      <c r="DH79" s="2" t="s">
        <v>3</v>
      </c>
      <c r="DI79" s="2" t="s">
        <v>3</v>
      </c>
      <c r="DJ79" s="2" t="s">
        <v>3</v>
      </c>
      <c r="DK79" s="2" t="s">
        <v>3</v>
      </c>
      <c r="DL79" s="2" t="s">
        <v>3</v>
      </c>
      <c r="DM79" s="2" t="s">
        <v>3</v>
      </c>
      <c r="DN79" s="2">
        <v>0</v>
      </c>
      <c r="DO79" s="2">
        <v>0</v>
      </c>
      <c r="DP79" s="2">
        <v>1</v>
      </c>
      <c r="DQ79" s="2">
        <v>1</v>
      </c>
      <c r="DR79" s="2"/>
      <c r="DS79" s="2"/>
      <c r="DT79" s="2"/>
      <c r="DU79" s="2">
        <v>1013</v>
      </c>
      <c r="DV79" s="2" t="s">
        <v>20</v>
      </c>
      <c r="DW79" s="2" t="s">
        <v>20</v>
      </c>
      <c r="DX79" s="2">
        <v>1</v>
      </c>
      <c r="DY79" s="2"/>
      <c r="DZ79" s="2" t="s">
        <v>3</v>
      </c>
      <c r="EA79" s="2" t="s">
        <v>3</v>
      </c>
      <c r="EB79" s="2" t="s">
        <v>3</v>
      </c>
      <c r="EC79" s="2" t="s">
        <v>3</v>
      </c>
      <c r="ED79" s="2"/>
      <c r="EE79" s="2">
        <v>84053775</v>
      </c>
      <c r="EF79" s="2">
        <v>3</v>
      </c>
      <c r="EG79" s="2" t="s">
        <v>48</v>
      </c>
      <c r="EH79" s="2">
        <v>0</v>
      </c>
      <c r="EI79" s="2" t="s">
        <v>3</v>
      </c>
      <c r="EJ79" s="2">
        <v>2</v>
      </c>
      <c r="EK79" s="2">
        <v>108001</v>
      </c>
      <c r="EL79" s="2" t="s">
        <v>49</v>
      </c>
      <c r="EM79" s="2" t="s">
        <v>50</v>
      </c>
      <c r="EN79" s="2"/>
      <c r="EO79" s="2" t="s">
        <v>3</v>
      </c>
      <c r="EP79" s="2"/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58.39</v>
      </c>
      <c r="EX79" s="2">
        <v>0.2</v>
      </c>
      <c r="EY79" s="2">
        <v>0</v>
      </c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>
        <v>0</v>
      </c>
      <c r="FR79" s="2">
        <v>0</v>
      </c>
      <c r="FS79" s="2">
        <v>0</v>
      </c>
      <c r="FT79" s="2"/>
      <c r="FU79" s="2"/>
      <c r="FV79" s="2"/>
      <c r="FW79" s="2"/>
      <c r="FX79" s="2">
        <v>97</v>
      </c>
      <c r="FY79" s="2">
        <v>51</v>
      </c>
      <c r="FZ79" s="2"/>
      <c r="GA79" s="2" t="s">
        <v>3</v>
      </c>
      <c r="GB79" s="2"/>
      <c r="GC79" s="2"/>
      <c r="GD79" s="2">
        <v>1</v>
      </c>
      <c r="GE79" s="2"/>
      <c r="GF79" s="2">
        <v>-996359877</v>
      </c>
      <c r="GG79" s="2">
        <v>2</v>
      </c>
      <c r="GH79" s="2">
        <v>1</v>
      </c>
      <c r="GI79" s="2">
        <v>-2</v>
      </c>
      <c r="GJ79" s="2">
        <v>0</v>
      </c>
      <c r="GK79" s="2">
        <v>0</v>
      </c>
      <c r="GL79" s="2">
        <f t="shared" si="73"/>
        <v>0</v>
      </c>
      <c r="GM79" s="2">
        <f t="shared" si="74"/>
        <v>19019.099999999999</v>
      </c>
      <c r="GN79" s="2">
        <f t="shared" si="75"/>
        <v>0</v>
      </c>
      <c r="GO79" s="2">
        <f t="shared" si="76"/>
        <v>19019.099999999999</v>
      </c>
      <c r="GP79" s="2">
        <f t="shared" si="77"/>
        <v>0</v>
      </c>
      <c r="GQ79" s="2"/>
      <c r="GR79" s="2">
        <v>0</v>
      </c>
      <c r="GS79" s="2">
        <v>0</v>
      </c>
      <c r="GT79" s="2">
        <v>0</v>
      </c>
      <c r="GU79" s="2" t="s">
        <v>3</v>
      </c>
      <c r="GV79" s="2">
        <f t="shared" si="78"/>
        <v>0</v>
      </c>
      <c r="GW79" s="2">
        <v>1</v>
      </c>
      <c r="GX79" s="2">
        <f t="shared" si="79"/>
        <v>0</v>
      </c>
      <c r="GY79" s="2"/>
      <c r="GZ79" s="2"/>
      <c r="HA79" s="2">
        <v>0</v>
      </c>
      <c r="HB79" s="2">
        <v>0</v>
      </c>
      <c r="HC79" s="2">
        <f>GV79*GW79</f>
        <v>0</v>
      </c>
      <c r="HD79" s="2"/>
      <c r="HE79" s="2" t="s">
        <v>3</v>
      </c>
      <c r="HF79" s="2" t="s">
        <v>3</v>
      </c>
      <c r="HG79" s="2"/>
      <c r="HH79" s="2"/>
      <c r="HI79" s="2"/>
      <c r="HJ79" s="2"/>
      <c r="HK79" s="2"/>
      <c r="HL79" s="2"/>
      <c r="HM79" s="2" t="s">
        <v>3</v>
      </c>
      <c r="HN79" s="2" t="s">
        <v>52</v>
      </c>
      <c r="HO79" s="2" t="s">
        <v>53</v>
      </c>
      <c r="HP79" s="2" t="s">
        <v>49</v>
      </c>
      <c r="HQ79" s="2" t="s">
        <v>49</v>
      </c>
      <c r="HR79" s="2"/>
      <c r="HS79" s="2">
        <v>0</v>
      </c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>
        <v>0</v>
      </c>
      <c r="IL79" s="2"/>
      <c r="IM79" s="2"/>
      <c r="IN79" s="2"/>
      <c r="IO79" s="2"/>
      <c r="IP79" s="2"/>
      <c r="IQ79" s="2"/>
      <c r="IR79" s="2"/>
      <c r="IS79" s="2"/>
      <c r="IT79" s="2"/>
      <c r="IU79" s="2"/>
    </row>
    <row r="80" spans="1:255" x14ac:dyDescent="0.2">
      <c r="A80" s="2">
        <v>18</v>
      </c>
      <c r="B80" s="2">
        <v>1</v>
      </c>
      <c r="C80" s="2">
        <v>120</v>
      </c>
      <c r="D80" s="2"/>
      <c r="E80" s="2" t="s">
        <v>204</v>
      </c>
      <c r="F80" s="2" t="s">
        <v>205</v>
      </c>
      <c r="G80" s="2" t="s">
        <v>734</v>
      </c>
      <c r="H80" s="2" t="s">
        <v>43</v>
      </c>
      <c r="I80" s="2">
        <f>I79*J80</f>
        <v>20</v>
      </c>
      <c r="J80" s="2">
        <v>100</v>
      </c>
      <c r="K80" s="2">
        <v>100</v>
      </c>
      <c r="L80" s="2"/>
      <c r="M80" s="2"/>
      <c r="N80" s="2"/>
      <c r="O80" s="2">
        <f>ROUND(CP80,2)</f>
        <v>55687.6</v>
      </c>
      <c r="P80" s="2">
        <f>ROUND(CQ80*I80,2)</f>
        <v>55687.6</v>
      </c>
      <c r="Q80" s="2">
        <f>ROUND(CR80*I80,2)</f>
        <v>0</v>
      </c>
      <c r="R80" s="2">
        <f>ROUND(CS80*I80,2)</f>
        <v>0</v>
      </c>
      <c r="S80" s="2">
        <f>ROUND(CT80*I80,2)</f>
        <v>0</v>
      </c>
      <c r="T80" s="2">
        <f t="shared" si="66"/>
        <v>0</v>
      </c>
      <c r="U80" s="2">
        <f>ROUND(CV80*I80,7)</f>
        <v>0</v>
      </c>
      <c r="V80" s="2">
        <f>ROUND(CW80*I80,7)</f>
        <v>0</v>
      </c>
      <c r="W80" s="2">
        <f t="shared" si="67"/>
        <v>0</v>
      </c>
      <c r="X80" s="2">
        <f t="shared" si="68"/>
        <v>0</v>
      </c>
      <c r="Y80" s="2">
        <f t="shared" si="69"/>
        <v>0</v>
      </c>
      <c r="Z80" s="2"/>
      <c r="AA80" s="2">
        <v>85997836</v>
      </c>
      <c r="AB80" s="2">
        <f t="shared" si="70"/>
        <v>3128.52</v>
      </c>
      <c r="AC80" s="2">
        <f>ROUND((ES80),6)</f>
        <v>3128.52</v>
      </c>
      <c r="AD80" s="2">
        <f>ROUND((((ET80)-(EU80))+AE80),6)</f>
        <v>0</v>
      </c>
      <c r="AE80" s="2">
        <f>ROUND((EU80),6)</f>
        <v>0</v>
      </c>
      <c r="AF80" s="2">
        <f>ROUND((EV80),6)</f>
        <v>0</v>
      </c>
      <c r="AG80" s="2">
        <f t="shared" si="71"/>
        <v>0</v>
      </c>
      <c r="AH80" s="2">
        <f>(EW80)</f>
        <v>0</v>
      </c>
      <c r="AI80" s="2">
        <f>(EX80)</f>
        <v>0</v>
      </c>
      <c r="AJ80" s="2">
        <f t="shared" si="72"/>
        <v>0</v>
      </c>
      <c r="AK80" s="2">
        <v>3128.52</v>
      </c>
      <c r="AL80" s="2">
        <v>3128.52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97</v>
      </c>
      <c r="AU80" s="2">
        <v>51</v>
      </c>
      <c r="AV80" s="2">
        <v>1</v>
      </c>
      <c r="AW80" s="2">
        <v>1</v>
      </c>
      <c r="AX80" s="2"/>
      <c r="AY80" s="2"/>
      <c r="AZ80" s="2">
        <v>1</v>
      </c>
      <c r="BA80" s="2">
        <v>1</v>
      </c>
      <c r="BB80" s="2">
        <v>1</v>
      </c>
      <c r="BC80" s="2">
        <v>0.89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3</v>
      </c>
      <c r="BI80" s="2">
        <v>2</v>
      </c>
      <c r="BJ80" s="2" t="s">
        <v>206</v>
      </c>
      <c r="BK80" s="2"/>
      <c r="BL80" s="2"/>
      <c r="BM80" s="2">
        <v>108001</v>
      </c>
      <c r="BN80" s="2">
        <v>0</v>
      </c>
      <c r="BO80" s="2" t="s">
        <v>205</v>
      </c>
      <c r="BP80" s="2">
        <v>1</v>
      </c>
      <c r="BQ80" s="2">
        <v>3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97</v>
      </c>
      <c r="CA80" s="2">
        <v>51</v>
      </c>
      <c r="CB80" s="2" t="s">
        <v>3</v>
      </c>
      <c r="CC80" s="2"/>
      <c r="CD80" s="2"/>
      <c r="CE80" s="2">
        <v>0</v>
      </c>
      <c r="CF80" s="2">
        <v>0</v>
      </c>
      <c r="CG80" s="2">
        <v>0</v>
      </c>
      <c r="CH80" s="2"/>
      <c r="CI80" s="2"/>
      <c r="CJ80" s="2"/>
      <c r="CK80" s="2"/>
      <c r="CL80" s="2"/>
      <c r="CM80" s="2">
        <v>0</v>
      </c>
      <c r="CN80" s="2" t="s">
        <v>3</v>
      </c>
      <c r="CO80" s="2">
        <v>0</v>
      </c>
      <c r="CP80" s="2">
        <f>(P80+Q80+S80+R80)</f>
        <v>55687.6</v>
      </c>
      <c r="CQ80" s="2">
        <f>ROUND(AL80*BC80,2)</f>
        <v>2784.38</v>
      </c>
      <c r="CR80" s="2">
        <f>ROUND(AM80*BB80,2)</f>
        <v>0</v>
      </c>
      <c r="CS80" s="2">
        <f>ROUND(AN80*BS80,2)</f>
        <v>0</v>
      </c>
      <c r="CT80" s="2">
        <f>ROUND(AO80*BA80,2)</f>
        <v>0</v>
      </c>
      <c r="CU80" s="2">
        <f>AG80</f>
        <v>0</v>
      </c>
      <c r="CV80" s="2">
        <f>AH80</f>
        <v>0</v>
      </c>
      <c r="CW80" s="2">
        <f>AI80</f>
        <v>0</v>
      </c>
      <c r="CX80" s="2">
        <f>AJ80</f>
        <v>0</v>
      </c>
      <c r="CY80" s="2">
        <f>(((S80+R80)*AT80)/100)</f>
        <v>0</v>
      </c>
      <c r="CZ80" s="2">
        <f>(((S80+R80)*AU80)/100)</f>
        <v>0</v>
      </c>
      <c r="DA80" s="2"/>
      <c r="DB80" s="2"/>
      <c r="DC80" s="2" t="s">
        <v>3</v>
      </c>
      <c r="DD80" s="2" t="s">
        <v>3</v>
      </c>
      <c r="DE80" s="2" t="s">
        <v>3</v>
      </c>
      <c r="DF80" s="2" t="s">
        <v>3</v>
      </c>
      <c r="DG80" s="2" t="s">
        <v>3</v>
      </c>
      <c r="DH80" s="2" t="s">
        <v>3</v>
      </c>
      <c r="DI80" s="2" t="s">
        <v>3</v>
      </c>
      <c r="DJ80" s="2" t="s">
        <v>3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</v>
      </c>
      <c r="DQ80" s="2">
        <v>1</v>
      </c>
      <c r="DR80" s="2"/>
      <c r="DS80" s="2"/>
      <c r="DT80" s="2"/>
      <c r="DU80" s="2">
        <v>1013</v>
      </c>
      <c r="DV80" s="2" t="s">
        <v>43</v>
      </c>
      <c r="DW80" s="2" t="s">
        <v>43</v>
      </c>
      <c r="DX80" s="2">
        <v>1</v>
      </c>
      <c r="DY80" s="2"/>
      <c r="DZ80" s="2" t="s">
        <v>3</v>
      </c>
      <c r="EA80" s="2" t="s">
        <v>3</v>
      </c>
      <c r="EB80" s="2" t="s">
        <v>3</v>
      </c>
      <c r="EC80" s="2" t="s">
        <v>3</v>
      </c>
      <c r="ED80" s="2"/>
      <c r="EE80" s="2">
        <v>84053775</v>
      </c>
      <c r="EF80" s="2">
        <v>3</v>
      </c>
      <c r="EG80" s="2" t="s">
        <v>48</v>
      </c>
      <c r="EH80" s="2">
        <v>0</v>
      </c>
      <c r="EI80" s="2" t="s">
        <v>3</v>
      </c>
      <c r="EJ80" s="2">
        <v>2</v>
      </c>
      <c r="EK80" s="2">
        <v>108001</v>
      </c>
      <c r="EL80" s="2" t="s">
        <v>49</v>
      </c>
      <c r="EM80" s="2" t="s">
        <v>50</v>
      </c>
      <c r="EN80" s="2"/>
      <c r="EO80" s="2" t="s">
        <v>3</v>
      </c>
      <c r="EP80" s="2"/>
      <c r="EQ80" s="2">
        <v>0</v>
      </c>
      <c r="ER80" s="2">
        <v>3128.52</v>
      </c>
      <c r="ES80" s="2">
        <v>3128.52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>
        <v>0</v>
      </c>
      <c r="FR80" s="2">
        <v>0</v>
      </c>
      <c r="FS80" s="2">
        <v>0</v>
      </c>
      <c r="FT80" s="2"/>
      <c r="FU80" s="2"/>
      <c r="FV80" s="2"/>
      <c r="FW80" s="2"/>
      <c r="FX80" s="2">
        <v>97</v>
      </c>
      <c r="FY80" s="2">
        <v>51</v>
      </c>
      <c r="FZ80" s="2"/>
      <c r="GA80" s="2" t="s">
        <v>3</v>
      </c>
      <c r="GB80" s="2"/>
      <c r="GC80" s="2"/>
      <c r="GD80" s="2">
        <v>1</v>
      </c>
      <c r="GE80" s="2"/>
      <c r="GF80" s="2">
        <v>-426330565</v>
      </c>
      <c r="GG80" s="2">
        <v>2</v>
      </c>
      <c r="GH80" s="2">
        <v>1</v>
      </c>
      <c r="GI80" s="2">
        <v>2</v>
      </c>
      <c r="GJ80" s="2">
        <v>0</v>
      </c>
      <c r="GK80" s="2">
        <v>0</v>
      </c>
      <c r="GL80" s="2">
        <f t="shared" si="73"/>
        <v>0</v>
      </c>
      <c r="GM80" s="2">
        <f t="shared" si="74"/>
        <v>55687.6</v>
      </c>
      <c r="GN80" s="2">
        <f t="shared" si="75"/>
        <v>0</v>
      </c>
      <c r="GO80" s="2">
        <f t="shared" si="76"/>
        <v>55687.6</v>
      </c>
      <c r="GP80" s="2">
        <f t="shared" si="77"/>
        <v>0</v>
      </c>
      <c r="GQ80" s="2"/>
      <c r="GR80" s="2">
        <v>0</v>
      </c>
      <c r="GS80" s="2">
        <v>3</v>
      </c>
      <c r="GT80" s="2">
        <v>0</v>
      </c>
      <c r="GU80" s="2" t="s">
        <v>3</v>
      </c>
      <c r="GV80" s="2">
        <f t="shared" si="78"/>
        <v>0</v>
      </c>
      <c r="GW80" s="2">
        <v>1</v>
      </c>
      <c r="GX80" s="2">
        <f t="shared" si="79"/>
        <v>0</v>
      </c>
      <c r="GY80" s="2"/>
      <c r="GZ80" s="2"/>
      <c r="HA80" s="2">
        <v>0</v>
      </c>
      <c r="HB80" s="2">
        <v>0</v>
      </c>
      <c r="HC80" s="2">
        <f>GV80*GW80</f>
        <v>0</v>
      </c>
      <c r="HD80" s="2"/>
      <c r="HE80" s="2" t="s">
        <v>3</v>
      </c>
      <c r="HF80" s="2" t="s">
        <v>3</v>
      </c>
      <c r="HG80" s="2"/>
      <c r="HH80" s="2"/>
      <c r="HI80" s="2"/>
      <c r="HJ80" s="2"/>
      <c r="HK80" s="2"/>
      <c r="HL80" s="2"/>
      <c r="HM80" s="2" t="s">
        <v>3</v>
      </c>
      <c r="HN80" s="2" t="s">
        <v>52</v>
      </c>
      <c r="HO80" s="2" t="s">
        <v>53</v>
      </c>
      <c r="HP80" s="2" t="s">
        <v>49</v>
      </c>
      <c r="HQ80" s="2" t="s">
        <v>49</v>
      </c>
      <c r="HR80" s="2"/>
      <c r="HS80" s="2">
        <v>0</v>
      </c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>
        <v>0</v>
      </c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 spans="1:255" x14ac:dyDescent="0.2">
      <c r="A81" s="2">
        <v>18</v>
      </c>
      <c r="B81" s="2">
        <v>1</v>
      </c>
      <c r="C81" s="2">
        <v>121</v>
      </c>
      <c r="D81" s="2"/>
      <c r="E81" s="2" t="s">
        <v>207</v>
      </c>
      <c r="F81" s="2" t="s">
        <v>55</v>
      </c>
      <c r="G81" s="2" t="s">
        <v>56</v>
      </c>
      <c r="H81" s="2" t="s">
        <v>57</v>
      </c>
      <c r="I81" s="2">
        <f>J81</f>
        <v>2</v>
      </c>
      <c r="J81" s="2">
        <v>2</v>
      </c>
      <c r="K81" s="2">
        <v>2</v>
      </c>
      <c r="L81" s="2"/>
      <c r="M81" s="2"/>
      <c r="N81" s="2"/>
      <c r="O81" s="2">
        <f>ROUND(P81,2)</f>
        <v>152.4</v>
      </c>
      <c r="P81" s="2">
        <f>ROUND(ROUND(ROUND(SUMIF(SmtRes!AQ111:'SmtRes'!AQ121,"=1",SmtRes!CU111:'SmtRes'!CU121),2),2)*I81/100,2)</f>
        <v>152.4</v>
      </c>
      <c r="Q81" s="2">
        <f>ROUND(CR81*I81,2)</f>
        <v>0</v>
      </c>
      <c r="R81" s="2">
        <f>ROUND(CS81*I81,2)</f>
        <v>0</v>
      </c>
      <c r="S81" s="2">
        <f>ROUND(CT81*I81,2)</f>
        <v>0</v>
      </c>
      <c r="T81" s="2">
        <f t="shared" si="66"/>
        <v>0</v>
      </c>
      <c r="U81" s="2">
        <f>ROUND(CV81*I81,7)</f>
        <v>0</v>
      </c>
      <c r="V81" s="2">
        <f>ROUND(CW81*I81,7)</f>
        <v>0</v>
      </c>
      <c r="W81" s="2">
        <f t="shared" si="67"/>
        <v>0</v>
      </c>
      <c r="X81" s="2">
        <f t="shared" si="68"/>
        <v>0</v>
      </c>
      <c r="Y81" s="2">
        <f t="shared" si="69"/>
        <v>0</v>
      </c>
      <c r="Z81" s="2"/>
      <c r="AA81" s="2">
        <v>85997836</v>
      </c>
      <c r="AB81" s="2">
        <f t="shared" si="70"/>
        <v>0</v>
      </c>
      <c r="AC81" s="2">
        <f>ROUND((ES81),6)</f>
        <v>0</v>
      </c>
      <c r="AD81" s="2">
        <f>ROUND((((ET81)-(EU81))+AE81),6)</f>
        <v>0</v>
      </c>
      <c r="AE81" s="2">
        <f>ROUND((EU81),6)</f>
        <v>0</v>
      </c>
      <c r="AF81" s="2">
        <f>ROUND((EV81),6)</f>
        <v>0</v>
      </c>
      <c r="AG81" s="2">
        <f t="shared" si="71"/>
        <v>0</v>
      </c>
      <c r="AH81" s="2">
        <f>(EW81)</f>
        <v>0</v>
      </c>
      <c r="AI81" s="2">
        <f>(EX81)</f>
        <v>0</v>
      </c>
      <c r="AJ81" s="2">
        <f t="shared" si="72"/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97</v>
      </c>
      <c r="AU81" s="2">
        <v>51</v>
      </c>
      <c r="AV81" s="2">
        <v>1</v>
      </c>
      <c r="AW81" s="2">
        <v>1</v>
      </c>
      <c r="AX81" s="2"/>
      <c r="AY81" s="2"/>
      <c r="AZ81" s="2">
        <v>1</v>
      </c>
      <c r="BA81" s="2">
        <v>1</v>
      </c>
      <c r="BB81" s="2">
        <v>1</v>
      </c>
      <c r="BC81" s="2">
        <v>1</v>
      </c>
      <c r="BD81" s="2" t="s">
        <v>3</v>
      </c>
      <c r="BE81" s="2" t="s">
        <v>3</v>
      </c>
      <c r="BF81" s="2" t="s">
        <v>3</v>
      </c>
      <c r="BG81" s="2" t="s">
        <v>3</v>
      </c>
      <c r="BH81" s="2">
        <v>3</v>
      </c>
      <c r="BI81" s="2">
        <v>2</v>
      </c>
      <c r="BJ81" s="2" t="s">
        <v>3</v>
      </c>
      <c r="BK81" s="2"/>
      <c r="BL81" s="2"/>
      <c r="BM81" s="2">
        <v>108001</v>
      </c>
      <c r="BN81" s="2">
        <v>0</v>
      </c>
      <c r="BO81" s="2" t="s">
        <v>3</v>
      </c>
      <c r="BP81" s="2">
        <v>0</v>
      </c>
      <c r="BQ81" s="2">
        <v>3</v>
      </c>
      <c r="BR81" s="2">
        <v>0</v>
      </c>
      <c r="BS81" s="2">
        <v>1</v>
      </c>
      <c r="BT81" s="2">
        <v>1</v>
      </c>
      <c r="BU81" s="2">
        <v>1</v>
      </c>
      <c r="BV81" s="2">
        <v>1</v>
      </c>
      <c r="BW81" s="2">
        <v>1</v>
      </c>
      <c r="BX81" s="2">
        <v>1</v>
      </c>
      <c r="BY81" s="2" t="s">
        <v>3</v>
      </c>
      <c r="BZ81" s="2">
        <v>97</v>
      </c>
      <c r="CA81" s="2">
        <v>51</v>
      </c>
      <c r="CB81" s="2" t="s">
        <v>3</v>
      </c>
      <c r="CC81" s="2"/>
      <c r="CD81" s="2"/>
      <c r="CE81" s="2">
        <v>0</v>
      </c>
      <c r="CF81" s="2">
        <v>0</v>
      </c>
      <c r="CG81" s="2">
        <v>0</v>
      </c>
      <c r="CH81" s="2"/>
      <c r="CI81" s="2"/>
      <c r="CJ81" s="2"/>
      <c r="CK81" s="2"/>
      <c r="CL81" s="2"/>
      <c r="CM81" s="2">
        <v>0</v>
      </c>
      <c r="CN81" s="2" t="s">
        <v>3</v>
      </c>
      <c r="CO81" s="2">
        <v>0</v>
      </c>
      <c r="CP81" s="2">
        <f>0</f>
        <v>0</v>
      </c>
      <c r="CQ81" s="2">
        <f>0</f>
        <v>0</v>
      </c>
      <c r="CR81" s="2">
        <f>0</f>
        <v>0</v>
      </c>
      <c r="CS81" s="2">
        <f>0</f>
        <v>0</v>
      </c>
      <c r="CT81" s="2">
        <f>0</f>
        <v>0</v>
      </c>
      <c r="CU81" s="2">
        <f>0</f>
        <v>0</v>
      </c>
      <c r="CV81" s="2">
        <f>0</f>
        <v>0</v>
      </c>
      <c r="CW81" s="2">
        <f>0</f>
        <v>0</v>
      </c>
      <c r="CX81" s="2">
        <f>0</f>
        <v>0</v>
      </c>
      <c r="CY81" s="2">
        <f>0</f>
        <v>0</v>
      </c>
      <c r="CZ81" s="2">
        <f>0</f>
        <v>0</v>
      </c>
      <c r="DA81" s="2"/>
      <c r="DB81" s="2"/>
      <c r="DC81" s="2" t="s">
        <v>3</v>
      </c>
      <c r="DD81" s="2" t="s">
        <v>3</v>
      </c>
      <c r="DE81" s="2" t="s">
        <v>3</v>
      </c>
      <c r="DF81" s="2" t="s">
        <v>3</v>
      </c>
      <c r="DG81" s="2" t="s">
        <v>3</v>
      </c>
      <c r="DH81" s="2" t="s">
        <v>3</v>
      </c>
      <c r="DI81" s="2" t="s">
        <v>3</v>
      </c>
      <c r="DJ81" s="2" t="s">
        <v>3</v>
      </c>
      <c r="DK81" s="2" t="s">
        <v>3</v>
      </c>
      <c r="DL81" s="2" t="s">
        <v>3</v>
      </c>
      <c r="DM81" s="2" t="s">
        <v>3</v>
      </c>
      <c r="DN81" s="2">
        <v>0</v>
      </c>
      <c r="DO81" s="2">
        <v>0</v>
      </c>
      <c r="DP81" s="2">
        <v>1</v>
      </c>
      <c r="DQ81" s="2">
        <v>1</v>
      </c>
      <c r="DR81" s="2"/>
      <c r="DS81" s="2"/>
      <c r="DT81" s="2"/>
      <c r="DU81" s="2">
        <v>1013</v>
      </c>
      <c r="DV81" s="2" t="s">
        <v>57</v>
      </c>
      <c r="DW81" s="2" t="s">
        <v>57</v>
      </c>
      <c r="DX81" s="2">
        <v>1</v>
      </c>
      <c r="DY81" s="2"/>
      <c r="DZ81" s="2" t="s">
        <v>3</v>
      </c>
      <c r="EA81" s="2" t="s">
        <v>3</v>
      </c>
      <c r="EB81" s="2" t="s">
        <v>3</v>
      </c>
      <c r="EC81" s="2" t="s">
        <v>3</v>
      </c>
      <c r="ED81" s="2"/>
      <c r="EE81" s="2">
        <v>84053775</v>
      </c>
      <c r="EF81" s="2">
        <v>3</v>
      </c>
      <c r="EG81" s="2" t="s">
        <v>48</v>
      </c>
      <c r="EH81" s="2">
        <v>0</v>
      </c>
      <c r="EI81" s="2" t="s">
        <v>3</v>
      </c>
      <c r="EJ81" s="2">
        <v>2</v>
      </c>
      <c r="EK81" s="2">
        <v>108001</v>
      </c>
      <c r="EL81" s="2" t="s">
        <v>49</v>
      </c>
      <c r="EM81" s="2" t="s">
        <v>50</v>
      </c>
      <c r="EN81" s="2"/>
      <c r="EO81" s="2" t="s">
        <v>3</v>
      </c>
      <c r="EP81" s="2"/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>
        <v>0</v>
      </c>
      <c r="FR81" s="2">
        <v>0</v>
      </c>
      <c r="FS81" s="2">
        <v>0</v>
      </c>
      <c r="FT81" s="2"/>
      <c r="FU81" s="2"/>
      <c r="FV81" s="2"/>
      <c r="FW81" s="2"/>
      <c r="FX81" s="2">
        <v>97</v>
      </c>
      <c r="FY81" s="2">
        <v>51</v>
      </c>
      <c r="FZ81" s="2"/>
      <c r="GA81" s="2" t="s">
        <v>3</v>
      </c>
      <c r="GB81" s="2"/>
      <c r="GC81" s="2"/>
      <c r="GD81" s="2">
        <v>1</v>
      </c>
      <c r="GE81" s="2"/>
      <c r="GF81" s="2">
        <v>274903907</v>
      </c>
      <c r="GG81" s="2">
        <v>2</v>
      </c>
      <c r="GH81" s="2">
        <v>1</v>
      </c>
      <c r="GI81" s="2">
        <v>-2</v>
      </c>
      <c r="GJ81" s="2">
        <v>0</v>
      </c>
      <c r="GK81" s="2">
        <v>0</v>
      </c>
      <c r="GL81" s="2">
        <f t="shared" si="73"/>
        <v>0</v>
      </c>
      <c r="GM81" s="2">
        <f t="shared" si="74"/>
        <v>152.4</v>
      </c>
      <c r="GN81" s="2">
        <f t="shared" si="75"/>
        <v>0</v>
      </c>
      <c r="GO81" s="2">
        <f t="shared" si="76"/>
        <v>152.4</v>
      </c>
      <c r="GP81" s="2">
        <f t="shared" si="77"/>
        <v>0</v>
      </c>
      <c r="GQ81" s="2"/>
      <c r="GR81" s="2">
        <v>0</v>
      </c>
      <c r="GS81" s="2">
        <v>0</v>
      </c>
      <c r="GT81" s="2">
        <v>0</v>
      </c>
      <c r="GU81" s="2" t="s">
        <v>3</v>
      </c>
      <c r="GV81" s="2">
        <f t="shared" si="78"/>
        <v>0</v>
      </c>
      <c r="GW81" s="2">
        <v>1</v>
      </c>
      <c r="GX81" s="2">
        <f t="shared" si="79"/>
        <v>0</v>
      </c>
      <c r="GY81" s="2"/>
      <c r="GZ81" s="2"/>
      <c r="HA81" s="2">
        <v>0</v>
      </c>
      <c r="HB81" s="2">
        <v>0</v>
      </c>
      <c r="HC81" s="2">
        <f>0</f>
        <v>0</v>
      </c>
      <c r="HD81" s="2"/>
      <c r="HE81" s="2" t="s">
        <v>3</v>
      </c>
      <c r="HF81" s="2" t="s">
        <v>3</v>
      </c>
      <c r="HG81" s="2"/>
      <c r="HH81" s="2"/>
      <c r="HI81" s="2"/>
      <c r="HJ81" s="2"/>
      <c r="HK81" s="2"/>
      <c r="HL81" s="2"/>
      <c r="HM81" s="2" t="s">
        <v>3</v>
      </c>
      <c r="HN81" s="2" t="s">
        <v>52</v>
      </c>
      <c r="HO81" s="2" t="s">
        <v>53</v>
      </c>
      <c r="HP81" s="2" t="s">
        <v>49</v>
      </c>
      <c r="HQ81" s="2" t="s">
        <v>49</v>
      </c>
      <c r="HR81" s="2"/>
      <c r="HS81" s="2">
        <v>0</v>
      </c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>
        <v>0</v>
      </c>
      <c r="IL81" s="2"/>
      <c r="IM81" s="2"/>
      <c r="IN81" s="2"/>
      <c r="IO81" s="2"/>
      <c r="IP81" s="2"/>
      <c r="IQ81" s="2"/>
      <c r="IR81" s="2"/>
      <c r="IS81" s="2"/>
      <c r="IT81" s="2"/>
      <c r="IU81" s="2"/>
    </row>
    <row r="83" spans="1:255" x14ac:dyDescent="0.2">
      <c r="A83" s="3">
        <v>51</v>
      </c>
      <c r="B83" s="3">
        <f>B24</f>
        <v>1</v>
      </c>
      <c r="C83" s="3">
        <f>A24</f>
        <v>4</v>
      </c>
      <c r="D83" s="3">
        <f>ROW(A24)</f>
        <v>24</v>
      </c>
      <c r="E83" s="3"/>
      <c r="F83" s="3" t="str">
        <f>IF(F24&lt;&gt;"",F24,"")</f>
        <v>Новый раздел</v>
      </c>
      <c r="G83" s="3" t="str">
        <f>IF(G24&lt;&gt;"",G24,"")</f>
        <v>Электромонтажные работы</v>
      </c>
      <c r="H83" s="3">
        <v>0</v>
      </c>
      <c r="I83" s="3"/>
      <c r="J83" s="3"/>
      <c r="K83" s="3"/>
      <c r="L83" s="3"/>
      <c r="M83" s="3"/>
      <c r="N83" s="3"/>
      <c r="O83" s="3">
        <f t="shared" ref="O83:T83" si="100">ROUND(AB83,2)</f>
        <v>219395.47</v>
      </c>
      <c r="P83" s="3">
        <f t="shared" si="100"/>
        <v>157966.03</v>
      </c>
      <c r="Q83" s="3">
        <f t="shared" si="100"/>
        <v>-1319.05</v>
      </c>
      <c r="R83" s="3">
        <f t="shared" si="100"/>
        <v>-893.31</v>
      </c>
      <c r="S83" s="3">
        <f t="shared" si="100"/>
        <v>63641.8</v>
      </c>
      <c r="T83" s="3">
        <f t="shared" si="100"/>
        <v>0</v>
      </c>
      <c r="U83" s="3">
        <f>AH83</f>
        <v>91.621900000000011</v>
      </c>
      <c r="V83" s="3">
        <f>AI83</f>
        <v>0.04</v>
      </c>
      <c r="W83" s="3">
        <f>ROUND(AJ83,2)</f>
        <v>0</v>
      </c>
      <c r="X83" s="3">
        <f>ROUND(AK83,2)</f>
        <v>60185.86</v>
      </c>
      <c r="Y83" s="3">
        <f>ROUND(AL83,2)</f>
        <v>31609.34</v>
      </c>
      <c r="Z83" s="3"/>
      <c r="AA83" s="3"/>
      <c r="AB83" s="3">
        <f>ROUND(SUMIF(AA28:AA81,"=85997836",O28:O81),2)</f>
        <v>219395.47</v>
      </c>
      <c r="AC83" s="3">
        <f>ROUND(SUMIF(AA28:AA81,"=85997836",P28:P81),2)</f>
        <v>157966.03</v>
      </c>
      <c r="AD83" s="3">
        <f>ROUND(SUMIF(AA28:AA81,"=85997836",Q28:Q81),2)</f>
        <v>-1319.05</v>
      </c>
      <c r="AE83" s="3">
        <f>ROUND(SUMIF(AA28:AA81,"=85997836",R28:R81),2)</f>
        <v>-893.31</v>
      </c>
      <c r="AF83" s="3">
        <f>ROUND(SUMIF(AA28:AA81,"=85997836",S28:S81),2)</f>
        <v>63641.8</v>
      </c>
      <c r="AG83" s="3">
        <f>ROUND(SUMIF(AA28:AA81,"=85997836",T28:T81),2)</f>
        <v>0</v>
      </c>
      <c r="AH83" s="3">
        <f>SUMIF(AA28:AA81,"=85997836",U28:U81)</f>
        <v>91.621900000000011</v>
      </c>
      <c r="AI83" s="3">
        <f>SUMIF(AA28:AA81,"=85997836",V28:V81)</f>
        <v>0.04</v>
      </c>
      <c r="AJ83" s="3">
        <f>ROUND(SUMIF(AA28:AA81,"=85997836",W28:W81),2)</f>
        <v>0</v>
      </c>
      <c r="AK83" s="3">
        <f>ROUND(SUMIF(AA28:AA81,"=85997836",X28:X81),2)</f>
        <v>60185.86</v>
      </c>
      <c r="AL83" s="3">
        <f>ROUND(SUMIF(AA28:AA81,"=85997836",Y28:Y81),2)</f>
        <v>31609.34</v>
      </c>
      <c r="AM83" s="3"/>
      <c r="AN83" s="3"/>
      <c r="AO83" s="3">
        <f t="shared" ref="AO83:BD83" si="101">ROUND(BX83,2)</f>
        <v>0</v>
      </c>
      <c r="AP83" s="3">
        <f t="shared" si="101"/>
        <v>0</v>
      </c>
      <c r="AQ83" s="3">
        <f t="shared" si="101"/>
        <v>0</v>
      </c>
      <c r="AR83" s="3">
        <f t="shared" si="101"/>
        <v>311190.67</v>
      </c>
      <c r="AS83" s="3">
        <f t="shared" si="101"/>
        <v>17372.54</v>
      </c>
      <c r="AT83" s="3">
        <f t="shared" si="101"/>
        <v>293818.13</v>
      </c>
      <c r="AU83" s="3">
        <f t="shared" si="101"/>
        <v>0</v>
      </c>
      <c r="AV83" s="3">
        <f t="shared" si="101"/>
        <v>157966.03</v>
      </c>
      <c r="AW83" s="3">
        <f t="shared" si="101"/>
        <v>157966.03</v>
      </c>
      <c r="AX83" s="3">
        <f t="shared" si="101"/>
        <v>0</v>
      </c>
      <c r="AY83" s="3">
        <f t="shared" si="101"/>
        <v>157966.03</v>
      </c>
      <c r="AZ83" s="3">
        <f t="shared" si="101"/>
        <v>0</v>
      </c>
      <c r="BA83" s="3">
        <f t="shared" si="101"/>
        <v>0</v>
      </c>
      <c r="BB83" s="3">
        <f t="shared" si="101"/>
        <v>0</v>
      </c>
      <c r="BC83" s="3">
        <f t="shared" si="101"/>
        <v>0</v>
      </c>
      <c r="BD83" s="3">
        <f t="shared" si="101"/>
        <v>0</v>
      </c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>
        <f>ROUND(SUMIF(AA28:AA81,"=85997836",FQ28:FQ81),2)</f>
        <v>0</v>
      </c>
      <c r="BY83" s="3">
        <f>ROUND(SUMIF(AA28:AA81,"=85997836",FR28:FR81),2)</f>
        <v>0</v>
      </c>
      <c r="BZ83" s="3">
        <f>ROUND(SUMIF(AA28:AA81,"=85997836",GL28:GL81),2)</f>
        <v>0</v>
      </c>
      <c r="CA83" s="3">
        <f>ROUND(SUMIF(AA28:AA81,"=85997836",GM28:GM81),2)</f>
        <v>311190.67</v>
      </c>
      <c r="CB83" s="3">
        <f>ROUND(SUMIF(AA28:AA81,"=85997836",GN28:GN81),2)</f>
        <v>17372.54</v>
      </c>
      <c r="CC83" s="3">
        <f>ROUND(SUMIF(AA28:AA81,"=85997836",GO28:GO81),2)</f>
        <v>293818.13</v>
      </c>
      <c r="CD83" s="3">
        <f>ROUND(SUMIF(AA28:AA81,"=85997836",GP28:GP81),2)</f>
        <v>0</v>
      </c>
      <c r="CE83" s="3">
        <f>AC83-BX83</f>
        <v>157966.03</v>
      </c>
      <c r="CF83" s="3">
        <f>AC83-BY83</f>
        <v>157966.03</v>
      </c>
      <c r="CG83" s="3">
        <f>BX83-BZ83</f>
        <v>0</v>
      </c>
      <c r="CH83" s="3">
        <f>AC83-BX83-BY83+BZ83</f>
        <v>157966.03</v>
      </c>
      <c r="CI83" s="3">
        <f>BY83-BZ83</f>
        <v>0</v>
      </c>
      <c r="CJ83" s="3">
        <f>ROUND(SUMIF(AA28:AA81,"=85997836",GX28:GX81),2)</f>
        <v>0</v>
      </c>
      <c r="CK83" s="3">
        <f>ROUND(SUMIF(AA28:AA81,"=85997836",GY28:GY81),2)</f>
        <v>0</v>
      </c>
      <c r="CL83" s="3">
        <f>ROUND(SUMIF(AA28:AA81,"=85997836",GZ28:GZ81),2)</f>
        <v>0</v>
      </c>
      <c r="CM83" s="3">
        <f>ROUND(SUMIF(AA28:AA81,"=85997836",HD28:HD81),2)</f>
        <v>0</v>
      </c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>
        <v>0</v>
      </c>
    </row>
    <row r="85" spans="1:255" x14ac:dyDescent="0.2">
      <c r="A85" s="5">
        <v>50</v>
      </c>
      <c r="B85" s="5">
        <v>0</v>
      </c>
      <c r="C85" s="5">
        <v>0</v>
      </c>
      <c r="D85" s="5">
        <v>1</v>
      </c>
      <c r="E85" s="5">
        <v>201</v>
      </c>
      <c r="F85" s="5">
        <f>ROUND(Source!O83,O85)</f>
        <v>219395.47</v>
      </c>
      <c r="G85" s="5" t="s">
        <v>208</v>
      </c>
      <c r="H85" s="5" t="s">
        <v>209</v>
      </c>
      <c r="I85" s="5"/>
      <c r="J85" s="5"/>
      <c r="K85" s="5">
        <v>201</v>
      </c>
      <c r="L85" s="5">
        <v>1</v>
      </c>
      <c r="M85" s="5">
        <v>3</v>
      </c>
      <c r="N85" s="5" t="s">
        <v>3</v>
      </c>
      <c r="O85" s="5">
        <v>2</v>
      </c>
      <c r="P85" s="5"/>
      <c r="Q85" s="5"/>
      <c r="R85" s="5"/>
      <c r="S85" s="5"/>
      <c r="T85" s="5"/>
      <c r="U85" s="5"/>
      <c r="V85" s="5"/>
      <c r="W85" s="5">
        <v>219395.47</v>
      </c>
      <c r="X85" s="5">
        <v>1</v>
      </c>
      <c r="Y85" s="5">
        <v>219395.47</v>
      </c>
      <c r="Z85" s="5"/>
      <c r="AA85" s="5"/>
      <c r="AB85" s="5"/>
    </row>
    <row r="86" spans="1:255" x14ac:dyDescent="0.2">
      <c r="A86" s="5">
        <v>50</v>
      </c>
      <c r="B86" s="5">
        <v>0</v>
      </c>
      <c r="C86" s="5">
        <v>0</v>
      </c>
      <c r="D86" s="5">
        <v>1</v>
      </c>
      <c r="E86" s="5">
        <v>202</v>
      </c>
      <c r="F86" s="5">
        <f>ROUND(Source!P83,O86)</f>
        <v>157966.03</v>
      </c>
      <c r="G86" s="5" t="s">
        <v>210</v>
      </c>
      <c r="H86" s="5" t="s">
        <v>211</v>
      </c>
      <c r="I86" s="5"/>
      <c r="J86" s="5"/>
      <c r="K86" s="5">
        <v>202</v>
      </c>
      <c r="L86" s="5">
        <v>2</v>
      </c>
      <c r="M86" s="5">
        <v>3</v>
      </c>
      <c r="N86" s="5" t="s">
        <v>3</v>
      </c>
      <c r="O86" s="5">
        <v>2</v>
      </c>
      <c r="P86" s="5"/>
      <c r="Q86" s="5"/>
      <c r="R86" s="5"/>
      <c r="S86" s="5"/>
      <c r="T86" s="5"/>
      <c r="U86" s="5"/>
      <c r="V86" s="5"/>
      <c r="W86" s="5">
        <v>157966.03</v>
      </c>
      <c r="X86" s="5">
        <v>1</v>
      </c>
      <c r="Y86" s="5">
        <v>157966.03</v>
      </c>
      <c r="Z86" s="5"/>
      <c r="AA86" s="5"/>
      <c r="AB86" s="5"/>
    </row>
    <row r="87" spans="1:255" x14ac:dyDescent="0.2">
      <c r="A87" s="5">
        <v>50</v>
      </c>
      <c r="B87" s="5">
        <v>0</v>
      </c>
      <c r="C87" s="5">
        <v>0</v>
      </c>
      <c r="D87" s="5">
        <v>1</v>
      </c>
      <c r="E87" s="5">
        <v>222</v>
      </c>
      <c r="F87" s="5">
        <f>ROUND(Source!AO83,O87)</f>
        <v>0</v>
      </c>
      <c r="G87" s="5" t="s">
        <v>212</v>
      </c>
      <c r="H87" s="5" t="s">
        <v>213</v>
      </c>
      <c r="I87" s="5"/>
      <c r="J87" s="5"/>
      <c r="K87" s="5">
        <v>222</v>
      </c>
      <c r="L87" s="5">
        <v>3</v>
      </c>
      <c r="M87" s="5">
        <v>3</v>
      </c>
      <c r="N87" s="5" t="s">
        <v>3</v>
      </c>
      <c r="O87" s="5">
        <v>2</v>
      </c>
      <c r="P87" s="5"/>
      <c r="Q87" s="5"/>
      <c r="R87" s="5"/>
      <c r="S87" s="5"/>
      <c r="T87" s="5"/>
      <c r="U87" s="5"/>
      <c r="V87" s="5"/>
      <c r="W87" s="5">
        <v>0</v>
      </c>
      <c r="X87" s="5">
        <v>1</v>
      </c>
      <c r="Y87" s="5">
        <v>0</v>
      </c>
      <c r="Z87" s="5"/>
      <c r="AA87" s="5"/>
      <c r="AB87" s="5"/>
    </row>
    <row r="88" spans="1:255" x14ac:dyDescent="0.2">
      <c r="A88" s="5">
        <v>50</v>
      </c>
      <c r="B88" s="5">
        <v>0</v>
      </c>
      <c r="C88" s="5">
        <v>0</v>
      </c>
      <c r="D88" s="5">
        <v>1</v>
      </c>
      <c r="E88" s="5">
        <v>225</v>
      </c>
      <c r="F88" s="5">
        <f>ROUND(Source!AV83,O88)</f>
        <v>157966.03</v>
      </c>
      <c r="G88" s="5" t="s">
        <v>214</v>
      </c>
      <c r="H88" s="5" t="s">
        <v>215</v>
      </c>
      <c r="I88" s="5"/>
      <c r="J88" s="5"/>
      <c r="K88" s="5">
        <v>225</v>
      </c>
      <c r="L88" s="5">
        <v>4</v>
      </c>
      <c r="M88" s="5">
        <v>3</v>
      </c>
      <c r="N88" s="5" t="s">
        <v>3</v>
      </c>
      <c r="O88" s="5">
        <v>2</v>
      </c>
      <c r="P88" s="5"/>
      <c r="Q88" s="5"/>
      <c r="R88" s="5"/>
      <c r="S88" s="5"/>
      <c r="T88" s="5"/>
      <c r="U88" s="5"/>
      <c r="V88" s="5"/>
      <c r="W88" s="5">
        <v>157966.03</v>
      </c>
      <c r="X88" s="5">
        <v>1</v>
      </c>
      <c r="Y88" s="5">
        <v>157966.03</v>
      </c>
      <c r="Z88" s="5"/>
      <c r="AA88" s="5"/>
      <c r="AB88" s="5"/>
    </row>
    <row r="89" spans="1:255" x14ac:dyDescent="0.2">
      <c r="A89" s="5">
        <v>50</v>
      </c>
      <c r="B89" s="5">
        <v>0</v>
      </c>
      <c r="C89" s="5">
        <v>0</v>
      </c>
      <c r="D89" s="5">
        <v>1</v>
      </c>
      <c r="E89" s="5">
        <v>226</v>
      </c>
      <c r="F89" s="5">
        <f>ROUND(Source!AW83,O89)</f>
        <v>157966.03</v>
      </c>
      <c r="G89" s="5" t="s">
        <v>216</v>
      </c>
      <c r="H89" s="5" t="s">
        <v>217</v>
      </c>
      <c r="I89" s="5"/>
      <c r="J89" s="5"/>
      <c r="K89" s="5">
        <v>226</v>
      </c>
      <c r="L89" s="5">
        <v>5</v>
      </c>
      <c r="M89" s="5">
        <v>3</v>
      </c>
      <c r="N89" s="5" t="s">
        <v>3</v>
      </c>
      <c r="O89" s="5">
        <v>2</v>
      </c>
      <c r="P89" s="5"/>
      <c r="Q89" s="5"/>
      <c r="R89" s="5"/>
      <c r="S89" s="5"/>
      <c r="T89" s="5"/>
      <c r="U89" s="5"/>
      <c r="V89" s="5"/>
      <c r="W89" s="5">
        <v>157966.03</v>
      </c>
      <c r="X89" s="5">
        <v>1</v>
      </c>
      <c r="Y89" s="5">
        <v>157966.03</v>
      </c>
      <c r="Z89" s="5"/>
      <c r="AA89" s="5"/>
      <c r="AB89" s="5"/>
    </row>
    <row r="90" spans="1:255" x14ac:dyDescent="0.2">
      <c r="A90" s="5">
        <v>50</v>
      </c>
      <c r="B90" s="5">
        <v>0</v>
      </c>
      <c r="C90" s="5">
        <v>0</v>
      </c>
      <c r="D90" s="5">
        <v>1</v>
      </c>
      <c r="E90" s="5">
        <v>227</v>
      </c>
      <c r="F90" s="5">
        <f>ROUND(Source!AX83,O90)</f>
        <v>0</v>
      </c>
      <c r="G90" s="5" t="s">
        <v>218</v>
      </c>
      <c r="H90" s="5" t="s">
        <v>219</v>
      </c>
      <c r="I90" s="5"/>
      <c r="J90" s="5"/>
      <c r="K90" s="5">
        <v>227</v>
      </c>
      <c r="L90" s="5">
        <v>6</v>
      </c>
      <c r="M90" s="5">
        <v>3</v>
      </c>
      <c r="N90" s="5" t="s">
        <v>3</v>
      </c>
      <c r="O90" s="5">
        <v>2</v>
      </c>
      <c r="P90" s="5"/>
      <c r="Q90" s="5"/>
      <c r="R90" s="5"/>
      <c r="S90" s="5"/>
      <c r="T90" s="5"/>
      <c r="U90" s="5"/>
      <c r="V90" s="5"/>
      <c r="W90" s="5">
        <v>0</v>
      </c>
      <c r="X90" s="5">
        <v>1</v>
      </c>
      <c r="Y90" s="5">
        <v>0</v>
      </c>
      <c r="Z90" s="5"/>
      <c r="AA90" s="5"/>
      <c r="AB90" s="5"/>
    </row>
    <row r="91" spans="1:255" x14ac:dyDescent="0.2">
      <c r="A91" s="5">
        <v>50</v>
      </c>
      <c r="B91" s="5">
        <v>0</v>
      </c>
      <c r="C91" s="5">
        <v>0</v>
      </c>
      <c r="D91" s="5">
        <v>1</v>
      </c>
      <c r="E91" s="5">
        <v>228</v>
      </c>
      <c r="F91" s="5">
        <f>ROUND(Source!AY83,O91)</f>
        <v>157966.03</v>
      </c>
      <c r="G91" s="5" t="s">
        <v>220</v>
      </c>
      <c r="H91" s="5" t="s">
        <v>221</v>
      </c>
      <c r="I91" s="5"/>
      <c r="J91" s="5"/>
      <c r="K91" s="5">
        <v>228</v>
      </c>
      <c r="L91" s="5">
        <v>7</v>
      </c>
      <c r="M91" s="5">
        <v>3</v>
      </c>
      <c r="N91" s="5" t="s">
        <v>3</v>
      </c>
      <c r="O91" s="5">
        <v>2</v>
      </c>
      <c r="P91" s="5"/>
      <c r="Q91" s="5"/>
      <c r="R91" s="5"/>
      <c r="S91" s="5"/>
      <c r="T91" s="5"/>
      <c r="U91" s="5"/>
      <c r="V91" s="5"/>
      <c r="W91" s="5">
        <v>157966.03</v>
      </c>
      <c r="X91" s="5">
        <v>1</v>
      </c>
      <c r="Y91" s="5">
        <v>157966.03</v>
      </c>
      <c r="Z91" s="5"/>
      <c r="AA91" s="5"/>
      <c r="AB91" s="5"/>
    </row>
    <row r="92" spans="1:255" x14ac:dyDescent="0.2">
      <c r="A92" s="5">
        <v>50</v>
      </c>
      <c r="B92" s="5">
        <v>0</v>
      </c>
      <c r="C92" s="5">
        <v>0</v>
      </c>
      <c r="D92" s="5">
        <v>1</v>
      </c>
      <c r="E92" s="5">
        <v>216</v>
      </c>
      <c r="F92" s="5">
        <f>ROUND(Source!AP83,O92)</f>
        <v>0</v>
      </c>
      <c r="G92" s="5" t="s">
        <v>222</v>
      </c>
      <c r="H92" s="5" t="s">
        <v>223</v>
      </c>
      <c r="I92" s="5"/>
      <c r="J92" s="5"/>
      <c r="K92" s="5">
        <v>216</v>
      </c>
      <c r="L92" s="5">
        <v>8</v>
      </c>
      <c r="M92" s="5">
        <v>3</v>
      </c>
      <c r="N92" s="5" t="s">
        <v>3</v>
      </c>
      <c r="O92" s="5">
        <v>2</v>
      </c>
      <c r="P92" s="5"/>
      <c r="Q92" s="5"/>
      <c r="R92" s="5"/>
      <c r="S92" s="5"/>
      <c r="T92" s="5"/>
      <c r="U92" s="5"/>
      <c r="V92" s="5"/>
      <c r="W92" s="5">
        <v>0</v>
      </c>
      <c r="X92" s="5">
        <v>1</v>
      </c>
      <c r="Y92" s="5">
        <v>0</v>
      </c>
      <c r="Z92" s="5"/>
      <c r="AA92" s="5"/>
      <c r="AB92" s="5"/>
    </row>
    <row r="93" spans="1:255" x14ac:dyDescent="0.2">
      <c r="A93" s="5">
        <v>50</v>
      </c>
      <c r="B93" s="5">
        <v>0</v>
      </c>
      <c r="C93" s="5">
        <v>0</v>
      </c>
      <c r="D93" s="5">
        <v>1</v>
      </c>
      <c r="E93" s="5">
        <v>223</v>
      </c>
      <c r="F93" s="5">
        <f>ROUND(Source!AQ83,O93)</f>
        <v>0</v>
      </c>
      <c r="G93" s="5" t="s">
        <v>224</v>
      </c>
      <c r="H93" s="5" t="s">
        <v>225</v>
      </c>
      <c r="I93" s="5"/>
      <c r="J93" s="5"/>
      <c r="K93" s="5">
        <v>223</v>
      </c>
      <c r="L93" s="5">
        <v>9</v>
      </c>
      <c r="M93" s="5">
        <v>3</v>
      </c>
      <c r="N93" s="5" t="s">
        <v>3</v>
      </c>
      <c r="O93" s="5">
        <v>2</v>
      </c>
      <c r="P93" s="5"/>
      <c r="Q93" s="5"/>
      <c r="R93" s="5"/>
      <c r="S93" s="5"/>
      <c r="T93" s="5"/>
      <c r="U93" s="5"/>
      <c r="V93" s="5"/>
      <c r="W93" s="5">
        <v>0</v>
      </c>
      <c r="X93" s="5">
        <v>1</v>
      </c>
      <c r="Y93" s="5">
        <v>0</v>
      </c>
      <c r="Z93" s="5"/>
      <c r="AA93" s="5"/>
      <c r="AB93" s="5"/>
    </row>
    <row r="94" spans="1:255" x14ac:dyDescent="0.2">
      <c r="A94" s="5">
        <v>50</v>
      </c>
      <c r="B94" s="5">
        <v>0</v>
      </c>
      <c r="C94" s="5">
        <v>0</v>
      </c>
      <c r="D94" s="5">
        <v>1</v>
      </c>
      <c r="E94" s="5">
        <v>229</v>
      </c>
      <c r="F94" s="5">
        <f>ROUND(Source!AZ83,O94)</f>
        <v>0</v>
      </c>
      <c r="G94" s="5" t="s">
        <v>226</v>
      </c>
      <c r="H94" s="5" t="s">
        <v>227</v>
      </c>
      <c r="I94" s="5"/>
      <c r="J94" s="5"/>
      <c r="K94" s="5">
        <v>229</v>
      </c>
      <c r="L94" s="5">
        <v>10</v>
      </c>
      <c r="M94" s="5">
        <v>3</v>
      </c>
      <c r="N94" s="5" t="s">
        <v>3</v>
      </c>
      <c r="O94" s="5">
        <v>2</v>
      </c>
      <c r="P94" s="5"/>
      <c r="Q94" s="5"/>
      <c r="R94" s="5"/>
      <c r="S94" s="5"/>
      <c r="T94" s="5"/>
      <c r="U94" s="5"/>
      <c r="V94" s="5"/>
      <c r="W94" s="5">
        <v>0</v>
      </c>
      <c r="X94" s="5">
        <v>1</v>
      </c>
      <c r="Y94" s="5">
        <v>0</v>
      </c>
      <c r="Z94" s="5"/>
      <c r="AA94" s="5"/>
      <c r="AB94" s="5"/>
    </row>
    <row r="95" spans="1:255" x14ac:dyDescent="0.2">
      <c r="A95" s="5">
        <v>50</v>
      </c>
      <c r="B95" s="5">
        <v>0</v>
      </c>
      <c r="C95" s="5">
        <v>0</v>
      </c>
      <c r="D95" s="5">
        <v>1</v>
      </c>
      <c r="E95" s="5">
        <v>203</v>
      </c>
      <c r="F95" s="5">
        <f>ROUND(Source!Q83,O95)</f>
        <v>-1319.05</v>
      </c>
      <c r="G95" s="5" t="s">
        <v>228</v>
      </c>
      <c r="H95" s="5" t="s">
        <v>229</v>
      </c>
      <c r="I95" s="5"/>
      <c r="J95" s="5"/>
      <c r="K95" s="5">
        <v>203</v>
      </c>
      <c r="L95" s="5">
        <v>11</v>
      </c>
      <c r="M95" s="5">
        <v>3</v>
      </c>
      <c r="N95" s="5" t="s">
        <v>3</v>
      </c>
      <c r="O95" s="5">
        <v>2</v>
      </c>
      <c r="P95" s="5"/>
      <c r="Q95" s="5"/>
      <c r="R95" s="5"/>
      <c r="S95" s="5"/>
      <c r="T95" s="5"/>
      <c r="U95" s="5"/>
      <c r="V95" s="5"/>
      <c r="W95" s="5">
        <v>-1319.05</v>
      </c>
      <c r="X95" s="5">
        <v>1</v>
      </c>
      <c r="Y95" s="5">
        <v>-1319.05</v>
      </c>
      <c r="Z95" s="5"/>
      <c r="AA95" s="5"/>
      <c r="AB95" s="5"/>
    </row>
    <row r="96" spans="1:255" x14ac:dyDescent="0.2">
      <c r="A96" s="5">
        <v>50</v>
      </c>
      <c r="B96" s="5">
        <v>0</v>
      </c>
      <c r="C96" s="5">
        <v>0</v>
      </c>
      <c r="D96" s="5">
        <v>1</v>
      </c>
      <c r="E96" s="5">
        <v>231</v>
      </c>
      <c r="F96" s="5">
        <f>ROUND(Source!BB83,O96)</f>
        <v>0</v>
      </c>
      <c r="G96" s="5" t="s">
        <v>230</v>
      </c>
      <c r="H96" s="5" t="s">
        <v>231</v>
      </c>
      <c r="I96" s="5"/>
      <c r="J96" s="5"/>
      <c r="K96" s="5">
        <v>231</v>
      </c>
      <c r="L96" s="5">
        <v>12</v>
      </c>
      <c r="M96" s="5">
        <v>3</v>
      </c>
      <c r="N96" s="5" t="s">
        <v>3</v>
      </c>
      <c r="O96" s="5">
        <v>2</v>
      </c>
      <c r="P96" s="5"/>
      <c r="Q96" s="5"/>
      <c r="R96" s="5"/>
      <c r="S96" s="5"/>
      <c r="T96" s="5"/>
      <c r="U96" s="5"/>
      <c r="V96" s="5"/>
      <c r="W96" s="5">
        <v>0</v>
      </c>
      <c r="X96" s="5">
        <v>1</v>
      </c>
      <c r="Y96" s="5">
        <v>0</v>
      </c>
      <c r="Z96" s="5"/>
      <c r="AA96" s="5"/>
      <c r="AB96" s="5"/>
    </row>
    <row r="97" spans="1:28" x14ac:dyDescent="0.2">
      <c r="A97" s="5">
        <v>50</v>
      </c>
      <c r="B97" s="5">
        <v>0</v>
      </c>
      <c r="C97" s="5">
        <v>0</v>
      </c>
      <c r="D97" s="5">
        <v>1</v>
      </c>
      <c r="E97" s="5">
        <v>204</v>
      </c>
      <c r="F97" s="5">
        <f>ROUND(Source!R83,O97)</f>
        <v>-893.31</v>
      </c>
      <c r="G97" s="5" t="s">
        <v>232</v>
      </c>
      <c r="H97" s="5" t="s">
        <v>233</v>
      </c>
      <c r="I97" s="5"/>
      <c r="J97" s="5"/>
      <c r="K97" s="5">
        <v>204</v>
      </c>
      <c r="L97" s="5">
        <v>13</v>
      </c>
      <c r="M97" s="5">
        <v>3</v>
      </c>
      <c r="N97" s="5" t="s">
        <v>3</v>
      </c>
      <c r="O97" s="5">
        <v>2</v>
      </c>
      <c r="P97" s="5"/>
      <c r="Q97" s="5"/>
      <c r="R97" s="5"/>
      <c r="S97" s="5"/>
      <c r="T97" s="5"/>
      <c r="U97" s="5"/>
      <c r="V97" s="5"/>
      <c r="W97" s="5">
        <v>-893.31</v>
      </c>
      <c r="X97" s="5">
        <v>1</v>
      </c>
      <c r="Y97" s="5">
        <v>-893.31</v>
      </c>
      <c r="Z97" s="5"/>
      <c r="AA97" s="5"/>
      <c r="AB97" s="5"/>
    </row>
    <row r="98" spans="1:28" x14ac:dyDescent="0.2">
      <c r="A98" s="5">
        <v>50</v>
      </c>
      <c r="B98" s="5">
        <v>0</v>
      </c>
      <c r="C98" s="5">
        <v>0</v>
      </c>
      <c r="D98" s="5">
        <v>1</v>
      </c>
      <c r="E98" s="5">
        <v>205</v>
      </c>
      <c r="F98" s="5">
        <f>ROUND(Source!S83,O98)</f>
        <v>63641.8</v>
      </c>
      <c r="G98" s="5" t="s">
        <v>234</v>
      </c>
      <c r="H98" s="5" t="s">
        <v>235</v>
      </c>
      <c r="I98" s="5"/>
      <c r="J98" s="5"/>
      <c r="K98" s="5">
        <v>205</v>
      </c>
      <c r="L98" s="5">
        <v>14</v>
      </c>
      <c r="M98" s="5">
        <v>3</v>
      </c>
      <c r="N98" s="5" t="s">
        <v>3</v>
      </c>
      <c r="O98" s="5">
        <v>2</v>
      </c>
      <c r="P98" s="5"/>
      <c r="Q98" s="5"/>
      <c r="R98" s="5"/>
      <c r="S98" s="5"/>
      <c r="T98" s="5"/>
      <c r="U98" s="5"/>
      <c r="V98" s="5"/>
      <c r="W98" s="5">
        <v>63641.8</v>
      </c>
      <c r="X98" s="5">
        <v>1</v>
      </c>
      <c r="Y98" s="5">
        <v>63641.8</v>
      </c>
      <c r="Z98" s="5"/>
      <c r="AA98" s="5"/>
      <c r="AB98" s="5"/>
    </row>
    <row r="99" spans="1:28" x14ac:dyDescent="0.2">
      <c r="A99" s="5">
        <v>50</v>
      </c>
      <c r="B99" s="5">
        <v>0</v>
      </c>
      <c r="C99" s="5">
        <v>0</v>
      </c>
      <c r="D99" s="5">
        <v>1</v>
      </c>
      <c r="E99" s="5">
        <v>232</v>
      </c>
      <c r="F99" s="5">
        <f>ROUND(Source!BC83,O99)</f>
        <v>0</v>
      </c>
      <c r="G99" s="5" t="s">
        <v>236</v>
      </c>
      <c r="H99" s="5" t="s">
        <v>237</v>
      </c>
      <c r="I99" s="5"/>
      <c r="J99" s="5"/>
      <c r="K99" s="5">
        <v>232</v>
      </c>
      <c r="L99" s="5">
        <v>15</v>
      </c>
      <c r="M99" s="5">
        <v>3</v>
      </c>
      <c r="N99" s="5" t="s">
        <v>3</v>
      </c>
      <c r="O99" s="5">
        <v>2</v>
      </c>
      <c r="P99" s="5"/>
      <c r="Q99" s="5"/>
      <c r="R99" s="5"/>
      <c r="S99" s="5"/>
      <c r="T99" s="5"/>
      <c r="U99" s="5"/>
      <c r="V99" s="5"/>
      <c r="W99" s="5">
        <v>0</v>
      </c>
      <c r="X99" s="5">
        <v>1</v>
      </c>
      <c r="Y99" s="5">
        <v>0</v>
      </c>
      <c r="Z99" s="5"/>
      <c r="AA99" s="5"/>
      <c r="AB99" s="5"/>
    </row>
    <row r="100" spans="1:28" x14ac:dyDescent="0.2">
      <c r="A100" s="5">
        <v>50</v>
      </c>
      <c r="B100" s="5">
        <v>0</v>
      </c>
      <c r="C100" s="5">
        <v>0</v>
      </c>
      <c r="D100" s="5">
        <v>1</v>
      </c>
      <c r="E100" s="5">
        <v>214</v>
      </c>
      <c r="F100" s="5">
        <f>ROUND(Source!AS83,O100)</f>
        <v>17372.54</v>
      </c>
      <c r="G100" s="5" t="s">
        <v>238</v>
      </c>
      <c r="H100" s="5" t="s">
        <v>239</v>
      </c>
      <c r="I100" s="5"/>
      <c r="J100" s="5"/>
      <c r="K100" s="5">
        <v>214</v>
      </c>
      <c r="L100" s="5">
        <v>16</v>
      </c>
      <c r="M100" s="5">
        <v>3</v>
      </c>
      <c r="N100" s="5" t="s">
        <v>3</v>
      </c>
      <c r="O100" s="5">
        <v>2</v>
      </c>
      <c r="P100" s="5"/>
      <c r="Q100" s="5"/>
      <c r="R100" s="5"/>
      <c r="S100" s="5"/>
      <c r="T100" s="5"/>
      <c r="U100" s="5"/>
      <c r="V100" s="5"/>
      <c r="W100" s="5">
        <v>17372.54</v>
      </c>
      <c r="X100" s="5">
        <v>1</v>
      </c>
      <c r="Y100" s="5">
        <v>17372.54</v>
      </c>
      <c r="Z100" s="5"/>
      <c r="AA100" s="5"/>
      <c r="AB100" s="5"/>
    </row>
    <row r="101" spans="1:28" x14ac:dyDescent="0.2">
      <c r="A101" s="5">
        <v>50</v>
      </c>
      <c r="B101" s="5">
        <v>0</v>
      </c>
      <c r="C101" s="5">
        <v>0</v>
      </c>
      <c r="D101" s="5">
        <v>1</v>
      </c>
      <c r="E101" s="5">
        <v>215</v>
      </c>
      <c r="F101" s="5">
        <f>ROUND(Source!AT83,O101)</f>
        <v>293818.13</v>
      </c>
      <c r="G101" s="5" t="s">
        <v>240</v>
      </c>
      <c r="H101" s="5" t="s">
        <v>241</v>
      </c>
      <c r="I101" s="5"/>
      <c r="J101" s="5"/>
      <c r="K101" s="5">
        <v>215</v>
      </c>
      <c r="L101" s="5">
        <v>17</v>
      </c>
      <c r="M101" s="5">
        <v>3</v>
      </c>
      <c r="N101" s="5" t="s">
        <v>3</v>
      </c>
      <c r="O101" s="5">
        <v>2</v>
      </c>
      <c r="P101" s="5"/>
      <c r="Q101" s="5"/>
      <c r="R101" s="5"/>
      <c r="S101" s="5"/>
      <c r="T101" s="5"/>
      <c r="U101" s="5"/>
      <c r="V101" s="5"/>
      <c r="W101" s="5">
        <v>293818.13</v>
      </c>
      <c r="X101" s="5">
        <v>1</v>
      </c>
      <c r="Y101" s="5">
        <v>293818.13</v>
      </c>
      <c r="Z101" s="5"/>
      <c r="AA101" s="5"/>
      <c r="AB101" s="5"/>
    </row>
    <row r="102" spans="1:28" x14ac:dyDescent="0.2">
      <c r="A102" s="5">
        <v>50</v>
      </c>
      <c r="B102" s="5">
        <v>0</v>
      </c>
      <c r="C102" s="5">
        <v>0</v>
      </c>
      <c r="D102" s="5">
        <v>1</v>
      </c>
      <c r="E102" s="5">
        <v>217</v>
      </c>
      <c r="F102" s="5">
        <f>ROUND(Source!AU83,O102)</f>
        <v>0</v>
      </c>
      <c r="G102" s="5" t="s">
        <v>242</v>
      </c>
      <c r="H102" s="5" t="s">
        <v>243</v>
      </c>
      <c r="I102" s="5"/>
      <c r="J102" s="5"/>
      <c r="K102" s="5">
        <v>217</v>
      </c>
      <c r="L102" s="5">
        <v>18</v>
      </c>
      <c r="M102" s="5">
        <v>3</v>
      </c>
      <c r="N102" s="5" t="s">
        <v>3</v>
      </c>
      <c r="O102" s="5">
        <v>2</v>
      </c>
      <c r="P102" s="5"/>
      <c r="Q102" s="5"/>
      <c r="R102" s="5"/>
      <c r="S102" s="5"/>
      <c r="T102" s="5"/>
      <c r="U102" s="5"/>
      <c r="V102" s="5"/>
      <c r="W102" s="5">
        <v>0</v>
      </c>
      <c r="X102" s="5">
        <v>1</v>
      </c>
      <c r="Y102" s="5">
        <v>0</v>
      </c>
      <c r="Z102" s="5"/>
      <c r="AA102" s="5"/>
      <c r="AB102" s="5"/>
    </row>
    <row r="103" spans="1:28" x14ac:dyDescent="0.2">
      <c r="A103" s="5">
        <v>50</v>
      </c>
      <c r="B103" s="5">
        <v>0</v>
      </c>
      <c r="C103" s="5">
        <v>0</v>
      </c>
      <c r="D103" s="5">
        <v>1</v>
      </c>
      <c r="E103" s="5">
        <v>230</v>
      </c>
      <c r="F103" s="5">
        <f>ROUND(Source!BA83,O103)</f>
        <v>0</v>
      </c>
      <c r="G103" s="5" t="s">
        <v>244</v>
      </c>
      <c r="H103" s="5" t="s">
        <v>245</v>
      </c>
      <c r="I103" s="5"/>
      <c r="J103" s="5"/>
      <c r="K103" s="5">
        <v>230</v>
      </c>
      <c r="L103" s="5">
        <v>19</v>
      </c>
      <c r="M103" s="5">
        <v>3</v>
      </c>
      <c r="N103" s="5" t="s">
        <v>3</v>
      </c>
      <c r="O103" s="5">
        <v>2</v>
      </c>
      <c r="P103" s="5"/>
      <c r="Q103" s="5"/>
      <c r="R103" s="5"/>
      <c r="S103" s="5"/>
      <c r="T103" s="5"/>
      <c r="U103" s="5"/>
      <c r="V103" s="5"/>
      <c r="W103" s="5">
        <v>0</v>
      </c>
      <c r="X103" s="5">
        <v>1</v>
      </c>
      <c r="Y103" s="5">
        <v>0</v>
      </c>
      <c r="Z103" s="5"/>
      <c r="AA103" s="5"/>
      <c r="AB103" s="5"/>
    </row>
    <row r="104" spans="1:28" x14ac:dyDescent="0.2">
      <c r="A104" s="5">
        <v>50</v>
      </c>
      <c r="B104" s="5">
        <v>0</v>
      </c>
      <c r="C104" s="5">
        <v>0</v>
      </c>
      <c r="D104" s="5">
        <v>1</v>
      </c>
      <c r="E104" s="5">
        <v>206</v>
      </c>
      <c r="F104" s="5">
        <f>ROUND(Source!T83,O104)</f>
        <v>0</v>
      </c>
      <c r="G104" s="5" t="s">
        <v>246</v>
      </c>
      <c r="H104" s="5" t="s">
        <v>247</v>
      </c>
      <c r="I104" s="5"/>
      <c r="J104" s="5"/>
      <c r="K104" s="5">
        <v>206</v>
      </c>
      <c r="L104" s="5">
        <v>20</v>
      </c>
      <c r="M104" s="5">
        <v>3</v>
      </c>
      <c r="N104" s="5" t="s">
        <v>3</v>
      </c>
      <c r="O104" s="5">
        <v>2</v>
      </c>
      <c r="P104" s="5"/>
      <c r="Q104" s="5"/>
      <c r="R104" s="5"/>
      <c r="S104" s="5"/>
      <c r="T104" s="5"/>
      <c r="U104" s="5"/>
      <c r="V104" s="5"/>
      <c r="W104" s="5">
        <v>0</v>
      </c>
      <c r="X104" s="5">
        <v>1</v>
      </c>
      <c r="Y104" s="5">
        <v>0</v>
      </c>
      <c r="Z104" s="5"/>
      <c r="AA104" s="5"/>
      <c r="AB104" s="5"/>
    </row>
    <row r="105" spans="1:28" x14ac:dyDescent="0.2">
      <c r="A105" s="5">
        <v>50</v>
      </c>
      <c r="B105" s="5">
        <v>0</v>
      </c>
      <c r="C105" s="5">
        <v>0</v>
      </c>
      <c r="D105" s="5">
        <v>1</v>
      </c>
      <c r="E105" s="5">
        <v>207</v>
      </c>
      <c r="F105" s="5">
        <f>ROUND(Source!U83,O105)</f>
        <v>91.621899999999997</v>
      </c>
      <c r="G105" s="5" t="s">
        <v>248</v>
      </c>
      <c r="H105" s="5" t="s">
        <v>249</v>
      </c>
      <c r="I105" s="5"/>
      <c r="J105" s="5"/>
      <c r="K105" s="5">
        <v>207</v>
      </c>
      <c r="L105" s="5">
        <v>21</v>
      </c>
      <c r="M105" s="5">
        <v>3</v>
      </c>
      <c r="N105" s="5" t="s">
        <v>3</v>
      </c>
      <c r="O105" s="5">
        <v>7</v>
      </c>
      <c r="P105" s="5"/>
      <c r="Q105" s="5"/>
      <c r="R105" s="5"/>
      <c r="S105" s="5"/>
      <c r="T105" s="5"/>
      <c r="U105" s="5"/>
      <c r="V105" s="5"/>
      <c r="W105" s="5">
        <v>91.621899999999997</v>
      </c>
      <c r="X105" s="5">
        <v>1</v>
      </c>
      <c r="Y105" s="5">
        <v>91.621899999999997</v>
      </c>
      <c r="Z105" s="5"/>
      <c r="AA105" s="5"/>
      <c r="AB105" s="5"/>
    </row>
    <row r="106" spans="1:28" x14ac:dyDescent="0.2">
      <c r="A106" s="5">
        <v>50</v>
      </c>
      <c r="B106" s="5">
        <v>0</v>
      </c>
      <c r="C106" s="5">
        <v>0</v>
      </c>
      <c r="D106" s="5">
        <v>1</v>
      </c>
      <c r="E106" s="5">
        <v>208</v>
      </c>
      <c r="F106" s="5">
        <f>ROUND(Source!V83,O106)</f>
        <v>0.04</v>
      </c>
      <c r="G106" s="5" t="s">
        <v>250</v>
      </c>
      <c r="H106" s="5" t="s">
        <v>251</v>
      </c>
      <c r="I106" s="5"/>
      <c r="J106" s="5"/>
      <c r="K106" s="5">
        <v>208</v>
      </c>
      <c r="L106" s="5">
        <v>22</v>
      </c>
      <c r="M106" s="5">
        <v>3</v>
      </c>
      <c r="N106" s="5" t="s">
        <v>3</v>
      </c>
      <c r="O106" s="5">
        <v>7</v>
      </c>
      <c r="P106" s="5"/>
      <c r="Q106" s="5"/>
      <c r="R106" s="5"/>
      <c r="S106" s="5"/>
      <c r="T106" s="5"/>
      <c r="U106" s="5"/>
      <c r="V106" s="5"/>
      <c r="W106" s="5">
        <v>0.04</v>
      </c>
      <c r="X106" s="5">
        <v>1</v>
      </c>
      <c r="Y106" s="5">
        <v>0.04</v>
      </c>
      <c r="Z106" s="5"/>
      <c r="AA106" s="5"/>
      <c r="AB106" s="5"/>
    </row>
    <row r="107" spans="1:28" x14ac:dyDescent="0.2">
      <c r="A107" s="5">
        <v>50</v>
      </c>
      <c r="B107" s="5">
        <v>0</v>
      </c>
      <c r="C107" s="5">
        <v>0</v>
      </c>
      <c r="D107" s="5">
        <v>1</v>
      </c>
      <c r="E107" s="5">
        <v>209</v>
      </c>
      <c r="F107" s="5">
        <f>ROUND(Source!W83,O107)</f>
        <v>0</v>
      </c>
      <c r="G107" s="5" t="s">
        <v>252</v>
      </c>
      <c r="H107" s="5" t="s">
        <v>253</v>
      </c>
      <c r="I107" s="5"/>
      <c r="J107" s="5"/>
      <c r="K107" s="5">
        <v>209</v>
      </c>
      <c r="L107" s="5">
        <v>23</v>
      </c>
      <c r="M107" s="5">
        <v>3</v>
      </c>
      <c r="N107" s="5" t="s">
        <v>3</v>
      </c>
      <c r="O107" s="5">
        <v>2</v>
      </c>
      <c r="P107" s="5"/>
      <c r="Q107" s="5"/>
      <c r="R107" s="5"/>
      <c r="S107" s="5"/>
      <c r="T107" s="5"/>
      <c r="U107" s="5"/>
      <c r="V107" s="5"/>
      <c r="W107" s="5">
        <v>0</v>
      </c>
      <c r="X107" s="5">
        <v>1</v>
      </c>
      <c r="Y107" s="5">
        <v>0</v>
      </c>
      <c r="Z107" s="5"/>
      <c r="AA107" s="5"/>
      <c r="AB107" s="5"/>
    </row>
    <row r="108" spans="1:28" x14ac:dyDescent="0.2">
      <c r="A108" s="5">
        <v>50</v>
      </c>
      <c r="B108" s="5">
        <v>0</v>
      </c>
      <c r="C108" s="5">
        <v>0</v>
      </c>
      <c r="D108" s="5">
        <v>1</v>
      </c>
      <c r="E108" s="5">
        <v>233</v>
      </c>
      <c r="F108" s="5">
        <f>ROUND(Source!BD83,O108)</f>
        <v>0</v>
      </c>
      <c r="G108" s="5" t="s">
        <v>254</v>
      </c>
      <c r="H108" s="5" t="s">
        <v>255</v>
      </c>
      <c r="I108" s="5"/>
      <c r="J108" s="5"/>
      <c r="K108" s="5">
        <v>233</v>
      </c>
      <c r="L108" s="5">
        <v>24</v>
      </c>
      <c r="M108" s="5">
        <v>3</v>
      </c>
      <c r="N108" s="5" t="s">
        <v>3</v>
      </c>
      <c r="O108" s="5">
        <v>2</v>
      </c>
      <c r="P108" s="5"/>
      <c r="Q108" s="5"/>
      <c r="R108" s="5"/>
      <c r="S108" s="5"/>
      <c r="T108" s="5"/>
      <c r="U108" s="5"/>
      <c r="V108" s="5"/>
      <c r="W108" s="5">
        <v>0</v>
      </c>
      <c r="X108" s="5">
        <v>1</v>
      </c>
      <c r="Y108" s="5">
        <v>0</v>
      </c>
      <c r="Z108" s="5"/>
      <c r="AA108" s="5"/>
      <c r="AB108" s="5"/>
    </row>
    <row r="109" spans="1:28" x14ac:dyDescent="0.2">
      <c r="A109" s="5">
        <v>50</v>
      </c>
      <c r="B109" s="5">
        <v>0</v>
      </c>
      <c r="C109" s="5">
        <v>0</v>
      </c>
      <c r="D109" s="5">
        <v>1</v>
      </c>
      <c r="E109" s="5">
        <v>210</v>
      </c>
      <c r="F109" s="5">
        <f>ROUND(Source!X83,O109)</f>
        <v>60185.86</v>
      </c>
      <c r="G109" s="5" t="s">
        <v>256</v>
      </c>
      <c r="H109" s="5" t="s">
        <v>257</v>
      </c>
      <c r="I109" s="5"/>
      <c r="J109" s="5"/>
      <c r="K109" s="5">
        <v>210</v>
      </c>
      <c r="L109" s="5">
        <v>25</v>
      </c>
      <c r="M109" s="5">
        <v>3</v>
      </c>
      <c r="N109" s="5" t="s">
        <v>3</v>
      </c>
      <c r="O109" s="5">
        <v>2</v>
      </c>
      <c r="P109" s="5"/>
      <c r="Q109" s="5"/>
      <c r="R109" s="5"/>
      <c r="S109" s="5"/>
      <c r="T109" s="5"/>
      <c r="U109" s="5"/>
      <c r="V109" s="5"/>
      <c r="W109" s="5">
        <v>60185.86</v>
      </c>
      <c r="X109" s="5">
        <v>1</v>
      </c>
      <c r="Y109" s="5">
        <v>60185.86</v>
      </c>
      <c r="Z109" s="5"/>
      <c r="AA109" s="5"/>
      <c r="AB109" s="5"/>
    </row>
    <row r="110" spans="1:28" x14ac:dyDescent="0.2">
      <c r="A110" s="5">
        <v>50</v>
      </c>
      <c r="B110" s="5">
        <v>0</v>
      </c>
      <c r="C110" s="5">
        <v>0</v>
      </c>
      <c r="D110" s="5">
        <v>1</v>
      </c>
      <c r="E110" s="5">
        <v>211</v>
      </c>
      <c r="F110" s="5">
        <f>ROUND(Source!Y83,O110)</f>
        <v>31609.34</v>
      </c>
      <c r="G110" s="5" t="s">
        <v>258</v>
      </c>
      <c r="H110" s="5" t="s">
        <v>259</v>
      </c>
      <c r="I110" s="5"/>
      <c r="J110" s="5"/>
      <c r="K110" s="5">
        <v>211</v>
      </c>
      <c r="L110" s="5">
        <v>26</v>
      </c>
      <c r="M110" s="5">
        <v>3</v>
      </c>
      <c r="N110" s="5" t="s">
        <v>3</v>
      </c>
      <c r="O110" s="5">
        <v>2</v>
      </c>
      <c r="P110" s="5"/>
      <c r="Q110" s="5"/>
      <c r="R110" s="5"/>
      <c r="S110" s="5"/>
      <c r="T110" s="5"/>
      <c r="U110" s="5"/>
      <c r="V110" s="5"/>
      <c r="W110" s="5">
        <v>31609.34</v>
      </c>
      <c r="X110" s="5">
        <v>1</v>
      </c>
      <c r="Y110" s="5">
        <v>31609.34</v>
      </c>
      <c r="Z110" s="5"/>
      <c r="AA110" s="5"/>
      <c r="AB110" s="5"/>
    </row>
    <row r="111" spans="1:28" x14ac:dyDescent="0.2">
      <c r="A111" s="5">
        <v>50</v>
      </c>
      <c r="B111" s="5">
        <v>0</v>
      </c>
      <c r="C111" s="5">
        <v>0</v>
      </c>
      <c r="D111" s="5">
        <v>1</v>
      </c>
      <c r="E111" s="5">
        <v>224</v>
      </c>
      <c r="F111" s="5">
        <f>ROUND(Source!AR83,O111)</f>
        <v>311190.67</v>
      </c>
      <c r="G111" s="5" t="s">
        <v>260</v>
      </c>
      <c r="H111" s="5" t="s">
        <v>261</v>
      </c>
      <c r="I111" s="5"/>
      <c r="J111" s="5"/>
      <c r="K111" s="5">
        <v>224</v>
      </c>
      <c r="L111" s="5">
        <v>27</v>
      </c>
      <c r="M111" s="5">
        <v>3</v>
      </c>
      <c r="N111" s="5" t="s">
        <v>3</v>
      </c>
      <c r="O111" s="5">
        <v>2</v>
      </c>
      <c r="P111" s="5"/>
      <c r="Q111" s="5"/>
      <c r="R111" s="5"/>
      <c r="S111" s="5"/>
      <c r="T111" s="5"/>
      <c r="U111" s="5"/>
      <c r="V111" s="5"/>
      <c r="W111" s="5">
        <v>311190.67</v>
      </c>
      <c r="X111" s="5">
        <v>1</v>
      </c>
      <c r="Y111" s="5">
        <v>311190.67</v>
      </c>
      <c r="Z111" s="5"/>
      <c r="AA111" s="5"/>
      <c r="AB111" s="5"/>
    </row>
    <row r="113" spans="1:255" x14ac:dyDescent="0.2">
      <c r="A113" s="1">
        <v>4</v>
      </c>
      <c r="B113" s="1">
        <v>1</v>
      </c>
      <c r="C113" s="1"/>
      <c r="D113" s="1">
        <f>ROW(A132)</f>
        <v>132</v>
      </c>
      <c r="E113" s="1"/>
      <c r="F113" s="1" t="s">
        <v>15</v>
      </c>
      <c r="G113" s="1" t="s">
        <v>262</v>
      </c>
      <c r="H113" s="1" t="s">
        <v>3</v>
      </c>
      <c r="I113" s="1">
        <v>0</v>
      </c>
      <c r="J113" s="1"/>
      <c r="K113" s="1">
        <v>0</v>
      </c>
      <c r="L113" s="1"/>
      <c r="M113" s="1" t="s">
        <v>3</v>
      </c>
      <c r="N113" s="1"/>
      <c r="O113" s="1"/>
      <c r="P113" s="1"/>
      <c r="Q113" s="1"/>
      <c r="R113" s="1"/>
      <c r="S113" s="1">
        <v>0</v>
      </c>
      <c r="T113" s="1"/>
      <c r="U113" s="1" t="s">
        <v>3</v>
      </c>
      <c r="V113" s="1">
        <v>0</v>
      </c>
      <c r="W113" s="1"/>
      <c r="X113" s="1"/>
      <c r="Y113" s="1"/>
      <c r="Z113" s="1"/>
      <c r="AA113" s="1"/>
      <c r="AB113" s="1" t="s">
        <v>3</v>
      </c>
      <c r="AC113" s="1" t="s">
        <v>3</v>
      </c>
      <c r="AD113" s="1" t="s">
        <v>3</v>
      </c>
      <c r="AE113" s="1" t="s">
        <v>3</v>
      </c>
      <c r="AF113" s="1" t="s">
        <v>3</v>
      </c>
      <c r="AG113" s="1" t="s">
        <v>3</v>
      </c>
      <c r="AH113" s="1"/>
      <c r="AI113" s="1"/>
      <c r="AJ113" s="1"/>
      <c r="AK113" s="1"/>
      <c r="AL113" s="1"/>
      <c r="AM113" s="1"/>
      <c r="AN113" s="1"/>
      <c r="AO113" s="1"/>
      <c r="AP113" s="1" t="s">
        <v>3</v>
      </c>
      <c r="AQ113" s="1" t="s">
        <v>3</v>
      </c>
      <c r="AR113" s="1" t="s">
        <v>3</v>
      </c>
      <c r="AS113" s="1"/>
      <c r="AT113" s="1"/>
      <c r="AU113" s="1"/>
      <c r="AV113" s="1"/>
      <c r="AW113" s="1"/>
      <c r="AX113" s="1"/>
      <c r="AY113" s="1"/>
      <c r="AZ113" s="1" t="s">
        <v>3</v>
      </c>
      <c r="BA113" s="1"/>
      <c r="BB113" s="1" t="s">
        <v>3</v>
      </c>
      <c r="BC113" s="1" t="s">
        <v>3</v>
      </c>
      <c r="BD113" s="1" t="s">
        <v>3</v>
      </c>
      <c r="BE113" s="1" t="s">
        <v>3</v>
      </c>
      <c r="BF113" s="1" t="s">
        <v>3</v>
      </c>
      <c r="BG113" s="1" t="s">
        <v>3</v>
      </c>
      <c r="BH113" s="1" t="s">
        <v>3</v>
      </c>
      <c r="BI113" s="1" t="s">
        <v>3</v>
      </c>
      <c r="BJ113" s="1" t="s">
        <v>3</v>
      </c>
      <c r="BK113" s="1" t="s">
        <v>3</v>
      </c>
      <c r="BL113" s="1" t="s">
        <v>3</v>
      </c>
      <c r="BM113" s="1" t="s">
        <v>3</v>
      </c>
      <c r="BN113" s="1" t="s">
        <v>3</v>
      </c>
      <c r="BO113" s="1" t="s">
        <v>3</v>
      </c>
      <c r="BP113" s="1" t="s">
        <v>3</v>
      </c>
      <c r="BQ113" s="1"/>
      <c r="BR113" s="1"/>
      <c r="BS113" s="1"/>
      <c r="BT113" s="1"/>
      <c r="BU113" s="1"/>
      <c r="BV113" s="1"/>
      <c r="BW113" s="1"/>
      <c r="BX113" s="1">
        <v>0</v>
      </c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>
        <v>0</v>
      </c>
    </row>
    <row r="115" spans="1:255" x14ac:dyDescent="0.2">
      <c r="A115" s="3">
        <v>52</v>
      </c>
      <c r="B115" s="3">
        <f t="shared" ref="B115:G115" si="102">B132</f>
        <v>1</v>
      </c>
      <c r="C115" s="3">
        <f t="shared" si="102"/>
        <v>4</v>
      </c>
      <c r="D115" s="3">
        <f t="shared" si="102"/>
        <v>113</v>
      </c>
      <c r="E115" s="3">
        <f t="shared" si="102"/>
        <v>0</v>
      </c>
      <c r="F115" s="3" t="str">
        <f t="shared" si="102"/>
        <v>Новый раздел</v>
      </c>
      <c r="G115" s="3" t="str">
        <f t="shared" si="102"/>
        <v>Вентиляция</v>
      </c>
      <c r="H115" s="3"/>
      <c r="I115" s="3"/>
      <c r="J115" s="3"/>
      <c r="K115" s="3"/>
      <c r="L115" s="3"/>
      <c r="M115" s="3"/>
      <c r="N115" s="3"/>
      <c r="O115" s="3">
        <f t="shared" ref="O115:AT115" si="103">O132</f>
        <v>14348.61</v>
      </c>
      <c r="P115" s="3">
        <f t="shared" si="103"/>
        <v>-512.78</v>
      </c>
      <c r="Q115" s="3">
        <f t="shared" si="103"/>
        <v>-42.5</v>
      </c>
      <c r="R115" s="3">
        <f t="shared" si="103"/>
        <v>-106.77</v>
      </c>
      <c r="S115" s="3">
        <f t="shared" si="103"/>
        <v>15010.66</v>
      </c>
      <c r="T115" s="3">
        <f t="shared" si="103"/>
        <v>0</v>
      </c>
      <c r="U115" s="3">
        <f t="shared" si="103"/>
        <v>23.01867</v>
      </c>
      <c r="V115" s="3">
        <f t="shared" si="103"/>
        <v>0</v>
      </c>
      <c r="W115" s="3">
        <f t="shared" si="103"/>
        <v>0</v>
      </c>
      <c r="X115" s="3">
        <f t="shared" si="103"/>
        <v>17111.080000000002</v>
      </c>
      <c r="Y115" s="3">
        <f t="shared" si="103"/>
        <v>8647.31</v>
      </c>
      <c r="Z115" s="3">
        <f t="shared" si="103"/>
        <v>0</v>
      </c>
      <c r="AA115" s="3">
        <f t="shared" si="103"/>
        <v>0</v>
      </c>
      <c r="AB115" s="3">
        <f t="shared" si="103"/>
        <v>14348.61</v>
      </c>
      <c r="AC115" s="3">
        <f t="shared" si="103"/>
        <v>-512.78</v>
      </c>
      <c r="AD115" s="3">
        <f t="shared" si="103"/>
        <v>-42.5</v>
      </c>
      <c r="AE115" s="3">
        <f t="shared" si="103"/>
        <v>-106.77</v>
      </c>
      <c r="AF115" s="3">
        <f t="shared" si="103"/>
        <v>15010.66</v>
      </c>
      <c r="AG115" s="3">
        <f t="shared" si="103"/>
        <v>0</v>
      </c>
      <c r="AH115" s="3">
        <f t="shared" si="103"/>
        <v>23.01867</v>
      </c>
      <c r="AI115" s="3">
        <f t="shared" si="103"/>
        <v>0</v>
      </c>
      <c r="AJ115" s="3">
        <f t="shared" si="103"/>
        <v>0</v>
      </c>
      <c r="AK115" s="3">
        <f t="shared" si="103"/>
        <v>17111.080000000002</v>
      </c>
      <c r="AL115" s="3">
        <f t="shared" si="103"/>
        <v>8647.31</v>
      </c>
      <c r="AM115" s="3">
        <f t="shared" si="103"/>
        <v>0</v>
      </c>
      <c r="AN115" s="3">
        <f t="shared" si="103"/>
        <v>0</v>
      </c>
      <c r="AO115" s="3">
        <f t="shared" si="103"/>
        <v>0</v>
      </c>
      <c r="AP115" s="3">
        <f t="shared" si="103"/>
        <v>0</v>
      </c>
      <c r="AQ115" s="3">
        <f t="shared" si="103"/>
        <v>0</v>
      </c>
      <c r="AR115" s="3">
        <f t="shared" si="103"/>
        <v>40107</v>
      </c>
      <c r="AS115" s="3">
        <f t="shared" si="103"/>
        <v>40107</v>
      </c>
      <c r="AT115" s="3">
        <f t="shared" si="103"/>
        <v>0</v>
      </c>
      <c r="AU115" s="3">
        <f t="shared" ref="AU115:BZ115" si="104">AU132</f>
        <v>0</v>
      </c>
      <c r="AV115" s="3">
        <f t="shared" si="104"/>
        <v>-512.78</v>
      </c>
      <c r="AW115" s="3">
        <f t="shared" si="104"/>
        <v>-512.78</v>
      </c>
      <c r="AX115" s="3">
        <f t="shared" si="104"/>
        <v>0</v>
      </c>
      <c r="AY115" s="3">
        <f t="shared" si="104"/>
        <v>-512.78</v>
      </c>
      <c r="AZ115" s="3">
        <f t="shared" si="104"/>
        <v>0</v>
      </c>
      <c r="BA115" s="3">
        <f t="shared" si="104"/>
        <v>0</v>
      </c>
      <c r="BB115" s="3">
        <f t="shared" si="104"/>
        <v>0</v>
      </c>
      <c r="BC115" s="3">
        <f t="shared" si="104"/>
        <v>0</v>
      </c>
      <c r="BD115" s="3">
        <f t="shared" si="104"/>
        <v>0</v>
      </c>
      <c r="BE115" s="3">
        <f t="shared" si="104"/>
        <v>0</v>
      </c>
      <c r="BF115" s="3">
        <f t="shared" si="104"/>
        <v>0</v>
      </c>
      <c r="BG115" s="3">
        <f t="shared" si="104"/>
        <v>0</v>
      </c>
      <c r="BH115" s="3">
        <f t="shared" si="104"/>
        <v>0</v>
      </c>
      <c r="BI115" s="3">
        <f t="shared" si="104"/>
        <v>0</v>
      </c>
      <c r="BJ115" s="3">
        <f t="shared" si="104"/>
        <v>0</v>
      </c>
      <c r="BK115" s="3">
        <f t="shared" si="104"/>
        <v>0</v>
      </c>
      <c r="BL115" s="3">
        <f t="shared" si="104"/>
        <v>0</v>
      </c>
      <c r="BM115" s="3">
        <f t="shared" si="104"/>
        <v>0</v>
      </c>
      <c r="BN115" s="3">
        <f t="shared" si="104"/>
        <v>0</v>
      </c>
      <c r="BO115" s="3">
        <f t="shared" si="104"/>
        <v>0</v>
      </c>
      <c r="BP115" s="3">
        <f t="shared" si="104"/>
        <v>0</v>
      </c>
      <c r="BQ115" s="3">
        <f t="shared" si="104"/>
        <v>0</v>
      </c>
      <c r="BR115" s="3">
        <f t="shared" si="104"/>
        <v>0</v>
      </c>
      <c r="BS115" s="3">
        <f t="shared" si="104"/>
        <v>0</v>
      </c>
      <c r="BT115" s="3">
        <f t="shared" si="104"/>
        <v>0</v>
      </c>
      <c r="BU115" s="3">
        <f t="shared" si="104"/>
        <v>0</v>
      </c>
      <c r="BV115" s="3">
        <f t="shared" si="104"/>
        <v>0</v>
      </c>
      <c r="BW115" s="3">
        <f t="shared" si="104"/>
        <v>0</v>
      </c>
      <c r="BX115" s="3">
        <f t="shared" si="104"/>
        <v>0</v>
      </c>
      <c r="BY115" s="3">
        <f t="shared" si="104"/>
        <v>0</v>
      </c>
      <c r="BZ115" s="3">
        <f t="shared" si="104"/>
        <v>0</v>
      </c>
      <c r="CA115" s="3">
        <f t="shared" ref="CA115:DF115" si="105">CA132</f>
        <v>40107</v>
      </c>
      <c r="CB115" s="3">
        <f t="shared" si="105"/>
        <v>40107</v>
      </c>
      <c r="CC115" s="3">
        <f t="shared" si="105"/>
        <v>0</v>
      </c>
      <c r="CD115" s="3">
        <f t="shared" si="105"/>
        <v>0</v>
      </c>
      <c r="CE115" s="3">
        <f t="shared" si="105"/>
        <v>-512.78</v>
      </c>
      <c r="CF115" s="3">
        <f t="shared" si="105"/>
        <v>-512.78</v>
      </c>
      <c r="CG115" s="3">
        <f t="shared" si="105"/>
        <v>0</v>
      </c>
      <c r="CH115" s="3">
        <f t="shared" si="105"/>
        <v>-512.78</v>
      </c>
      <c r="CI115" s="3">
        <f t="shared" si="105"/>
        <v>0</v>
      </c>
      <c r="CJ115" s="3">
        <f t="shared" si="105"/>
        <v>0</v>
      </c>
      <c r="CK115" s="3">
        <f t="shared" si="105"/>
        <v>0</v>
      </c>
      <c r="CL115" s="3">
        <f t="shared" si="105"/>
        <v>0</v>
      </c>
      <c r="CM115" s="3">
        <f t="shared" si="105"/>
        <v>0</v>
      </c>
      <c r="CN115" s="3">
        <f t="shared" si="105"/>
        <v>0</v>
      </c>
      <c r="CO115" s="3">
        <f t="shared" si="105"/>
        <v>0</v>
      </c>
      <c r="CP115" s="3">
        <f t="shared" si="105"/>
        <v>0</v>
      </c>
      <c r="CQ115" s="3">
        <f t="shared" si="105"/>
        <v>0</v>
      </c>
      <c r="CR115" s="3">
        <f t="shared" si="105"/>
        <v>0</v>
      </c>
      <c r="CS115" s="3">
        <f t="shared" si="105"/>
        <v>0</v>
      </c>
      <c r="CT115" s="3">
        <f t="shared" si="105"/>
        <v>0</v>
      </c>
      <c r="CU115" s="3">
        <f t="shared" si="105"/>
        <v>0</v>
      </c>
      <c r="CV115" s="3">
        <f t="shared" si="105"/>
        <v>0</v>
      </c>
      <c r="CW115" s="3">
        <f t="shared" si="105"/>
        <v>0</v>
      </c>
      <c r="CX115" s="3">
        <f t="shared" si="105"/>
        <v>0</v>
      </c>
      <c r="CY115" s="3">
        <f t="shared" si="105"/>
        <v>0</v>
      </c>
      <c r="CZ115" s="3">
        <f t="shared" si="105"/>
        <v>0</v>
      </c>
      <c r="DA115" s="3">
        <f t="shared" si="105"/>
        <v>0</v>
      </c>
      <c r="DB115" s="3">
        <f t="shared" si="105"/>
        <v>0</v>
      </c>
      <c r="DC115" s="3">
        <f t="shared" si="105"/>
        <v>0</v>
      </c>
      <c r="DD115" s="3">
        <f t="shared" si="105"/>
        <v>0</v>
      </c>
      <c r="DE115" s="3">
        <f t="shared" si="105"/>
        <v>0</v>
      </c>
      <c r="DF115" s="3">
        <f t="shared" si="105"/>
        <v>0</v>
      </c>
      <c r="DG115" s="4">
        <f t="shared" ref="DG115:EL115" si="106">DG132</f>
        <v>0</v>
      </c>
      <c r="DH115" s="4">
        <f t="shared" si="106"/>
        <v>0</v>
      </c>
      <c r="DI115" s="4">
        <f t="shared" si="106"/>
        <v>0</v>
      </c>
      <c r="DJ115" s="4">
        <f t="shared" si="106"/>
        <v>0</v>
      </c>
      <c r="DK115" s="4">
        <f t="shared" si="106"/>
        <v>0</v>
      </c>
      <c r="DL115" s="4">
        <f t="shared" si="106"/>
        <v>0</v>
      </c>
      <c r="DM115" s="4">
        <f t="shared" si="106"/>
        <v>0</v>
      </c>
      <c r="DN115" s="4">
        <f t="shared" si="106"/>
        <v>0</v>
      </c>
      <c r="DO115" s="4">
        <f t="shared" si="106"/>
        <v>0</v>
      </c>
      <c r="DP115" s="4">
        <f t="shared" si="106"/>
        <v>0</v>
      </c>
      <c r="DQ115" s="4">
        <f t="shared" si="106"/>
        <v>0</v>
      </c>
      <c r="DR115" s="4">
        <f t="shared" si="106"/>
        <v>0</v>
      </c>
      <c r="DS115" s="4">
        <f t="shared" si="106"/>
        <v>0</v>
      </c>
      <c r="DT115" s="4">
        <f t="shared" si="106"/>
        <v>0</v>
      </c>
      <c r="DU115" s="4">
        <f t="shared" si="106"/>
        <v>0</v>
      </c>
      <c r="DV115" s="4">
        <f t="shared" si="106"/>
        <v>0</v>
      </c>
      <c r="DW115" s="4">
        <f t="shared" si="106"/>
        <v>0</v>
      </c>
      <c r="DX115" s="4">
        <f t="shared" si="106"/>
        <v>0</v>
      </c>
      <c r="DY115" s="4">
        <f t="shared" si="106"/>
        <v>0</v>
      </c>
      <c r="DZ115" s="4">
        <f t="shared" si="106"/>
        <v>0</v>
      </c>
      <c r="EA115" s="4">
        <f t="shared" si="106"/>
        <v>0</v>
      </c>
      <c r="EB115" s="4">
        <f t="shared" si="106"/>
        <v>0</v>
      </c>
      <c r="EC115" s="4">
        <f t="shared" si="106"/>
        <v>0</v>
      </c>
      <c r="ED115" s="4">
        <f t="shared" si="106"/>
        <v>0</v>
      </c>
      <c r="EE115" s="4">
        <f t="shared" si="106"/>
        <v>0</v>
      </c>
      <c r="EF115" s="4">
        <f t="shared" si="106"/>
        <v>0</v>
      </c>
      <c r="EG115" s="4">
        <f t="shared" si="106"/>
        <v>0</v>
      </c>
      <c r="EH115" s="4">
        <f t="shared" si="106"/>
        <v>0</v>
      </c>
      <c r="EI115" s="4">
        <f t="shared" si="106"/>
        <v>0</v>
      </c>
      <c r="EJ115" s="4">
        <f t="shared" si="106"/>
        <v>0</v>
      </c>
      <c r="EK115" s="4">
        <f t="shared" si="106"/>
        <v>0</v>
      </c>
      <c r="EL115" s="4">
        <f t="shared" si="106"/>
        <v>0</v>
      </c>
      <c r="EM115" s="4">
        <f t="shared" ref="EM115:FR115" si="107">EM132</f>
        <v>0</v>
      </c>
      <c r="EN115" s="4">
        <f t="shared" si="107"/>
        <v>0</v>
      </c>
      <c r="EO115" s="4">
        <f t="shared" si="107"/>
        <v>0</v>
      </c>
      <c r="EP115" s="4">
        <f t="shared" si="107"/>
        <v>0</v>
      </c>
      <c r="EQ115" s="4">
        <f t="shared" si="107"/>
        <v>0</v>
      </c>
      <c r="ER115" s="4">
        <f t="shared" si="107"/>
        <v>0</v>
      </c>
      <c r="ES115" s="4">
        <f t="shared" si="107"/>
        <v>0</v>
      </c>
      <c r="ET115" s="4">
        <f t="shared" si="107"/>
        <v>0</v>
      </c>
      <c r="EU115" s="4">
        <f t="shared" si="107"/>
        <v>0</v>
      </c>
      <c r="EV115" s="4">
        <f t="shared" si="107"/>
        <v>0</v>
      </c>
      <c r="EW115" s="4">
        <f t="shared" si="107"/>
        <v>0</v>
      </c>
      <c r="EX115" s="4">
        <f t="shared" si="107"/>
        <v>0</v>
      </c>
      <c r="EY115" s="4">
        <f t="shared" si="107"/>
        <v>0</v>
      </c>
      <c r="EZ115" s="4">
        <f t="shared" si="107"/>
        <v>0</v>
      </c>
      <c r="FA115" s="4">
        <f t="shared" si="107"/>
        <v>0</v>
      </c>
      <c r="FB115" s="4">
        <f t="shared" si="107"/>
        <v>0</v>
      </c>
      <c r="FC115" s="4">
        <f t="shared" si="107"/>
        <v>0</v>
      </c>
      <c r="FD115" s="4">
        <f t="shared" si="107"/>
        <v>0</v>
      </c>
      <c r="FE115" s="4">
        <f t="shared" si="107"/>
        <v>0</v>
      </c>
      <c r="FF115" s="4">
        <f t="shared" si="107"/>
        <v>0</v>
      </c>
      <c r="FG115" s="4">
        <f t="shared" si="107"/>
        <v>0</v>
      </c>
      <c r="FH115" s="4">
        <f t="shared" si="107"/>
        <v>0</v>
      </c>
      <c r="FI115" s="4">
        <f t="shared" si="107"/>
        <v>0</v>
      </c>
      <c r="FJ115" s="4">
        <f t="shared" si="107"/>
        <v>0</v>
      </c>
      <c r="FK115" s="4">
        <f t="shared" si="107"/>
        <v>0</v>
      </c>
      <c r="FL115" s="4">
        <f t="shared" si="107"/>
        <v>0</v>
      </c>
      <c r="FM115" s="4">
        <f t="shared" si="107"/>
        <v>0</v>
      </c>
      <c r="FN115" s="4">
        <f t="shared" si="107"/>
        <v>0</v>
      </c>
      <c r="FO115" s="4">
        <f t="shared" si="107"/>
        <v>0</v>
      </c>
      <c r="FP115" s="4">
        <f t="shared" si="107"/>
        <v>0</v>
      </c>
      <c r="FQ115" s="4">
        <f t="shared" si="107"/>
        <v>0</v>
      </c>
      <c r="FR115" s="4">
        <f t="shared" si="107"/>
        <v>0</v>
      </c>
      <c r="FS115" s="4">
        <f t="shared" ref="FS115:GX115" si="108">FS132</f>
        <v>0</v>
      </c>
      <c r="FT115" s="4">
        <f t="shared" si="108"/>
        <v>0</v>
      </c>
      <c r="FU115" s="4">
        <f t="shared" si="108"/>
        <v>0</v>
      </c>
      <c r="FV115" s="4">
        <f t="shared" si="108"/>
        <v>0</v>
      </c>
      <c r="FW115" s="4">
        <f t="shared" si="108"/>
        <v>0</v>
      </c>
      <c r="FX115" s="4">
        <f t="shared" si="108"/>
        <v>0</v>
      </c>
      <c r="FY115" s="4">
        <f t="shared" si="108"/>
        <v>0</v>
      </c>
      <c r="FZ115" s="4">
        <f t="shared" si="108"/>
        <v>0</v>
      </c>
      <c r="GA115" s="4">
        <f t="shared" si="108"/>
        <v>0</v>
      </c>
      <c r="GB115" s="4">
        <f t="shared" si="108"/>
        <v>0</v>
      </c>
      <c r="GC115" s="4">
        <f t="shared" si="108"/>
        <v>0</v>
      </c>
      <c r="GD115" s="4">
        <f t="shared" si="108"/>
        <v>0</v>
      </c>
      <c r="GE115" s="4">
        <f t="shared" si="108"/>
        <v>0</v>
      </c>
      <c r="GF115" s="4">
        <f t="shared" si="108"/>
        <v>0</v>
      </c>
      <c r="GG115" s="4">
        <f t="shared" si="108"/>
        <v>0</v>
      </c>
      <c r="GH115" s="4">
        <f t="shared" si="108"/>
        <v>0</v>
      </c>
      <c r="GI115" s="4">
        <f t="shared" si="108"/>
        <v>0</v>
      </c>
      <c r="GJ115" s="4">
        <f t="shared" si="108"/>
        <v>0</v>
      </c>
      <c r="GK115" s="4">
        <f t="shared" si="108"/>
        <v>0</v>
      </c>
      <c r="GL115" s="4">
        <f t="shared" si="108"/>
        <v>0</v>
      </c>
      <c r="GM115" s="4">
        <f t="shared" si="108"/>
        <v>0</v>
      </c>
      <c r="GN115" s="4">
        <f t="shared" si="108"/>
        <v>0</v>
      </c>
      <c r="GO115" s="4">
        <f t="shared" si="108"/>
        <v>0</v>
      </c>
      <c r="GP115" s="4">
        <f t="shared" si="108"/>
        <v>0</v>
      </c>
      <c r="GQ115" s="4">
        <f t="shared" si="108"/>
        <v>0</v>
      </c>
      <c r="GR115" s="4">
        <f t="shared" si="108"/>
        <v>0</v>
      </c>
      <c r="GS115" s="4">
        <f t="shared" si="108"/>
        <v>0</v>
      </c>
      <c r="GT115" s="4">
        <f t="shared" si="108"/>
        <v>0</v>
      </c>
      <c r="GU115" s="4">
        <f t="shared" si="108"/>
        <v>0</v>
      </c>
      <c r="GV115" s="4">
        <f t="shared" si="108"/>
        <v>0</v>
      </c>
      <c r="GW115" s="4">
        <f t="shared" si="108"/>
        <v>0</v>
      </c>
      <c r="GX115" s="4">
        <f t="shared" si="108"/>
        <v>0</v>
      </c>
    </row>
    <row r="117" spans="1:255" ht="409.5" x14ac:dyDescent="0.2">
      <c r="A117" s="2">
        <v>17</v>
      </c>
      <c r="B117" s="2">
        <v>1</v>
      </c>
      <c r="C117" s="2">
        <f>ROW(SmtRes!A129)</f>
        <v>129</v>
      </c>
      <c r="D117" s="2">
        <f>ROW(EtalonRes!A116)</f>
        <v>116</v>
      </c>
      <c r="E117" s="2" t="s">
        <v>263</v>
      </c>
      <c r="F117" s="2" t="s">
        <v>264</v>
      </c>
      <c r="G117" s="2" t="s">
        <v>265</v>
      </c>
      <c r="H117" s="2" t="s">
        <v>43</v>
      </c>
      <c r="I117" s="2">
        <f>ROUND(9,7)</f>
        <v>9</v>
      </c>
      <c r="J117" s="2">
        <v>0</v>
      </c>
      <c r="K117" s="2">
        <f>ROUND(9,7)</f>
        <v>9</v>
      </c>
      <c r="L117" s="2"/>
      <c r="M117" s="2"/>
      <c r="N117" s="2"/>
      <c r="O117" s="2">
        <f t="shared" ref="O117:O130" si="109">ROUND(CP117,2)</f>
        <v>5246.86</v>
      </c>
      <c r="P117" s="2">
        <f>SUMIF(SmtRes!AQ122:'SmtRes'!AQ129,"=1",SmtRes!DF122:'SmtRes'!DF129)</f>
        <v>0</v>
      </c>
      <c r="Q117" s="2">
        <f>SUMIF(SmtRes!AQ122:'SmtRes'!AQ129,"=1",SmtRes!DG122:'SmtRes'!DG129)</f>
        <v>25.4</v>
      </c>
      <c r="R117" s="2">
        <f>SUMIF(SmtRes!AQ122:'SmtRes'!AQ129,"=1",SmtRes!DH122:'SmtRes'!DH129)</f>
        <v>0</v>
      </c>
      <c r="S117" s="2">
        <f>SUMIF(SmtRes!AQ122:'SmtRes'!AQ129,"=1",SmtRes!DI122:'SmtRes'!DI129)</f>
        <v>5221.46</v>
      </c>
      <c r="T117" s="2">
        <f t="shared" ref="T117:T130" si="110">ROUND(CU117*I117,2)</f>
        <v>0</v>
      </c>
      <c r="U117" s="2">
        <f>SUMIF(SmtRes!AQ122:'SmtRes'!AQ129,"=1",SmtRes!CV122:'SmtRes'!CV129)</f>
        <v>7.7521500000000003</v>
      </c>
      <c r="V117" s="2">
        <f>SUMIF(SmtRes!AQ122:'SmtRes'!AQ129,"=1",SmtRes!CW122:'SmtRes'!CW129)</f>
        <v>0</v>
      </c>
      <c r="W117" s="2">
        <f t="shared" ref="W117:W130" si="111">ROUND(CX117*I117,2)</f>
        <v>0</v>
      </c>
      <c r="X117" s="2">
        <f t="shared" ref="X117:X130" si="112">ROUND(CY117,2)</f>
        <v>6317.97</v>
      </c>
      <c r="Y117" s="2">
        <f t="shared" ref="Y117:Y130" si="113">ROUND(CZ117,2)</f>
        <v>3195.53</v>
      </c>
      <c r="Z117" s="2"/>
      <c r="AA117" s="2">
        <v>85997836</v>
      </c>
      <c r="AB117" s="2">
        <f t="shared" ref="AB117:AB130" si="114">ROUND((AC117+AD117+AF117),6)</f>
        <v>582.98504300000002</v>
      </c>
      <c r="AC117" s="2">
        <f>ROUND((0),6)</f>
        <v>0</v>
      </c>
      <c r="AD117" s="2">
        <f>ROUND((((SUM(SmtRes!BR122:'SmtRes'!BR129))-(0))+AE117),6)</f>
        <v>2.8227500000000001</v>
      </c>
      <c r="AE117" s="2">
        <f>ROUND((0),6)</f>
        <v>0</v>
      </c>
      <c r="AF117" s="2">
        <f>ROUND((SUM(SmtRes!BT122:'SmtRes'!BT129)),6)</f>
        <v>580.16229299999998</v>
      </c>
      <c r="AG117" s="2">
        <f t="shared" ref="AG117:AG130" si="115">ROUND((AP117),6)</f>
        <v>0</v>
      </c>
      <c r="AH117" s="2">
        <f>(SUM(SmtRes!BU122:'SmtRes'!BU129))</f>
        <v>0.86134999999999995</v>
      </c>
      <c r="AI117" s="2">
        <f>(0)</f>
        <v>0</v>
      </c>
      <c r="AJ117" s="2">
        <f t="shared" ref="AJ117:AJ130" si="116">(AS117)</f>
        <v>0</v>
      </c>
      <c r="AK117" s="2">
        <v>761.78381349999995</v>
      </c>
      <c r="AL117" s="2">
        <v>37.859313499999999</v>
      </c>
      <c r="AM117" s="2">
        <v>3.226</v>
      </c>
      <c r="AN117" s="2">
        <v>0</v>
      </c>
      <c r="AO117" s="2">
        <v>720.69849999999997</v>
      </c>
      <c r="AP117" s="2">
        <v>0</v>
      </c>
      <c r="AQ117" s="2">
        <v>1.07</v>
      </c>
      <c r="AR117" s="2">
        <v>0.01</v>
      </c>
      <c r="AS117" s="2">
        <v>0</v>
      </c>
      <c r="AT117" s="2">
        <v>121</v>
      </c>
      <c r="AU117" s="2">
        <v>61.2</v>
      </c>
      <c r="AV117" s="2">
        <v>1</v>
      </c>
      <c r="AW117" s="2">
        <v>1</v>
      </c>
      <c r="AX117" s="2"/>
      <c r="AY117" s="2"/>
      <c r="AZ117" s="2">
        <v>1</v>
      </c>
      <c r="BA117" s="2">
        <v>1</v>
      </c>
      <c r="BB117" s="2">
        <v>1</v>
      </c>
      <c r="BC117" s="2">
        <v>1</v>
      </c>
      <c r="BD117" s="2" t="s">
        <v>3</v>
      </c>
      <c r="BE117" s="2" t="s">
        <v>3</v>
      </c>
      <c r="BF117" s="2" t="s">
        <v>3</v>
      </c>
      <c r="BG117" s="2" t="s">
        <v>3</v>
      </c>
      <c r="BH117" s="2">
        <v>0</v>
      </c>
      <c r="BI117" s="2">
        <v>1</v>
      </c>
      <c r="BJ117" s="2" t="s">
        <v>266</v>
      </c>
      <c r="BK117" s="2"/>
      <c r="BL117" s="2"/>
      <c r="BM117" s="2">
        <v>20001</v>
      </c>
      <c r="BN117" s="2">
        <v>0</v>
      </c>
      <c r="BO117" s="2" t="s">
        <v>3</v>
      </c>
      <c r="BP117" s="2">
        <v>0</v>
      </c>
      <c r="BQ117" s="2">
        <v>2</v>
      </c>
      <c r="BR117" s="2">
        <v>0</v>
      </c>
      <c r="BS117" s="2">
        <v>1</v>
      </c>
      <c r="BT117" s="2">
        <v>1</v>
      </c>
      <c r="BU117" s="2">
        <v>1</v>
      </c>
      <c r="BV117" s="2">
        <v>1</v>
      </c>
      <c r="BW117" s="2">
        <v>1</v>
      </c>
      <c r="BX117" s="2">
        <v>1</v>
      </c>
      <c r="BY117" s="2" t="s">
        <v>3</v>
      </c>
      <c r="BZ117" s="2">
        <v>121</v>
      </c>
      <c r="CA117" s="2">
        <v>72</v>
      </c>
      <c r="CB117" s="2" t="s">
        <v>3</v>
      </c>
      <c r="CC117" s="2"/>
      <c r="CD117" s="2"/>
      <c r="CE117" s="2">
        <v>0</v>
      </c>
      <c r="CF117" s="2">
        <v>0</v>
      </c>
      <c r="CG117" s="2">
        <v>0</v>
      </c>
      <c r="CH117" s="2"/>
      <c r="CI117" s="2"/>
      <c r="CJ117" s="2"/>
      <c r="CK117" s="2"/>
      <c r="CL117" s="2"/>
      <c r="CM117" s="2">
        <v>0</v>
      </c>
      <c r="CN117" s="7" t="s">
        <v>735</v>
      </c>
      <c r="CO117" s="2">
        <v>0</v>
      </c>
      <c r="CP117" s="2">
        <f t="shared" ref="CP117:CP130" si="117">(P117+Q117+S117+R117)</f>
        <v>5246.86</v>
      </c>
      <c r="CQ117" s="2">
        <f>SUMIF(SmtRes!AQ122:'SmtRes'!AQ129,"=1",SmtRes!AA122:'SmtRes'!AA129)</f>
        <v>47690.020000000004</v>
      </c>
      <c r="CR117" s="2">
        <f>SUMIF(SmtRes!AQ122:'SmtRes'!AQ129,"=1",SmtRes!AB122:'SmtRes'!AB129)</f>
        <v>32.26</v>
      </c>
      <c r="CS117" s="2">
        <f>SUMIF(SmtRes!AQ122:'SmtRes'!AQ129,"=1",SmtRes!AC122:'SmtRes'!AC129)</f>
        <v>0</v>
      </c>
      <c r="CT117" s="2">
        <f>SUMIF(SmtRes!AQ122:'SmtRes'!AQ129,"=1",SmtRes!AD122:'SmtRes'!AD129)</f>
        <v>673.55</v>
      </c>
      <c r="CU117" s="2">
        <f t="shared" ref="CU117:CU130" si="118">AG117</f>
        <v>0</v>
      </c>
      <c r="CV117" s="2">
        <f>SUMIF(SmtRes!AQ122:'SmtRes'!AQ129,"=1",SmtRes!BU122:'SmtRes'!BU129)</f>
        <v>0.86134999999999995</v>
      </c>
      <c r="CW117" s="2">
        <f>SUMIF(SmtRes!AQ122:'SmtRes'!AQ129,"=1",SmtRes!BV122:'SmtRes'!BV129)</f>
        <v>0</v>
      </c>
      <c r="CX117" s="2">
        <f t="shared" ref="CX117:CX130" si="119">AJ117</f>
        <v>0</v>
      </c>
      <c r="CY117" s="2">
        <f t="shared" ref="CY117:CY130" si="120">(((S117+R117)*AT117)/100)</f>
        <v>6317.9666000000007</v>
      </c>
      <c r="CZ117" s="2">
        <f t="shared" ref="CZ117:CZ130" si="121">(((S117+R117)*AU117)/100)</f>
        <v>3195.53352</v>
      </c>
      <c r="DA117" s="2"/>
      <c r="DB117" s="2"/>
      <c r="DC117" s="2" t="s">
        <v>3</v>
      </c>
      <c r="DD117" s="2" t="s">
        <v>46</v>
      </c>
      <c r="DE117" s="2" t="s">
        <v>267</v>
      </c>
      <c r="DF117" s="2" t="s">
        <v>267</v>
      </c>
      <c r="DG117" s="2" t="s">
        <v>268</v>
      </c>
      <c r="DH117" s="2" t="s">
        <v>3</v>
      </c>
      <c r="DI117" s="2" t="s">
        <v>268</v>
      </c>
      <c r="DJ117" s="2" t="s">
        <v>267</v>
      </c>
      <c r="DK117" s="2" t="s">
        <v>3</v>
      </c>
      <c r="DL117" s="2" t="s">
        <v>3</v>
      </c>
      <c r="DM117" s="2" t="s">
        <v>269</v>
      </c>
      <c r="DN117" s="2">
        <v>0</v>
      </c>
      <c r="DO117" s="2">
        <v>0</v>
      </c>
      <c r="DP117" s="2">
        <v>1</v>
      </c>
      <c r="DQ117" s="2">
        <v>1</v>
      </c>
      <c r="DR117" s="2"/>
      <c r="DS117" s="2"/>
      <c r="DT117" s="2"/>
      <c r="DU117" s="2">
        <v>1013</v>
      </c>
      <c r="DV117" s="2" t="s">
        <v>43</v>
      </c>
      <c r="DW117" s="2" t="s">
        <v>43</v>
      </c>
      <c r="DX117" s="2">
        <v>1</v>
      </c>
      <c r="DY117" s="2"/>
      <c r="DZ117" s="2" t="s">
        <v>3</v>
      </c>
      <c r="EA117" s="2" t="s">
        <v>3</v>
      </c>
      <c r="EB117" s="2" t="s">
        <v>3</v>
      </c>
      <c r="EC117" s="2" t="s">
        <v>3</v>
      </c>
      <c r="ED117" s="2"/>
      <c r="EE117" s="2">
        <v>84053929</v>
      </c>
      <c r="EF117" s="2">
        <v>2</v>
      </c>
      <c r="EG117" s="2" t="s">
        <v>270</v>
      </c>
      <c r="EH117" s="2">
        <v>16</v>
      </c>
      <c r="EI117" s="2" t="s">
        <v>271</v>
      </c>
      <c r="EJ117" s="2">
        <v>1</v>
      </c>
      <c r="EK117" s="2">
        <v>20001</v>
      </c>
      <c r="EL117" s="2" t="s">
        <v>272</v>
      </c>
      <c r="EM117" s="2" t="s">
        <v>273</v>
      </c>
      <c r="EN117" s="2"/>
      <c r="EO117" s="2" t="s">
        <v>274</v>
      </c>
      <c r="EP117" s="2"/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1.07</v>
      </c>
      <c r="EX117" s="2">
        <v>0.01</v>
      </c>
      <c r="EY117" s="2">
        <v>0</v>
      </c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>
        <v>0</v>
      </c>
      <c r="FR117" s="2">
        <v>0</v>
      </c>
      <c r="FS117" s="2">
        <v>0</v>
      </c>
      <c r="FT117" s="2"/>
      <c r="FU117" s="2"/>
      <c r="FV117" s="2"/>
      <c r="FW117" s="2"/>
      <c r="FX117" s="2">
        <v>121</v>
      </c>
      <c r="FY117" s="2">
        <v>61.2</v>
      </c>
      <c r="FZ117" s="2"/>
      <c r="GA117" s="2" t="s">
        <v>3</v>
      </c>
      <c r="GB117" s="2"/>
      <c r="GC117" s="2"/>
      <c r="GD117" s="2">
        <v>1</v>
      </c>
      <c r="GE117" s="2"/>
      <c r="GF117" s="2">
        <v>1758498288</v>
      </c>
      <c r="GG117" s="2">
        <v>2</v>
      </c>
      <c r="GH117" s="2">
        <v>1</v>
      </c>
      <c r="GI117" s="2">
        <v>-2</v>
      </c>
      <c r="GJ117" s="2">
        <v>0</v>
      </c>
      <c r="GK117" s="2">
        <v>0</v>
      </c>
      <c r="GL117" s="2">
        <f t="shared" ref="GL117:GL130" si="122">ROUND(IF(AND(BH117=3,BI117=3,FS117&lt;&gt;0),P117,0),2)</f>
        <v>0</v>
      </c>
      <c r="GM117" s="2">
        <f t="shared" ref="GM117:GM130" si="123">ROUND(O117+X117+Y117,2)+GX117</f>
        <v>14760.36</v>
      </c>
      <c r="GN117" s="2">
        <f t="shared" ref="GN117:GN130" si="124">IF(OR(BI117=0,BI117=1),GM117-GX117,0)</f>
        <v>14760.36</v>
      </c>
      <c r="GO117" s="2">
        <f t="shared" ref="GO117:GO130" si="125">IF(BI117=2,GM117-GX117,0)</f>
        <v>0</v>
      </c>
      <c r="GP117" s="2">
        <f t="shared" ref="GP117:GP130" si="126">IF(BI117=4,GM117-GX117,0)</f>
        <v>0</v>
      </c>
      <c r="GQ117" s="2"/>
      <c r="GR117" s="2">
        <v>0</v>
      </c>
      <c r="GS117" s="2">
        <v>0</v>
      </c>
      <c r="GT117" s="2">
        <v>0</v>
      </c>
      <c r="GU117" s="2" t="s">
        <v>3</v>
      </c>
      <c r="GV117" s="2">
        <f t="shared" ref="GV117:GV130" si="127">ROUND((GT117),6)</f>
        <v>0</v>
      </c>
      <c r="GW117" s="2">
        <v>1</v>
      </c>
      <c r="GX117" s="2">
        <f t="shared" ref="GX117:GX130" si="128">ROUND(HC117*I117,2)</f>
        <v>0</v>
      </c>
      <c r="GY117" s="2"/>
      <c r="GZ117" s="2"/>
      <c r="HA117" s="2">
        <v>0</v>
      </c>
      <c r="HB117" s="2">
        <v>0</v>
      </c>
      <c r="HC117" s="2">
        <f t="shared" ref="HC117:HC130" si="129">GV117*GW117</f>
        <v>0</v>
      </c>
      <c r="HD117" s="2"/>
      <c r="HE117" s="2" t="s">
        <v>3</v>
      </c>
      <c r="HF117" s="2" t="s">
        <v>3</v>
      </c>
      <c r="HG117" s="2"/>
      <c r="HH117" s="2"/>
      <c r="HI117" s="2"/>
      <c r="HJ117" s="2"/>
      <c r="HK117" s="2"/>
      <c r="HL117" s="2"/>
      <c r="HM117" s="2" t="s">
        <v>3</v>
      </c>
      <c r="HN117" s="2" t="s">
        <v>275</v>
      </c>
      <c r="HO117" s="2" t="s">
        <v>276</v>
      </c>
      <c r="HP117" s="2" t="s">
        <v>271</v>
      </c>
      <c r="HQ117" s="2" t="s">
        <v>271</v>
      </c>
      <c r="HR117" s="2"/>
      <c r="HS117" s="2">
        <v>0</v>
      </c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>
        <v>0</v>
      </c>
      <c r="IL117" s="2"/>
      <c r="IM117" s="2"/>
      <c r="IN117" s="2"/>
      <c r="IO117" s="2"/>
      <c r="IP117" s="2"/>
      <c r="IQ117" s="2"/>
      <c r="IR117" s="2"/>
      <c r="IS117" s="2"/>
      <c r="IT117" s="2"/>
      <c r="IU117" s="2"/>
    </row>
    <row r="118" spans="1:255" ht="409.5" x14ac:dyDescent="0.2">
      <c r="A118" s="2">
        <v>18</v>
      </c>
      <c r="B118" s="2">
        <v>1</v>
      </c>
      <c r="C118" s="2">
        <v>124</v>
      </c>
      <c r="D118" s="2"/>
      <c r="E118" s="2" t="s">
        <v>277</v>
      </c>
      <c r="F118" s="2" t="s">
        <v>127</v>
      </c>
      <c r="G118" s="2" t="s">
        <v>128</v>
      </c>
      <c r="H118" s="2" t="s">
        <v>29</v>
      </c>
      <c r="I118" s="2">
        <f>I117*J118</f>
        <v>-6.8906300000000004E-2</v>
      </c>
      <c r="J118" s="2">
        <v>-7.6562555555555563E-3</v>
      </c>
      <c r="K118" s="2">
        <v>-8.7500000000000008E-3</v>
      </c>
      <c r="L118" s="2"/>
      <c r="M118" s="2"/>
      <c r="N118" s="2"/>
      <c r="O118" s="2">
        <f t="shared" si="109"/>
        <v>-94.08</v>
      </c>
      <c r="P118" s="2">
        <f>ROUND(CQ118*I118,2)</f>
        <v>0</v>
      </c>
      <c r="Q118" s="2">
        <f>ROUND(CR118*I118,2)</f>
        <v>-44.33</v>
      </c>
      <c r="R118" s="2">
        <f>ROUND(CS118*I118,2)</f>
        <v>-49.75</v>
      </c>
      <c r="S118" s="2">
        <f>ROUND(CT118*I118,2)</f>
        <v>0</v>
      </c>
      <c r="T118" s="2">
        <f t="shared" si="110"/>
        <v>0</v>
      </c>
      <c r="U118" s="2">
        <f>ROUND(CV118*I118,7)</f>
        <v>0</v>
      </c>
      <c r="V118" s="2">
        <f>ROUND(CW118*I118,7)</f>
        <v>0</v>
      </c>
      <c r="W118" s="2">
        <f t="shared" si="111"/>
        <v>0</v>
      </c>
      <c r="X118" s="2">
        <f t="shared" si="112"/>
        <v>-60.2</v>
      </c>
      <c r="Y118" s="2">
        <f t="shared" si="113"/>
        <v>-35.82</v>
      </c>
      <c r="Z118" s="2"/>
      <c r="AA118" s="2">
        <v>85997836</v>
      </c>
      <c r="AB118" s="2">
        <f t="shared" si="114"/>
        <v>643.29</v>
      </c>
      <c r="AC118" s="2">
        <f>ROUND((ES118),6)</f>
        <v>0</v>
      </c>
      <c r="AD118" s="2">
        <f>ROUND((((ET118)-(EU118))+AE118),6)</f>
        <v>643.29</v>
      </c>
      <c r="AE118" s="2">
        <f>ROUND((EU118),6)</f>
        <v>722.05</v>
      </c>
      <c r="AF118" s="2">
        <f>ROUND((EV118),6)</f>
        <v>0</v>
      </c>
      <c r="AG118" s="2">
        <f t="shared" si="115"/>
        <v>0</v>
      </c>
      <c r="AH118" s="2">
        <f>(EW118)</f>
        <v>0</v>
      </c>
      <c r="AI118" s="2">
        <f>(EX118)</f>
        <v>0</v>
      </c>
      <c r="AJ118" s="2">
        <f t="shared" si="116"/>
        <v>0</v>
      </c>
      <c r="AK118" s="2">
        <v>643.29</v>
      </c>
      <c r="AL118" s="2">
        <v>0</v>
      </c>
      <c r="AM118" s="2">
        <v>643.29</v>
      </c>
      <c r="AN118" s="2">
        <v>722.05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121</v>
      </c>
      <c r="AU118" s="2">
        <v>72</v>
      </c>
      <c r="AV118" s="2">
        <v>1</v>
      </c>
      <c r="AW118" s="2">
        <v>1</v>
      </c>
      <c r="AX118" s="2"/>
      <c r="AY118" s="2"/>
      <c r="AZ118" s="2">
        <v>1</v>
      </c>
      <c r="BA118" s="2">
        <v>1</v>
      </c>
      <c r="BB118" s="2">
        <v>1</v>
      </c>
      <c r="BC118" s="2">
        <v>1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2</v>
      </c>
      <c r="BI118" s="2">
        <v>1</v>
      </c>
      <c r="BJ118" s="2" t="s">
        <v>129</v>
      </c>
      <c r="BK118" s="2"/>
      <c r="BL118" s="2"/>
      <c r="BM118" s="2">
        <v>20001</v>
      </c>
      <c r="BN118" s="2">
        <v>0</v>
      </c>
      <c r="BO118" s="2" t="s">
        <v>3</v>
      </c>
      <c r="BP118" s="2">
        <v>0</v>
      </c>
      <c r="BQ118" s="2">
        <v>2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121</v>
      </c>
      <c r="CA118" s="2">
        <v>72</v>
      </c>
      <c r="CB118" s="2" t="s">
        <v>3</v>
      </c>
      <c r="CC118" s="2"/>
      <c r="CD118" s="2"/>
      <c r="CE118" s="2">
        <v>0</v>
      </c>
      <c r="CF118" s="2">
        <v>0</v>
      </c>
      <c r="CG118" s="2">
        <v>0</v>
      </c>
      <c r="CH118" s="2"/>
      <c r="CI118" s="2"/>
      <c r="CJ118" s="2"/>
      <c r="CK118" s="2"/>
      <c r="CL118" s="2"/>
      <c r="CM118" s="2">
        <v>0</v>
      </c>
      <c r="CN118" s="7" t="s">
        <v>735</v>
      </c>
      <c r="CO118" s="2">
        <v>0</v>
      </c>
      <c r="CP118" s="2">
        <f t="shared" si="117"/>
        <v>-94.08</v>
      </c>
      <c r="CQ118" s="2">
        <f>ROUND(AL118*BC118,2)</f>
        <v>0</v>
      </c>
      <c r="CR118" s="2">
        <f>ROUND(AM118*BB118,2)</f>
        <v>643.29</v>
      </c>
      <c r="CS118" s="2">
        <f>ROUND(AN118*BS118,2)</f>
        <v>722.05</v>
      </c>
      <c r="CT118" s="2">
        <f>ROUND(AO118*BA118,2)</f>
        <v>0</v>
      </c>
      <c r="CU118" s="2">
        <f t="shared" si="118"/>
        <v>0</v>
      </c>
      <c r="CV118" s="2">
        <f>AH118</f>
        <v>0</v>
      </c>
      <c r="CW118" s="2">
        <f>AI118</f>
        <v>0</v>
      </c>
      <c r="CX118" s="2">
        <f t="shared" si="119"/>
        <v>0</v>
      </c>
      <c r="CY118" s="2">
        <f t="shared" si="120"/>
        <v>-60.197499999999998</v>
      </c>
      <c r="CZ118" s="2">
        <f t="shared" si="121"/>
        <v>-35.82</v>
      </c>
      <c r="DA118" s="2"/>
      <c r="DB118" s="2"/>
      <c r="DC118" s="2" t="s">
        <v>3</v>
      </c>
      <c r="DD118" s="2" t="s">
        <v>3</v>
      </c>
      <c r="DE118" s="2" t="s">
        <v>3</v>
      </c>
      <c r="DF118" s="2" t="s">
        <v>3</v>
      </c>
      <c r="DG118" s="2" t="s">
        <v>3</v>
      </c>
      <c r="DH118" s="2" t="s">
        <v>3</v>
      </c>
      <c r="DI118" s="2" t="s">
        <v>3</v>
      </c>
      <c r="DJ118" s="2" t="s">
        <v>3</v>
      </c>
      <c r="DK118" s="2" t="s">
        <v>3</v>
      </c>
      <c r="DL118" s="2" t="s">
        <v>3</v>
      </c>
      <c r="DM118" s="2" t="s">
        <v>3</v>
      </c>
      <c r="DN118" s="2">
        <v>0</v>
      </c>
      <c r="DO118" s="2">
        <v>0</v>
      </c>
      <c r="DP118" s="2">
        <v>1</v>
      </c>
      <c r="DQ118" s="2">
        <v>1</v>
      </c>
      <c r="DR118" s="2"/>
      <c r="DS118" s="2"/>
      <c r="DT118" s="2"/>
      <c r="DU118" s="2">
        <v>1011</v>
      </c>
      <c r="DV118" s="2" t="s">
        <v>29</v>
      </c>
      <c r="DW118" s="2" t="s">
        <v>29</v>
      </c>
      <c r="DX118" s="2">
        <v>1</v>
      </c>
      <c r="DY118" s="2"/>
      <c r="DZ118" s="2" t="s">
        <v>3</v>
      </c>
      <c r="EA118" s="2" t="s">
        <v>3</v>
      </c>
      <c r="EB118" s="2" t="s">
        <v>3</v>
      </c>
      <c r="EC118" s="2" t="s">
        <v>3</v>
      </c>
      <c r="ED118" s="2"/>
      <c r="EE118" s="2">
        <v>84053929</v>
      </c>
      <c r="EF118" s="2">
        <v>2</v>
      </c>
      <c r="EG118" s="2" t="s">
        <v>270</v>
      </c>
      <c r="EH118" s="2">
        <v>16</v>
      </c>
      <c r="EI118" s="2" t="s">
        <v>271</v>
      </c>
      <c r="EJ118" s="2">
        <v>1</v>
      </c>
      <c r="EK118" s="2">
        <v>20001</v>
      </c>
      <c r="EL118" s="2" t="s">
        <v>272</v>
      </c>
      <c r="EM118" s="2" t="s">
        <v>273</v>
      </c>
      <c r="EN118" s="2"/>
      <c r="EO118" s="2" t="s">
        <v>274</v>
      </c>
      <c r="EP118" s="2"/>
      <c r="EQ118" s="2">
        <v>0</v>
      </c>
      <c r="ER118" s="2">
        <v>643.29</v>
      </c>
      <c r="ES118" s="2">
        <v>0</v>
      </c>
      <c r="ET118" s="2">
        <v>643.29</v>
      </c>
      <c r="EU118" s="2">
        <v>722.05</v>
      </c>
      <c r="EV118" s="2">
        <v>0</v>
      </c>
      <c r="EW118" s="2">
        <v>0</v>
      </c>
      <c r="EX118" s="2">
        <v>0</v>
      </c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>
        <v>0</v>
      </c>
      <c r="FR118" s="2">
        <v>0</v>
      </c>
      <c r="FS118" s="2">
        <v>1</v>
      </c>
      <c r="FT118" s="2"/>
      <c r="FU118" s="2"/>
      <c r="FV118" s="2"/>
      <c r="FW118" s="2"/>
      <c r="FX118" s="2">
        <v>121</v>
      </c>
      <c r="FY118" s="2">
        <v>72</v>
      </c>
      <c r="FZ118" s="2"/>
      <c r="GA118" s="2" t="s">
        <v>3</v>
      </c>
      <c r="GB118" s="2"/>
      <c r="GC118" s="2"/>
      <c r="GD118" s="2">
        <v>1</v>
      </c>
      <c r="GE118" s="2"/>
      <c r="GF118" s="2">
        <v>-849950259</v>
      </c>
      <c r="GG118" s="2">
        <v>2</v>
      </c>
      <c r="GH118" s="2">
        <v>1</v>
      </c>
      <c r="GI118" s="2">
        <v>-2</v>
      </c>
      <c r="GJ118" s="2">
        <v>0</v>
      </c>
      <c r="GK118" s="2">
        <v>0</v>
      </c>
      <c r="GL118" s="2">
        <f t="shared" si="122"/>
        <v>0</v>
      </c>
      <c r="GM118" s="2">
        <f t="shared" si="123"/>
        <v>-190.1</v>
      </c>
      <c r="GN118" s="2">
        <f t="shared" si="124"/>
        <v>-190.1</v>
      </c>
      <c r="GO118" s="2">
        <f t="shared" si="125"/>
        <v>0</v>
      </c>
      <c r="GP118" s="2">
        <f t="shared" si="126"/>
        <v>0</v>
      </c>
      <c r="GQ118" s="2"/>
      <c r="GR118" s="2">
        <v>0</v>
      </c>
      <c r="GS118" s="2">
        <v>7</v>
      </c>
      <c r="GT118" s="2">
        <v>0</v>
      </c>
      <c r="GU118" s="2" t="s">
        <v>3</v>
      </c>
      <c r="GV118" s="2">
        <f t="shared" si="127"/>
        <v>0</v>
      </c>
      <c r="GW118" s="2">
        <v>1</v>
      </c>
      <c r="GX118" s="2">
        <f t="shared" si="128"/>
        <v>0</v>
      </c>
      <c r="GY118" s="2"/>
      <c r="GZ118" s="2"/>
      <c r="HA118" s="2">
        <v>0</v>
      </c>
      <c r="HB118" s="2">
        <v>0</v>
      </c>
      <c r="HC118" s="2">
        <f t="shared" si="129"/>
        <v>0</v>
      </c>
      <c r="HD118" s="2"/>
      <c r="HE118" s="2" t="s">
        <v>3</v>
      </c>
      <c r="HF118" s="2" t="s">
        <v>3</v>
      </c>
      <c r="HG118" s="2"/>
      <c r="HH118" s="2"/>
      <c r="HI118" s="2"/>
      <c r="HJ118" s="2"/>
      <c r="HK118" s="2"/>
      <c r="HL118" s="2"/>
      <c r="HM118" s="2" t="s">
        <v>267</v>
      </c>
      <c r="HN118" s="2" t="s">
        <v>275</v>
      </c>
      <c r="HO118" s="2" t="s">
        <v>276</v>
      </c>
      <c r="HP118" s="2" t="s">
        <v>271</v>
      </c>
      <c r="HQ118" s="2" t="s">
        <v>271</v>
      </c>
      <c r="HR118" s="2"/>
      <c r="HS118" s="2">
        <v>0</v>
      </c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>
        <v>0</v>
      </c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ht="409.5" x14ac:dyDescent="0.2">
      <c r="A119" s="2">
        <v>17</v>
      </c>
      <c r="B119" s="2">
        <v>1</v>
      </c>
      <c r="C119" s="2">
        <f>ROW(SmtRes!A138)</f>
        <v>138</v>
      </c>
      <c r="D119" s="2">
        <f>ROW(EtalonRes!A125)</f>
        <v>125</v>
      </c>
      <c r="E119" s="2" t="s">
        <v>278</v>
      </c>
      <c r="F119" s="2" t="s">
        <v>279</v>
      </c>
      <c r="G119" s="2" t="s">
        <v>280</v>
      </c>
      <c r="H119" s="2" t="s">
        <v>43</v>
      </c>
      <c r="I119" s="2">
        <v>9</v>
      </c>
      <c r="J119" s="2">
        <v>0</v>
      </c>
      <c r="K119" s="2">
        <v>9</v>
      </c>
      <c r="L119" s="2"/>
      <c r="M119" s="2"/>
      <c r="N119" s="2"/>
      <c r="O119" s="2">
        <f t="shared" si="109"/>
        <v>7034.82</v>
      </c>
      <c r="P119" s="2">
        <f>SUMIF(SmtRes!AQ130:'SmtRes'!AQ138,"=1",SmtRes!DF130:'SmtRes'!DF138)</f>
        <v>0</v>
      </c>
      <c r="Q119" s="2">
        <f>SUMIF(SmtRes!AQ130:'SmtRes'!AQ138,"=1",SmtRes!DG130:'SmtRes'!DG138)</f>
        <v>0</v>
      </c>
      <c r="R119" s="2">
        <f>SUMIF(SmtRes!AQ130:'SmtRes'!AQ138,"=1",SmtRes!DH130:'SmtRes'!DH138)</f>
        <v>0</v>
      </c>
      <c r="S119" s="2">
        <f>SUMIF(SmtRes!AQ130:'SmtRes'!AQ138,"=1",SmtRes!DI130:'SmtRes'!DI138)</f>
        <v>7034.82</v>
      </c>
      <c r="T119" s="2">
        <f t="shared" si="110"/>
        <v>0</v>
      </c>
      <c r="U119" s="2">
        <f>SUMIF(SmtRes!AQ130:'SmtRes'!AQ138,"=1",SmtRes!CV130:'SmtRes'!CV138)</f>
        <v>10.971</v>
      </c>
      <c r="V119" s="2">
        <f>SUMIF(SmtRes!AQ130:'SmtRes'!AQ138,"=1",SmtRes!CW130:'SmtRes'!CW138)</f>
        <v>0</v>
      </c>
      <c r="W119" s="2">
        <f t="shared" si="111"/>
        <v>0</v>
      </c>
      <c r="X119" s="2">
        <f t="shared" si="112"/>
        <v>8512.1299999999992</v>
      </c>
      <c r="Y119" s="2">
        <f t="shared" si="113"/>
        <v>4305.3100000000004</v>
      </c>
      <c r="Z119" s="2"/>
      <c r="AA119" s="2">
        <v>85997836</v>
      </c>
      <c r="AB119" s="2">
        <f t="shared" si="114"/>
        <v>781.64718000000005</v>
      </c>
      <c r="AC119" s="2">
        <f>ROUND((0),6)</f>
        <v>0</v>
      </c>
      <c r="AD119" s="2">
        <f>ROUND((((0)-(0))+AE119),6)</f>
        <v>0</v>
      </c>
      <c r="AE119" s="2">
        <f>ROUND((0),6)</f>
        <v>0</v>
      </c>
      <c r="AF119" s="2">
        <f>ROUND((SUM(SmtRes!BT130:'SmtRes'!BT138)),6)</f>
        <v>781.64718000000005</v>
      </c>
      <c r="AG119" s="2">
        <f t="shared" si="115"/>
        <v>0</v>
      </c>
      <c r="AH119" s="2">
        <f>(SUM(SmtRes!BU130:'SmtRes'!BU138))</f>
        <v>1.2189999999999999</v>
      </c>
      <c r="AI119" s="2">
        <f>(0)</f>
        <v>0</v>
      </c>
      <c r="AJ119" s="2">
        <f t="shared" si="116"/>
        <v>0</v>
      </c>
      <c r="AK119" s="2">
        <v>1699.2329999999999</v>
      </c>
      <c r="AL119" s="2">
        <v>0</v>
      </c>
      <c r="AM119" s="2">
        <v>0</v>
      </c>
      <c r="AN119" s="2">
        <v>0</v>
      </c>
      <c r="AO119" s="2">
        <v>1699.2329999999999</v>
      </c>
      <c r="AP119" s="2">
        <v>0</v>
      </c>
      <c r="AQ119" s="2">
        <v>2.65</v>
      </c>
      <c r="AR119" s="2">
        <v>0.01</v>
      </c>
      <c r="AS119" s="2">
        <v>0</v>
      </c>
      <c r="AT119" s="2">
        <v>121</v>
      </c>
      <c r="AU119" s="2">
        <v>61.2</v>
      </c>
      <c r="AV119" s="2">
        <v>1</v>
      </c>
      <c r="AW119" s="2">
        <v>1</v>
      </c>
      <c r="AX119" s="2"/>
      <c r="AY119" s="2"/>
      <c r="AZ119" s="2">
        <v>1</v>
      </c>
      <c r="BA119" s="2">
        <v>1</v>
      </c>
      <c r="BB119" s="2">
        <v>1</v>
      </c>
      <c r="BC119" s="2">
        <v>1</v>
      </c>
      <c r="BD119" s="2" t="s">
        <v>3</v>
      </c>
      <c r="BE119" s="2" t="s">
        <v>3</v>
      </c>
      <c r="BF119" s="2" t="s">
        <v>3</v>
      </c>
      <c r="BG119" s="2" t="s">
        <v>3</v>
      </c>
      <c r="BH119" s="2">
        <v>0</v>
      </c>
      <c r="BI119" s="2">
        <v>1</v>
      </c>
      <c r="BJ119" s="2" t="s">
        <v>281</v>
      </c>
      <c r="BK119" s="2"/>
      <c r="BL119" s="2"/>
      <c r="BM119" s="2">
        <v>20001</v>
      </c>
      <c r="BN119" s="2">
        <v>0</v>
      </c>
      <c r="BO119" s="2" t="s">
        <v>3</v>
      </c>
      <c r="BP119" s="2">
        <v>0</v>
      </c>
      <c r="BQ119" s="2">
        <v>2</v>
      </c>
      <c r="BR119" s="2">
        <v>0</v>
      </c>
      <c r="BS119" s="2">
        <v>1</v>
      </c>
      <c r="BT119" s="2">
        <v>1</v>
      </c>
      <c r="BU119" s="2">
        <v>1</v>
      </c>
      <c r="BV119" s="2">
        <v>1</v>
      </c>
      <c r="BW119" s="2">
        <v>1</v>
      </c>
      <c r="BX119" s="2">
        <v>1</v>
      </c>
      <c r="BY119" s="2" t="s">
        <v>3</v>
      </c>
      <c r="BZ119" s="2">
        <v>121</v>
      </c>
      <c r="CA119" s="2">
        <v>72</v>
      </c>
      <c r="CB119" s="2" t="s">
        <v>3</v>
      </c>
      <c r="CC119" s="2"/>
      <c r="CD119" s="2"/>
      <c r="CE119" s="2">
        <v>0</v>
      </c>
      <c r="CF119" s="2">
        <v>0</v>
      </c>
      <c r="CG119" s="2">
        <v>0</v>
      </c>
      <c r="CH119" s="2"/>
      <c r="CI119" s="2"/>
      <c r="CJ119" s="2"/>
      <c r="CK119" s="2"/>
      <c r="CL119" s="2"/>
      <c r="CM119" s="2">
        <v>0</v>
      </c>
      <c r="CN119" s="7" t="s">
        <v>736</v>
      </c>
      <c r="CO119" s="2">
        <v>0</v>
      </c>
      <c r="CP119" s="2">
        <f t="shared" si="117"/>
        <v>7034.82</v>
      </c>
      <c r="CQ119" s="2">
        <f>SUMIF(SmtRes!AQ130:'SmtRes'!AQ138,"=1",SmtRes!AA130:'SmtRes'!AA138)</f>
        <v>0</v>
      </c>
      <c r="CR119" s="2">
        <f>SUMIF(SmtRes!AQ130:'SmtRes'!AQ138,"=1",SmtRes!AB130:'SmtRes'!AB138)</f>
        <v>0</v>
      </c>
      <c r="CS119" s="2">
        <f>SUMIF(SmtRes!AQ130:'SmtRes'!AQ138,"=1",SmtRes!AC130:'SmtRes'!AC138)</f>
        <v>0</v>
      </c>
      <c r="CT119" s="2">
        <f>SUMIF(SmtRes!AQ130:'SmtRes'!AQ138,"=1",SmtRes!AD130:'SmtRes'!AD138)</f>
        <v>641.22</v>
      </c>
      <c r="CU119" s="2">
        <f t="shared" si="118"/>
        <v>0</v>
      </c>
      <c r="CV119" s="2">
        <f>SUMIF(SmtRes!AQ130:'SmtRes'!AQ138,"=1",SmtRes!BU130:'SmtRes'!BU138)</f>
        <v>1.2189999999999999</v>
      </c>
      <c r="CW119" s="2">
        <f>SUMIF(SmtRes!AQ130:'SmtRes'!AQ138,"=1",SmtRes!BV130:'SmtRes'!BV138)</f>
        <v>0</v>
      </c>
      <c r="CX119" s="2">
        <f t="shared" si="119"/>
        <v>0</v>
      </c>
      <c r="CY119" s="2">
        <f t="shared" si="120"/>
        <v>8512.1322</v>
      </c>
      <c r="CZ119" s="2">
        <f t="shared" si="121"/>
        <v>4305.3098399999999</v>
      </c>
      <c r="DA119" s="2"/>
      <c r="DB119" s="2"/>
      <c r="DC119" s="2" t="s">
        <v>3</v>
      </c>
      <c r="DD119" s="2" t="s">
        <v>3</v>
      </c>
      <c r="DE119" s="2" t="s">
        <v>282</v>
      </c>
      <c r="DF119" s="2" t="s">
        <v>282</v>
      </c>
      <c r="DG119" s="2" t="s">
        <v>283</v>
      </c>
      <c r="DH119" s="2" t="s">
        <v>3</v>
      </c>
      <c r="DI119" s="2" t="s">
        <v>283</v>
      </c>
      <c r="DJ119" s="2" t="s">
        <v>282</v>
      </c>
      <c r="DK119" s="2" t="s">
        <v>3</v>
      </c>
      <c r="DL119" s="2" t="s">
        <v>3</v>
      </c>
      <c r="DM119" s="2" t="s">
        <v>269</v>
      </c>
      <c r="DN119" s="2">
        <v>0</v>
      </c>
      <c r="DO119" s="2">
        <v>0</v>
      </c>
      <c r="DP119" s="2">
        <v>1</v>
      </c>
      <c r="DQ119" s="2">
        <v>1</v>
      </c>
      <c r="DR119" s="2"/>
      <c r="DS119" s="2"/>
      <c r="DT119" s="2"/>
      <c r="DU119" s="2">
        <v>1013</v>
      </c>
      <c r="DV119" s="2" t="s">
        <v>43</v>
      </c>
      <c r="DW119" s="2" t="s">
        <v>43</v>
      </c>
      <c r="DX119" s="2">
        <v>1</v>
      </c>
      <c r="DY119" s="2"/>
      <c r="DZ119" s="2" t="s">
        <v>3</v>
      </c>
      <c r="EA119" s="2" t="s">
        <v>3</v>
      </c>
      <c r="EB119" s="2" t="s">
        <v>3</v>
      </c>
      <c r="EC119" s="2" t="s">
        <v>3</v>
      </c>
      <c r="ED119" s="2"/>
      <c r="EE119" s="2">
        <v>84053929</v>
      </c>
      <c r="EF119" s="2">
        <v>2</v>
      </c>
      <c r="EG119" s="2" t="s">
        <v>270</v>
      </c>
      <c r="EH119" s="2">
        <v>16</v>
      </c>
      <c r="EI119" s="2" t="s">
        <v>271</v>
      </c>
      <c r="EJ119" s="2">
        <v>1</v>
      </c>
      <c r="EK119" s="2">
        <v>20001</v>
      </c>
      <c r="EL119" s="2" t="s">
        <v>272</v>
      </c>
      <c r="EM119" s="2" t="s">
        <v>273</v>
      </c>
      <c r="EN119" s="2"/>
      <c r="EO119" s="2" t="s">
        <v>284</v>
      </c>
      <c r="EP119" s="2"/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2.65</v>
      </c>
      <c r="EX119" s="2">
        <v>0.01</v>
      </c>
      <c r="EY119" s="2">
        <v>0</v>
      </c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>
        <v>0</v>
      </c>
      <c r="FR119" s="2">
        <v>0</v>
      </c>
      <c r="FS119" s="2">
        <v>0</v>
      </c>
      <c r="FT119" s="2"/>
      <c r="FU119" s="2"/>
      <c r="FV119" s="2"/>
      <c r="FW119" s="2"/>
      <c r="FX119" s="2">
        <v>121</v>
      </c>
      <c r="FY119" s="2">
        <v>61.2</v>
      </c>
      <c r="FZ119" s="2"/>
      <c r="GA119" s="2" t="s">
        <v>3</v>
      </c>
      <c r="GB119" s="2"/>
      <c r="GC119" s="2"/>
      <c r="GD119" s="2">
        <v>1</v>
      </c>
      <c r="GE119" s="2"/>
      <c r="GF119" s="2">
        <v>-1793245526</v>
      </c>
      <c r="GG119" s="2">
        <v>2</v>
      </c>
      <c r="GH119" s="2">
        <v>1</v>
      </c>
      <c r="GI119" s="2">
        <v>-2</v>
      </c>
      <c r="GJ119" s="2">
        <v>0</v>
      </c>
      <c r="GK119" s="2">
        <v>0</v>
      </c>
      <c r="GL119" s="2">
        <f t="shared" si="122"/>
        <v>0</v>
      </c>
      <c r="GM119" s="2">
        <f t="shared" si="123"/>
        <v>19852.259999999998</v>
      </c>
      <c r="GN119" s="2">
        <f t="shared" si="124"/>
        <v>19852.259999999998</v>
      </c>
      <c r="GO119" s="2">
        <f t="shared" si="125"/>
        <v>0</v>
      </c>
      <c r="GP119" s="2">
        <f t="shared" si="126"/>
        <v>0</v>
      </c>
      <c r="GQ119" s="2"/>
      <c r="GR119" s="2">
        <v>0</v>
      </c>
      <c r="GS119" s="2">
        <v>0</v>
      </c>
      <c r="GT119" s="2">
        <v>0</v>
      </c>
      <c r="GU119" s="2" t="s">
        <v>3</v>
      </c>
      <c r="GV119" s="2">
        <f t="shared" si="127"/>
        <v>0</v>
      </c>
      <c r="GW119" s="2">
        <v>1</v>
      </c>
      <c r="GX119" s="2">
        <f t="shared" si="128"/>
        <v>0</v>
      </c>
      <c r="GY119" s="2"/>
      <c r="GZ119" s="2"/>
      <c r="HA119" s="2">
        <v>0</v>
      </c>
      <c r="HB119" s="2">
        <v>0</v>
      </c>
      <c r="HC119" s="2">
        <f t="shared" si="129"/>
        <v>0</v>
      </c>
      <c r="HD119" s="2"/>
      <c r="HE119" s="2" t="s">
        <v>3</v>
      </c>
      <c r="HF119" s="2" t="s">
        <v>3</v>
      </c>
      <c r="HG119" s="2"/>
      <c r="HH119" s="2"/>
      <c r="HI119" s="2"/>
      <c r="HJ119" s="2"/>
      <c r="HK119" s="2"/>
      <c r="HL119" s="2"/>
      <c r="HM119" s="2" t="s">
        <v>3</v>
      </c>
      <c r="HN119" s="2" t="s">
        <v>275</v>
      </c>
      <c r="HO119" s="2" t="s">
        <v>276</v>
      </c>
      <c r="HP119" s="2" t="s">
        <v>271</v>
      </c>
      <c r="HQ119" s="2" t="s">
        <v>271</v>
      </c>
      <c r="HR119" s="2"/>
      <c r="HS119" s="2">
        <v>0</v>
      </c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>
        <v>0</v>
      </c>
      <c r="IL119" s="2"/>
      <c r="IM119" s="2"/>
      <c r="IN119" s="2"/>
      <c r="IO119" s="2"/>
      <c r="IP119" s="2"/>
      <c r="IQ119" s="2"/>
      <c r="IR119" s="2"/>
      <c r="IS119" s="2"/>
      <c r="IT119" s="2"/>
      <c r="IU119" s="2"/>
    </row>
    <row r="120" spans="1:255" x14ac:dyDescent="0.2">
      <c r="A120" s="2">
        <v>18</v>
      </c>
      <c r="B120" s="2">
        <v>1</v>
      </c>
      <c r="C120" s="2">
        <v>137</v>
      </c>
      <c r="D120" s="2"/>
      <c r="E120" s="2" t="s">
        <v>285</v>
      </c>
      <c r="F120" s="2" t="s">
        <v>286</v>
      </c>
      <c r="G120" s="2" t="s">
        <v>287</v>
      </c>
      <c r="H120" s="2" t="s">
        <v>43</v>
      </c>
      <c r="I120" s="2">
        <f>I119*J120</f>
        <v>0</v>
      </c>
      <c r="J120" s="2">
        <v>0</v>
      </c>
      <c r="K120" s="2">
        <v>0</v>
      </c>
      <c r="L120" s="2"/>
      <c r="M120" s="2"/>
      <c r="N120" s="2"/>
      <c r="O120" s="2">
        <f t="shared" si="109"/>
        <v>0</v>
      </c>
      <c r="P120" s="2">
        <f t="shared" ref="P120:P126" si="130">ROUND(CQ120*I120,2)</f>
        <v>0</v>
      </c>
      <c r="Q120" s="2">
        <f t="shared" ref="Q120:Q126" si="131">ROUND(CR120*I120,2)</f>
        <v>0</v>
      </c>
      <c r="R120" s="2">
        <f t="shared" ref="R120:R126" si="132">ROUND(CS120*I120,2)</f>
        <v>0</v>
      </c>
      <c r="S120" s="2">
        <f t="shared" ref="S120:S126" si="133">ROUND(CT120*I120,2)</f>
        <v>0</v>
      </c>
      <c r="T120" s="2">
        <f t="shared" si="110"/>
        <v>0</v>
      </c>
      <c r="U120" s="2">
        <f t="shared" ref="U120:U126" si="134">ROUND(CV120*I120,7)</f>
        <v>0</v>
      </c>
      <c r="V120" s="2">
        <f t="shared" ref="V120:V126" si="135">ROUND(CW120*I120,7)</f>
        <v>0</v>
      </c>
      <c r="W120" s="2">
        <f t="shared" si="111"/>
        <v>0</v>
      </c>
      <c r="X120" s="2">
        <f t="shared" si="112"/>
        <v>0</v>
      </c>
      <c r="Y120" s="2">
        <f t="shared" si="113"/>
        <v>0</v>
      </c>
      <c r="Z120" s="2"/>
      <c r="AA120" s="2">
        <v>85997836</v>
      </c>
      <c r="AB120" s="2">
        <f t="shared" si="114"/>
        <v>0</v>
      </c>
      <c r="AC120" s="2">
        <f t="shared" ref="AC120:AC126" si="136">ROUND((ES120),6)</f>
        <v>0</v>
      </c>
      <c r="AD120" s="2">
        <f t="shared" ref="AD120:AD126" si="137">ROUND((((ET120)-(EU120))+AE120),6)</f>
        <v>0</v>
      </c>
      <c r="AE120" s="2">
        <f t="shared" ref="AE120:AF126" si="138">ROUND((EU120),6)</f>
        <v>0</v>
      </c>
      <c r="AF120" s="2">
        <f t="shared" si="138"/>
        <v>0</v>
      </c>
      <c r="AG120" s="2">
        <f t="shared" si="115"/>
        <v>0</v>
      </c>
      <c r="AH120" s="2">
        <f t="shared" ref="AH120:AI126" si="139">(EW120)</f>
        <v>0</v>
      </c>
      <c r="AI120" s="2">
        <f t="shared" si="139"/>
        <v>0</v>
      </c>
      <c r="AJ120" s="2">
        <f t="shared" si="116"/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121</v>
      </c>
      <c r="AU120" s="2">
        <v>72</v>
      </c>
      <c r="AV120" s="2">
        <v>1</v>
      </c>
      <c r="AW120" s="2">
        <v>1</v>
      </c>
      <c r="AX120" s="2"/>
      <c r="AY120" s="2"/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3</v>
      </c>
      <c r="BI120" s="2">
        <v>1</v>
      </c>
      <c r="BJ120" s="2" t="s">
        <v>3</v>
      </c>
      <c r="BK120" s="2"/>
      <c r="BL120" s="2"/>
      <c r="BM120" s="2">
        <v>20001</v>
      </c>
      <c r="BN120" s="2">
        <v>0</v>
      </c>
      <c r="BO120" s="2" t="s">
        <v>3</v>
      </c>
      <c r="BP120" s="2">
        <v>0</v>
      </c>
      <c r="BQ120" s="2">
        <v>2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121</v>
      </c>
      <c r="CA120" s="2">
        <v>72</v>
      </c>
      <c r="CB120" s="2" t="s">
        <v>3</v>
      </c>
      <c r="CC120" s="2"/>
      <c r="CD120" s="2"/>
      <c r="CE120" s="2">
        <v>0</v>
      </c>
      <c r="CF120" s="2">
        <v>0</v>
      </c>
      <c r="CG120" s="2">
        <v>0</v>
      </c>
      <c r="CH120" s="2"/>
      <c r="CI120" s="2"/>
      <c r="CJ120" s="2"/>
      <c r="CK120" s="2"/>
      <c r="CL120" s="2"/>
      <c r="CM120" s="2">
        <v>0</v>
      </c>
      <c r="CN120" s="2" t="s">
        <v>3</v>
      </c>
      <c r="CO120" s="2">
        <v>0</v>
      </c>
      <c r="CP120" s="2">
        <f t="shared" si="117"/>
        <v>0</v>
      </c>
      <c r="CQ120" s="2">
        <f t="shared" ref="CQ120:CQ126" si="140">ROUND(AL120*BC120,2)</f>
        <v>0</v>
      </c>
      <c r="CR120" s="2">
        <f t="shared" ref="CR120:CR126" si="141">ROUND(AM120*BB120,2)</f>
        <v>0</v>
      </c>
      <c r="CS120" s="2">
        <f t="shared" ref="CS120:CS126" si="142">ROUND(AN120*BS120,2)</f>
        <v>0</v>
      </c>
      <c r="CT120" s="2">
        <f t="shared" ref="CT120:CT126" si="143">ROUND(AO120*BA120,2)</f>
        <v>0</v>
      </c>
      <c r="CU120" s="2">
        <f t="shared" si="118"/>
        <v>0</v>
      </c>
      <c r="CV120" s="2">
        <f t="shared" ref="CV120:CW126" si="144">AH120</f>
        <v>0</v>
      </c>
      <c r="CW120" s="2">
        <f t="shared" si="144"/>
        <v>0</v>
      </c>
      <c r="CX120" s="2">
        <f t="shared" si="119"/>
        <v>0</v>
      </c>
      <c r="CY120" s="2">
        <f t="shared" si="120"/>
        <v>0</v>
      </c>
      <c r="CZ120" s="2">
        <f t="shared" si="121"/>
        <v>0</v>
      </c>
      <c r="DA120" s="2"/>
      <c r="DB120" s="2"/>
      <c r="DC120" s="2" t="s">
        <v>3</v>
      </c>
      <c r="DD120" s="2" t="s">
        <v>3</v>
      </c>
      <c r="DE120" s="2" t="s">
        <v>3</v>
      </c>
      <c r="DF120" s="2" t="s">
        <v>3</v>
      </c>
      <c r="DG120" s="2" t="s">
        <v>3</v>
      </c>
      <c r="DH120" s="2" t="s">
        <v>3</v>
      </c>
      <c r="DI120" s="2" t="s">
        <v>3</v>
      </c>
      <c r="DJ120" s="2" t="s">
        <v>3</v>
      </c>
      <c r="DK120" s="2" t="s">
        <v>3</v>
      </c>
      <c r="DL120" s="2" t="s">
        <v>3</v>
      </c>
      <c r="DM120" s="2" t="s">
        <v>3</v>
      </c>
      <c r="DN120" s="2">
        <v>0</v>
      </c>
      <c r="DO120" s="2">
        <v>0</v>
      </c>
      <c r="DP120" s="2">
        <v>1</v>
      </c>
      <c r="DQ120" s="2">
        <v>1</v>
      </c>
      <c r="DR120" s="2"/>
      <c r="DS120" s="2"/>
      <c r="DT120" s="2"/>
      <c r="DU120" s="2">
        <v>1013</v>
      </c>
      <c r="DV120" s="2" t="s">
        <v>43</v>
      </c>
      <c r="DW120" s="2" t="s">
        <v>43</v>
      </c>
      <c r="DX120" s="2">
        <v>1</v>
      </c>
      <c r="DY120" s="2"/>
      <c r="DZ120" s="2" t="s">
        <v>3</v>
      </c>
      <c r="EA120" s="2" t="s">
        <v>3</v>
      </c>
      <c r="EB120" s="2" t="s">
        <v>3</v>
      </c>
      <c r="EC120" s="2" t="s">
        <v>3</v>
      </c>
      <c r="ED120" s="2"/>
      <c r="EE120" s="2">
        <v>84053929</v>
      </c>
      <c r="EF120" s="2">
        <v>2</v>
      </c>
      <c r="EG120" s="2" t="s">
        <v>270</v>
      </c>
      <c r="EH120" s="2">
        <v>16</v>
      </c>
      <c r="EI120" s="2" t="s">
        <v>271</v>
      </c>
      <c r="EJ120" s="2">
        <v>1</v>
      </c>
      <c r="EK120" s="2">
        <v>20001</v>
      </c>
      <c r="EL120" s="2" t="s">
        <v>272</v>
      </c>
      <c r="EM120" s="2" t="s">
        <v>273</v>
      </c>
      <c r="EN120" s="2"/>
      <c r="EO120" s="2" t="s">
        <v>3</v>
      </c>
      <c r="EP120" s="2"/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>
        <v>0</v>
      </c>
      <c r="FR120" s="2">
        <v>0</v>
      </c>
      <c r="FS120" s="2">
        <v>0</v>
      </c>
      <c r="FT120" s="2"/>
      <c r="FU120" s="2"/>
      <c r="FV120" s="2"/>
      <c r="FW120" s="2"/>
      <c r="FX120" s="2">
        <v>121</v>
      </c>
      <c r="FY120" s="2">
        <v>72</v>
      </c>
      <c r="FZ120" s="2"/>
      <c r="GA120" s="2" t="s">
        <v>3</v>
      </c>
      <c r="GB120" s="2"/>
      <c r="GC120" s="2"/>
      <c r="GD120" s="2">
        <v>1</v>
      </c>
      <c r="GE120" s="2"/>
      <c r="GF120" s="2">
        <v>1180700438</v>
      </c>
      <c r="GG120" s="2">
        <v>2</v>
      </c>
      <c r="GH120" s="2">
        <v>1</v>
      </c>
      <c r="GI120" s="2">
        <v>-2</v>
      </c>
      <c r="GJ120" s="2">
        <v>0</v>
      </c>
      <c r="GK120" s="2">
        <v>0</v>
      </c>
      <c r="GL120" s="2">
        <f t="shared" si="122"/>
        <v>0</v>
      </c>
      <c r="GM120" s="2">
        <f t="shared" si="123"/>
        <v>0</v>
      </c>
      <c r="GN120" s="2">
        <f t="shared" si="124"/>
        <v>0</v>
      </c>
      <c r="GO120" s="2">
        <f t="shared" si="125"/>
        <v>0</v>
      </c>
      <c r="GP120" s="2">
        <f t="shared" si="126"/>
        <v>0</v>
      </c>
      <c r="GQ120" s="2"/>
      <c r="GR120" s="2">
        <v>0</v>
      </c>
      <c r="GS120" s="2">
        <v>0</v>
      </c>
      <c r="GT120" s="2">
        <v>0</v>
      </c>
      <c r="GU120" s="2" t="s">
        <v>3</v>
      </c>
      <c r="GV120" s="2">
        <f t="shared" si="127"/>
        <v>0</v>
      </c>
      <c r="GW120" s="2">
        <v>1</v>
      </c>
      <c r="GX120" s="2">
        <f t="shared" si="128"/>
        <v>0</v>
      </c>
      <c r="GY120" s="2"/>
      <c r="GZ120" s="2"/>
      <c r="HA120" s="2">
        <v>0</v>
      </c>
      <c r="HB120" s="2">
        <v>0</v>
      </c>
      <c r="HC120" s="2">
        <f t="shared" si="129"/>
        <v>0</v>
      </c>
      <c r="HD120" s="2"/>
      <c r="HE120" s="2" t="s">
        <v>3</v>
      </c>
      <c r="HF120" s="2" t="s">
        <v>3</v>
      </c>
      <c r="HG120" s="2"/>
      <c r="HH120" s="2"/>
      <c r="HI120" s="2"/>
      <c r="HJ120" s="2"/>
      <c r="HK120" s="2"/>
      <c r="HL120" s="2"/>
      <c r="HM120" s="2" t="s">
        <v>3</v>
      </c>
      <c r="HN120" s="2" t="s">
        <v>275</v>
      </c>
      <c r="HO120" s="2" t="s">
        <v>276</v>
      </c>
      <c r="HP120" s="2" t="s">
        <v>271</v>
      </c>
      <c r="HQ120" s="2" t="s">
        <v>271</v>
      </c>
      <c r="HR120" s="2"/>
      <c r="HS120" s="2">
        <v>0</v>
      </c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>
        <v>0</v>
      </c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x14ac:dyDescent="0.2">
      <c r="A121" s="2">
        <v>18</v>
      </c>
      <c r="B121" s="2">
        <v>1</v>
      </c>
      <c r="C121" s="2">
        <v>138</v>
      </c>
      <c r="D121" s="2"/>
      <c r="E121" s="2" t="s">
        <v>288</v>
      </c>
      <c r="F121" s="2" t="s">
        <v>289</v>
      </c>
      <c r="G121" s="2" t="s">
        <v>290</v>
      </c>
      <c r="H121" s="2" t="s">
        <v>43</v>
      </c>
      <c r="I121" s="2">
        <f>I119*J121</f>
        <v>9</v>
      </c>
      <c r="J121" s="2">
        <v>1</v>
      </c>
      <c r="K121" s="2">
        <v>1</v>
      </c>
      <c r="L121" s="2"/>
      <c r="M121" s="2"/>
      <c r="N121" s="2"/>
      <c r="O121" s="2">
        <f t="shared" si="109"/>
        <v>0</v>
      </c>
      <c r="P121" s="2">
        <f t="shared" si="130"/>
        <v>0</v>
      </c>
      <c r="Q121" s="2">
        <f t="shared" si="131"/>
        <v>0</v>
      </c>
      <c r="R121" s="2">
        <f t="shared" si="132"/>
        <v>0</v>
      </c>
      <c r="S121" s="2">
        <f t="shared" si="133"/>
        <v>0</v>
      </c>
      <c r="T121" s="2">
        <f t="shared" si="110"/>
        <v>0</v>
      </c>
      <c r="U121" s="2">
        <f t="shared" si="134"/>
        <v>0</v>
      </c>
      <c r="V121" s="2">
        <f t="shared" si="135"/>
        <v>0</v>
      </c>
      <c r="W121" s="2">
        <f t="shared" si="111"/>
        <v>0</v>
      </c>
      <c r="X121" s="2">
        <f t="shared" si="112"/>
        <v>0</v>
      </c>
      <c r="Y121" s="2">
        <f t="shared" si="113"/>
        <v>0</v>
      </c>
      <c r="Z121" s="2"/>
      <c r="AA121" s="2">
        <v>85997836</v>
      </c>
      <c r="AB121" s="2">
        <f t="shared" si="114"/>
        <v>0</v>
      </c>
      <c r="AC121" s="2">
        <f t="shared" si="136"/>
        <v>0</v>
      </c>
      <c r="AD121" s="2">
        <f t="shared" si="137"/>
        <v>0</v>
      </c>
      <c r="AE121" s="2">
        <f t="shared" si="138"/>
        <v>0</v>
      </c>
      <c r="AF121" s="2">
        <f t="shared" si="138"/>
        <v>0</v>
      </c>
      <c r="AG121" s="2">
        <f t="shared" si="115"/>
        <v>0</v>
      </c>
      <c r="AH121" s="2">
        <f t="shared" si="139"/>
        <v>0</v>
      </c>
      <c r="AI121" s="2">
        <f t="shared" si="139"/>
        <v>0</v>
      </c>
      <c r="AJ121" s="2">
        <f t="shared" si="116"/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121</v>
      </c>
      <c r="AU121" s="2">
        <v>72</v>
      </c>
      <c r="AV121" s="2">
        <v>1</v>
      </c>
      <c r="AW121" s="2">
        <v>1</v>
      </c>
      <c r="AX121" s="2"/>
      <c r="AY121" s="2"/>
      <c r="AZ121" s="2">
        <v>1</v>
      </c>
      <c r="BA121" s="2">
        <v>1</v>
      </c>
      <c r="BB121" s="2">
        <v>1</v>
      </c>
      <c r="BC121" s="2">
        <v>1</v>
      </c>
      <c r="BD121" s="2" t="s">
        <v>3</v>
      </c>
      <c r="BE121" s="2" t="s">
        <v>3</v>
      </c>
      <c r="BF121" s="2" t="s">
        <v>3</v>
      </c>
      <c r="BG121" s="2" t="s">
        <v>3</v>
      </c>
      <c r="BH121" s="2">
        <v>3</v>
      </c>
      <c r="BI121" s="2">
        <v>1</v>
      </c>
      <c r="BJ121" s="2" t="s">
        <v>3</v>
      </c>
      <c r="BK121" s="2"/>
      <c r="BL121" s="2"/>
      <c r="BM121" s="2">
        <v>20001</v>
      </c>
      <c r="BN121" s="2">
        <v>0</v>
      </c>
      <c r="BO121" s="2" t="s">
        <v>3</v>
      </c>
      <c r="BP121" s="2">
        <v>0</v>
      </c>
      <c r="BQ121" s="2">
        <v>2</v>
      </c>
      <c r="BR121" s="2">
        <v>0</v>
      </c>
      <c r="BS121" s="2">
        <v>1</v>
      </c>
      <c r="BT121" s="2">
        <v>1</v>
      </c>
      <c r="BU121" s="2">
        <v>1</v>
      </c>
      <c r="BV121" s="2">
        <v>1</v>
      </c>
      <c r="BW121" s="2">
        <v>1</v>
      </c>
      <c r="BX121" s="2">
        <v>1</v>
      </c>
      <c r="BY121" s="2" t="s">
        <v>3</v>
      </c>
      <c r="BZ121" s="2">
        <v>121</v>
      </c>
      <c r="CA121" s="2">
        <v>72</v>
      </c>
      <c r="CB121" s="2" t="s">
        <v>3</v>
      </c>
      <c r="CC121" s="2"/>
      <c r="CD121" s="2"/>
      <c r="CE121" s="2">
        <v>0</v>
      </c>
      <c r="CF121" s="2">
        <v>0</v>
      </c>
      <c r="CG121" s="2">
        <v>0</v>
      </c>
      <c r="CH121" s="2"/>
      <c r="CI121" s="2"/>
      <c r="CJ121" s="2"/>
      <c r="CK121" s="2"/>
      <c r="CL121" s="2"/>
      <c r="CM121" s="2">
        <v>0</v>
      </c>
      <c r="CN121" s="2" t="s">
        <v>3</v>
      </c>
      <c r="CO121" s="2">
        <v>0</v>
      </c>
      <c r="CP121" s="2">
        <f t="shared" si="117"/>
        <v>0</v>
      </c>
      <c r="CQ121" s="2">
        <f t="shared" si="140"/>
        <v>0</v>
      </c>
      <c r="CR121" s="2">
        <f t="shared" si="141"/>
        <v>0</v>
      </c>
      <c r="CS121" s="2">
        <f t="shared" si="142"/>
        <v>0</v>
      </c>
      <c r="CT121" s="2">
        <f t="shared" si="143"/>
        <v>0</v>
      </c>
      <c r="CU121" s="2">
        <f t="shared" si="118"/>
        <v>0</v>
      </c>
      <c r="CV121" s="2">
        <f t="shared" si="144"/>
        <v>0</v>
      </c>
      <c r="CW121" s="2">
        <f t="shared" si="144"/>
        <v>0</v>
      </c>
      <c r="CX121" s="2">
        <f t="shared" si="119"/>
        <v>0</v>
      </c>
      <c r="CY121" s="2">
        <f t="shared" si="120"/>
        <v>0</v>
      </c>
      <c r="CZ121" s="2">
        <f t="shared" si="121"/>
        <v>0</v>
      </c>
      <c r="DA121" s="2"/>
      <c r="DB121" s="2"/>
      <c r="DC121" s="2" t="s">
        <v>3</v>
      </c>
      <c r="DD121" s="2" t="s">
        <v>3</v>
      </c>
      <c r="DE121" s="2" t="s">
        <v>3</v>
      </c>
      <c r="DF121" s="2" t="s">
        <v>3</v>
      </c>
      <c r="DG121" s="2" t="s">
        <v>3</v>
      </c>
      <c r="DH121" s="2" t="s">
        <v>3</v>
      </c>
      <c r="DI121" s="2" t="s">
        <v>3</v>
      </c>
      <c r="DJ121" s="2" t="s">
        <v>3</v>
      </c>
      <c r="DK121" s="2" t="s">
        <v>3</v>
      </c>
      <c r="DL121" s="2" t="s">
        <v>3</v>
      </c>
      <c r="DM121" s="2" t="s">
        <v>3</v>
      </c>
      <c r="DN121" s="2">
        <v>0</v>
      </c>
      <c r="DO121" s="2">
        <v>0</v>
      </c>
      <c r="DP121" s="2">
        <v>1</v>
      </c>
      <c r="DQ121" s="2">
        <v>1</v>
      </c>
      <c r="DR121" s="2"/>
      <c r="DS121" s="2"/>
      <c r="DT121" s="2"/>
      <c r="DU121" s="2">
        <v>1013</v>
      </c>
      <c r="DV121" s="2" t="s">
        <v>43</v>
      </c>
      <c r="DW121" s="2" t="s">
        <v>43</v>
      </c>
      <c r="DX121" s="2">
        <v>1</v>
      </c>
      <c r="DY121" s="2"/>
      <c r="DZ121" s="2" t="s">
        <v>3</v>
      </c>
      <c r="EA121" s="2" t="s">
        <v>3</v>
      </c>
      <c r="EB121" s="2" t="s">
        <v>3</v>
      </c>
      <c r="EC121" s="2" t="s">
        <v>3</v>
      </c>
      <c r="ED121" s="2"/>
      <c r="EE121" s="2">
        <v>84053929</v>
      </c>
      <c r="EF121" s="2">
        <v>2</v>
      </c>
      <c r="EG121" s="2" t="s">
        <v>270</v>
      </c>
      <c r="EH121" s="2">
        <v>16</v>
      </c>
      <c r="EI121" s="2" t="s">
        <v>271</v>
      </c>
      <c r="EJ121" s="2">
        <v>1</v>
      </c>
      <c r="EK121" s="2">
        <v>20001</v>
      </c>
      <c r="EL121" s="2" t="s">
        <v>272</v>
      </c>
      <c r="EM121" s="2" t="s">
        <v>273</v>
      </c>
      <c r="EN121" s="2"/>
      <c r="EO121" s="2" t="s">
        <v>3</v>
      </c>
      <c r="EP121" s="2"/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0</v>
      </c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>
        <v>0</v>
      </c>
      <c r="FR121" s="2">
        <v>0</v>
      </c>
      <c r="FS121" s="2">
        <v>0</v>
      </c>
      <c r="FT121" s="2"/>
      <c r="FU121" s="2"/>
      <c r="FV121" s="2"/>
      <c r="FW121" s="2"/>
      <c r="FX121" s="2">
        <v>121</v>
      </c>
      <c r="FY121" s="2">
        <v>72</v>
      </c>
      <c r="FZ121" s="2"/>
      <c r="GA121" s="2" t="s">
        <v>3</v>
      </c>
      <c r="GB121" s="2"/>
      <c r="GC121" s="2"/>
      <c r="GD121" s="2">
        <v>1</v>
      </c>
      <c r="GE121" s="2"/>
      <c r="GF121" s="2">
        <v>216858438</v>
      </c>
      <c r="GG121" s="2">
        <v>2</v>
      </c>
      <c r="GH121" s="2">
        <v>1</v>
      </c>
      <c r="GI121" s="2">
        <v>-2</v>
      </c>
      <c r="GJ121" s="2">
        <v>0</v>
      </c>
      <c r="GK121" s="2">
        <v>0</v>
      </c>
      <c r="GL121" s="2">
        <f t="shared" si="122"/>
        <v>0</v>
      </c>
      <c r="GM121" s="2">
        <f t="shared" si="123"/>
        <v>0</v>
      </c>
      <c r="GN121" s="2">
        <f t="shared" si="124"/>
        <v>0</v>
      </c>
      <c r="GO121" s="2">
        <f t="shared" si="125"/>
        <v>0</v>
      </c>
      <c r="GP121" s="2">
        <f t="shared" si="126"/>
        <v>0</v>
      </c>
      <c r="GQ121" s="2"/>
      <c r="GR121" s="2">
        <v>0</v>
      </c>
      <c r="GS121" s="2">
        <v>0</v>
      </c>
      <c r="GT121" s="2">
        <v>0</v>
      </c>
      <c r="GU121" s="2" t="s">
        <v>3</v>
      </c>
      <c r="GV121" s="2">
        <f t="shared" si="127"/>
        <v>0</v>
      </c>
      <c r="GW121" s="2">
        <v>1</v>
      </c>
      <c r="GX121" s="2">
        <f t="shared" si="128"/>
        <v>0</v>
      </c>
      <c r="GY121" s="2"/>
      <c r="GZ121" s="2"/>
      <c r="HA121" s="2">
        <v>0</v>
      </c>
      <c r="HB121" s="2">
        <v>0</v>
      </c>
      <c r="HC121" s="2">
        <f t="shared" si="129"/>
        <v>0</v>
      </c>
      <c r="HD121" s="2"/>
      <c r="HE121" s="2" t="s">
        <v>3</v>
      </c>
      <c r="HF121" s="2" t="s">
        <v>3</v>
      </c>
      <c r="HG121" s="2"/>
      <c r="HH121" s="2"/>
      <c r="HI121" s="2"/>
      <c r="HJ121" s="2"/>
      <c r="HK121" s="2"/>
      <c r="HL121" s="2"/>
      <c r="HM121" s="2" t="s">
        <v>3</v>
      </c>
      <c r="HN121" s="2" t="s">
        <v>275</v>
      </c>
      <c r="HO121" s="2" t="s">
        <v>276</v>
      </c>
      <c r="HP121" s="2" t="s">
        <v>271</v>
      </c>
      <c r="HQ121" s="2" t="s">
        <v>271</v>
      </c>
      <c r="HR121" s="2"/>
      <c r="HS121" s="2">
        <v>0</v>
      </c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>
        <v>0</v>
      </c>
      <c r="IL121" s="2"/>
      <c r="IM121" s="2"/>
      <c r="IN121" s="2"/>
      <c r="IO121" s="2"/>
      <c r="IP121" s="2"/>
      <c r="IQ121" s="2"/>
      <c r="IR121" s="2"/>
      <c r="IS121" s="2"/>
      <c r="IT121" s="2"/>
      <c r="IU121" s="2"/>
    </row>
    <row r="122" spans="1:255" ht="409.5" x14ac:dyDescent="0.2">
      <c r="A122" s="2">
        <v>18</v>
      </c>
      <c r="B122" s="2">
        <v>1</v>
      </c>
      <c r="C122" s="2">
        <v>132</v>
      </c>
      <c r="D122" s="2"/>
      <c r="E122" s="2" t="s">
        <v>291</v>
      </c>
      <c r="F122" s="2" t="s">
        <v>292</v>
      </c>
      <c r="G122" s="2" t="s">
        <v>293</v>
      </c>
      <c r="H122" s="2" t="s">
        <v>29</v>
      </c>
      <c r="I122" s="2">
        <f>I119*J122</f>
        <v>-1.4850000000000001</v>
      </c>
      <c r="J122" s="2">
        <v>-0.16500000000000001</v>
      </c>
      <c r="K122" s="2">
        <v>-0.33</v>
      </c>
      <c r="L122" s="2"/>
      <c r="M122" s="2"/>
      <c r="N122" s="2"/>
      <c r="O122" s="2">
        <f t="shared" si="109"/>
        <v>-5.18</v>
      </c>
      <c r="P122" s="2">
        <f t="shared" si="130"/>
        <v>0</v>
      </c>
      <c r="Q122" s="2">
        <f t="shared" si="131"/>
        <v>-5.18</v>
      </c>
      <c r="R122" s="2">
        <f t="shared" si="132"/>
        <v>0</v>
      </c>
      <c r="S122" s="2">
        <f t="shared" si="133"/>
        <v>0</v>
      </c>
      <c r="T122" s="2">
        <f t="shared" si="110"/>
        <v>0</v>
      </c>
      <c r="U122" s="2">
        <f t="shared" si="134"/>
        <v>0</v>
      </c>
      <c r="V122" s="2">
        <f t="shared" si="135"/>
        <v>0</v>
      </c>
      <c r="W122" s="2">
        <f t="shared" si="111"/>
        <v>0</v>
      </c>
      <c r="X122" s="2">
        <f t="shared" si="112"/>
        <v>0</v>
      </c>
      <c r="Y122" s="2">
        <f t="shared" si="113"/>
        <v>0</v>
      </c>
      <c r="Z122" s="2"/>
      <c r="AA122" s="2">
        <v>85997836</v>
      </c>
      <c r="AB122" s="2">
        <f t="shared" si="114"/>
        <v>2.36</v>
      </c>
      <c r="AC122" s="2">
        <f t="shared" si="136"/>
        <v>0</v>
      </c>
      <c r="AD122" s="2">
        <f t="shared" si="137"/>
        <v>2.36</v>
      </c>
      <c r="AE122" s="2">
        <f t="shared" si="138"/>
        <v>0</v>
      </c>
      <c r="AF122" s="2">
        <f t="shared" si="138"/>
        <v>0</v>
      </c>
      <c r="AG122" s="2">
        <f t="shared" si="115"/>
        <v>0</v>
      </c>
      <c r="AH122" s="2">
        <f t="shared" si="139"/>
        <v>0</v>
      </c>
      <c r="AI122" s="2">
        <f t="shared" si="139"/>
        <v>0</v>
      </c>
      <c r="AJ122" s="2">
        <f t="shared" si="116"/>
        <v>0</v>
      </c>
      <c r="AK122" s="2">
        <v>2.36</v>
      </c>
      <c r="AL122" s="2">
        <v>0</v>
      </c>
      <c r="AM122" s="2">
        <v>2.36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121</v>
      </c>
      <c r="AU122" s="2">
        <v>72</v>
      </c>
      <c r="AV122" s="2">
        <v>1</v>
      </c>
      <c r="AW122" s="2">
        <v>1</v>
      </c>
      <c r="AX122" s="2"/>
      <c r="AY122" s="2"/>
      <c r="AZ122" s="2">
        <v>1</v>
      </c>
      <c r="BA122" s="2">
        <v>1</v>
      </c>
      <c r="BB122" s="2">
        <v>1.48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2</v>
      </c>
      <c r="BI122" s="2">
        <v>1</v>
      </c>
      <c r="BJ122" s="2" t="s">
        <v>294</v>
      </c>
      <c r="BK122" s="2"/>
      <c r="BL122" s="2"/>
      <c r="BM122" s="2">
        <v>20001</v>
      </c>
      <c r="BN122" s="2">
        <v>0</v>
      </c>
      <c r="BO122" s="2" t="s">
        <v>292</v>
      </c>
      <c r="BP122" s="2">
        <v>1</v>
      </c>
      <c r="BQ122" s="2">
        <v>2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121</v>
      </c>
      <c r="CA122" s="2">
        <v>72</v>
      </c>
      <c r="CB122" s="2" t="s">
        <v>3</v>
      </c>
      <c r="CC122" s="2"/>
      <c r="CD122" s="2"/>
      <c r="CE122" s="2">
        <v>0</v>
      </c>
      <c r="CF122" s="2">
        <v>0</v>
      </c>
      <c r="CG122" s="2">
        <v>0</v>
      </c>
      <c r="CH122" s="2"/>
      <c r="CI122" s="2"/>
      <c r="CJ122" s="2"/>
      <c r="CK122" s="2"/>
      <c r="CL122" s="2"/>
      <c r="CM122" s="2">
        <v>0</v>
      </c>
      <c r="CN122" s="7" t="s">
        <v>736</v>
      </c>
      <c r="CO122" s="2">
        <v>0</v>
      </c>
      <c r="CP122" s="2">
        <f t="shared" si="117"/>
        <v>-5.18</v>
      </c>
      <c r="CQ122" s="2">
        <f t="shared" si="140"/>
        <v>0</v>
      </c>
      <c r="CR122" s="2">
        <f t="shared" si="141"/>
        <v>3.49</v>
      </c>
      <c r="CS122" s="2">
        <f t="shared" si="142"/>
        <v>0</v>
      </c>
      <c r="CT122" s="2">
        <f t="shared" si="143"/>
        <v>0</v>
      </c>
      <c r="CU122" s="2">
        <f t="shared" si="118"/>
        <v>0</v>
      </c>
      <c r="CV122" s="2">
        <f t="shared" si="144"/>
        <v>0</v>
      </c>
      <c r="CW122" s="2">
        <f t="shared" si="144"/>
        <v>0</v>
      </c>
      <c r="CX122" s="2">
        <f t="shared" si="119"/>
        <v>0</v>
      </c>
      <c r="CY122" s="2">
        <f t="shared" si="120"/>
        <v>0</v>
      </c>
      <c r="CZ122" s="2">
        <f t="shared" si="121"/>
        <v>0</v>
      </c>
      <c r="DA122" s="2"/>
      <c r="DB122" s="2"/>
      <c r="DC122" s="2" t="s">
        <v>3</v>
      </c>
      <c r="DD122" s="2" t="s">
        <v>3</v>
      </c>
      <c r="DE122" s="2" t="s">
        <v>3</v>
      </c>
      <c r="DF122" s="2" t="s">
        <v>3</v>
      </c>
      <c r="DG122" s="2" t="s">
        <v>3</v>
      </c>
      <c r="DH122" s="2" t="s">
        <v>3</v>
      </c>
      <c r="DI122" s="2" t="s">
        <v>3</v>
      </c>
      <c r="DJ122" s="2" t="s">
        <v>3</v>
      </c>
      <c r="DK122" s="2" t="s">
        <v>3</v>
      </c>
      <c r="DL122" s="2" t="s">
        <v>3</v>
      </c>
      <c r="DM122" s="2" t="s">
        <v>3</v>
      </c>
      <c r="DN122" s="2">
        <v>0</v>
      </c>
      <c r="DO122" s="2">
        <v>0</v>
      </c>
      <c r="DP122" s="2">
        <v>1</v>
      </c>
      <c r="DQ122" s="2">
        <v>1</v>
      </c>
      <c r="DR122" s="2"/>
      <c r="DS122" s="2"/>
      <c r="DT122" s="2"/>
      <c r="DU122" s="2">
        <v>1011</v>
      </c>
      <c r="DV122" s="2" t="s">
        <v>29</v>
      </c>
      <c r="DW122" s="2" t="s">
        <v>29</v>
      </c>
      <c r="DX122" s="2">
        <v>1</v>
      </c>
      <c r="DY122" s="2"/>
      <c r="DZ122" s="2" t="s">
        <v>3</v>
      </c>
      <c r="EA122" s="2" t="s">
        <v>3</v>
      </c>
      <c r="EB122" s="2" t="s">
        <v>3</v>
      </c>
      <c r="EC122" s="2" t="s">
        <v>3</v>
      </c>
      <c r="ED122" s="2"/>
      <c r="EE122" s="2">
        <v>84053929</v>
      </c>
      <c r="EF122" s="2">
        <v>2</v>
      </c>
      <c r="EG122" s="2" t="s">
        <v>270</v>
      </c>
      <c r="EH122" s="2">
        <v>16</v>
      </c>
      <c r="EI122" s="2" t="s">
        <v>271</v>
      </c>
      <c r="EJ122" s="2">
        <v>1</v>
      </c>
      <c r="EK122" s="2">
        <v>20001</v>
      </c>
      <c r="EL122" s="2" t="s">
        <v>272</v>
      </c>
      <c r="EM122" s="2" t="s">
        <v>273</v>
      </c>
      <c r="EN122" s="2"/>
      <c r="EO122" s="2" t="s">
        <v>284</v>
      </c>
      <c r="EP122" s="2"/>
      <c r="EQ122" s="2">
        <v>0</v>
      </c>
      <c r="ER122" s="2">
        <v>2.36</v>
      </c>
      <c r="ES122" s="2">
        <v>0</v>
      </c>
      <c r="ET122" s="2">
        <v>2.36</v>
      </c>
      <c r="EU122" s="2">
        <v>0</v>
      </c>
      <c r="EV122" s="2">
        <v>0</v>
      </c>
      <c r="EW122" s="2">
        <v>0</v>
      </c>
      <c r="EX122" s="2">
        <v>0</v>
      </c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>
        <v>0</v>
      </c>
      <c r="FR122" s="2">
        <v>0</v>
      </c>
      <c r="FS122" s="2">
        <v>1</v>
      </c>
      <c r="FT122" s="2"/>
      <c r="FU122" s="2"/>
      <c r="FV122" s="2"/>
      <c r="FW122" s="2"/>
      <c r="FX122" s="2">
        <v>121</v>
      </c>
      <c r="FY122" s="2">
        <v>72</v>
      </c>
      <c r="FZ122" s="2"/>
      <c r="GA122" s="2" t="s">
        <v>3</v>
      </c>
      <c r="GB122" s="2"/>
      <c r="GC122" s="2"/>
      <c r="GD122" s="2">
        <v>1</v>
      </c>
      <c r="GE122" s="2"/>
      <c r="GF122" s="2">
        <v>-1472304976</v>
      </c>
      <c r="GG122" s="2">
        <v>2</v>
      </c>
      <c r="GH122" s="2">
        <v>1</v>
      </c>
      <c r="GI122" s="2">
        <v>2</v>
      </c>
      <c r="GJ122" s="2">
        <v>0</v>
      </c>
      <c r="GK122" s="2">
        <v>0</v>
      </c>
      <c r="GL122" s="2">
        <f t="shared" si="122"/>
        <v>0</v>
      </c>
      <c r="GM122" s="2">
        <f t="shared" si="123"/>
        <v>-5.18</v>
      </c>
      <c r="GN122" s="2">
        <f t="shared" si="124"/>
        <v>-5.18</v>
      </c>
      <c r="GO122" s="2">
        <f t="shared" si="125"/>
        <v>0</v>
      </c>
      <c r="GP122" s="2">
        <f t="shared" si="126"/>
        <v>0</v>
      </c>
      <c r="GQ122" s="2"/>
      <c r="GR122" s="2">
        <v>0</v>
      </c>
      <c r="GS122" s="2">
        <v>7</v>
      </c>
      <c r="GT122" s="2">
        <v>0</v>
      </c>
      <c r="GU122" s="2" t="s">
        <v>3</v>
      </c>
      <c r="GV122" s="2">
        <f t="shared" si="127"/>
        <v>0</v>
      </c>
      <c r="GW122" s="2">
        <v>1</v>
      </c>
      <c r="GX122" s="2">
        <f t="shared" si="128"/>
        <v>0</v>
      </c>
      <c r="GY122" s="2"/>
      <c r="GZ122" s="2"/>
      <c r="HA122" s="2">
        <v>0</v>
      </c>
      <c r="HB122" s="2">
        <v>0</v>
      </c>
      <c r="HC122" s="2">
        <f t="shared" si="129"/>
        <v>0</v>
      </c>
      <c r="HD122" s="2"/>
      <c r="HE122" s="2" t="s">
        <v>3</v>
      </c>
      <c r="HF122" s="2" t="s">
        <v>3</v>
      </c>
      <c r="HG122" s="2"/>
      <c r="HH122" s="2"/>
      <c r="HI122" s="2"/>
      <c r="HJ122" s="2"/>
      <c r="HK122" s="2"/>
      <c r="HL122" s="2"/>
      <c r="HM122" s="2" t="s">
        <v>282</v>
      </c>
      <c r="HN122" s="2" t="s">
        <v>275</v>
      </c>
      <c r="HO122" s="2" t="s">
        <v>276</v>
      </c>
      <c r="HP122" s="2" t="s">
        <v>271</v>
      </c>
      <c r="HQ122" s="2" t="s">
        <v>271</v>
      </c>
      <c r="HR122" s="2"/>
      <c r="HS122" s="2">
        <v>0</v>
      </c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>
        <v>0</v>
      </c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ht="409.5" x14ac:dyDescent="0.2">
      <c r="A123" s="2">
        <v>18</v>
      </c>
      <c r="B123" s="2">
        <v>1</v>
      </c>
      <c r="C123" s="2">
        <v>133</v>
      </c>
      <c r="D123" s="2"/>
      <c r="E123" s="2" t="s">
        <v>295</v>
      </c>
      <c r="F123" s="2" t="s">
        <v>127</v>
      </c>
      <c r="G123" s="2" t="s">
        <v>128</v>
      </c>
      <c r="H123" s="2" t="s">
        <v>29</v>
      </c>
      <c r="I123" s="2">
        <f>I119*J123</f>
        <v>-2.2499999999999999E-2</v>
      </c>
      <c r="J123" s="2">
        <v>-2.5000000000000001E-3</v>
      </c>
      <c r="K123" s="2">
        <v>-5.0000000000000001E-3</v>
      </c>
      <c r="L123" s="2"/>
      <c r="M123" s="2"/>
      <c r="N123" s="2"/>
      <c r="O123" s="2">
        <f t="shared" si="109"/>
        <v>-30.72</v>
      </c>
      <c r="P123" s="2">
        <f t="shared" si="130"/>
        <v>0</v>
      </c>
      <c r="Q123" s="2">
        <f t="shared" si="131"/>
        <v>-14.47</v>
      </c>
      <c r="R123" s="2">
        <f t="shared" si="132"/>
        <v>-16.25</v>
      </c>
      <c r="S123" s="2">
        <f t="shared" si="133"/>
        <v>0</v>
      </c>
      <c r="T123" s="2">
        <f t="shared" si="110"/>
        <v>0</v>
      </c>
      <c r="U123" s="2">
        <f t="shared" si="134"/>
        <v>0</v>
      </c>
      <c r="V123" s="2">
        <f t="shared" si="135"/>
        <v>0</v>
      </c>
      <c r="W123" s="2">
        <f t="shared" si="111"/>
        <v>0</v>
      </c>
      <c r="X123" s="2">
        <f t="shared" si="112"/>
        <v>-19.66</v>
      </c>
      <c r="Y123" s="2">
        <f t="shared" si="113"/>
        <v>-11.7</v>
      </c>
      <c r="Z123" s="2"/>
      <c r="AA123" s="2">
        <v>85997836</v>
      </c>
      <c r="AB123" s="2">
        <f t="shared" si="114"/>
        <v>643.29</v>
      </c>
      <c r="AC123" s="2">
        <f t="shared" si="136"/>
        <v>0</v>
      </c>
      <c r="AD123" s="2">
        <f t="shared" si="137"/>
        <v>643.29</v>
      </c>
      <c r="AE123" s="2">
        <f t="shared" si="138"/>
        <v>722.05</v>
      </c>
      <c r="AF123" s="2">
        <f t="shared" si="138"/>
        <v>0</v>
      </c>
      <c r="AG123" s="2">
        <f t="shared" si="115"/>
        <v>0</v>
      </c>
      <c r="AH123" s="2">
        <f t="shared" si="139"/>
        <v>0</v>
      </c>
      <c r="AI123" s="2">
        <f t="shared" si="139"/>
        <v>0</v>
      </c>
      <c r="AJ123" s="2">
        <f t="shared" si="116"/>
        <v>0</v>
      </c>
      <c r="AK123" s="2">
        <v>643.29</v>
      </c>
      <c r="AL123" s="2">
        <v>0</v>
      </c>
      <c r="AM123" s="2">
        <v>643.29</v>
      </c>
      <c r="AN123" s="2">
        <v>722.05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121</v>
      </c>
      <c r="AU123" s="2">
        <v>72</v>
      </c>
      <c r="AV123" s="2">
        <v>1</v>
      </c>
      <c r="AW123" s="2">
        <v>1</v>
      </c>
      <c r="AX123" s="2"/>
      <c r="AY123" s="2"/>
      <c r="AZ123" s="2">
        <v>1</v>
      </c>
      <c r="BA123" s="2">
        <v>1</v>
      </c>
      <c r="BB123" s="2">
        <v>1</v>
      </c>
      <c r="BC123" s="2">
        <v>1</v>
      </c>
      <c r="BD123" s="2" t="s">
        <v>3</v>
      </c>
      <c r="BE123" s="2" t="s">
        <v>3</v>
      </c>
      <c r="BF123" s="2" t="s">
        <v>3</v>
      </c>
      <c r="BG123" s="2" t="s">
        <v>3</v>
      </c>
      <c r="BH123" s="2">
        <v>2</v>
      </c>
      <c r="BI123" s="2">
        <v>1</v>
      </c>
      <c r="BJ123" s="2" t="s">
        <v>129</v>
      </c>
      <c r="BK123" s="2"/>
      <c r="BL123" s="2"/>
      <c r="BM123" s="2">
        <v>20001</v>
      </c>
      <c r="BN123" s="2">
        <v>0</v>
      </c>
      <c r="BO123" s="2" t="s">
        <v>3</v>
      </c>
      <c r="BP123" s="2">
        <v>0</v>
      </c>
      <c r="BQ123" s="2">
        <v>2</v>
      </c>
      <c r="BR123" s="2">
        <v>0</v>
      </c>
      <c r="BS123" s="2">
        <v>1</v>
      </c>
      <c r="BT123" s="2">
        <v>1</v>
      </c>
      <c r="BU123" s="2">
        <v>1</v>
      </c>
      <c r="BV123" s="2">
        <v>1</v>
      </c>
      <c r="BW123" s="2">
        <v>1</v>
      </c>
      <c r="BX123" s="2">
        <v>1</v>
      </c>
      <c r="BY123" s="2" t="s">
        <v>3</v>
      </c>
      <c r="BZ123" s="2">
        <v>121</v>
      </c>
      <c r="CA123" s="2">
        <v>72</v>
      </c>
      <c r="CB123" s="2" t="s">
        <v>3</v>
      </c>
      <c r="CC123" s="2"/>
      <c r="CD123" s="2"/>
      <c r="CE123" s="2">
        <v>0</v>
      </c>
      <c r="CF123" s="2">
        <v>0</v>
      </c>
      <c r="CG123" s="2">
        <v>0</v>
      </c>
      <c r="CH123" s="2"/>
      <c r="CI123" s="2"/>
      <c r="CJ123" s="2"/>
      <c r="CK123" s="2"/>
      <c r="CL123" s="2"/>
      <c r="CM123" s="2">
        <v>0</v>
      </c>
      <c r="CN123" s="7" t="s">
        <v>736</v>
      </c>
      <c r="CO123" s="2">
        <v>0</v>
      </c>
      <c r="CP123" s="2">
        <f t="shared" si="117"/>
        <v>-30.72</v>
      </c>
      <c r="CQ123" s="2">
        <f t="shared" si="140"/>
        <v>0</v>
      </c>
      <c r="CR123" s="2">
        <f t="shared" si="141"/>
        <v>643.29</v>
      </c>
      <c r="CS123" s="2">
        <f t="shared" si="142"/>
        <v>722.05</v>
      </c>
      <c r="CT123" s="2">
        <f t="shared" si="143"/>
        <v>0</v>
      </c>
      <c r="CU123" s="2">
        <f t="shared" si="118"/>
        <v>0</v>
      </c>
      <c r="CV123" s="2">
        <f t="shared" si="144"/>
        <v>0</v>
      </c>
      <c r="CW123" s="2">
        <f t="shared" si="144"/>
        <v>0</v>
      </c>
      <c r="CX123" s="2">
        <f t="shared" si="119"/>
        <v>0</v>
      </c>
      <c r="CY123" s="2">
        <f t="shared" si="120"/>
        <v>-19.662500000000001</v>
      </c>
      <c r="CZ123" s="2">
        <f t="shared" si="121"/>
        <v>-11.7</v>
      </c>
      <c r="DA123" s="2"/>
      <c r="DB123" s="2"/>
      <c r="DC123" s="2" t="s">
        <v>3</v>
      </c>
      <c r="DD123" s="2" t="s">
        <v>3</v>
      </c>
      <c r="DE123" s="2" t="s">
        <v>3</v>
      </c>
      <c r="DF123" s="2" t="s">
        <v>3</v>
      </c>
      <c r="DG123" s="2" t="s">
        <v>3</v>
      </c>
      <c r="DH123" s="2" t="s">
        <v>3</v>
      </c>
      <c r="DI123" s="2" t="s">
        <v>3</v>
      </c>
      <c r="DJ123" s="2" t="s">
        <v>3</v>
      </c>
      <c r="DK123" s="2" t="s">
        <v>3</v>
      </c>
      <c r="DL123" s="2" t="s">
        <v>3</v>
      </c>
      <c r="DM123" s="2" t="s">
        <v>3</v>
      </c>
      <c r="DN123" s="2">
        <v>0</v>
      </c>
      <c r="DO123" s="2">
        <v>0</v>
      </c>
      <c r="DP123" s="2">
        <v>1</v>
      </c>
      <c r="DQ123" s="2">
        <v>1</v>
      </c>
      <c r="DR123" s="2"/>
      <c r="DS123" s="2"/>
      <c r="DT123" s="2"/>
      <c r="DU123" s="2">
        <v>1011</v>
      </c>
      <c r="DV123" s="2" t="s">
        <v>29</v>
      </c>
      <c r="DW123" s="2" t="s">
        <v>29</v>
      </c>
      <c r="DX123" s="2">
        <v>1</v>
      </c>
      <c r="DY123" s="2"/>
      <c r="DZ123" s="2" t="s">
        <v>3</v>
      </c>
      <c r="EA123" s="2" t="s">
        <v>3</v>
      </c>
      <c r="EB123" s="2" t="s">
        <v>3</v>
      </c>
      <c r="EC123" s="2" t="s">
        <v>3</v>
      </c>
      <c r="ED123" s="2"/>
      <c r="EE123" s="2">
        <v>84053929</v>
      </c>
      <c r="EF123" s="2">
        <v>2</v>
      </c>
      <c r="EG123" s="2" t="s">
        <v>270</v>
      </c>
      <c r="EH123" s="2">
        <v>16</v>
      </c>
      <c r="EI123" s="2" t="s">
        <v>271</v>
      </c>
      <c r="EJ123" s="2">
        <v>1</v>
      </c>
      <c r="EK123" s="2">
        <v>20001</v>
      </c>
      <c r="EL123" s="2" t="s">
        <v>272</v>
      </c>
      <c r="EM123" s="2" t="s">
        <v>273</v>
      </c>
      <c r="EN123" s="2"/>
      <c r="EO123" s="2" t="s">
        <v>284</v>
      </c>
      <c r="EP123" s="2"/>
      <c r="EQ123" s="2">
        <v>0</v>
      </c>
      <c r="ER123" s="2">
        <v>643.29</v>
      </c>
      <c r="ES123" s="2">
        <v>0</v>
      </c>
      <c r="ET123" s="2">
        <v>643.29</v>
      </c>
      <c r="EU123" s="2">
        <v>722.05</v>
      </c>
      <c r="EV123" s="2">
        <v>0</v>
      </c>
      <c r="EW123" s="2">
        <v>0</v>
      </c>
      <c r="EX123" s="2">
        <v>0</v>
      </c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>
        <v>0</v>
      </c>
      <c r="FR123" s="2">
        <v>0</v>
      </c>
      <c r="FS123" s="2">
        <v>1</v>
      </c>
      <c r="FT123" s="2"/>
      <c r="FU123" s="2"/>
      <c r="FV123" s="2"/>
      <c r="FW123" s="2"/>
      <c r="FX123" s="2">
        <v>121</v>
      </c>
      <c r="FY123" s="2">
        <v>72</v>
      </c>
      <c r="FZ123" s="2"/>
      <c r="GA123" s="2" t="s">
        <v>3</v>
      </c>
      <c r="GB123" s="2"/>
      <c r="GC123" s="2"/>
      <c r="GD123" s="2">
        <v>1</v>
      </c>
      <c r="GE123" s="2"/>
      <c r="GF123" s="2">
        <v>-849950259</v>
      </c>
      <c r="GG123" s="2">
        <v>2</v>
      </c>
      <c r="GH123" s="2">
        <v>1</v>
      </c>
      <c r="GI123" s="2">
        <v>-2</v>
      </c>
      <c r="GJ123" s="2">
        <v>0</v>
      </c>
      <c r="GK123" s="2">
        <v>0</v>
      </c>
      <c r="GL123" s="2">
        <f t="shared" si="122"/>
        <v>0</v>
      </c>
      <c r="GM123" s="2">
        <f t="shared" si="123"/>
        <v>-62.08</v>
      </c>
      <c r="GN123" s="2">
        <f t="shared" si="124"/>
        <v>-62.08</v>
      </c>
      <c r="GO123" s="2">
        <f t="shared" si="125"/>
        <v>0</v>
      </c>
      <c r="GP123" s="2">
        <f t="shared" si="126"/>
        <v>0</v>
      </c>
      <c r="GQ123" s="2"/>
      <c r="GR123" s="2">
        <v>0</v>
      </c>
      <c r="GS123" s="2">
        <v>7</v>
      </c>
      <c r="GT123" s="2">
        <v>0</v>
      </c>
      <c r="GU123" s="2" t="s">
        <v>3</v>
      </c>
      <c r="GV123" s="2">
        <f t="shared" si="127"/>
        <v>0</v>
      </c>
      <c r="GW123" s="2">
        <v>1</v>
      </c>
      <c r="GX123" s="2">
        <f t="shared" si="128"/>
        <v>0</v>
      </c>
      <c r="GY123" s="2"/>
      <c r="GZ123" s="2"/>
      <c r="HA123" s="2">
        <v>0</v>
      </c>
      <c r="HB123" s="2">
        <v>0</v>
      </c>
      <c r="HC123" s="2">
        <f t="shared" si="129"/>
        <v>0</v>
      </c>
      <c r="HD123" s="2"/>
      <c r="HE123" s="2" t="s">
        <v>3</v>
      </c>
      <c r="HF123" s="2" t="s">
        <v>3</v>
      </c>
      <c r="HG123" s="2"/>
      <c r="HH123" s="2"/>
      <c r="HI123" s="2"/>
      <c r="HJ123" s="2"/>
      <c r="HK123" s="2"/>
      <c r="HL123" s="2"/>
      <c r="HM123" s="2" t="s">
        <v>282</v>
      </c>
      <c r="HN123" s="2" t="s">
        <v>275</v>
      </c>
      <c r="HO123" s="2" t="s">
        <v>276</v>
      </c>
      <c r="HP123" s="2" t="s">
        <v>271</v>
      </c>
      <c r="HQ123" s="2" t="s">
        <v>271</v>
      </c>
      <c r="HR123" s="2"/>
      <c r="HS123" s="2">
        <v>0</v>
      </c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>
        <v>0</v>
      </c>
      <c r="IL123" s="2"/>
      <c r="IM123" s="2"/>
      <c r="IN123" s="2"/>
      <c r="IO123" s="2"/>
      <c r="IP123" s="2"/>
      <c r="IQ123" s="2"/>
      <c r="IR123" s="2"/>
      <c r="IS123" s="2"/>
      <c r="IT123" s="2"/>
      <c r="IU123" s="2"/>
    </row>
    <row r="124" spans="1:255" x14ac:dyDescent="0.2">
      <c r="A124" s="2">
        <v>18</v>
      </c>
      <c r="B124" s="2">
        <v>1</v>
      </c>
      <c r="C124" s="2">
        <v>134</v>
      </c>
      <c r="D124" s="2"/>
      <c r="E124" s="2" t="s">
        <v>296</v>
      </c>
      <c r="F124" s="2" t="s">
        <v>297</v>
      </c>
      <c r="G124" s="2" t="s">
        <v>298</v>
      </c>
      <c r="H124" s="2" t="s">
        <v>165</v>
      </c>
      <c r="I124" s="2">
        <f>I119*J124</f>
        <v>-4.4999999999999999E-4</v>
      </c>
      <c r="J124" s="2">
        <v>-4.9999999999999996E-5</v>
      </c>
      <c r="K124" s="2">
        <v>-5.0000000000000002E-5</v>
      </c>
      <c r="L124" s="2"/>
      <c r="M124" s="2"/>
      <c r="N124" s="2"/>
      <c r="O124" s="2">
        <f t="shared" si="109"/>
        <v>-254.88</v>
      </c>
      <c r="P124" s="2">
        <f t="shared" si="130"/>
        <v>-254.88</v>
      </c>
      <c r="Q124" s="2">
        <f t="shared" si="131"/>
        <v>0</v>
      </c>
      <c r="R124" s="2">
        <f t="shared" si="132"/>
        <v>0</v>
      </c>
      <c r="S124" s="2">
        <f t="shared" si="133"/>
        <v>0</v>
      </c>
      <c r="T124" s="2">
        <f t="shared" si="110"/>
        <v>0</v>
      </c>
      <c r="U124" s="2">
        <f t="shared" si="134"/>
        <v>0</v>
      </c>
      <c r="V124" s="2">
        <f t="shared" si="135"/>
        <v>0</v>
      </c>
      <c r="W124" s="2">
        <f t="shared" si="111"/>
        <v>0</v>
      </c>
      <c r="X124" s="2">
        <f t="shared" si="112"/>
        <v>0</v>
      </c>
      <c r="Y124" s="2">
        <f t="shared" si="113"/>
        <v>0</v>
      </c>
      <c r="Z124" s="2"/>
      <c r="AA124" s="2">
        <v>85997836</v>
      </c>
      <c r="AB124" s="2">
        <f t="shared" si="114"/>
        <v>453122.24</v>
      </c>
      <c r="AC124" s="2">
        <f t="shared" si="136"/>
        <v>453122.24</v>
      </c>
      <c r="AD124" s="2">
        <f t="shared" si="137"/>
        <v>0</v>
      </c>
      <c r="AE124" s="2">
        <f t="shared" si="138"/>
        <v>0</v>
      </c>
      <c r="AF124" s="2">
        <f t="shared" si="138"/>
        <v>0</v>
      </c>
      <c r="AG124" s="2">
        <f t="shared" si="115"/>
        <v>0</v>
      </c>
      <c r="AH124" s="2">
        <f t="shared" si="139"/>
        <v>0</v>
      </c>
      <c r="AI124" s="2">
        <f t="shared" si="139"/>
        <v>0</v>
      </c>
      <c r="AJ124" s="2">
        <f t="shared" si="116"/>
        <v>0</v>
      </c>
      <c r="AK124" s="2">
        <v>453122.24</v>
      </c>
      <c r="AL124" s="2">
        <v>453122.24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121</v>
      </c>
      <c r="AU124" s="2">
        <v>72</v>
      </c>
      <c r="AV124" s="2">
        <v>1</v>
      </c>
      <c r="AW124" s="2">
        <v>1</v>
      </c>
      <c r="AX124" s="2"/>
      <c r="AY124" s="2"/>
      <c r="AZ124" s="2">
        <v>1</v>
      </c>
      <c r="BA124" s="2">
        <v>1</v>
      </c>
      <c r="BB124" s="2">
        <v>1</v>
      </c>
      <c r="BC124" s="2">
        <v>1.25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3</v>
      </c>
      <c r="BI124" s="2">
        <v>1</v>
      </c>
      <c r="BJ124" s="2" t="s">
        <v>299</v>
      </c>
      <c r="BK124" s="2"/>
      <c r="BL124" s="2"/>
      <c r="BM124" s="2">
        <v>20001</v>
      </c>
      <c r="BN124" s="2">
        <v>0</v>
      </c>
      <c r="BO124" s="2" t="s">
        <v>297</v>
      </c>
      <c r="BP124" s="2">
        <v>1</v>
      </c>
      <c r="BQ124" s="2">
        <v>2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121</v>
      </c>
      <c r="CA124" s="2">
        <v>72</v>
      </c>
      <c r="CB124" s="2" t="s">
        <v>3</v>
      </c>
      <c r="CC124" s="2"/>
      <c r="CD124" s="2"/>
      <c r="CE124" s="2">
        <v>0</v>
      </c>
      <c r="CF124" s="2">
        <v>0</v>
      </c>
      <c r="CG124" s="2">
        <v>0</v>
      </c>
      <c r="CH124" s="2"/>
      <c r="CI124" s="2"/>
      <c r="CJ124" s="2"/>
      <c r="CK124" s="2"/>
      <c r="CL124" s="2"/>
      <c r="CM124" s="2">
        <v>0</v>
      </c>
      <c r="CN124" s="2" t="s">
        <v>3</v>
      </c>
      <c r="CO124" s="2">
        <v>0</v>
      </c>
      <c r="CP124" s="2">
        <f t="shared" si="117"/>
        <v>-254.88</v>
      </c>
      <c r="CQ124" s="2">
        <f t="shared" si="140"/>
        <v>566402.80000000005</v>
      </c>
      <c r="CR124" s="2">
        <f t="shared" si="141"/>
        <v>0</v>
      </c>
      <c r="CS124" s="2">
        <f t="shared" si="142"/>
        <v>0</v>
      </c>
      <c r="CT124" s="2">
        <f t="shared" si="143"/>
        <v>0</v>
      </c>
      <c r="CU124" s="2">
        <f t="shared" si="118"/>
        <v>0</v>
      </c>
      <c r="CV124" s="2">
        <f t="shared" si="144"/>
        <v>0</v>
      </c>
      <c r="CW124" s="2">
        <f t="shared" si="144"/>
        <v>0</v>
      </c>
      <c r="CX124" s="2">
        <f t="shared" si="119"/>
        <v>0</v>
      </c>
      <c r="CY124" s="2">
        <f t="shared" si="120"/>
        <v>0</v>
      </c>
      <c r="CZ124" s="2">
        <f t="shared" si="121"/>
        <v>0</v>
      </c>
      <c r="DA124" s="2"/>
      <c r="DB124" s="2"/>
      <c r="DC124" s="2" t="s">
        <v>3</v>
      </c>
      <c r="DD124" s="2" t="s">
        <v>3</v>
      </c>
      <c r="DE124" s="2" t="s">
        <v>3</v>
      </c>
      <c r="DF124" s="2" t="s">
        <v>3</v>
      </c>
      <c r="DG124" s="2" t="s">
        <v>3</v>
      </c>
      <c r="DH124" s="2" t="s">
        <v>3</v>
      </c>
      <c r="DI124" s="2" t="s">
        <v>3</v>
      </c>
      <c r="DJ124" s="2" t="s">
        <v>3</v>
      </c>
      <c r="DK124" s="2" t="s">
        <v>3</v>
      </c>
      <c r="DL124" s="2" t="s">
        <v>3</v>
      </c>
      <c r="DM124" s="2" t="s">
        <v>3</v>
      </c>
      <c r="DN124" s="2">
        <v>0</v>
      </c>
      <c r="DO124" s="2">
        <v>0</v>
      </c>
      <c r="DP124" s="2">
        <v>1</v>
      </c>
      <c r="DQ124" s="2">
        <v>1</v>
      </c>
      <c r="DR124" s="2"/>
      <c r="DS124" s="2"/>
      <c r="DT124" s="2"/>
      <c r="DU124" s="2">
        <v>1009</v>
      </c>
      <c r="DV124" s="2" t="s">
        <v>165</v>
      </c>
      <c r="DW124" s="2" t="s">
        <v>165</v>
      </c>
      <c r="DX124" s="2">
        <v>1000</v>
      </c>
      <c r="DY124" s="2"/>
      <c r="DZ124" s="2" t="s">
        <v>3</v>
      </c>
      <c r="EA124" s="2" t="s">
        <v>3</v>
      </c>
      <c r="EB124" s="2" t="s">
        <v>3</v>
      </c>
      <c r="EC124" s="2" t="s">
        <v>3</v>
      </c>
      <c r="ED124" s="2"/>
      <c r="EE124" s="2">
        <v>84053929</v>
      </c>
      <c r="EF124" s="2">
        <v>2</v>
      </c>
      <c r="EG124" s="2" t="s">
        <v>270</v>
      </c>
      <c r="EH124" s="2">
        <v>16</v>
      </c>
      <c r="EI124" s="2" t="s">
        <v>271</v>
      </c>
      <c r="EJ124" s="2">
        <v>1</v>
      </c>
      <c r="EK124" s="2">
        <v>20001</v>
      </c>
      <c r="EL124" s="2" t="s">
        <v>272</v>
      </c>
      <c r="EM124" s="2" t="s">
        <v>273</v>
      </c>
      <c r="EN124" s="2"/>
      <c r="EO124" s="2" t="s">
        <v>3</v>
      </c>
      <c r="EP124" s="2"/>
      <c r="EQ124" s="2">
        <v>0</v>
      </c>
      <c r="ER124" s="2">
        <v>453122.24</v>
      </c>
      <c r="ES124" s="2">
        <v>453122.24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>
        <v>0</v>
      </c>
      <c r="FR124" s="2">
        <v>0</v>
      </c>
      <c r="FS124" s="2">
        <v>0</v>
      </c>
      <c r="FT124" s="2"/>
      <c r="FU124" s="2"/>
      <c r="FV124" s="2"/>
      <c r="FW124" s="2"/>
      <c r="FX124" s="2">
        <v>121</v>
      </c>
      <c r="FY124" s="2">
        <v>72</v>
      </c>
      <c r="FZ124" s="2"/>
      <c r="GA124" s="2" t="s">
        <v>3</v>
      </c>
      <c r="GB124" s="2"/>
      <c r="GC124" s="2"/>
      <c r="GD124" s="2">
        <v>1</v>
      </c>
      <c r="GE124" s="2"/>
      <c r="GF124" s="2">
        <v>1888619152</v>
      </c>
      <c r="GG124" s="2">
        <v>2</v>
      </c>
      <c r="GH124" s="2">
        <v>1</v>
      </c>
      <c r="GI124" s="2">
        <v>2</v>
      </c>
      <c r="GJ124" s="2">
        <v>0</v>
      </c>
      <c r="GK124" s="2">
        <v>0</v>
      </c>
      <c r="GL124" s="2">
        <f t="shared" si="122"/>
        <v>0</v>
      </c>
      <c r="GM124" s="2">
        <f t="shared" si="123"/>
        <v>-254.88</v>
      </c>
      <c r="GN124" s="2">
        <f t="shared" si="124"/>
        <v>-254.88</v>
      </c>
      <c r="GO124" s="2">
        <f t="shared" si="125"/>
        <v>0</v>
      </c>
      <c r="GP124" s="2">
        <f t="shared" si="126"/>
        <v>0</v>
      </c>
      <c r="GQ124" s="2"/>
      <c r="GR124" s="2">
        <v>0</v>
      </c>
      <c r="GS124" s="2">
        <v>3</v>
      </c>
      <c r="GT124" s="2">
        <v>0</v>
      </c>
      <c r="GU124" s="2" t="s">
        <v>3</v>
      </c>
      <c r="GV124" s="2">
        <f t="shared" si="127"/>
        <v>0</v>
      </c>
      <c r="GW124" s="2">
        <v>1</v>
      </c>
      <c r="GX124" s="2">
        <f t="shared" si="128"/>
        <v>0</v>
      </c>
      <c r="GY124" s="2"/>
      <c r="GZ124" s="2"/>
      <c r="HA124" s="2">
        <v>0</v>
      </c>
      <c r="HB124" s="2">
        <v>0</v>
      </c>
      <c r="HC124" s="2">
        <f t="shared" si="129"/>
        <v>0</v>
      </c>
      <c r="HD124" s="2"/>
      <c r="HE124" s="2" t="s">
        <v>3</v>
      </c>
      <c r="HF124" s="2" t="s">
        <v>3</v>
      </c>
      <c r="HG124" s="2"/>
      <c r="HH124" s="2"/>
      <c r="HI124" s="2"/>
      <c r="HJ124" s="2"/>
      <c r="HK124" s="2"/>
      <c r="HL124" s="2"/>
      <c r="HM124" s="2" t="s">
        <v>3</v>
      </c>
      <c r="HN124" s="2" t="s">
        <v>275</v>
      </c>
      <c r="HO124" s="2" t="s">
        <v>276</v>
      </c>
      <c r="HP124" s="2" t="s">
        <v>271</v>
      </c>
      <c r="HQ124" s="2" t="s">
        <v>271</v>
      </c>
      <c r="HR124" s="2"/>
      <c r="HS124" s="2">
        <v>0</v>
      </c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>
        <v>0</v>
      </c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x14ac:dyDescent="0.2">
      <c r="A125" s="2">
        <v>18</v>
      </c>
      <c r="B125" s="2">
        <v>1</v>
      </c>
      <c r="C125" s="2">
        <v>135</v>
      </c>
      <c r="D125" s="2"/>
      <c r="E125" s="2" t="s">
        <v>300</v>
      </c>
      <c r="F125" s="2" t="s">
        <v>301</v>
      </c>
      <c r="G125" s="2" t="s">
        <v>302</v>
      </c>
      <c r="H125" s="2" t="s">
        <v>170</v>
      </c>
      <c r="I125" s="2">
        <f>I119*J125</f>
        <v>-0.27</v>
      </c>
      <c r="J125" s="2">
        <v>-3.0000000000000002E-2</v>
      </c>
      <c r="K125" s="2">
        <v>-0.03</v>
      </c>
      <c r="L125" s="2"/>
      <c r="M125" s="2"/>
      <c r="N125" s="2"/>
      <c r="O125" s="2">
        <f t="shared" si="109"/>
        <v>-51.48</v>
      </c>
      <c r="P125" s="2">
        <f t="shared" si="130"/>
        <v>-51.48</v>
      </c>
      <c r="Q125" s="2">
        <f t="shared" si="131"/>
        <v>0</v>
      </c>
      <c r="R125" s="2">
        <f t="shared" si="132"/>
        <v>0</v>
      </c>
      <c r="S125" s="2">
        <f t="shared" si="133"/>
        <v>0</v>
      </c>
      <c r="T125" s="2">
        <f t="shared" si="110"/>
        <v>0</v>
      </c>
      <c r="U125" s="2">
        <f t="shared" si="134"/>
        <v>0</v>
      </c>
      <c r="V125" s="2">
        <f t="shared" si="135"/>
        <v>0</v>
      </c>
      <c r="W125" s="2">
        <f t="shared" si="111"/>
        <v>0</v>
      </c>
      <c r="X125" s="2">
        <f t="shared" si="112"/>
        <v>0</v>
      </c>
      <c r="Y125" s="2">
        <f t="shared" si="113"/>
        <v>0</v>
      </c>
      <c r="Z125" s="2"/>
      <c r="AA125" s="2">
        <v>85997836</v>
      </c>
      <c r="AB125" s="2">
        <f t="shared" si="114"/>
        <v>174.93</v>
      </c>
      <c r="AC125" s="2">
        <f t="shared" si="136"/>
        <v>174.93</v>
      </c>
      <c r="AD125" s="2">
        <f t="shared" si="137"/>
        <v>0</v>
      </c>
      <c r="AE125" s="2">
        <f t="shared" si="138"/>
        <v>0</v>
      </c>
      <c r="AF125" s="2">
        <f t="shared" si="138"/>
        <v>0</v>
      </c>
      <c r="AG125" s="2">
        <f t="shared" si="115"/>
        <v>0</v>
      </c>
      <c r="AH125" s="2">
        <f t="shared" si="139"/>
        <v>0</v>
      </c>
      <c r="AI125" s="2">
        <f t="shared" si="139"/>
        <v>0</v>
      </c>
      <c r="AJ125" s="2">
        <f t="shared" si="116"/>
        <v>0</v>
      </c>
      <c r="AK125" s="2">
        <v>174.93</v>
      </c>
      <c r="AL125" s="2">
        <v>174.93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121</v>
      </c>
      <c r="AU125" s="2">
        <v>72</v>
      </c>
      <c r="AV125" s="2">
        <v>1</v>
      </c>
      <c r="AW125" s="2">
        <v>1</v>
      </c>
      <c r="AX125" s="2"/>
      <c r="AY125" s="2"/>
      <c r="AZ125" s="2">
        <v>1</v>
      </c>
      <c r="BA125" s="2">
        <v>1</v>
      </c>
      <c r="BB125" s="2">
        <v>1</v>
      </c>
      <c r="BC125" s="2">
        <v>1.0900000000000001</v>
      </c>
      <c r="BD125" s="2" t="s">
        <v>3</v>
      </c>
      <c r="BE125" s="2" t="s">
        <v>3</v>
      </c>
      <c r="BF125" s="2" t="s">
        <v>3</v>
      </c>
      <c r="BG125" s="2" t="s">
        <v>3</v>
      </c>
      <c r="BH125" s="2">
        <v>3</v>
      </c>
      <c r="BI125" s="2">
        <v>1</v>
      </c>
      <c r="BJ125" s="2" t="s">
        <v>303</v>
      </c>
      <c r="BK125" s="2"/>
      <c r="BL125" s="2"/>
      <c r="BM125" s="2">
        <v>20001</v>
      </c>
      <c r="BN125" s="2">
        <v>0</v>
      </c>
      <c r="BO125" s="2" t="s">
        <v>301</v>
      </c>
      <c r="BP125" s="2">
        <v>1</v>
      </c>
      <c r="BQ125" s="2">
        <v>2</v>
      </c>
      <c r="BR125" s="2">
        <v>0</v>
      </c>
      <c r="BS125" s="2">
        <v>1</v>
      </c>
      <c r="BT125" s="2">
        <v>1</v>
      </c>
      <c r="BU125" s="2">
        <v>1</v>
      </c>
      <c r="BV125" s="2">
        <v>1</v>
      </c>
      <c r="BW125" s="2">
        <v>1</v>
      </c>
      <c r="BX125" s="2">
        <v>1</v>
      </c>
      <c r="BY125" s="2" t="s">
        <v>3</v>
      </c>
      <c r="BZ125" s="2">
        <v>121</v>
      </c>
      <c r="CA125" s="2">
        <v>72</v>
      </c>
      <c r="CB125" s="2" t="s">
        <v>3</v>
      </c>
      <c r="CC125" s="2"/>
      <c r="CD125" s="2"/>
      <c r="CE125" s="2">
        <v>0</v>
      </c>
      <c r="CF125" s="2">
        <v>0</v>
      </c>
      <c r="CG125" s="2">
        <v>0</v>
      </c>
      <c r="CH125" s="2"/>
      <c r="CI125" s="2"/>
      <c r="CJ125" s="2"/>
      <c r="CK125" s="2"/>
      <c r="CL125" s="2"/>
      <c r="CM125" s="2">
        <v>0</v>
      </c>
      <c r="CN125" s="2" t="s">
        <v>3</v>
      </c>
      <c r="CO125" s="2">
        <v>0</v>
      </c>
      <c r="CP125" s="2">
        <f t="shared" si="117"/>
        <v>-51.48</v>
      </c>
      <c r="CQ125" s="2">
        <f t="shared" si="140"/>
        <v>190.67</v>
      </c>
      <c r="CR125" s="2">
        <f t="shared" si="141"/>
        <v>0</v>
      </c>
      <c r="CS125" s="2">
        <f t="shared" si="142"/>
        <v>0</v>
      </c>
      <c r="CT125" s="2">
        <f t="shared" si="143"/>
        <v>0</v>
      </c>
      <c r="CU125" s="2">
        <f t="shared" si="118"/>
        <v>0</v>
      </c>
      <c r="CV125" s="2">
        <f t="shared" si="144"/>
        <v>0</v>
      </c>
      <c r="CW125" s="2">
        <f t="shared" si="144"/>
        <v>0</v>
      </c>
      <c r="CX125" s="2">
        <f t="shared" si="119"/>
        <v>0</v>
      </c>
      <c r="CY125" s="2">
        <f t="shared" si="120"/>
        <v>0</v>
      </c>
      <c r="CZ125" s="2">
        <f t="shared" si="121"/>
        <v>0</v>
      </c>
      <c r="DA125" s="2"/>
      <c r="DB125" s="2"/>
      <c r="DC125" s="2" t="s">
        <v>3</v>
      </c>
      <c r="DD125" s="2" t="s">
        <v>3</v>
      </c>
      <c r="DE125" s="2" t="s">
        <v>3</v>
      </c>
      <c r="DF125" s="2" t="s">
        <v>3</v>
      </c>
      <c r="DG125" s="2" t="s">
        <v>3</v>
      </c>
      <c r="DH125" s="2" t="s">
        <v>3</v>
      </c>
      <c r="DI125" s="2" t="s">
        <v>3</v>
      </c>
      <c r="DJ125" s="2" t="s">
        <v>3</v>
      </c>
      <c r="DK125" s="2" t="s">
        <v>3</v>
      </c>
      <c r="DL125" s="2" t="s">
        <v>3</v>
      </c>
      <c r="DM125" s="2" t="s">
        <v>3</v>
      </c>
      <c r="DN125" s="2">
        <v>0</v>
      </c>
      <c r="DO125" s="2">
        <v>0</v>
      </c>
      <c r="DP125" s="2">
        <v>1</v>
      </c>
      <c r="DQ125" s="2">
        <v>1</v>
      </c>
      <c r="DR125" s="2"/>
      <c r="DS125" s="2"/>
      <c r="DT125" s="2"/>
      <c r="DU125" s="2">
        <v>1009</v>
      </c>
      <c r="DV125" s="2" t="s">
        <v>170</v>
      </c>
      <c r="DW125" s="2" t="s">
        <v>170</v>
      </c>
      <c r="DX125" s="2">
        <v>1</v>
      </c>
      <c r="DY125" s="2"/>
      <c r="DZ125" s="2" t="s">
        <v>3</v>
      </c>
      <c r="EA125" s="2" t="s">
        <v>3</v>
      </c>
      <c r="EB125" s="2" t="s">
        <v>3</v>
      </c>
      <c r="EC125" s="2" t="s">
        <v>3</v>
      </c>
      <c r="ED125" s="2"/>
      <c r="EE125" s="2">
        <v>84053929</v>
      </c>
      <c r="EF125" s="2">
        <v>2</v>
      </c>
      <c r="EG125" s="2" t="s">
        <v>270</v>
      </c>
      <c r="EH125" s="2">
        <v>16</v>
      </c>
      <c r="EI125" s="2" t="s">
        <v>271</v>
      </c>
      <c r="EJ125" s="2">
        <v>1</v>
      </c>
      <c r="EK125" s="2">
        <v>20001</v>
      </c>
      <c r="EL125" s="2" t="s">
        <v>272</v>
      </c>
      <c r="EM125" s="2" t="s">
        <v>273</v>
      </c>
      <c r="EN125" s="2"/>
      <c r="EO125" s="2" t="s">
        <v>3</v>
      </c>
      <c r="EP125" s="2"/>
      <c r="EQ125" s="2">
        <v>0</v>
      </c>
      <c r="ER125" s="2">
        <v>174.93</v>
      </c>
      <c r="ES125" s="2">
        <v>174.93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>
        <v>0</v>
      </c>
      <c r="FR125" s="2">
        <v>0</v>
      </c>
      <c r="FS125" s="2">
        <v>0</v>
      </c>
      <c r="FT125" s="2"/>
      <c r="FU125" s="2"/>
      <c r="FV125" s="2"/>
      <c r="FW125" s="2"/>
      <c r="FX125" s="2">
        <v>121</v>
      </c>
      <c r="FY125" s="2">
        <v>72</v>
      </c>
      <c r="FZ125" s="2"/>
      <c r="GA125" s="2" t="s">
        <v>3</v>
      </c>
      <c r="GB125" s="2"/>
      <c r="GC125" s="2"/>
      <c r="GD125" s="2">
        <v>1</v>
      </c>
      <c r="GE125" s="2"/>
      <c r="GF125" s="2">
        <v>-1131385474</v>
      </c>
      <c r="GG125" s="2">
        <v>2</v>
      </c>
      <c r="GH125" s="2">
        <v>1</v>
      </c>
      <c r="GI125" s="2">
        <v>2</v>
      </c>
      <c r="GJ125" s="2">
        <v>0</v>
      </c>
      <c r="GK125" s="2">
        <v>0</v>
      </c>
      <c r="GL125" s="2">
        <f t="shared" si="122"/>
        <v>0</v>
      </c>
      <c r="GM125" s="2">
        <f t="shared" si="123"/>
        <v>-51.48</v>
      </c>
      <c r="GN125" s="2">
        <f t="shared" si="124"/>
        <v>-51.48</v>
      </c>
      <c r="GO125" s="2">
        <f t="shared" si="125"/>
        <v>0</v>
      </c>
      <c r="GP125" s="2">
        <f t="shared" si="126"/>
        <v>0</v>
      </c>
      <c r="GQ125" s="2"/>
      <c r="GR125" s="2">
        <v>0</v>
      </c>
      <c r="GS125" s="2">
        <v>3</v>
      </c>
      <c r="GT125" s="2">
        <v>0</v>
      </c>
      <c r="GU125" s="2" t="s">
        <v>3</v>
      </c>
      <c r="GV125" s="2">
        <f t="shared" si="127"/>
        <v>0</v>
      </c>
      <c r="GW125" s="2">
        <v>1</v>
      </c>
      <c r="GX125" s="2">
        <f t="shared" si="128"/>
        <v>0</v>
      </c>
      <c r="GY125" s="2"/>
      <c r="GZ125" s="2"/>
      <c r="HA125" s="2">
        <v>0</v>
      </c>
      <c r="HB125" s="2">
        <v>0</v>
      </c>
      <c r="HC125" s="2">
        <f t="shared" si="129"/>
        <v>0</v>
      </c>
      <c r="HD125" s="2"/>
      <c r="HE125" s="2" t="s">
        <v>3</v>
      </c>
      <c r="HF125" s="2" t="s">
        <v>3</v>
      </c>
      <c r="HG125" s="2"/>
      <c r="HH125" s="2"/>
      <c r="HI125" s="2"/>
      <c r="HJ125" s="2"/>
      <c r="HK125" s="2"/>
      <c r="HL125" s="2"/>
      <c r="HM125" s="2" t="s">
        <v>3</v>
      </c>
      <c r="HN125" s="2" t="s">
        <v>275</v>
      </c>
      <c r="HO125" s="2" t="s">
        <v>276</v>
      </c>
      <c r="HP125" s="2" t="s">
        <v>271</v>
      </c>
      <c r="HQ125" s="2" t="s">
        <v>271</v>
      </c>
      <c r="HR125" s="2"/>
      <c r="HS125" s="2">
        <v>0</v>
      </c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>
        <v>0</v>
      </c>
      <c r="IL125" s="2"/>
      <c r="IM125" s="2"/>
      <c r="IN125" s="2"/>
      <c r="IO125" s="2"/>
      <c r="IP125" s="2"/>
      <c r="IQ125" s="2"/>
      <c r="IR125" s="2"/>
      <c r="IS125" s="2"/>
      <c r="IT125" s="2"/>
      <c r="IU125" s="2"/>
    </row>
    <row r="126" spans="1:255" x14ac:dyDescent="0.2">
      <c r="A126" s="2">
        <v>18</v>
      </c>
      <c r="B126" s="2">
        <v>1</v>
      </c>
      <c r="C126" s="2">
        <v>136</v>
      </c>
      <c r="D126" s="2"/>
      <c r="E126" s="2" t="s">
        <v>304</v>
      </c>
      <c r="F126" s="2" t="s">
        <v>305</v>
      </c>
      <c r="G126" s="2" t="s">
        <v>306</v>
      </c>
      <c r="H126" s="2" t="s">
        <v>170</v>
      </c>
      <c r="I126" s="2">
        <f>I119*J126</f>
        <v>-1.0349999999999999</v>
      </c>
      <c r="J126" s="2">
        <v>-0.11499999999999999</v>
      </c>
      <c r="K126" s="2">
        <v>-0.115</v>
      </c>
      <c r="L126" s="2"/>
      <c r="M126" s="2"/>
      <c r="N126" s="2"/>
      <c r="O126" s="2">
        <f t="shared" si="109"/>
        <v>-206.42</v>
      </c>
      <c r="P126" s="2">
        <f t="shared" si="130"/>
        <v>-206.42</v>
      </c>
      <c r="Q126" s="2">
        <f t="shared" si="131"/>
        <v>0</v>
      </c>
      <c r="R126" s="2">
        <f t="shared" si="132"/>
        <v>0</v>
      </c>
      <c r="S126" s="2">
        <f t="shared" si="133"/>
        <v>0</v>
      </c>
      <c r="T126" s="2">
        <f t="shared" si="110"/>
        <v>0</v>
      </c>
      <c r="U126" s="2">
        <f t="shared" si="134"/>
        <v>0</v>
      </c>
      <c r="V126" s="2">
        <f t="shared" si="135"/>
        <v>0</v>
      </c>
      <c r="W126" s="2">
        <f t="shared" si="111"/>
        <v>0</v>
      </c>
      <c r="X126" s="2">
        <f t="shared" si="112"/>
        <v>0</v>
      </c>
      <c r="Y126" s="2">
        <f t="shared" si="113"/>
        <v>0</v>
      </c>
      <c r="Z126" s="2"/>
      <c r="AA126" s="2">
        <v>85997836</v>
      </c>
      <c r="AB126" s="2">
        <f t="shared" si="114"/>
        <v>138.5</v>
      </c>
      <c r="AC126" s="2">
        <f t="shared" si="136"/>
        <v>138.5</v>
      </c>
      <c r="AD126" s="2">
        <f t="shared" si="137"/>
        <v>0</v>
      </c>
      <c r="AE126" s="2">
        <f t="shared" si="138"/>
        <v>0</v>
      </c>
      <c r="AF126" s="2">
        <f t="shared" si="138"/>
        <v>0</v>
      </c>
      <c r="AG126" s="2">
        <f t="shared" si="115"/>
        <v>0</v>
      </c>
      <c r="AH126" s="2">
        <f t="shared" si="139"/>
        <v>0</v>
      </c>
      <c r="AI126" s="2">
        <f t="shared" si="139"/>
        <v>0</v>
      </c>
      <c r="AJ126" s="2">
        <f t="shared" si="116"/>
        <v>0</v>
      </c>
      <c r="AK126" s="2">
        <v>138.5</v>
      </c>
      <c r="AL126" s="2">
        <v>138.5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121</v>
      </c>
      <c r="AU126" s="2">
        <v>72</v>
      </c>
      <c r="AV126" s="2">
        <v>1</v>
      </c>
      <c r="AW126" s="2">
        <v>1</v>
      </c>
      <c r="AX126" s="2"/>
      <c r="AY126" s="2"/>
      <c r="AZ126" s="2">
        <v>1</v>
      </c>
      <c r="BA126" s="2">
        <v>1</v>
      </c>
      <c r="BB126" s="2">
        <v>1</v>
      </c>
      <c r="BC126" s="2">
        <v>1.44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3</v>
      </c>
      <c r="BI126" s="2">
        <v>1</v>
      </c>
      <c r="BJ126" s="2" t="s">
        <v>307</v>
      </c>
      <c r="BK126" s="2"/>
      <c r="BL126" s="2"/>
      <c r="BM126" s="2">
        <v>20001</v>
      </c>
      <c r="BN126" s="2">
        <v>0</v>
      </c>
      <c r="BO126" s="2" t="s">
        <v>305</v>
      </c>
      <c r="BP126" s="2">
        <v>1</v>
      </c>
      <c r="BQ126" s="2">
        <v>2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121</v>
      </c>
      <c r="CA126" s="2">
        <v>72</v>
      </c>
      <c r="CB126" s="2" t="s">
        <v>3</v>
      </c>
      <c r="CC126" s="2"/>
      <c r="CD126" s="2"/>
      <c r="CE126" s="2">
        <v>0</v>
      </c>
      <c r="CF126" s="2">
        <v>0</v>
      </c>
      <c r="CG126" s="2">
        <v>0</v>
      </c>
      <c r="CH126" s="2"/>
      <c r="CI126" s="2"/>
      <c r="CJ126" s="2"/>
      <c r="CK126" s="2"/>
      <c r="CL126" s="2"/>
      <c r="CM126" s="2">
        <v>0</v>
      </c>
      <c r="CN126" s="2" t="s">
        <v>3</v>
      </c>
      <c r="CO126" s="2">
        <v>0</v>
      </c>
      <c r="CP126" s="2">
        <f t="shared" si="117"/>
        <v>-206.42</v>
      </c>
      <c r="CQ126" s="2">
        <f t="shared" si="140"/>
        <v>199.44</v>
      </c>
      <c r="CR126" s="2">
        <f t="shared" si="141"/>
        <v>0</v>
      </c>
      <c r="CS126" s="2">
        <f t="shared" si="142"/>
        <v>0</v>
      </c>
      <c r="CT126" s="2">
        <f t="shared" si="143"/>
        <v>0</v>
      </c>
      <c r="CU126" s="2">
        <f t="shared" si="118"/>
        <v>0</v>
      </c>
      <c r="CV126" s="2">
        <f t="shared" si="144"/>
        <v>0</v>
      </c>
      <c r="CW126" s="2">
        <f t="shared" si="144"/>
        <v>0</v>
      </c>
      <c r="CX126" s="2">
        <f t="shared" si="119"/>
        <v>0</v>
      </c>
      <c r="CY126" s="2">
        <f t="shared" si="120"/>
        <v>0</v>
      </c>
      <c r="CZ126" s="2">
        <f t="shared" si="121"/>
        <v>0</v>
      </c>
      <c r="DA126" s="2"/>
      <c r="DB126" s="2"/>
      <c r="DC126" s="2" t="s">
        <v>3</v>
      </c>
      <c r="DD126" s="2" t="s">
        <v>3</v>
      </c>
      <c r="DE126" s="2" t="s">
        <v>3</v>
      </c>
      <c r="DF126" s="2" t="s">
        <v>3</v>
      </c>
      <c r="DG126" s="2" t="s">
        <v>3</v>
      </c>
      <c r="DH126" s="2" t="s">
        <v>3</v>
      </c>
      <c r="DI126" s="2" t="s">
        <v>3</v>
      </c>
      <c r="DJ126" s="2" t="s">
        <v>3</v>
      </c>
      <c r="DK126" s="2" t="s">
        <v>3</v>
      </c>
      <c r="DL126" s="2" t="s">
        <v>3</v>
      </c>
      <c r="DM126" s="2" t="s">
        <v>3</v>
      </c>
      <c r="DN126" s="2">
        <v>0</v>
      </c>
      <c r="DO126" s="2">
        <v>0</v>
      </c>
      <c r="DP126" s="2">
        <v>1</v>
      </c>
      <c r="DQ126" s="2">
        <v>1</v>
      </c>
      <c r="DR126" s="2"/>
      <c r="DS126" s="2"/>
      <c r="DT126" s="2"/>
      <c r="DU126" s="2">
        <v>1009</v>
      </c>
      <c r="DV126" s="2" t="s">
        <v>170</v>
      </c>
      <c r="DW126" s="2" t="s">
        <v>170</v>
      </c>
      <c r="DX126" s="2">
        <v>1</v>
      </c>
      <c r="DY126" s="2"/>
      <c r="DZ126" s="2" t="s">
        <v>3</v>
      </c>
      <c r="EA126" s="2" t="s">
        <v>3</v>
      </c>
      <c r="EB126" s="2" t="s">
        <v>3</v>
      </c>
      <c r="EC126" s="2" t="s">
        <v>3</v>
      </c>
      <c r="ED126" s="2"/>
      <c r="EE126" s="2">
        <v>84053929</v>
      </c>
      <c r="EF126" s="2">
        <v>2</v>
      </c>
      <c r="EG126" s="2" t="s">
        <v>270</v>
      </c>
      <c r="EH126" s="2">
        <v>16</v>
      </c>
      <c r="EI126" s="2" t="s">
        <v>271</v>
      </c>
      <c r="EJ126" s="2">
        <v>1</v>
      </c>
      <c r="EK126" s="2">
        <v>20001</v>
      </c>
      <c r="EL126" s="2" t="s">
        <v>272</v>
      </c>
      <c r="EM126" s="2" t="s">
        <v>273</v>
      </c>
      <c r="EN126" s="2"/>
      <c r="EO126" s="2" t="s">
        <v>3</v>
      </c>
      <c r="EP126" s="2"/>
      <c r="EQ126" s="2">
        <v>0</v>
      </c>
      <c r="ER126" s="2">
        <v>138.5</v>
      </c>
      <c r="ES126" s="2">
        <v>138.5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>
        <v>0</v>
      </c>
      <c r="FR126" s="2">
        <v>0</v>
      </c>
      <c r="FS126" s="2">
        <v>0</v>
      </c>
      <c r="FT126" s="2"/>
      <c r="FU126" s="2"/>
      <c r="FV126" s="2"/>
      <c r="FW126" s="2"/>
      <c r="FX126" s="2">
        <v>121</v>
      </c>
      <c r="FY126" s="2">
        <v>72</v>
      </c>
      <c r="FZ126" s="2"/>
      <c r="GA126" s="2" t="s">
        <v>3</v>
      </c>
      <c r="GB126" s="2"/>
      <c r="GC126" s="2"/>
      <c r="GD126" s="2">
        <v>1</v>
      </c>
      <c r="GE126" s="2"/>
      <c r="GF126" s="2">
        <v>1042643871</v>
      </c>
      <c r="GG126" s="2">
        <v>2</v>
      </c>
      <c r="GH126" s="2">
        <v>1</v>
      </c>
      <c r="GI126" s="2">
        <v>2</v>
      </c>
      <c r="GJ126" s="2">
        <v>0</v>
      </c>
      <c r="GK126" s="2">
        <v>0</v>
      </c>
      <c r="GL126" s="2">
        <f t="shared" si="122"/>
        <v>0</v>
      </c>
      <c r="GM126" s="2">
        <f t="shared" si="123"/>
        <v>-206.42</v>
      </c>
      <c r="GN126" s="2">
        <f t="shared" si="124"/>
        <v>-206.42</v>
      </c>
      <c r="GO126" s="2">
        <f t="shared" si="125"/>
        <v>0</v>
      </c>
      <c r="GP126" s="2">
        <f t="shared" si="126"/>
        <v>0</v>
      </c>
      <c r="GQ126" s="2"/>
      <c r="GR126" s="2">
        <v>0</v>
      </c>
      <c r="GS126" s="2">
        <v>3</v>
      </c>
      <c r="GT126" s="2">
        <v>0</v>
      </c>
      <c r="GU126" s="2" t="s">
        <v>3</v>
      </c>
      <c r="GV126" s="2">
        <f t="shared" si="127"/>
        <v>0</v>
      </c>
      <c r="GW126" s="2">
        <v>1</v>
      </c>
      <c r="GX126" s="2">
        <f t="shared" si="128"/>
        <v>0</v>
      </c>
      <c r="GY126" s="2"/>
      <c r="GZ126" s="2"/>
      <c r="HA126" s="2">
        <v>0</v>
      </c>
      <c r="HB126" s="2">
        <v>0</v>
      </c>
      <c r="HC126" s="2">
        <f t="shared" si="129"/>
        <v>0</v>
      </c>
      <c r="HD126" s="2"/>
      <c r="HE126" s="2" t="s">
        <v>3</v>
      </c>
      <c r="HF126" s="2" t="s">
        <v>3</v>
      </c>
      <c r="HG126" s="2"/>
      <c r="HH126" s="2"/>
      <c r="HI126" s="2"/>
      <c r="HJ126" s="2"/>
      <c r="HK126" s="2"/>
      <c r="HL126" s="2"/>
      <c r="HM126" s="2" t="s">
        <v>3</v>
      </c>
      <c r="HN126" s="2" t="s">
        <v>275</v>
      </c>
      <c r="HO126" s="2" t="s">
        <v>276</v>
      </c>
      <c r="HP126" s="2" t="s">
        <v>271</v>
      </c>
      <c r="HQ126" s="2" t="s">
        <v>271</v>
      </c>
      <c r="HR126" s="2"/>
      <c r="HS126" s="2">
        <v>0</v>
      </c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>
        <v>0</v>
      </c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x14ac:dyDescent="0.2">
      <c r="A127" s="2">
        <v>17</v>
      </c>
      <c r="B127" s="2">
        <v>1</v>
      </c>
      <c r="C127" s="2">
        <f>ROW(SmtRes!A141)</f>
        <v>141</v>
      </c>
      <c r="D127" s="2">
        <f>ROW(EtalonRes!A128)</f>
        <v>128</v>
      </c>
      <c r="E127" s="2" t="s">
        <v>308</v>
      </c>
      <c r="F127" s="2" t="s">
        <v>309</v>
      </c>
      <c r="G127" s="2" t="s">
        <v>310</v>
      </c>
      <c r="H127" s="2" t="s">
        <v>311</v>
      </c>
      <c r="I127" s="2">
        <f>ROUND((2.826+3.768+1.884)/100,7)</f>
        <v>8.4779999999999994E-2</v>
      </c>
      <c r="J127" s="2">
        <v>0</v>
      </c>
      <c r="K127" s="2">
        <f>ROUND((2.826+3.768+1.884)/100,7)</f>
        <v>8.4779999999999994E-2</v>
      </c>
      <c r="L127" s="2"/>
      <c r="M127" s="2"/>
      <c r="N127" s="2"/>
      <c r="O127" s="2">
        <f t="shared" si="109"/>
        <v>2609.41</v>
      </c>
      <c r="P127" s="2">
        <f>SUMIF(SmtRes!AQ139:'SmtRes'!AQ141,"=1",SmtRes!DF139:'SmtRes'!DF141)</f>
        <v>0</v>
      </c>
      <c r="Q127" s="2">
        <f>SUMIF(SmtRes!AQ139:'SmtRes'!AQ141,"=1",SmtRes!DG139:'SmtRes'!DG141)</f>
        <v>0</v>
      </c>
      <c r="R127" s="2">
        <f>SUMIF(SmtRes!AQ139:'SmtRes'!AQ141,"=1",SmtRes!DH139:'SmtRes'!DH141)</f>
        <v>0</v>
      </c>
      <c r="S127" s="2">
        <f>SUMIF(SmtRes!AQ139:'SmtRes'!AQ141,"=1",SmtRes!DI139:'SmtRes'!DI141)</f>
        <v>2609.41</v>
      </c>
      <c r="T127" s="2">
        <f t="shared" si="110"/>
        <v>0</v>
      </c>
      <c r="U127" s="2">
        <f>SUMIF(SmtRes!AQ139:'SmtRes'!AQ141,"=1",SmtRes!CV139:'SmtRes'!CV141)</f>
        <v>4.0694400000000002</v>
      </c>
      <c r="V127" s="2">
        <f>SUMIF(SmtRes!AQ139:'SmtRes'!AQ141,"=1",SmtRes!CW139:'SmtRes'!CW141)</f>
        <v>0</v>
      </c>
      <c r="W127" s="2">
        <f t="shared" si="111"/>
        <v>0</v>
      </c>
      <c r="X127" s="2">
        <f t="shared" si="112"/>
        <v>2270.19</v>
      </c>
      <c r="Y127" s="2">
        <f t="shared" si="113"/>
        <v>1148.1400000000001</v>
      </c>
      <c r="Z127" s="2"/>
      <c r="AA127" s="2">
        <v>85997836</v>
      </c>
      <c r="AB127" s="2">
        <f t="shared" si="114"/>
        <v>30778.560000000001</v>
      </c>
      <c r="AC127" s="2">
        <f>ROUND((0),6)</f>
        <v>0</v>
      </c>
      <c r="AD127" s="2">
        <f>ROUND((((0)-(0))+AE127),6)</f>
        <v>0</v>
      </c>
      <c r="AE127" s="2">
        <f>ROUND((0),6)</f>
        <v>0</v>
      </c>
      <c r="AF127" s="2">
        <f>ROUND((SUM(SmtRes!BT139:'SmtRes'!BT141)),6)</f>
        <v>30778.560000000001</v>
      </c>
      <c r="AG127" s="2">
        <f t="shared" si="115"/>
        <v>0</v>
      </c>
      <c r="AH127" s="2">
        <f>(SUM(SmtRes!BU139:'SmtRes'!BU141))</f>
        <v>48</v>
      </c>
      <c r="AI127" s="2">
        <f>(0)</f>
        <v>0</v>
      </c>
      <c r="AJ127" s="2">
        <f t="shared" si="116"/>
        <v>0</v>
      </c>
      <c r="AK127" s="2">
        <v>30778.560000000001</v>
      </c>
      <c r="AL127" s="2">
        <v>0</v>
      </c>
      <c r="AM127" s="2">
        <v>0</v>
      </c>
      <c r="AN127" s="2">
        <v>0</v>
      </c>
      <c r="AO127" s="2">
        <v>30778.560000000001</v>
      </c>
      <c r="AP127" s="2">
        <v>0</v>
      </c>
      <c r="AQ127" s="2">
        <v>48</v>
      </c>
      <c r="AR127" s="2">
        <v>0.75</v>
      </c>
      <c r="AS127" s="2">
        <v>0</v>
      </c>
      <c r="AT127" s="2">
        <v>87</v>
      </c>
      <c r="AU127" s="2">
        <v>44</v>
      </c>
      <c r="AV127" s="2">
        <v>1</v>
      </c>
      <c r="AW127" s="2">
        <v>1</v>
      </c>
      <c r="AX127" s="2"/>
      <c r="AY127" s="2"/>
      <c r="AZ127" s="2">
        <v>1</v>
      </c>
      <c r="BA127" s="2">
        <v>1</v>
      </c>
      <c r="BB127" s="2">
        <v>1</v>
      </c>
      <c r="BC127" s="2">
        <v>1</v>
      </c>
      <c r="BD127" s="2" t="s">
        <v>3</v>
      </c>
      <c r="BE127" s="2" t="s">
        <v>3</v>
      </c>
      <c r="BF127" s="2" t="s">
        <v>3</v>
      </c>
      <c r="BG127" s="2" t="s">
        <v>3</v>
      </c>
      <c r="BH127" s="2">
        <v>0</v>
      </c>
      <c r="BI127" s="2">
        <v>1</v>
      </c>
      <c r="BJ127" s="2" t="s">
        <v>312</v>
      </c>
      <c r="BK127" s="2"/>
      <c r="BL127" s="2"/>
      <c r="BM127" s="2">
        <v>65001</v>
      </c>
      <c r="BN127" s="2">
        <v>0</v>
      </c>
      <c r="BO127" s="2" t="s">
        <v>3</v>
      </c>
      <c r="BP127" s="2">
        <v>0</v>
      </c>
      <c r="BQ127" s="2">
        <v>6</v>
      </c>
      <c r="BR127" s="2">
        <v>0</v>
      </c>
      <c r="BS127" s="2">
        <v>1</v>
      </c>
      <c r="BT127" s="2">
        <v>1</v>
      </c>
      <c r="BU127" s="2">
        <v>1</v>
      </c>
      <c r="BV127" s="2">
        <v>1</v>
      </c>
      <c r="BW127" s="2">
        <v>1</v>
      </c>
      <c r="BX127" s="2">
        <v>1</v>
      </c>
      <c r="BY127" s="2" t="s">
        <v>3</v>
      </c>
      <c r="BZ127" s="2">
        <v>87</v>
      </c>
      <c r="CA127" s="2">
        <v>44</v>
      </c>
      <c r="CB127" s="2" t="s">
        <v>3</v>
      </c>
      <c r="CC127" s="2"/>
      <c r="CD127" s="2"/>
      <c r="CE127" s="2">
        <v>0</v>
      </c>
      <c r="CF127" s="2">
        <v>0</v>
      </c>
      <c r="CG127" s="2">
        <v>0</v>
      </c>
      <c r="CH127" s="2"/>
      <c r="CI127" s="2"/>
      <c r="CJ127" s="2"/>
      <c r="CK127" s="2"/>
      <c r="CL127" s="2"/>
      <c r="CM127" s="2">
        <v>0</v>
      </c>
      <c r="CN127" s="2" t="s">
        <v>3</v>
      </c>
      <c r="CO127" s="2">
        <v>0</v>
      </c>
      <c r="CP127" s="2">
        <f t="shared" si="117"/>
        <v>2609.41</v>
      </c>
      <c r="CQ127" s="2">
        <f>SUMIF(SmtRes!AQ139:'SmtRes'!AQ141,"=1",SmtRes!AA139:'SmtRes'!AA141)</f>
        <v>0</v>
      </c>
      <c r="CR127" s="2">
        <f>SUMIF(SmtRes!AQ139:'SmtRes'!AQ141,"=1",SmtRes!AB139:'SmtRes'!AB141)</f>
        <v>0</v>
      </c>
      <c r="CS127" s="2">
        <f>SUMIF(SmtRes!AQ139:'SmtRes'!AQ141,"=1",SmtRes!AC139:'SmtRes'!AC141)</f>
        <v>0</v>
      </c>
      <c r="CT127" s="2">
        <f>SUMIF(SmtRes!AQ139:'SmtRes'!AQ141,"=1",SmtRes!AD139:'SmtRes'!AD141)</f>
        <v>641.22</v>
      </c>
      <c r="CU127" s="2">
        <f t="shared" si="118"/>
        <v>0</v>
      </c>
      <c r="CV127" s="2">
        <f>SUMIF(SmtRes!AQ139:'SmtRes'!AQ141,"=1",SmtRes!BU139:'SmtRes'!BU141)</f>
        <v>48</v>
      </c>
      <c r="CW127" s="2">
        <f>SUMIF(SmtRes!AQ139:'SmtRes'!AQ141,"=1",SmtRes!BV139:'SmtRes'!BV141)</f>
        <v>0</v>
      </c>
      <c r="CX127" s="2">
        <f t="shared" si="119"/>
        <v>0</v>
      </c>
      <c r="CY127" s="2">
        <f t="shared" si="120"/>
        <v>2270.1866999999997</v>
      </c>
      <c r="CZ127" s="2">
        <f t="shared" si="121"/>
        <v>1148.1404</v>
      </c>
      <c r="DA127" s="2"/>
      <c r="DB127" s="2"/>
      <c r="DC127" s="2" t="s">
        <v>3</v>
      </c>
      <c r="DD127" s="2" t="s">
        <v>3</v>
      </c>
      <c r="DE127" s="2" t="s">
        <v>3</v>
      </c>
      <c r="DF127" s="2" t="s">
        <v>3</v>
      </c>
      <c r="DG127" s="2" t="s">
        <v>3</v>
      </c>
      <c r="DH127" s="2" t="s">
        <v>3</v>
      </c>
      <c r="DI127" s="2" t="s">
        <v>3</v>
      </c>
      <c r="DJ127" s="2" t="s">
        <v>3</v>
      </c>
      <c r="DK127" s="2" t="s">
        <v>3</v>
      </c>
      <c r="DL127" s="2" t="s">
        <v>3</v>
      </c>
      <c r="DM127" s="2" t="s">
        <v>3</v>
      </c>
      <c r="DN127" s="2">
        <v>0</v>
      </c>
      <c r="DO127" s="2">
        <v>0</v>
      </c>
      <c r="DP127" s="2">
        <v>1</v>
      </c>
      <c r="DQ127" s="2">
        <v>1</v>
      </c>
      <c r="DR127" s="2"/>
      <c r="DS127" s="2"/>
      <c r="DT127" s="2"/>
      <c r="DU127" s="2">
        <v>1005</v>
      </c>
      <c r="DV127" s="2" t="s">
        <v>311</v>
      </c>
      <c r="DW127" s="2" t="s">
        <v>311</v>
      </c>
      <c r="DX127" s="2">
        <v>100</v>
      </c>
      <c r="DY127" s="2"/>
      <c r="DZ127" s="2" t="s">
        <v>3</v>
      </c>
      <c r="EA127" s="2" t="s">
        <v>3</v>
      </c>
      <c r="EB127" s="2" t="s">
        <v>3</v>
      </c>
      <c r="EC127" s="2" t="s">
        <v>3</v>
      </c>
      <c r="ED127" s="2"/>
      <c r="EE127" s="2">
        <v>84053984</v>
      </c>
      <c r="EF127" s="2">
        <v>6</v>
      </c>
      <c r="EG127" s="2" t="s">
        <v>22</v>
      </c>
      <c r="EH127" s="2">
        <v>99</v>
      </c>
      <c r="EI127" s="2" t="s">
        <v>313</v>
      </c>
      <c r="EJ127" s="2">
        <v>1</v>
      </c>
      <c r="EK127" s="2">
        <v>65001</v>
      </c>
      <c r="EL127" s="2" t="s">
        <v>314</v>
      </c>
      <c r="EM127" s="2" t="s">
        <v>315</v>
      </c>
      <c r="EN127" s="2"/>
      <c r="EO127" s="2" t="s">
        <v>3</v>
      </c>
      <c r="EP127" s="2"/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48</v>
      </c>
      <c r="EX127" s="2">
        <v>0.75</v>
      </c>
      <c r="EY127" s="2">
        <v>0</v>
      </c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>
        <v>0</v>
      </c>
      <c r="FR127" s="2">
        <v>0</v>
      </c>
      <c r="FS127" s="2">
        <v>0</v>
      </c>
      <c r="FT127" s="2"/>
      <c r="FU127" s="2"/>
      <c r="FV127" s="2"/>
      <c r="FW127" s="2"/>
      <c r="FX127" s="2">
        <v>87</v>
      </c>
      <c r="FY127" s="2">
        <v>44</v>
      </c>
      <c r="FZ127" s="2"/>
      <c r="GA127" s="2" t="s">
        <v>3</v>
      </c>
      <c r="GB127" s="2"/>
      <c r="GC127" s="2"/>
      <c r="GD127" s="2">
        <v>1</v>
      </c>
      <c r="GE127" s="2"/>
      <c r="GF127" s="2">
        <v>245057499</v>
      </c>
      <c r="GG127" s="2">
        <v>2</v>
      </c>
      <c r="GH127" s="2">
        <v>1</v>
      </c>
      <c r="GI127" s="2">
        <v>-2</v>
      </c>
      <c r="GJ127" s="2">
        <v>0</v>
      </c>
      <c r="GK127" s="2">
        <v>0</v>
      </c>
      <c r="GL127" s="2">
        <f t="shared" si="122"/>
        <v>0</v>
      </c>
      <c r="GM127" s="2">
        <f t="shared" si="123"/>
        <v>6027.74</v>
      </c>
      <c r="GN127" s="2">
        <f t="shared" si="124"/>
        <v>6027.74</v>
      </c>
      <c r="GO127" s="2">
        <f t="shared" si="125"/>
        <v>0</v>
      </c>
      <c r="GP127" s="2">
        <f t="shared" si="126"/>
        <v>0</v>
      </c>
      <c r="GQ127" s="2"/>
      <c r="GR127" s="2">
        <v>0</v>
      </c>
      <c r="GS127" s="2">
        <v>0</v>
      </c>
      <c r="GT127" s="2">
        <v>0</v>
      </c>
      <c r="GU127" s="2" t="s">
        <v>3</v>
      </c>
      <c r="GV127" s="2">
        <f t="shared" si="127"/>
        <v>0</v>
      </c>
      <c r="GW127" s="2">
        <v>1</v>
      </c>
      <c r="GX127" s="2">
        <f t="shared" si="128"/>
        <v>0</v>
      </c>
      <c r="GY127" s="2"/>
      <c r="GZ127" s="2"/>
      <c r="HA127" s="2">
        <v>0</v>
      </c>
      <c r="HB127" s="2">
        <v>0</v>
      </c>
      <c r="HC127" s="2">
        <f t="shared" si="129"/>
        <v>0</v>
      </c>
      <c r="HD127" s="2"/>
      <c r="HE127" s="2" t="s">
        <v>3</v>
      </c>
      <c r="HF127" s="2" t="s">
        <v>3</v>
      </c>
      <c r="HG127" s="2"/>
      <c r="HH127" s="2"/>
      <c r="HI127" s="2"/>
      <c r="HJ127" s="2"/>
      <c r="HK127" s="2"/>
      <c r="HL127" s="2"/>
      <c r="HM127" s="2" t="s">
        <v>3</v>
      </c>
      <c r="HN127" s="2" t="s">
        <v>316</v>
      </c>
      <c r="HO127" s="2" t="s">
        <v>317</v>
      </c>
      <c r="HP127" s="2" t="s">
        <v>314</v>
      </c>
      <c r="HQ127" s="2" t="s">
        <v>314</v>
      </c>
      <c r="HR127" s="2"/>
      <c r="HS127" s="2">
        <v>0</v>
      </c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>
        <v>0</v>
      </c>
      <c r="IL127" s="2"/>
      <c r="IM127" s="2"/>
      <c r="IN127" s="2"/>
      <c r="IO127" s="2"/>
      <c r="IP127" s="2"/>
      <c r="IQ127" s="2"/>
      <c r="IR127" s="2"/>
      <c r="IS127" s="2"/>
      <c r="IT127" s="2"/>
      <c r="IU127" s="2"/>
    </row>
    <row r="128" spans="1:255" x14ac:dyDescent="0.2">
      <c r="A128" s="2">
        <v>18</v>
      </c>
      <c r="B128" s="2">
        <v>1</v>
      </c>
      <c r="C128" s="2">
        <v>141</v>
      </c>
      <c r="D128" s="2"/>
      <c r="E128" s="2" t="s">
        <v>318</v>
      </c>
      <c r="F128" s="2" t="s">
        <v>27</v>
      </c>
      <c r="G128" s="2" t="s">
        <v>28</v>
      </c>
      <c r="H128" s="2" t="s">
        <v>29</v>
      </c>
      <c r="I128" s="2">
        <f>I127*J128</f>
        <v>-6.3585000000000003E-2</v>
      </c>
      <c r="J128" s="2">
        <v>-0.75000000000000011</v>
      </c>
      <c r="K128" s="2">
        <v>-0.75</v>
      </c>
      <c r="L128" s="2"/>
      <c r="M128" s="2"/>
      <c r="N128" s="2"/>
      <c r="O128" s="2">
        <f t="shared" si="109"/>
        <v>-44.42</v>
      </c>
      <c r="P128" s="2">
        <f>ROUND(CQ128*I128,2)</f>
        <v>0</v>
      </c>
      <c r="Q128" s="2">
        <f>ROUND(CR128*I128,2)</f>
        <v>-3.65</v>
      </c>
      <c r="R128" s="2">
        <f>ROUND(CS128*I128,2)</f>
        <v>-40.770000000000003</v>
      </c>
      <c r="S128" s="2">
        <f>ROUND(CT128*I128,2)</f>
        <v>0</v>
      </c>
      <c r="T128" s="2">
        <f t="shared" si="110"/>
        <v>0</v>
      </c>
      <c r="U128" s="2">
        <f>ROUND(CV128*I128,7)</f>
        <v>0</v>
      </c>
      <c r="V128" s="2">
        <f>ROUND(CW128*I128,7)</f>
        <v>0</v>
      </c>
      <c r="W128" s="2">
        <f t="shared" si="111"/>
        <v>0</v>
      </c>
      <c r="X128" s="2">
        <f t="shared" si="112"/>
        <v>-35.47</v>
      </c>
      <c r="Y128" s="2">
        <f t="shared" si="113"/>
        <v>-17.940000000000001</v>
      </c>
      <c r="Z128" s="2"/>
      <c r="AA128" s="2">
        <v>85997836</v>
      </c>
      <c r="AB128" s="2">
        <f t="shared" si="114"/>
        <v>37.32</v>
      </c>
      <c r="AC128" s="2">
        <f>ROUND((ES128),6)</f>
        <v>0</v>
      </c>
      <c r="AD128" s="2">
        <f>ROUND((((ET128)-(EU128))+AE128),6)</f>
        <v>37.32</v>
      </c>
      <c r="AE128" s="2">
        <f>ROUND((EU128),6)</f>
        <v>641.22</v>
      </c>
      <c r="AF128" s="2">
        <f>ROUND((EV128),6)</f>
        <v>0</v>
      </c>
      <c r="AG128" s="2">
        <f t="shared" si="115"/>
        <v>0</v>
      </c>
      <c r="AH128" s="2">
        <f>(EW128)</f>
        <v>0</v>
      </c>
      <c r="AI128" s="2">
        <f>(EX128)</f>
        <v>0</v>
      </c>
      <c r="AJ128" s="2">
        <f t="shared" si="116"/>
        <v>0</v>
      </c>
      <c r="AK128" s="2">
        <v>37.32</v>
      </c>
      <c r="AL128" s="2">
        <v>0</v>
      </c>
      <c r="AM128" s="2">
        <v>37.32</v>
      </c>
      <c r="AN128" s="2">
        <v>641.22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87</v>
      </c>
      <c r="AU128" s="2">
        <v>44</v>
      </c>
      <c r="AV128" s="2">
        <v>1</v>
      </c>
      <c r="AW128" s="2">
        <v>1</v>
      </c>
      <c r="AX128" s="2"/>
      <c r="AY128" s="2"/>
      <c r="AZ128" s="2">
        <v>1</v>
      </c>
      <c r="BA128" s="2">
        <v>1</v>
      </c>
      <c r="BB128" s="2">
        <v>1.54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2</v>
      </c>
      <c r="BI128" s="2">
        <v>1</v>
      </c>
      <c r="BJ128" s="2" t="s">
        <v>30</v>
      </c>
      <c r="BK128" s="2"/>
      <c r="BL128" s="2"/>
      <c r="BM128" s="2">
        <v>65001</v>
      </c>
      <c r="BN128" s="2">
        <v>0</v>
      </c>
      <c r="BO128" s="2" t="s">
        <v>27</v>
      </c>
      <c r="BP128" s="2">
        <v>1</v>
      </c>
      <c r="BQ128" s="2">
        <v>6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87</v>
      </c>
      <c r="CA128" s="2">
        <v>44</v>
      </c>
      <c r="CB128" s="2" t="s">
        <v>3</v>
      </c>
      <c r="CC128" s="2"/>
      <c r="CD128" s="2"/>
      <c r="CE128" s="2">
        <v>0</v>
      </c>
      <c r="CF128" s="2">
        <v>0</v>
      </c>
      <c r="CG128" s="2">
        <v>0</v>
      </c>
      <c r="CH128" s="2"/>
      <c r="CI128" s="2"/>
      <c r="CJ128" s="2"/>
      <c r="CK128" s="2"/>
      <c r="CL128" s="2"/>
      <c r="CM128" s="2">
        <v>0</v>
      </c>
      <c r="CN128" s="2" t="s">
        <v>3</v>
      </c>
      <c r="CO128" s="2">
        <v>0</v>
      </c>
      <c r="CP128" s="2">
        <f t="shared" si="117"/>
        <v>-44.42</v>
      </c>
      <c r="CQ128" s="2">
        <f>ROUND(AL128*BC128,2)</f>
        <v>0</v>
      </c>
      <c r="CR128" s="2">
        <f>ROUND(AM128*BB128,2)</f>
        <v>57.47</v>
      </c>
      <c r="CS128" s="2">
        <f>ROUND(AN128*BS128,2)</f>
        <v>641.22</v>
      </c>
      <c r="CT128" s="2">
        <f>ROUND(AO128*BA128,2)</f>
        <v>0</v>
      </c>
      <c r="CU128" s="2">
        <f t="shared" si="118"/>
        <v>0</v>
      </c>
      <c r="CV128" s="2">
        <f>AH128</f>
        <v>0</v>
      </c>
      <c r="CW128" s="2">
        <f>AI128</f>
        <v>0</v>
      </c>
      <c r="CX128" s="2">
        <f t="shared" si="119"/>
        <v>0</v>
      </c>
      <c r="CY128" s="2">
        <f t="shared" si="120"/>
        <v>-35.469900000000003</v>
      </c>
      <c r="CZ128" s="2">
        <f t="shared" si="121"/>
        <v>-17.938800000000001</v>
      </c>
      <c r="DA128" s="2"/>
      <c r="DB128" s="2"/>
      <c r="DC128" s="2" t="s">
        <v>3</v>
      </c>
      <c r="DD128" s="2" t="s">
        <v>3</v>
      </c>
      <c r="DE128" s="2" t="s">
        <v>3</v>
      </c>
      <c r="DF128" s="2" t="s">
        <v>3</v>
      </c>
      <c r="DG128" s="2" t="s">
        <v>3</v>
      </c>
      <c r="DH128" s="2" t="s">
        <v>3</v>
      </c>
      <c r="DI128" s="2" t="s">
        <v>3</v>
      </c>
      <c r="DJ128" s="2" t="s">
        <v>3</v>
      </c>
      <c r="DK128" s="2" t="s">
        <v>3</v>
      </c>
      <c r="DL128" s="2" t="s">
        <v>3</v>
      </c>
      <c r="DM128" s="2" t="s">
        <v>3</v>
      </c>
      <c r="DN128" s="2">
        <v>0</v>
      </c>
      <c r="DO128" s="2">
        <v>0</v>
      </c>
      <c r="DP128" s="2">
        <v>1</v>
      </c>
      <c r="DQ128" s="2">
        <v>1</v>
      </c>
      <c r="DR128" s="2"/>
      <c r="DS128" s="2"/>
      <c r="DT128" s="2"/>
      <c r="DU128" s="2">
        <v>1011</v>
      </c>
      <c r="DV128" s="2" t="s">
        <v>29</v>
      </c>
      <c r="DW128" s="2" t="s">
        <v>29</v>
      </c>
      <c r="DX128" s="2">
        <v>1</v>
      </c>
      <c r="DY128" s="2"/>
      <c r="DZ128" s="2" t="s">
        <v>3</v>
      </c>
      <c r="EA128" s="2" t="s">
        <v>3</v>
      </c>
      <c r="EB128" s="2" t="s">
        <v>3</v>
      </c>
      <c r="EC128" s="2" t="s">
        <v>3</v>
      </c>
      <c r="ED128" s="2"/>
      <c r="EE128" s="2">
        <v>84053984</v>
      </c>
      <c r="EF128" s="2">
        <v>6</v>
      </c>
      <c r="EG128" s="2" t="s">
        <v>22</v>
      </c>
      <c r="EH128" s="2">
        <v>99</v>
      </c>
      <c r="EI128" s="2" t="s">
        <v>313</v>
      </c>
      <c r="EJ128" s="2">
        <v>1</v>
      </c>
      <c r="EK128" s="2">
        <v>65001</v>
      </c>
      <c r="EL128" s="2" t="s">
        <v>314</v>
      </c>
      <c r="EM128" s="2" t="s">
        <v>315</v>
      </c>
      <c r="EN128" s="2"/>
      <c r="EO128" s="2" t="s">
        <v>3</v>
      </c>
      <c r="EP128" s="2"/>
      <c r="EQ128" s="2">
        <v>0</v>
      </c>
      <c r="ER128" s="2">
        <v>37.32</v>
      </c>
      <c r="ES128" s="2">
        <v>0</v>
      </c>
      <c r="ET128" s="2">
        <v>37.32</v>
      </c>
      <c r="EU128" s="2">
        <v>641.22</v>
      </c>
      <c r="EV128" s="2">
        <v>0</v>
      </c>
      <c r="EW128" s="2">
        <v>0</v>
      </c>
      <c r="EX128" s="2">
        <v>0</v>
      </c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>
        <v>0</v>
      </c>
      <c r="FR128" s="2">
        <v>0</v>
      </c>
      <c r="FS128" s="2">
        <v>1</v>
      </c>
      <c r="FT128" s="2"/>
      <c r="FU128" s="2"/>
      <c r="FV128" s="2"/>
      <c r="FW128" s="2"/>
      <c r="FX128" s="2">
        <v>87</v>
      </c>
      <c r="FY128" s="2">
        <v>44</v>
      </c>
      <c r="FZ128" s="2"/>
      <c r="GA128" s="2" t="s">
        <v>3</v>
      </c>
      <c r="GB128" s="2"/>
      <c r="GC128" s="2"/>
      <c r="GD128" s="2">
        <v>1</v>
      </c>
      <c r="GE128" s="2"/>
      <c r="GF128" s="2">
        <v>945201097</v>
      </c>
      <c r="GG128" s="2">
        <v>2</v>
      </c>
      <c r="GH128" s="2">
        <v>1</v>
      </c>
      <c r="GI128" s="2">
        <v>2</v>
      </c>
      <c r="GJ128" s="2">
        <v>0</v>
      </c>
      <c r="GK128" s="2">
        <v>0</v>
      </c>
      <c r="GL128" s="2">
        <f t="shared" si="122"/>
        <v>0</v>
      </c>
      <c r="GM128" s="2">
        <f t="shared" si="123"/>
        <v>-97.83</v>
      </c>
      <c r="GN128" s="2">
        <f t="shared" si="124"/>
        <v>-97.83</v>
      </c>
      <c r="GO128" s="2">
        <f t="shared" si="125"/>
        <v>0</v>
      </c>
      <c r="GP128" s="2">
        <f t="shared" si="126"/>
        <v>0</v>
      </c>
      <c r="GQ128" s="2"/>
      <c r="GR128" s="2">
        <v>0</v>
      </c>
      <c r="GS128" s="2">
        <v>7</v>
      </c>
      <c r="GT128" s="2">
        <v>0</v>
      </c>
      <c r="GU128" s="2" t="s">
        <v>3</v>
      </c>
      <c r="GV128" s="2">
        <f t="shared" si="127"/>
        <v>0</v>
      </c>
      <c r="GW128" s="2">
        <v>1</v>
      </c>
      <c r="GX128" s="2">
        <f t="shared" si="128"/>
        <v>0</v>
      </c>
      <c r="GY128" s="2"/>
      <c r="GZ128" s="2"/>
      <c r="HA128" s="2">
        <v>0</v>
      </c>
      <c r="HB128" s="2">
        <v>0</v>
      </c>
      <c r="HC128" s="2">
        <f t="shared" si="129"/>
        <v>0</v>
      </c>
      <c r="HD128" s="2"/>
      <c r="HE128" s="2" t="s">
        <v>3</v>
      </c>
      <c r="HF128" s="2" t="s">
        <v>3</v>
      </c>
      <c r="HG128" s="2"/>
      <c r="HH128" s="2"/>
      <c r="HI128" s="2"/>
      <c r="HJ128" s="2"/>
      <c r="HK128" s="2"/>
      <c r="HL128" s="2"/>
      <c r="HM128" s="2" t="s">
        <v>3</v>
      </c>
      <c r="HN128" s="2" t="s">
        <v>316</v>
      </c>
      <c r="HO128" s="2" t="s">
        <v>317</v>
      </c>
      <c r="HP128" s="2" t="s">
        <v>314</v>
      </c>
      <c r="HQ128" s="2" t="s">
        <v>314</v>
      </c>
      <c r="HR128" s="2"/>
      <c r="HS128" s="2">
        <v>0</v>
      </c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>
        <v>0</v>
      </c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55" x14ac:dyDescent="0.2">
      <c r="A129" s="2">
        <v>17</v>
      </c>
      <c r="B129" s="2">
        <v>1</v>
      </c>
      <c r="C129" s="2">
        <f>ROW(SmtRes!A144)</f>
        <v>144</v>
      </c>
      <c r="D129" s="2">
        <f>ROW(EtalonRes!A131)</f>
        <v>131</v>
      </c>
      <c r="E129" s="2" t="s">
        <v>319</v>
      </c>
      <c r="F129" s="2" t="s">
        <v>320</v>
      </c>
      <c r="G129" s="2" t="s">
        <v>321</v>
      </c>
      <c r="H129" s="2" t="s">
        <v>311</v>
      </c>
      <c r="I129" s="2">
        <f>ROUND((0.628)/100,7)</f>
        <v>6.28E-3</v>
      </c>
      <c r="J129" s="2">
        <v>0</v>
      </c>
      <c r="K129" s="2">
        <f>ROUND((0.628)/100,7)</f>
        <v>6.28E-3</v>
      </c>
      <c r="L129" s="2"/>
      <c r="M129" s="2"/>
      <c r="N129" s="2"/>
      <c r="O129" s="2">
        <f t="shared" si="109"/>
        <v>144.97</v>
      </c>
      <c r="P129" s="2">
        <f>SUMIF(SmtRes!AQ142:'SmtRes'!AQ144,"=1",SmtRes!DF142:'SmtRes'!DF144)</f>
        <v>0</v>
      </c>
      <c r="Q129" s="2">
        <f>SUMIF(SmtRes!AQ142:'SmtRes'!AQ144,"=1",SmtRes!DG142:'SmtRes'!DG144)</f>
        <v>0</v>
      </c>
      <c r="R129" s="2">
        <f>SUMIF(SmtRes!AQ142:'SmtRes'!AQ144,"=1",SmtRes!DH142:'SmtRes'!DH144)</f>
        <v>0</v>
      </c>
      <c r="S129" s="2">
        <f>SUMIF(SmtRes!AQ142:'SmtRes'!AQ144,"=1",SmtRes!DI142:'SmtRes'!DI144)</f>
        <v>144.97</v>
      </c>
      <c r="T129" s="2">
        <f t="shared" si="110"/>
        <v>0</v>
      </c>
      <c r="U129" s="2">
        <f>SUMIF(SmtRes!AQ142:'SmtRes'!AQ144,"=1",SmtRes!CV142:'SmtRes'!CV144)</f>
        <v>0.22608</v>
      </c>
      <c r="V129" s="2">
        <f>SUMIF(SmtRes!AQ142:'SmtRes'!AQ144,"=1",SmtRes!CW142:'SmtRes'!CW144)</f>
        <v>0</v>
      </c>
      <c r="W129" s="2">
        <f t="shared" si="111"/>
        <v>0</v>
      </c>
      <c r="X129" s="2">
        <f t="shared" si="112"/>
        <v>126.12</v>
      </c>
      <c r="Y129" s="2">
        <f t="shared" si="113"/>
        <v>63.79</v>
      </c>
      <c r="Z129" s="2"/>
      <c r="AA129" s="2">
        <v>85997836</v>
      </c>
      <c r="AB129" s="2">
        <f t="shared" si="114"/>
        <v>23083.919999999998</v>
      </c>
      <c r="AC129" s="2">
        <f>ROUND((0),6)</f>
        <v>0</v>
      </c>
      <c r="AD129" s="2">
        <f>ROUND((((0)-(0))+AE129),6)</f>
        <v>0</v>
      </c>
      <c r="AE129" s="2">
        <f>ROUND((0),6)</f>
        <v>0</v>
      </c>
      <c r="AF129" s="2">
        <f>ROUND((SUM(SmtRes!BT142:'SmtRes'!BT144)),6)</f>
        <v>23083.919999999998</v>
      </c>
      <c r="AG129" s="2">
        <f t="shared" si="115"/>
        <v>0</v>
      </c>
      <c r="AH129" s="2">
        <f>(SUM(SmtRes!BU142:'SmtRes'!BU144))</f>
        <v>36</v>
      </c>
      <c r="AI129" s="2">
        <f>(0)</f>
        <v>0</v>
      </c>
      <c r="AJ129" s="2">
        <f t="shared" si="116"/>
        <v>0</v>
      </c>
      <c r="AK129" s="2">
        <v>23083.920000000002</v>
      </c>
      <c r="AL129" s="2">
        <v>0</v>
      </c>
      <c r="AM129" s="2">
        <v>0</v>
      </c>
      <c r="AN129" s="2">
        <v>0</v>
      </c>
      <c r="AO129" s="2">
        <v>23083.920000000002</v>
      </c>
      <c r="AP129" s="2">
        <v>0</v>
      </c>
      <c r="AQ129" s="2">
        <v>36</v>
      </c>
      <c r="AR129" s="2">
        <v>0.75</v>
      </c>
      <c r="AS129" s="2">
        <v>0</v>
      </c>
      <c r="AT129" s="2">
        <v>87</v>
      </c>
      <c r="AU129" s="2">
        <v>44</v>
      </c>
      <c r="AV129" s="2">
        <v>1</v>
      </c>
      <c r="AW129" s="2">
        <v>1</v>
      </c>
      <c r="AX129" s="2"/>
      <c r="AY129" s="2"/>
      <c r="AZ129" s="2">
        <v>1</v>
      </c>
      <c r="BA129" s="2">
        <v>1</v>
      </c>
      <c r="BB129" s="2">
        <v>1</v>
      </c>
      <c r="BC129" s="2">
        <v>1</v>
      </c>
      <c r="BD129" s="2" t="s">
        <v>3</v>
      </c>
      <c r="BE129" s="2" t="s">
        <v>3</v>
      </c>
      <c r="BF129" s="2" t="s">
        <v>3</v>
      </c>
      <c r="BG129" s="2" t="s">
        <v>3</v>
      </c>
      <c r="BH129" s="2">
        <v>0</v>
      </c>
      <c r="BI129" s="2">
        <v>1</v>
      </c>
      <c r="BJ129" s="2" t="s">
        <v>322</v>
      </c>
      <c r="BK129" s="2"/>
      <c r="BL129" s="2"/>
      <c r="BM129" s="2">
        <v>65001</v>
      </c>
      <c r="BN129" s="2">
        <v>0</v>
      </c>
      <c r="BO129" s="2" t="s">
        <v>3</v>
      </c>
      <c r="BP129" s="2">
        <v>0</v>
      </c>
      <c r="BQ129" s="2">
        <v>6</v>
      </c>
      <c r="BR129" s="2">
        <v>0</v>
      </c>
      <c r="BS129" s="2">
        <v>1</v>
      </c>
      <c r="BT129" s="2">
        <v>1</v>
      </c>
      <c r="BU129" s="2">
        <v>1</v>
      </c>
      <c r="BV129" s="2">
        <v>1</v>
      </c>
      <c r="BW129" s="2">
        <v>1</v>
      </c>
      <c r="BX129" s="2">
        <v>1</v>
      </c>
      <c r="BY129" s="2" t="s">
        <v>3</v>
      </c>
      <c r="BZ129" s="2">
        <v>87</v>
      </c>
      <c r="CA129" s="2">
        <v>44</v>
      </c>
      <c r="CB129" s="2" t="s">
        <v>3</v>
      </c>
      <c r="CC129" s="2"/>
      <c r="CD129" s="2"/>
      <c r="CE129" s="2">
        <v>0</v>
      </c>
      <c r="CF129" s="2">
        <v>0</v>
      </c>
      <c r="CG129" s="2">
        <v>0</v>
      </c>
      <c r="CH129" s="2"/>
      <c r="CI129" s="2"/>
      <c r="CJ129" s="2"/>
      <c r="CK129" s="2"/>
      <c r="CL129" s="2"/>
      <c r="CM129" s="2">
        <v>0</v>
      </c>
      <c r="CN129" s="2" t="s">
        <v>3</v>
      </c>
      <c r="CO129" s="2">
        <v>0</v>
      </c>
      <c r="CP129" s="2">
        <f t="shared" si="117"/>
        <v>144.97</v>
      </c>
      <c r="CQ129" s="2">
        <f>SUMIF(SmtRes!AQ142:'SmtRes'!AQ144,"=1",SmtRes!AA142:'SmtRes'!AA144)</f>
        <v>0</v>
      </c>
      <c r="CR129" s="2">
        <f>SUMIF(SmtRes!AQ142:'SmtRes'!AQ144,"=1",SmtRes!AB142:'SmtRes'!AB144)</f>
        <v>0</v>
      </c>
      <c r="CS129" s="2">
        <f>SUMIF(SmtRes!AQ142:'SmtRes'!AQ144,"=1",SmtRes!AC142:'SmtRes'!AC144)</f>
        <v>0</v>
      </c>
      <c r="CT129" s="2">
        <f>SUMIF(SmtRes!AQ142:'SmtRes'!AQ144,"=1",SmtRes!AD142:'SmtRes'!AD144)</f>
        <v>641.22</v>
      </c>
      <c r="CU129" s="2">
        <f t="shared" si="118"/>
        <v>0</v>
      </c>
      <c r="CV129" s="2">
        <f>SUMIF(SmtRes!AQ142:'SmtRes'!AQ144,"=1",SmtRes!BU142:'SmtRes'!BU144)</f>
        <v>36</v>
      </c>
      <c r="CW129" s="2">
        <f>SUMIF(SmtRes!AQ142:'SmtRes'!AQ144,"=1",SmtRes!BV142:'SmtRes'!BV144)</f>
        <v>0</v>
      </c>
      <c r="CX129" s="2">
        <f t="shared" si="119"/>
        <v>0</v>
      </c>
      <c r="CY129" s="2">
        <f t="shared" si="120"/>
        <v>126.12389999999999</v>
      </c>
      <c r="CZ129" s="2">
        <f t="shared" si="121"/>
        <v>63.786799999999999</v>
      </c>
      <c r="DA129" s="2"/>
      <c r="DB129" s="2"/>
      <c r="DC129" s="2" t="s">
        <v>3</v>
      </c>
      <c r="DD129" s="2" t="s">
        <v>3</v>
      </c>
      <c r="DE129" s="2" t="s">
        <v>3</v>
      </c>
      <c r="DF129" s="2" t="s">
        <v>3</v>
      </c>
      <c r="DG129" s="2" t="s">
        <v>3</v>
      </c>
      <c r="DH129" s="2" t="s">
        <v>3</v>
      </c>
      <c r="DI129" s="2" t="s">
        <v>3</v>
      </c>
      <c r="DJ129" s="2" t="s">
        <v>3</v>
      </c>
      <c r="DK129" s="2" t="s">
        <v>3</v>
      </c>
      <c r="DL129" s="2" t="s">
        <v>3</v>
      </c>
      <c r="DM129" s="2" t="s">
        <v>3</v>
      </c>
      <c r="DN129" s="2">
        <v>0</v>
      </c>
      <c r="DO129" s="2">
        <v>0</v>
      </c>
      <c r="DP129" s="2">
        <v>1</v>
      </c>
      <c r="DQ129" s="2">
        <v>1</v>
      </c>
      <c r="DR129" s="2"/>
      <c r="DS129" s="2"/>
      <c r="DT129" s="2"/>
      <c r="DU129" s="2">
        <v>1005</v>
      </c>
      <c r="DV129" s="2" t="s">
        <v>311</v>
      </c>
      <c r="DW129" s="2" t="s">
        <v>311</v>
      </c>
      <c r="DX129" s="2">
        <v>100</v>
      </c>
      <c r="DY129" s="2"/>
      <c r="DZ129" s="2" t="s">
        <v>3</v>
      </c>
      <c r="EA129" s="2" t="s">
        <v>3</v>
      </c>
      <c r="EB129" s="2" t="s">
        <v>3</v>
      </c>
      <c r="EC129" s="2" t="s">
        <v>3</v>
      </c>
      <c r="ED129" s="2"/>
      <c r="EE129" s="2">
        <v>84053984</v>
      </c>
      <c r="EF129" s="2">
        <v>6</v>
      </c>
      <c r="EG129" s="2" t="s">
        <v>22</v>
      </c>
      <c r="EH129" s="2">
        <v>99</v>
      </c>
      <c r="EI129" s="2" t="s">
        <v>313</v>
      </c>
      <c r="EJ129" s="2">
        <v>1</v>
      </c>
      <c r="EK129" s="2">
        <v>65001</v>
      </c>
      <c r="EL129" s="2" t="s">
        <v>314</v>
      </c>
      <c r="EM129" s="2" t="s">
        <v>315</v>
      </c>
      <c r="EN129" s="2"/>
      <c r="EO129" s="2" t="s">
        <v>3</v>
      </c>
      <c r="EP129" s="2"/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36</v>
      </c>
      <c r="EX129" s="2">
        <v>0.75</v>
      </c>
      <c r="EY129" s="2">
        <v>0</v>
      </c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>
        <v>0</v>
      </c>
      <c r="FR129" s="2">
        <v>0</v>
      </c>
      <c r="FS129" s="2">
        <v>0</v>
      </c>
      <c r="FT129" s="2"/>
      <c r="FU129" s="2"/>
      <c r="FV129" s="2"/>
      <c r="FW129" s="2"/>
      <c r="FX129" s="2">
        <v>87</v>
      </c>
      <c r="FY129" s="2">
        <v>44</v>
      </c>
      <c r="FZ129" s="2"/>
      <c r="GA129" s="2" t="s">
        <v>3</v>
      </c>
      <c r="GB129" s="2"/>
      <c r="GC129" s="2"/>
      <c r="GD129" s="2">
        <v>1</v>
      </c>
      <c r="GE129" s="2"/>
      <c r="GF129" s="2">
        <v>276851604</v>
      </c>
      <c r="GG129" s="2">
        <v>2</v>
      </c>
      <c r="GH129" s="2">
        <v>1</v>
      </c>
      <c r="GI129" s="2">
        <v>-2</v>
      </c>
      <c r="GJ129" s="2">
        <v>0</v>
      </c>
      <c r="GK129" s="2">
        <v>0</v>
      </c>
      <c r="GL129" s="2">
        <f t="shared" si="122"/>
        <v>0</v>
      </c>
      <c r="GM129" s="2">
        <f t="shared" si="123"/>
        <v>334.88</v>
      </c>
      <c r="GN129" s="2">
        <f t="shared" si="124"/>
        <v>334.88</v>
      </c>
      <c r="GO129" s="2">
        <f t="shared" si="125"/>
        <v>0</v>
      </c>
      <c r="GP129" s="2">
        <f t="shared" si="126"/>
        <v>0</v>
      </c>
      <c r="GQ129" s="2"/>
      <c r="GR129" s="2">
        <v>0</v>
      </c>
      <c r="GS129" s="2">
        <v>0</v>
      </c>
      <c r="GT129" s="2">
        <v>0</v>
      </c>
      <c r="GU129" s="2" t="s">
        <v>3</v>
      </c>
      <c r="GV129" s="2">
        <f t="shared" si="127"/>
        <v>0</v>
      </c>
      <c r="GW129" s="2">
        <v>1</v>
      </c>
      <c r="GX129" s="2">
        <f t="shared" si="128"/>
        <v>0</v>
      </c>
      <c r="GY129" s="2"/>
      <c r="GZ129" s="2"/>
      <c r="HA129" s="2">
        <v>0</v>
      </c>
      <c r="HB129" s="2">
        <v>0</v>
      </c>
      <c r="HC129" s="2">
        <f t="shared" si="129"/>
        <v>0</v>
      </c>
      <c r="HD129" s="2"/>
      <c r="HE129" s="2" t="s">
        <v>3</v>
      </c>
      <c r="HF129" s="2" t="s">
        <v>3</v>
      </c>
      <c r="HG129" s="2"/>
      <c r="HH129" s="2"/>
      <c r="HI129" s="2"/>
      <c r="HJ129" s="2"/>
      <c r="HK129" s="2"/>
      <c r="HL129" s="2"/>
      <c r="HM129" s="2" t="s">
        <v>3</v>
      </c>
      <c r="HN129" s="2" t="s">
        <v>316</v>
      </c>
      <c r="HO129" s="2" t="s">
        <v>317</v>
      </c>
      <c r="HP129" s="2" t="s">
        <v>314</v>
      </c>
      <c r="HQ129" s="2" t="s">
        <v>314</v>
      </c>
      <c r="HR129" s="2"/>
      <c r="HS129" s="2">
        <v>0</v>
      </c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>
        <v>0</v>
      </c>
      <c r="IL129" s="2"/>
      <c r="IM129" s="2"/>
      <c r="IN129" s="2"/>
      <c r="IO129" s="2"/>
      <c r="IP129" s="2"/>
      <c r="IQ129" s="2"/>
      <c r="IR129" s="2"/>
      <c r="IS129" s="2"/>
      <c r="IT129" s="2"/>
      <c r="IU129" s="2"/>
    </row>
    <row r="130" spans="1:255" x14ac:dyDescent="0.2">
      <c r="A130" s="2">
        <v>18</v>
      </c>
      <c r="B130" s="2">
        <v>1</v>
      </c>
      <c r="C130" s="2">
        <v>144</v>
      </c>
      <c r="D130" s="2"/>
      <c r="E130" s="2" t="s">
        <v>323</v>
      </c>
      <c r="F130" s="2" t="s">
        <v>27</v>
      </c>
      <c r="G130" s="2" t="s">
        <v>28</v>
      </c>
      <c r="H130" s="2" t="s">
        <v>29</v>
      </c>
      <c r="I130" s="2">
        <f>I129*J130</f>
        <v>-4.7099999999999998E-3</v>
      </c>
      <c r="J130" s="2">
        <v>-0.75</v>
      </c>
      <c r="K130" s="2">
        <v>-0.75</v>
      </c>
      <c r="L130" s="2"/>
      <c r="M130" s="2"/>
      <c r="N130" s="2"/>
      <c r="O130" s="2">
        <f t="shared" si="109"/>
        <v>-0.27</v>
      </c>
      <c r="P130" s="2">
        <f>ROUND(CQ130*I130,2)</f>
        <v>0</v>
      </c>
      <c r="Q130" s="2">
        <f>ROUND(CR130*I130,2)</f>
        <v>-0.27</v>
      </c>
      <c r="R130" s="2">
        <f>ROUND(CS130*I130,2)</f>
        <v>0</v>
      </c>
      <c r="S130" s="2">
        <f>ROUND(CT130*I130,2)</f>
        <v>0</v>
      </c>
      <c r="T130" s="2">
        <f t="shared" si="110"/>
        <v>0</v>
      </c>
      <c r="U130" s="2">
        <f>ROUND(CV130*I130,7)</f>
        <v>0</v>
      </c>
      <c r="V130" s="2">
        <f>ROUND(CW130*I130,7)</f>
        <v>0</v>
      </c>
      <c r="W130" s="2">
        <f t="shared" si="111"/>
        <v>0</v>
      </c>
      <c r="X130" s="2">
        <f t="shared" si="112"/>
        <v>0</v>
      </c>
      <c r="Y130" s="2">
        <f t="shared" si="113"/>
        <v>0</v>
      </c>
      <c r="Z130" s="2"/>
      <c r="AA130" s="2">
        <v>85997836</v>
      </c>
      <c r="AB130" s="2">
        <f t="shared" si="114"/>
        <v>-603.9</v>
      </c>
      <c r="AC130" s="2">
        <f>ROUND((ES130),6)</f>
        <v>0</v>
      </c>
      <c r="AD130" s="2">
        <f>ROUND((((ET130)-(EU130))+AE130),6)</f>
        <v>-603.9</v>
      </c>
      <c r="AE130" s="2">
        <f>ROUND(((EU130*ROUND(0,7))),6)</f>
        <v>0</v>
      </c>
      <c r="AF130" s="2">
        <f>ROUND((EV130),6)</f>
        <v>0</v>
      </c>
      <c r="AG130" s="2">
        <f t="shared" si="115"/>
        <v>0</v>
      </c>
      <c r="AH130" s="2">
        <f>(EW130)</f>
        <v>0</v>
      </c>
      <c r="AI130" s="2">
        <f>(EX130)</f>
        <v>0</v>
      </c>
      <c r="AJ130" s="2">
        <f t="shared" si="116"/>
        <v>0</v>
      </c>
      <c r="AK130" s="2">
        <v>37.32</v>
      </c>
      <c r="AL130" s="2">
        <v>0</v>
      </c>
      <c r="AM130" s="2">
        <v>37.32</v>
      </c>
      <c r="AN130" s="2">
        <v>641.22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87</v>
      </c>
      <c r="AU130" s="2">
        <v>44</v>
      </c>
      <c r="AV130" s="2">
        <v>1</v>
      </c>
      <c r="AW130" s="2">
        <v>1</v>
      </c>
      <c r="AX130" s="2"/>
      <c r="AY130" s="2"/>
      <c r="AZ130" s="2">
        <v>1</v>
      </c>
      <c r="BA130" s="2">
        <v>1</v>
      </c>
      <c r="BB130" s="2">
        <v>1.54</v>
      </c>
      <c r="BC130" s="2">
        <v>1</v>
      </c>
      <c r="BD130" s="2" t="s">
        <v>3</v>
      </c>
      <c r="BE130" s="2" t="s">
        <v>3</v>
      </c>
      <c r="BF130" s="2" t="s">
        <v>3</v>
      </c>
      <c r="BG130" s="2" t="s">
        <v>3</v>
      </c>
      <c r="BH130" s="2">
        <v>2</v>
      </c>
      <c r="BI130" s="2">
        <v>1</v>
      </c>
      <c r="BJ130" s="2" t="s">
        <v>30</v>
      </c>
      <c r="BK130" s="2"/>
      <c r="BL130" s="2"/>
      <c r="BM130" s="2">
        <v>65001</v>
      </c>
      <c r="BN130" s="2">
        <v>0</v>
      </c>
      <c r="BO130" s="2" t="s">
        <v>27</v>
      </c>
      <c r="BP130" s="2">
        <v>1</v>
      </c>
      <c r="BQ130" s="2">
        <v>6</v>
      </c>
      <c r="BR130" s="2">
        <v>0</v>
      </c>
      <c r="BS130" s="2">
        <v>1</v>
      </c>
      <c r="BT130" s="2">
        <v>1</v>
      </c>
      <c r="BU130" s="2">
        <v>1</v>
      </c>
      <c r="BV130" s="2">
        <v>1</v>
      </c>
      <c r="BW130" s="2">
        <v>1</v>
      </c>
      <c r="BX130" s="2">
        <v>1</v>
      </c>
      <c r="BY130" s="2" t="s">
        <v>3</v>
      </c>
      <c r="BZ130" s="2">
        <v>87</v>
      </c>
      <c r="CA130" s="2">
        <v>44</v>
      </c>
      <c r="CB130" s="2" t="s">
        <v>3</v>
      </c>
      <c r="CC130" s="2"/>
      <c r="CD130" s="2"/>
      <c r="CE130" s="2">
        <v>0</v>
      </c>
      <c r="CF130" s="2">
        <v>0</v>
      </c>
      <c r="CG130" s="2">
        <v>0</v>
      </c>
      <c r="CH130" s="2"/>
      <c r="CI130" s="2"/>
      <c r="CJ130" s="2"/>
      <c r="CK130" s="2"/>
      <c r="CL130" s="2"/>
      <c r="CM130" s="2">
        <v>0</v>
      </c>
      <c r="CN130" s="2" t="s">
        <v>3</v>
      </c>
      <c r="CO130" s="2">
        <v>0</v>
      </c>
      <c r="CP130" s="2">
        <f t="shared" si="117"/>
        <v>-0.27</v>
      </c>
      <c r="CQ130" s="2">
        <f>ROUND(AL130*BC130,2)</f>
        <v>0</v>
      </c>
      <c r="CR130" s="2">
        <f>ROUND(AM130*BB130,2)</f>
        <v>57.47</v>
      </c>
      <c r="CS130" s="2">
        <f>(ROUND(AN130*BS130,2)*ROUND(0,7))</f>
        <v>0</v>
      </c>
      <c r="CT130" s="2">
        <f>ROUND(AO130*BA130,2)</f>
        <v>0</v>
      </c>
      <c r="CU130" s="2">
        <f t="shared" si="118"/>
        <v>0</v>
      </c>
      <c r="CV130" s="2">
        <f>AH130</f>
        <v>0</v>
      </c>
      <c r="CW130" s="2">
        <f>AI130</f>
        <v>0</v>
      </c>
      <c r="CX130" s="2">
        <f t="shared" si="119"/>
        <v>0</v>
      </c>
      <c r="CY130" s="2">
        <f t="shared" si="120"/>
        <v>0</v>
      </c>
      <c r="CZ130" s="2">
        <f t="shared" si="121"/>
        <v>0</v>
      </c>
      <c r="DA130" s="2"/>
      <c r="DB130" s="2"/>
      <c r="DC130" s="2" t="s">
        <v>3</v>
      </c>
      <c r="DD130" s="2" t="s">
        <v>3</v>
      </c>
      <c r="DE130" s="2" t="s">
        <v>3</v>
      </c>
      <c r="DF130" s="2" t="s">
        <v>46</v>
      </c>
      <c r="DG130" s="2" t="s">
        <v>3</v>
      </c>
      <c r="DH130" s="2" t="s">
        <v>3</v>
      </c>
      <c r="DI130" s="2" t="s">
        <v>3</v>
      </c>
      <c r="DJ130" s="2" t="s">
        <v>3</v>
      </c>
      <c r="DK130" s="2" t="s">
        <v>3</v>
      </c>
      <c r="DL130" s="2" t="s">
        <v>3</v>
      </c>
      <c r="DM130" s="2" t="s">
        <v>3</v>
      </c>
      <c r="DN130" s="2">
        <v>0</v>
      </c>
      <c r="DO130" s="2">
        <v>0</v>
      </c>
      <c r="DP130" s="2">
        <v>1</v>
      </c>
      <c r="DQ130" s="2">
        <v>1</v>
      </c>
      <c r="DR130" s="2"/>
      <c r="DS130" s="2"/>
      <c r="DT130" s="2"/>
      <c r="DU130" s="2">
        <v>1011</v>
      </c>
      <c r="DV130" s="2" t="s">
        <v>29</v>
      </c>
      <c r="DW130" s="2" t="s">
        <v>29</v>
      </c>
      <c r="DX130" s="2">
        <v>1</v>
      </c>
      <c r="DY130" s="2"/>
      <c r="DZ130" s="2" t="s">
        <v>3</v>
      </c>
      <c r="EA130" s="2" t="s">
        <v>3</v>
      </c>
      <c r="EB130" s="2" t="s">
        <v>3</v>
      </c>
      <c r="EC130" s="2" t="s">
        <v>3</v>
      </c>
      <c r="ED130" s="2"/>
      <c r="EE130" s="2">
        <v>84053984</v>
      </c>
      <c r="EF130" s="2">
        <v>6</v>
      </c>
      <c r="EG130" s="2" t="s">
        <v>22</v>
      </c>
      <c r="EH130" s="2">
        <v>99</v>
      </c>
      <c r="EI130" s="2" t="s">
        <v>313</v>
      </c>
      <c r="EJ130" s="2">
        <v>1</v>
      </c>
      <c r="EK130" s="2">
        <v>65001</v>
      </c>
      <c r="EL130" s="2" t="s">
        <v>314</v>
      </c>
      <c r="EM130" s="2" t="s">
        <v>315</v>
      </c>
      <c r="EN130" s="2"/>
      <c r="EO130" s="2" t="s">
        <v>3</v>
      </c>
      <c r="EP130" s="2"/>
      <c r="EQ130" s="2">
        <v>0</v>
      </c>
      <c r="ER130" s="2">
        <v>37.32</v>
      </c>
      <c r="ES130" s="2">
        <v>0</v>
      </c>
      <c r="ET130" s="2">
        <v>37.32</v>
      </c>
      <c r="EU130" s="2">
        <v>641.22</v>
      </c>
      <c r="EV130" s="2">
        <v>0</v>
      </c>
      <c r="EW130" s="2">
        <v>0</v>
      </c>
      <c r="EX130" s="2">
        <v>0</v>
      </c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>
        <v>0</v>
      </c>
      <c r="FR130" s="2">
        <v>0</v>
      </c>
      <c r="FS130" s="2">
        <v>1</v>
      </c>
      <c r="FT130" s="2"/>
      <c r="FU130" s="2"/>
      <c r="FV130" s="2"/>
      <c r="FW130" s="2"/>
      <c r="FX130" s="2">
        <v>87</v>
      </c>
      <c r="FY130" s="2">
        <v>44</v>
      </c>
      <c r="FZ130" s="2"/>
      <c r="GA130" s="2" t="s">
        <v>3</v>
      </c>
      <c r="GB130" s="2"/>
      <c r="GC130" s="2"/>
      <c r="GD130" s="2">
        <v>1</v>
      </c>
      <c r="GE130" s="2"/>
      <c r="GF130" s="2">
        <v>945201097</v>
      </c>
      <c r="GG130" s="2">
        <v>2</v>
      </c>
      <c r="GH130" s="2">
        <v>1</v>
      </c>
      <c r="GI130" s="2">
        <v>2</v>
      </c>
      <c r="GJ130" s="2">
        <v>0</v>
      </c>
      <c r="GK130" s="2">
        <v>0</v>
      </c>
      <c r="GL130" s="2">
        <f t="shared" si="122"/>
        <v>0</v>
      </c>
      <c r="GM130" s="2">
        <f t="shared" si="123"/>
        <v>-0.27</v>
      </c>
      <c r="GN130" s="2">
        <f t="shared" si="124"/>
        <v>-0.27</v>
      </c>
      <c r="GO130" s="2">
        <f t="shared" si="125"/>
        <v>0</v>
      </c>
      <c r="GP130" s="2">
        <f t="shared" si="126"/>
        <v>0</v>
      </c>
      <c r="GQ130" s="2"/>
      <c r="GR130" s="2">
        <v>0</v>
      </c>
      <c r="GS130" s="2">
        <v>7</v>
      </c>
      <c r="GT130" s="2">
        <v>0</v>
      </c>
      <c r="GU130" s="2" t="s">
        <v>3</v>
      </c>
      <c r="GV130" s="2">
        <f t="shared" si="127"/>
        <v>0</v>
      </c>
      <c r="GW130" s="2">
        <v>1</v>
      </c>
      <c r="GX130" s="2">
        <f t="shared" si="128"/>
        <v>0</v>
      </c>
      <c r="GY130" s="2"/>
      <c r="GZ130" s="2"/>
      <c r="HA130" s="2">
        <v>0</v>
      </c>
      <c r="HB130" s="2">
        <v>0</v>
      </c>
      <c r="HC130" s="2">
        <f t="shared" si="129"/>
        <v>0</v>
      </c>
      <c r="HD130" s="2"/>
      <c r="HE130" s="2" t="s">
        <v>3</v>
      </c>
      <c r="HF130" s="2" t="s">
        <v>3</v>
      </c>
      <c r="HG130" s="2"/>
      <c r="HH130" s="2"/>
      <c r="HI130" s="2"/>
      <c r="HJ130" s="2"/>
      <c r="HK130" s="2"/>
      <c r="HL130" s="2"/>
      <c r="HM130" s="2" t="s">
        <v>3</v>
      </c>
      <c r="HN130" s="2" t="s">
        <v>316</v>
      </c>
      <c r="HO130" s="2" t="s">
        <v>317</v>
      </c>
      <c r="HP130" s="2" t="s">
        <v>314</v>
      </c>
      <c r="HQ130" s="2" t="s">
        <v>314</v>
      </c>
      <c r="HR130" s="2"/>
      <c r="HS130" s="2">
        <v>0</v>
      </c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>
        <v>0</v>
      </c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2" spans="1:255" x14ac:dyDescent="0.2">
      <c r="A132" s="3">
        <v>51</v>
      </c>
      <c r="B132" s="3">
        <f>B113</f>
        <v>1</v>
      </c>
      <c r="C132" s="3">
        <f>A113</f>
        <v>4</v>
      </c>
      <c r="D132" s="3">
        <f>ROW(A113)</f>
        <v>113</v>
      </c>
      <c r="E132" s="3"/>
      <c r="F132" s="3" t="str">
        <f>IF(F113&lt;&gt;"",F113,"")</f>
        <v>Новый раздел</v>
      </c>
      <c r="G132" s="3" t="str">
        <f>IF(G113&lt;&gt;"",G113,"")</f>
        <v>Вентиляция</v>
      </c>
      <c r="H132" s="3">
        <v>0</v>
      </c>
      <c r="I132" s="3"/>
      <c r="J132" s="3"/>
      <c r="K132" s="3"/>
      <c r="L132" s="3"/>
      <c r="M132" s="3"/>
      <c r="N132" s="3"/>
      <c r="O132" s="3">
        <f t="shared" ref="O132:T132" si="145">ROUND(AB132,2)</f>
        <v>14348.61</v>
      </c>
      <c r="P132" s="3">
        <f t="shared" si="145"/>
        <v>-512.78</v>
      </c>
      <c r="Q132" s="3">
        <f t="shared" si="145"/>
        <v>-42.5</v>
      </c>
      <c r="R132" s="3">
        <f t="shared" si="145"/>
        <v>-106.77</v>
      </c>
      <c r="S132" s="3">
        <f t="shared" si="145"/>
        <v>15010.66</v>
      </c>
      <c r="T132" s="3">
        <f t="shared" si="145"/>
        <v>0</v>
      </c>
      <c r="U132" s="3">
        <f>AH132</f>
        <v>23.01867</v>
      </c>
      <c r="V132" s="3">
        <f>AI132</f>
        <v>0</v>
      </c>
      <c r="W132" s="3">
        <f>ROUND(AJ132,2)</f>
        <v>0</v>
      </c>
      <c r="X132" s="3">
        <f>ROUND(AK132,2)</f>
        <v>17111.080000000002</v>
      </c>
      <c r="Y132" s="3">
        <f>ROUND(AL132,2)</f>
        <v>8647.31</v>
      </c>
      <c r="Z132" s="3"/>
      <c r="AA132" s="3"/>
      <c r="AB132" s="3">
        <f>ROUND(SUMIF(AA117:AA130,"=85997836",O117:O130),2)</f>
        <v>14348.61</v>
      </c>
      <c r="AC132" s="3">
        <f>ROUND(SUMIF(AA117:AA130,"=85997836",P117:P130),2)</f>
        <v>-512.78</v>
      </c>
      <c r="AD132" s="3">
        <f>ROUND(SUMIF(AA117:AA130,"=85997836",Q117:Q130),2)</f>
        <v>-42.5</v>
      </c>
      <c r="AE132" s="3">
        <f>ROUND(SUMIF(AA117:AA130,"=85997836",R117:R130),2)</f>
        <v>-106.77</v>
      </c>
      <c r="AF132" s="3">
        <f>ROUND(SUMIF(AA117:AA130,"=85997836",S117:S130),2)</f>
        <v>15010.66</v>
      </c>
      <c r="AG132" s="3">
        <f>ROUND(SUMIF(AA117:AA130,"=85997836",T117:T130),2)</f>
        <v>0</v>
      </c>
      <c r="AH132" s="3">
        <f>SUMIF(AA117:AA130,"=85997836",U117:U130)</f>
        <v>23.01867</v>
      </c>
      <c r="AI132" s="3">
        <f>SUMIF(AA117:AA130,"=85997836",V117:V130)</f>
        <v>0</v>
      </c>
      <c r="AJ132" s="3">
        <f>ROUND(SUMIF(AA117:AA130,"=85997836",W117:W130),2)</f>
        <v>0</v>
      </c>
      <c r="AK132" s="3">
        <f>ROUND(SUMIF(AA117:AA130,"=85997836",X117:X130),2)</f>
        <v>17111.080000000002</v>
      </c>
      <c r="AL132" s="3">
        <f>ROUND(SUMIF(AA117:AA130,"=85997836",Y117:Y130),2)</f>
        <v>8647.31</v>
      </c>
      <c r="AM132" s="3"/>
      <c r="AN132" s="3"/>
      <c r="AO132" s="3">
        <f t="shared" ref="AO132:BD132" si="146">ROUND(BX132,2)</f>
        <v>0</v>
      </c>
      <c r="AP132" s="3">
        <f t="shared" si="146"/>
        <v>0</v>
      </c>
      <c r="AQ132" s="3">
        <f t="shared" si="146"/>
        <v>0</v>
      </c>
      <c r="AR132" s="3">
        <f t="shared" si="146"/>
        <v>40107</v>
      </c>
      <c r="AS132" s="3">
        <f t="shared" si="146"/>
        <v>40107</v>
      </c>
      <c r="AT132" s="3">
        <f t="shared" si="146"/>
        <v>0</v>
      </c>
      <c r="AU132" s="3">
        <f t="shared" si="146"/>
        <v>0</v>
      </c>
      <c r="AV132" s="3">
        <f t="shared" si="146"/>
        <v>-512.78</v>
      </c>
      <c r="AW132" s="3">
        <f t="shared" si="146"/>
        <v>-512.78</v>
      </c>
      <c r="AX132" s="3">
        <f t="shared" si="146"/>
        <v>0</v>
      </c>
      <c r="AY132" s="3">
        <f t="shared" si="146"/>
        <v>-512.78</v>
      </c>
      <c r="AZ132" s="3">
        <f t="shared" si="146"/>
        <v>0</v>
      </c>
      <c r="BA132" s="3">
        <f t="shared" si="146"/>
        <v>0</v>
      </c>
      <c r="BB132" s="3">
        <f t="shared" si="146"/>
        <v>0</v>
      </c>
      <c r="BC132" s="3">
        <f t="shared" si="146"/>
        <v>0</v>
      </c>
      <c r="BD132" s="3">
        <f t="shared" si="146"/>
        <v>0</v>
      </c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>
        <f>ROUND(SUMIF(AA117:AA130,"=85997836",FQ117:FQ130),2)</f>
        <v>0</v>
      </c>
      <c r="BY132" s="3">
        <f>ROUND(SUMIF(AA117:AA130,"=85997836",FR117:FR130),2)</f>
        <v>0</v>
      </c>
      <c r="BZ132" s="3">
        <f>ROUND(SUMIF(AA117:AA130,"=85997836",GL117:GL130),2)</f>
        <v>0</v>
      </c>
      <c r="CA132" s="3">
        <f>ROUND(SUMIF(AA117:AA130,"=85997836",GM117:GM130),2)</f>
        <v>40107</v>
      </c>
      <c r="CB132" s="3">
        <f>ROUND(SUMIF(AA117:AA130,"=85997836",GN117:GN130),2)</f>
        <v>40107</v>
      </c>
      <c r="CC132" s="3">
        <f>ROUND(SUMIF(AA117:AA130,"=85997836",GO117:GO130),2)</f>
        <v>0</v>
      </c>
      <c r="CD132" s="3">
        <f>ROUND(SUMIF(AA117:AA130,"=85997836",GP117:GP130),2)</f>
        <v>0</v>
      </c>
      <c r="CE132" s="3">
        <f>AC132-BX132</f>
        <v>-512.78</v>
      </c>
      <c r="CF132" s="3">
        <f>AC132-BY132</f>
        <v>-512.78</v>
      </c>
      <c r="CG132" s="3">
        <f>BX132-BZ132</f>
        <v>0</v>
      </c>
      <c r="CH132" s="3">
        <f>AC132-BX132-BY132+BZ132</f>
        <v>-512.78</v>
      </c>
      <c r="CI132" s="3">
        <f>BY132-BZ132</f>
        <v>0</v>
      </c>
      <c r="CJ132" s="3">
        <f>ROUND(SUMIF(AA117:AA130,"=85997836",GX117:GX130),2)</f>
        <v>0</v>
      </c>
      <c r="CK132" s="3">
        <f>ROUND(SUMIF(AA117:AA130,"=85997836",GY117:GY130),2)</f>
        <v>0</v>
      </c>
      <c r="CL132" s="3">
        <f>ROUND(SUMIF(AA117:AA130,"=85997836",GZ117:GZ130),2)</f>
        <v>0</v>
      </c>
      <c r="CM132" s="3">
        <f>ROUND(SUMIF(AA117:AA130,"=85997836",HD117:HD130),2)</f>
        <v>0</v>
      </c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>
        <v>0</v>
      </c>
    </row>
    <row r="134" spans="1:255" x14ac:dyDescent="0.2">
      <c r="A134" s="5">
        <v>50</v>
      </c>
      <c r="B134" s="5">
        <v>0</v>
      </c>
      <c r="C134" s="5">
        <v>0</v>
      </c>
      <c r="D134" s="5">
        <v>1</v>
      </c>
      <c r="E134" s="5">
        <v>201</v>
      </c>
      <c r="F134" s="5">
        <f>ROUND(Source!O132,O134)</f>
        <v>14348.61</v>
      </c>
      <c r="G134" s="5" t="s">
        <v>208</v>
      </c>
      <c r="H134" s="5" t="s">
        <v>209</v>
      </c>
      <c r="I134" s="5"/>
      <c r="J134" s="5"/>
      <c r="K134" s="5">
        <v>201</v>
      </c>
      <c r="L134" s="5">
        <v>1</v>
      </c>
      <c r="M134" s="5">
        <v>3</v>
      </c>
      <c r="N134" s="5" t="s">
        <v>3</v>
      </c>
      <c r="O134" s="5">
        <v>2</v>
      </c>
      <c r="P134" s="5"/>
      <c r="Q134" s="5"/>
      <c r="R134" s="5"/>
      <c r="S134" s="5"/>
      <c r="T134" s="5"/>
      <c r="U134" s="5"/>
      <c r="V134" s="5"/>
      <c r="W134" s="5">
        <v>14348.609999999997</v>
      </c>
      <c r="X134" s="5">
        <v>1</v>
      </c>
      <c r="Y134" s="5">
        <v>14348.609999999997</v>
      </c>
      <c r="Z134" s="5"/>
      <c r="AA134" s="5"/>
      <c r="AB134" s="5"/>
    </row>
    <row r="135" spans="1:255" x14ac:dyDescent="0.2">
      <c r="A135" s="5">
        <v>50</v>
      </c>
      <c r="B135" s="5">
        <v>0</v>
      </c>
      <c r="C135" s="5">
        <v>0</v>
      </c>
      <c r="D135" s="5">
        <v>1</v>
      </c>
      <c r="E135" s="5">
        <v>202</v>
      </c>
      <c r="F135" s="5">
        <f>ROUND(Source!P132,O135)</f>
        <v>-512.78</v>
      </c>
      <c r="G135" s="5" t="s">
        <v>210</v>
      </c>
      <c r="H135" s="5" t="s">
        <v>211</v>
      </c>
      <c r="I135" s="5"/>
      <c r="J135" s="5"/>
      <c r="K135" s="5">
        <v>202</v>
      </c>
      <c r="L135" s="5">
        <v>2</v>
      </c>
      <c r="M135" s="5">
        <v>3</v>
      </c>
      <c r="N135" s="5" t="s">
        <v>3</v>
      </c>
      <c r="O135" s="5">
        <v>2</v>
      </c>
      <c r="P135" s="5"/>
      <c r="Q135" s="5"/>
      <c r="R135" s="5"/>
      <c r="S135" s="5"/>
      <c r="T135" s="5"/>
      <c r="U135" s="5"/>
      <c r="V135" s="5"/>
      <c r="W135" s="5">
        <v>-512.78</v>
      </c>
      <c r="X135" s="5">
        <v>1</v>
      </c>
      <c r="Y135" s="5">
        <v>-512.78</v>
      </c>
      <c r="Z135" s="5"/>
      <c r="AA135" s="5"/>
      <c r="AB135" s="5"/>
    </row>
    <row r="136" spans="1:255" x14ac:dyDescent="0.2">
      <c r="A136" s="5">
        <v>50</v>
      </c>
      <c r="B136" s="5">
        <v>0</v>
      </c>
      <c r="C136" s="5">
        <v>0</v>
      </c>
      <c r="D136" s="5">
        <v>1</v>
      </c>
      <c r="E136" s="5">
        <v>222</v>
      </c>
      <c r="F136" s="5">
        <f>ROUND(Source!AO132,O136)</f>
        <v>0</v>
      </c>
      <c r="G136" s="5" t="s">
        <v>212</v>
      </c>
      <c r="H136" s="5" t="s">
        <v>213</v>
      </c>
      <c r="I136" s="5"/>
      <c r="J136" s="5"/>
      <c r="K136" s="5">
        <v>222</v>
      </c>
      <c r="L136" s="5">
        <v>3</v>
      </c>
      <c r="M136" s="5">
        <v>3</v>
      </c>
      <c r="N136" s="5" t="s">
        <v>3</v>
      </c>
      <c r="O136" s="5">
        <v>2</v>
      </c>
      <c r="P136" s="5"/>
      <c r="Q136" s="5"/>
      <c r="R136" s="5"/>
      <c r="S136" s="5"/>
      <c r="T136" s="5"/>
      <c r="U136" s="5"/>
      <c r="V136" s="5"/>
      <c r="W136" s="5">
        <v>0</v>
      </c>
      <c r="X136" s="5">
        <v>1</v>
      </c>
      <c r="Y136" s="5">
        <v>0</v>
      </c>
      <c r="Z136" s="5"/>
      <c r="AA136" s="5"/>
      <c r="AB136" s="5"/>
    </row>
    <row r="137" spans="1:255" x14ac:dyDescent="0.2">
      <c r="A137" s="5">
        <v>50</v>
      </c>
      <c r="B137" s="5">
        <v>0</v>
      </c>
      <c r="C137" s="5">
        <v>0</v>
      </c>
      <c r="D137" s="5">
        <v>1</v>
      </c>
      <c r="E137" s="5">
        <v>225</v>
      </c>
      <c r="F137" s="5">
        <f>ROUND(Source!AV132,O137)</f>
        <v>-512.78</v>
      </c>
      <c r="G137" s="5" t="s">
        <v>214</v>
      </c>
      <c r="H137" s="5" t="s">
        <v>215</v>
      </c>
      <c r="I137" s="5"/>
      <c r="J137" s="5"/>
      <c r="K137" s="5">
        <v>225</v>
      </c>
      <c r="L137" s="5">
        <v>4</v>
      </c>
      <c r="M137" s="5">
        <v>3</v>
      </c>
      <c r="N137" s="5" t="s">
        <v>3</v>
      </c>
      <c r="O137" s="5">
        <v>2</v>
      </c>
      <c r="P137" s="5"/>
      <c r="Q137" s="5"/>
      <c r="R137" s="5"/>
      <c r="S137" s="5"/>
      <c r="T137" s="5"/>
      <c r="U137" s="5"/>
      <c r="V137" s="5"/>
      <c r="W137" s="5">
        <v>-512.78</v>
      </c>
      <c r="X137" s="5">
        <v>1</v>
      </c>
      <c r="Y137" s="5">
        <v>-512.78</v>
      </c>
      <c r="Z137" s="5"/>
      <c r="AA137" s="5"/>
      <c r="AB137" s="5"/>
    </row>
    <row r="138" spans="1:255" x14ac:dyDescent="0.2">
      <c r="A138" s="5">
        <v>50</v>
      </c>
      <c r="B138" s="5">
        <v>0</v>
      </c>
      <c r="C138" s="5">
        <v>0</v>
      </c>
      <c r="D138" s="5">
        <v>1</v>
      </c>
      <c r="E138" s="5">
        <v>226</v>
      </c>
      <c r="F138" s="5">
        <f>ROUND(Source!AW132,O138)</f>
        <v>-512.78</v>
      </c>
      <c r="G138" s="5" t="s">
        <v>216</v>
      </c>
      <c r="H138" s="5" t="s">
        <v>217</v>
      </c>
      <c r="I138" s="5"/>
      <c r="J138" s="5"/>
      <c r="K138" s="5">
        <v>226</v>
      </c>
      <c r="L138" s="5">
        <v>5</v>
      </c>
      <c r="M138" s="5">
        <v>3</v>
      </c>
      <c r="N138" s="5" t="s">
        <v>3</v>
      </c>
      <c r="O138" s="5">
        <v>2</v>
      </c>
      <c r="P138" s="5"/>
      <c r="Q138" s="5"/>
      <c r="R138" s="5"/>
      <c r="S138" s="5"/>
      <c r="T138" s="5"/>
      <c r="U138" s="5"/>
      <c r="V138" s="5"/>
      <c r="W138" s="5">
        <v>-512.78</v>
      </c>
      <c r="X138" s="5">
        <v>1</v>
      </c>
      <c r="Y138" s="5">
        <v>-512.78</v>
      </c>
      <c r="Z138" s="5"/>
      <c r="AA138" s="5"/>
      <c r="AB138" s="5"/>
    </row>
    <row r="139" spans="1:255" x14ac:dyDescent="0.2">
      <c r="A139" s="5">
        <v>50</v>
      </c>
      <c r="B139" s="5">
        <v>0</v>
      </c>
      <c r="C139" s="5">
        <v>0</v>
      </c>
      <c r="D139" s="5">
        <v>1</v>
      </c>
      <c r="E139" s="5">
        <v>227</v>
      </c>
      <c r="F139" s="5">
        <f>ROUND(Source!AX132,O139)</f>
        <v>0</v>
      </c>
      <c r="G139" s="5" t="s">
        <v>218</v>
      </c>
      <c r="H139" s="5" t="s">
        <v>219</v>
      </c>
      <c r="I139" s="5"/>
      <c r="J139" s="5"/>
      <c r="K139" s="5">
        <v>227</v>
      </c>
      <c r="L139" s="5">
        <v>6</v>
      </c>
      <c r="M139" s="5">
        <v>3</v>
      </c>
      <c r="N139" s="5" t="s">
        <v>3</v>
      </c>
      <c r="O139" s="5">
        <v>2</v>
      </c>
      <c r="P139" s="5"/>
      <c r="Q139" s="5"/>
      <c r="R139" s="5"/>
      <c r="S139" s="5"/>
      <c r="T139" s="5"/>
      <c r="U139" s="5"/>
      <c r="V139" s="5"/>
      <c r="W139" s="5">
        <v>0</v>
      </c>
      <c r="X139" s="5">
        <v>1</v>
      </c>
      <c r="Y139" s="5">
        <v>0</v>
      </c>
      <c r="Z139" s="5"/>
      <c r="AA139" s="5"/>
      <c r="AB139" s="5"/>
    </row>
    <row r="140" spans="1:255" x14ac:dyDescent="0.2">
      <c r="A140" s="5">
        <v>50</v>
      </c>
      <c r="B140" s="5">
        <v>0</v>
      </c>
      <c r="C140" s="5">
        <v>0</v>
      </c>
      <c r="D140" s="5">
        <v>1</v>
      </c>
      <c r="E140" s="5">
        <v>228</v>
      </c>
      <c r="F140" s="5">
        <f>ROUND(Source!AY132,O140)</f>
        <v>-512.78</v>
      </c>
      <c r="G140" s="5" t="s">
        <v>220</v>
      </c>
      <c r="H140" s="5" t="s">
        <v>221</v>
      </c>
      <c r="I140" s="5"/>
      <c r="J140" s="5"/>
      <c r="K140" s="5">
        <v>228</v>
      </c>
      <c r="L140" s="5">
        <v>7</v>
      </c>
      <c r="M140" s="5">
        <v>3</v>
      </c>
      <c r="N140" s="5" t="s">
        <v>3</v>
      </c>
      <c r="O140" s="5">
        <v>2</v>
      </c>
      <c r="P140" s="5"/>
      <c r="Q140" s="5"/>
      <c r="R140" s="5"/>
      <c r="S140" s="5"/>
      <c r="T140" s="5"/>
      <c r="U140" s="5"/>
      <c r="V140" s="5"/>
      <c r="W140" s="5">
        <v>-512.78</v>
      </c>
      <c r="X140" s="5">
        <v>1</v>
      </c>
      <c r="Y140" s="5">
        <v>-512.78</v>
      </c>
      <c r="Z140" s="5"/>
      <c r="AA140" s="5"/>
      <c r="AB140" s="5"/>
    </row>
    <row r="141" spans="1:255" x14ac:dyDescent="0.2">
      <c r="A141" s="5">
        <v>50</v>
      </c>
      <c r="B141" s="5">
        <v>0</v>
      </c>
      <c r="C141" s="5">
        <v>0</v>
      </c>
      <c r="D141" s="5">
        <v>1</v>
      </c>
      <c r="E141" s="5">
        <v>216</v>
      </c>
      <c r="F141" s="5">
        <f>ROUND(Source!AP132,O141)</f>
        <v>0</v>
      </c>
      <c r="G141" s="5" t="s">
        <v>222</v>
      </c>
      <c r="H141" s="5" t="s">
        <v>223</v>
      </c>
      <c r="I141" s="5"/>
      <c r="J141" s="5"/>
      <c r="K141" s="5">
        <v>216</v>
      </c>
      <c r="L141" s="5">
        <v>8</v>
      </c>
      <c r="M141" s="5">
        <v>3</v>
      </c>
      <c r="N141" s="5" t="s">
        <v>3</v>
      </c>
      <c r="O141" s="5">
        <v>2</v>
      </c>
      <c r="P141" s="5"/>
      <c r="Q141" s="5"/>
      <c r="R141" s="5"/>
      <c r="S141" s="5"/>
      <c r="T141" s="5"/>
      <c r="U141" s="5"/>
      <c r="V141" s="5"/>
      <c r="W141" s="5">
        <v>0</v>
      </c>
      <c r="X141" s="5">
        <v>1</v>
      </c>
      <c r="Y141" s="5">
        <v>0</v>
      </c>
      <c r="Z141" s="5"/>
      <c r="AA141" s="5"/>
      <c r="AB141" s="5"/>
    </row>
    <row r="142" spans="1:255" x14ac:dyDescent="0.2">
      <c r="A142" s="5">
        <v>50</v>
      </c>
      <c r="B142" s="5">
        <v>0</v>
      </c>
      <c r="C142" s="5">
        <v>0</v>
      </c>
      <c r="D142" s="5">
        <v>1</v>
      </c>
      <c r="E142" s="5">
        <v>223</v>
      </c>
      <c r="F142" s="5">
        <f>ROUND(Source!AQ132,O142)</f>
        <v>0</v>
      </c>
      <c r="G142" s="5" t="s">
        <v>224</v>
      </c>
      <c r="H142" s="5" t="s">
        <v>225</v>
      </c>
      <c r="I142" s="5"/>
      <c r="J142" s="5"/>
      <c r="K142" s="5">
        <v>223</v>
      </c>
      <c r="L142" s="5">
        <v>9</v>
      </c>
      <c r="M142" s="5">
        <v>3</v>
      </c>
      <c r="N142" s="5" t="s">
        <v>3</v>
      </c>
      <c r="O142" s="5">
        <v>2</v>
      </c>
      <c r="P142" s="5"/>
      <c r="Q142" s="5"/>
      <c r="R142" s="5"/>
      <c r="S142" s="5"/>
      <c r="T142" s="5"/>
      <c r="U142" s="5"/>
      <c r="V142" s="5"/>
      <c r="W142" s="5">
        <v>0</v>
      </c>
      <c r="X142" s="5">
        <v>1</v>
      </c>
      <c r="Y142" s="5">
        <v>0</v>
      </c>
      <c r="Z142" s="5"/>
      <c r="AA142" s="5"/>
      <c r="AB142" s="5"/>
    </row>
    <row r="143" spans="1:255" x14ac:dyDescent="0.2">
      <c r="A143" s="5">
        <v>50</v>
      </c>
      <c r="B143" s="5">
        <v>0</v>
      </c>
      <c r="C143" s="5">
        <v>0</v>
      </c>
      <c r="D143" s="5">
        <v>1</v>
      </c>
      <c r="E143" s="5">
        <v>229</v>
      </c>
      <c r="F143" s="5">
        <f>ROUND(Source!AZ132,O143)</f>
        <v>0</v>
      </c>
      <c r="G143" s="5" t="s">
        <v>226</v>
      </c>
      <c r="H143" s="5" t="s">
        <v>227</v>
      </c>
      <c r="I143" s="5"/>
      <c r="J143" s="5"/>
      <c r="K143" s="5">
        <v>229</v>
      </c>
      <c r="L143" s="5">
        <v>10</v>
      </c>
      <c r="M143" s="5">
        <v>3</v>
      </c>
      <c r="N143" s="5" t="s">
        <v>3</v>
      </c>
      <c r="O143" s="5">
        <v>2</v>
      </c>
      <c r="P143" s="5"/>
      <c r="Q143" s="5"/>
      <c r="R143" s="5"/>
      <c r="S143" s="5"/>
      <c r="T143" s="5"/>
      <c r="U143" s="5"/>
      <c r="V143" s="5"/>
      <c r="W143" s="5">
        <v>0</v>
      </c>
      <c r="X143" s="5">
        <v>1</v>
      </c>
      <c r="Y143" s="5">
        <v>0</v>
      </c>
      <c r="Z143" s="5"/>
      <c r="AA143" s="5"/>
      <c r="AB143" s="5"/>
    </row>
    <row r="144" spans="1:255" x14ac:dyDescent="0.2">
      <c r="A144" s="5">
        <v>50</v>
      </c>
      <c r="B144" s="5">
        <v>0</v>
      </c>
      <c r="C144" s="5">
        <v>0</v>
      </c>
      <c r="D144" s="5">
        <v>1</v>
      </c>
      <c r="E144" s="5">
        <v>203</v>
      </c>
      <c r="F144" s="5">
        <f>ROUND(Source!Q132,O144)</f>
        <v>-42.5</v>
      </c>
      <c r="G144" s="5" t="s">
        <v>228</v>
      </c>
      <c r="H144" s="5" t="s">
        <v>229</v>
      </c>
      <c r="I144" s="5"/>
      <c r="J144" s="5"/>
      <c r="K144" s="5">
        <v>203</v>
      </c>
      <c r="L144" s="5">
        <v>11</v>
      </c>
      <c r="M144" s="5">
        <v>3</v>
      </c>
      <c r="N144" s="5" t="s">
        <v>3</v>
      </c>
      <c r="O144" s="5">
        <v>2</v>
      </c>
      <c r="P144" s="5"/>
      <c r="Q144" s="5"/>
      <c r="R144" s="5"/>
      <c r="S144" s="5"/>
      <c r="T144" s="5"/>
      <c r="U144" s="5"/>
      <c r="V144" s="5"/>
      <c r="W144" s="5">
        <v>-42.5</v>
      </c>
      <c r="X144" s="5">
        <v>1</v>
      </c>
      <c r="Y144" s="5">
        <v>-42.5</v>
      </c>
      <c r="Z144" s="5"/>
      <c r="AA144" s="5"/>
      <c r="AB144" s="5"/>
    </row>
    <row r="145" spans="1:28" x14ac:dyDescent="0.2">
      <c r="A145" s="5">
        <v>50</v>
      </c>
      <c r="B145" s="5">
        <v>0</v>
      </c>
      <c r="C145" s="5">
        <v>0</v>
      </c>
      <c r="D145" s="5">
        <v>1</v>
      </c>
      <c r="E145" s="5">
        <v>231</v>
      </c>
      <c r="F145" s="5">
        <f>ROUND(Source!BB132,O145)</f>
        <v>0</v>
      </c>
      <c r="G145" s="5" t="s">
        <v>230</v>
      </c>
      <c r="H145" s="5" t="s">
        <v>231</v>
      </c>
      <c r="I145" s="5"/>
      <c r="J145" s="5"/>
      <c r="K145" s="5">
        <v>231</v>
      </c>
      <c r="L145" s="5">
        <v>12</v>
      </c>
      <c r="M145" s="5">
        <v>3</v>
      </c>
      <c r="N145" s="5" t="s">
        <v>3</v>
      </c>
      <c r="O145" s="5">
        <v>2</v>
      </c>
      <c r="P145" s="5"/>
      <c r="Q145" s="5"/>
      <c r="R145" s="5"/>
      <c r="S145" s="5"/>
      <c r="T145" s="5"/>
      <c r="U145" s="5"/>
      <c r="V145" s="5"/>
      <c r="W145" s="5">
        <v>0</v>
      </c>
      <c r="X145" s="5">
        <v>1</v>
      </c>
      <c r="Y145" s="5">
        <v>0</v>
      </c>
      <c r="Z145" s="5"/>
      <c r="AA145" s="5"/>
      <c r="AB145" s="5"/>
    </row>
    <row r="146" spans="1:28" x14ac:dyDescent="0.2">
      <c r="A146" s="5">
        <v>50</v>
      </c>
      <c r="B146" s="5">
        <v>0</v>
      </c>
      <c r="C146" s="5">
        <v>0</v>
      </c>
      <c r="D146" s="5">
        <v>1</v>
      </c>
      <c r="E146" s="5">
        <v>204</v>
      </c>
      <c r="F146" s="5">
        <f>ROUND(Source!R132,O146)</f>
        <v>-106.77</v>
      </c>
      <c r="G146" s="5" t="s">
        <v>232</v>
      </c>
      <c r="H146" s="5" t="s">
        <v>233</v>
      </c>
      <c r="I146" s="5"/>
      <c r="J146" s="5"/>
      <c r="K146" s="5">
        <v>204</v>
      </c>
      <c r="L146" s="5">
        <v>13</v>
      </c>
      <c r="M146" s="5">
        <v>3</v>
      </c>
      <c r="N146" s="5" t="s">
        <v>3</v>
      </c>
      <c r="O146" s="5">
        <v>2</v>
      </c>
      <c r="P146" s="5"/>
      <c r="Q146" s="5"/>
      <c r="R146" s="5"/>
      <c r="S146" s="5"/>
      <c r="T146" s="5"/>
      <c r="U146" s="5"/>
      <c r="V146" s="5"/>
      <c r="W146" s="5">
        <v>-106.77000000000001</v>
      </c>
      <c r="X146" s="5">
        <v>1</v>
      </c>
      <c r="Y146" s="5">
        <v>-106.77000000000001</v>
      </c>
      <c r="Z146" s="5"/>
      <c r="AA146" s="5"/>
      <c r="AB146" s="5"/>
    </row>
    <row r="147" spans="1:28" x14ac:dyDescent="0.2">
      <c r="A147" s="5">
        <v>50</v>
      </c>
      <c r="B147" s="5">
        <v>0</v>
      </c>
      <c r="C147" s="5">
        <v>0</v>
      </c>
      <c r="D147" s="5">
        <v>1</v>
      </c>
      <c r="E147" s="5">
        <v>205</v>
      </c>
      <c r="F147" s="5">
        <f>ROUND(Source!S132,O147)</f>
        <v>15010.66</v>
      </c>
      <c r="G147" s="5" t="s">
        <v>234</v>
      </c>
      <c r="H147" s="5" t="s">
        <v>235</v>
      </c>
      <c r="I147" s="5"/>
      <c r="J147" s="5"/>
      <c r="K147" s="5">
        <v>205</v>
      </c>
      <c r="L147" s="5">
        <v>14</v>
      </c>
      <c r="M147" s="5">
        <v>3</v>
      </c>
      <c r="N147" s="5" t="s">
        <v>3</v>
      </c>
      <c r="O147" s="5">
        <v>2</v>
      </c>
      <c r="P147" s="5"/>
      <c r="Q147" s="5"/>
      <c r="R147" s="5"/>
      <c r="S147" s="5"/>
      <c r="T147" s="5"/>
      <c r="U147" s="5"/>
      <c r="V147" s="5"/>
      <c r="W147" s="5">
        <v>15010.659999999998</v>
      </c>
      <c r="X147" s="5">
        <v>1</v>
      </c>
      <c r="Y147" s="5">
        <v>15010.659999999998</v>
      </c>
      <c r="Z147" s="5"/>
      <c r="AA147" s="5"/>
      <c r="AB147" s="5"/>
    </row>
    <row r="148" spans="1:28" x14ac:dyDescent="0.2">
      <c r="A148" s="5">
        <v>50</v>
      </c>
      <c r="B148" s="5">
        <v>0</v>
      </c>
      <c r="C148" s="5">
        <v>0</v>
      </c>
      <c r="D148" s="5">
        <v>1</v>
      </c>
      <c r="E148" s="5">
        <v>232</v>
      </c>
      <c r="F148" s="5">
        <f>ROUND(Source!BC132,O148)</f>
        <v>0</v>
      </c>
      <c r="G148" s="5" t="s">
        <v>236</v>
      </c>
      <c r="H148" s="5" t="s">
        <v>237</v>
      </c>
      <c r="I148" s="5"/>
      <c r="J148" s="5"/>
      <c r="K148" s="5">
        <v>232</v>
      </c>
      <c r="L148" s="5">
        <v>15</v>
      </c>
      <c r="M148" s="5">
        <v>3</v>
      </c>
      <c r="N148" s="5" t="s">
        <v>3</v>
      </c>
      <c r="O148" s="5">
        <v>2</v>
      </c>
      <c r="P148" s="5"/>
      <c r="Q148" s="5"/>
      <c r="R148" s="5"/>
      <c r="S148" s="5"/>
      <c r="T148" s="5"/>
      <c r="U148" s="5"/>
      <c r="V148" s="5"/>
      <c r="W148" s="5">
        <v>0</v>
      </c>
      <c r="X148" s="5">
        <v>1</v>
      </c>
      <c r="Y148" s="5">
        <v>0</v>
      </c>
      <c r="Z148" s="5"/>
      <c r="AA148" s="5"/>
      <c r="AB148" s="5"/>
    </row>
    <row r="149" spans="1:28" x14ac:dyDescent="0.2">
      <c r="A149" s="5">
        <v>50</v>
      </c>
      <c r="B149" s="5">
        <v>0</v>
      </c>
      <c r="C149" s="5">
        <v>0</v>
      </c>
      <c r="D149" s="5">
        <v>1</v>
      </c>
      <c r="E149" s="5">
        <v>214</v>
      </c>
      <c r="F149" s="5">
        <f>ROUND(Source!AS132,O149)</f>
        <v>40107</v>
      </c>
      <c r="G149" s="5" t="s">
        <v>238</v>
      </c>
      <c r="H149" s="5" t="s">
        <v>239</v>
      </c>
      <c r="I149" s="5"/>
      <c r="J149" s="5"/>
      <c r="K149" s="5">
        <v>214</v>
      </c>
      <c r="L149" s="5">
        <v>16</v>
      </c>
      <c r="M149" s="5">
        <v>3</v>
      </c>
      <c r="N149" s="5" t="s">
        <v>3</v>
      </c>
      <c r="O149" s="5">
        <v>2</v>
      </c>
      <c r="P149" s="5"/>
      <c r="Q149" s="5"/>
      <c r="R149" s="5"/>
      <c r="S149" s="5"/>
      <c r="T149" s="5"/>
      <c r="U149" s="5"/>
      <c r="V149" s="5"/>
      <c r="W149" s="5">
        <v>40107</v>
      </c>
      <c r="X149" s="5">
        <v>1</v>
      </c>
      <c r="Y149" s="5">
        <v>40107</v>
      </c>
      <c r="Z149" s="5"/>
      <c r="AA149" s="5"/>
      <c r="AB149" s="5"/>
    </row>
    <row r="150" spans="1:28" x14ac:dyDescent="0.2">
      <c r="A150" s="5">
        <v>50</v>
      </c>
      <c r="B150" s="5">
        <v>0</v>
      </c>
      <c r="C150" s="5">
        <v>0</v>
      </c>
      <c r="D150" s="5">
        <v>1</v>
      </c>
      <c r="E150" s="5">
        <v>215</v>
      </c>
      <c r="F150" s="5">
        <f>ROUND(Source!AT132,O150)</f>
        <v>0</v>
      </c>
      <c r="G150" s="5" t="s">
        <v>240</v>
      </c>
      <c r="H150" s="5" t="s">
        <v>241</v>
      </c>
      <c r="I150" s="5"/>
      <c r="J150" s="5"/>
      <c r="K150" s="5">
        <v>215</v>
      </c>
      <c r="L150" s="5">
        <v>17</v>
      </c>
      <c r="M150" s="5">
        <v>3</v>
      </c>
      <c r="N150" s="5" t="s">
        <v>3</v>
      </c>
      <c r="O150" s="5">
        <v>2</v>
      </c>
      <c r="P150" s="5"/>
      <c r="Q150" s="5"/>
      <c r="R150" s="5"/>
      <c r="S150" s="5"/>
      <c r="T150" s="5"/>
      <c r="U150" s="5"/>
      <c r="V150" s="5"/>
      <c r="W150" s="5">
        <v>0</v>
      </c>
      <c r="X150" s="5">
        <v>1</v>
      </c>
      <c r="Y150" s="5">
        <v>0</v>
      </c>
      <c r="Z150" s="5"/>
      <c r="AA150" s="5"/>
      <c r="AB150" s="5"/>
    </row>
    <row r="151" spans="1:28" x14ac:dyDescent="0.2">
      <c r="A151" s="5">
        <v>50</v>
      </c>
      <c r="B151" s="5">
        <v>0</v>
      </c>
      <c r="C151" s="5">
        <v>0</v>
      </c>
      <c r="D151" s="5">
        <v>1</v>
      </c>
      <c r="E151" s="5">
        <v>217</v>
      </c>
      <c r="F151" s="5">
        <f>ROUND(Source!AU132,O151)</f>
        <v>0</v>
      </c>
      <c r="G151" s="5" t="s">
        <v>242</v>
      </c>
      <c r="H151" s="5" t="s">
        <v>243</v>
      </c>
      <c r="I151" s="5"/>
      <c r="J151" s="5"/>
      <c r="K151" s="5">
        <v>217</v>
      </c>
      <c r="L151" s="5">
        <v>18</v>
      </c>
      <c r="M151" s="5">
        <v>3</v>
      </c>
      <c r="N151" s="5" t="s">
        <v>3</v>
      </c>
      <c r="O151" s="5">
        <v>2</v>
      </c>
      <c r="P151" s="5"/>
      <c r="Q151" s="5"/>
      <c r="R151" s="5"/>
      <c r="S151" s="5"/>
      <c r="T151" s="5"/>
      <c r="U151" s="5"/>
      <c r="V151" s="5"/>
      <c r="W151" s="5">
        <v>0</v>
      </c>
      <c r="X151" s="5">
        <v>1</v>
      </c>
      <c r="Y151" s="5">
        <v>0</v>
      </c>
      <c r="Z151" s="5"/>
      <c r="AA151" s="5"/>
      <c r="AB151" s="5"/>
    </row>
    <row r="152" spans="1:28" x14ac:dyDescent="0.2">
      <c r="A152" s="5">
        <v>50</v>
      </c>
      <c r="B152" s="5">
        <v>0</v>
      </c>
      <c r="C152" s="5">
        <v>0</v>
      </c>
      <c r="D152" s="5">
        <v>1</v>
      </c>
      <c r="E152" s="5">
        <v>230</v>
      </c>
      <c r="F152" s="5">
        <f>ROUND(Source!BA132,O152)</f>
        <v>0</v>
      </c>
      <c r="G152" s="5" t="s">
        <v>244</v>
      </c>
      <c r="H152" s="5" t="s">
        <v>245</v>
      </c>
      <c r="I152" s="5"/>
      <c r="J152" s="5"/>
      <c r="K152" s="5">
        <v>230</v>
      </c>
      <c r="L152" s="5">
        <v>19</v>
      </c>
      <c r="M152" s="5">
        <v>3</v>
      </c>
      <c r="N152" s="5" t="s">
        <v>3</v>
      </c>
      <c r="O152" s="5">
        <v>2</v>
      </c>
      <c r="P152" s="5"/>
      <c r="Q152" s="5"/>
      <c r="R152" s="5"/>
      <c r="S152" s="5"/>
      <c r="T152" s="5"/>
      <c r="U152" s="5"/>
      <c r="V152" s="5"/>
      <c r="W152" s="5">
        <v>0</v>
      </c>
      <c r="X152" s="5">
        <v>1</v>
      </c>
      <c r="Y152" s="5">
        <v>0</v>
      </c>
      <c r="Z152" s="5"/>
      <c r="AA152" s="5"/>
      <c r="AB152" s="5"/>
    </row>
    <row r="153" spans="1:28" x14ac:dyDescent="0.2">
      <c r="A153" s="5">
        <v>50</v>
      </c>
      <c r="B153" s="5">
        <v>0</v>
      </c>
      <c r="C153" s="5">
        <v>0</v>
      </c>
      <c r="D153" s="5">
        <v>1</v>
      </c>
      <c r="E153" s="5">
        <v>206</v>
      </c>
      <c r="F153" s="5">
        <f>ROUND(Source!T132,O153)</f>
        <v>0</v>
      </c>
      <c r="G153" s="5" t="s">
        <v>246</v>
      </c>
      <c r="H153" s="5" t="s">
        <v>247</v>
      </c>
      <c r="I153" s="5"/>
      <c r="J153" s="5"/>
      <c r="K153" s="5">
        <v>206</v>
      </c>
      <c r="L153" s="5">
        <v>20</v>
      </c>
      <c r="M153" s="5">
        <v>3</v>
      </c>
      <c r="N153" s="5" t="s">
        <v>3</v>
      </c>
      <c r="O153" s="5">
        <v>2</v>
      </c>
      <c r="P153" s="5"/>
      <c r="Q153" s="5"/>
      <c r="R153" s="5"/>
      <c r="S153" s="5"/>
      <c r="T153" s="5"/>
      <c r="U153" s="5"/>
      <c r="V153" s="5"/>
      <c r="W153" s="5">
        <v>0</v>
      </c>
      <c r="X153" s="5">
        <v>1</v>
      </c>
      <c r="Y153" s="5">
        <v>0</v>
      </c>
      <c r="Z153" s="5"/>
      <c r="AA153" s="5"/>
      <c r="AB153" s="5"/>
    </row>
    <row r="154" spans="1:28" x14ac:dyDescent="0.2">
      <c r="A154" s="5">
        <v>50</v>
      </c>
      <c r="B154" s="5">
        <v>0</v>
      </c>
      <c r="C154" s="5">
        <v>0</v>
      </c>
      <c r="D154" s="5">
        <v>1</v>
      </c>
      <c r="E154" s="5">
        <v>207</v>
      </c>
      <c r="F154" s="5">
        <f>ROUND(Source!U132,O154)</f>
        <v>23.01867</v>
      </c>
      <c r="G154" s="5" t="s">
        <v>248</v>
      </c>
      <c r="H154" s="5" t="s">
        <v>249</v>
      </c>
      <c r="I154" s="5"/>
      <c r="J154" s="5"/>
      <c r="K154" s="5">
        <v>207</v>
      </c>
      <c r="L154" s="5">
        <v>21</v>
      </c>
      <c r="M154" s="5">
        <v>3</v>
      </c>
      <c r="N154" s="5" t="s">
        <v>3</v>
      </c>
      <c r="O154" s="5">
        <v>7</v>
      </c>
      <c r="P154" s="5"/>
      <c r="Q154" s="5"/>
      <c r="R154" s="5"/>
      <c r="S154" s="5"/>
      <c r="T154" s="5"/>
      <c r="U154" s="5"/>
      <c r="V154" s="5"/>
      <c r="W154" s="5">
        <v>23.01867</v>
      </c>
      <c r="X154" s="5">
        <v>1</v>
      </c>
      <c r="Y154" s="5">
        <v>23.01867</v>
      </c>
      <c r="Z154" s="5"/>
      <c r="AA154" s="5"/>
      <c r="AB154" s="5"/>
    </row>
    <row r="155" spans="1:28" x14ac:dyDescent="0.2">
      <c r="A155" s="5">
        <v>50</v>
      </c>
      <c r="B155" s="5">
        <v>0</v>
      </c>
      <c r="C155" s="5">
        <v>0</v>
      </c>
      <c r="D155" s="5">
        <v>1</v>
      </c>
      <c r="E155" s="5">
        <v>208</v>
      </c>
      <c r="F155" s="5">
        <f>ROUND(Source!V132,O155)</f>
        <v>0</v>
      </c>
      <c r="G155" s="5" t="s">
        <v>250</v>
      </c>
      <c r="H155" s="5" t="s">
        <v>251</v>
      </c>
      <c r="I155" s="5"/>
      <c r="J155" s="5"/>
      <c r="K155" s="5">
        <v>208</v>
      </c>
      <c r="L155" s="5">
        <v>22</v>
      </c>
      <c r="M155" s="5">
        <v>3</v>
      </c>
      <c r="N155" s="5" t="s">
        <v>3</v>
      </c>
      <c r="O155" s="5">
        <v>7</v>
      </c>
      <c r="P155" s="5"/>
      <c r="Q155" s="5"/>
      <c r="R155" s="5"/>
      <c r="S155" s="5"/>
      <c r="T155" s="5"/>
      <c r="U155" s="5"/>
      <c r="V155" s="5"/>
      <c r="W155" s="5">
        <v>0</v>
      </c>
      <c r="X155" s="5">
        <v>1</v>
      </c>
      <c r="Y155" s="5">
        <v>0</v>
      </c>
      <c r="Z155" s="5"/>
      <c r="AA155" s="5"/>
      <c r="AB155" s="5"/>
    </row>
    <row r="156" spans="1:28" x14ac:dyDescent="0.2">
      <c r="A156" s="5">
        <v>50</v>
      </c>
      <c r="B156" s="5">
        <v>0</v>
      </c>
      <c r="C156" s="5">
        <v>0</v>
      </c>
      <c r="D156" s="5">
        <v>1</v>
      </c>
      <c r="E156" s="5">
        <v>209</v>
      </c>
      <c r="F156" s="5">
        <f>ROUND(Source!W132,O156)</f>
        <v>0</v>
      </c>
      <c r="G156" s="5" t="s">
        <v>252</v>
      </c>
      <c r="H156" s="5" t="s">
        <v>253</v>
      </c>
      <c r="I156" s="5"/>
      <c r="J156" s="5"/>
      <c r="K156" s="5">
        <v>209</v>
      </c>
      <c r="L156" s="5">
        <v>23</v>
      </c>
      <c r="M156" s="5">
        <v>3</v>
      </c>
      <c r="N156" s="5" t="s">
        <v>3</v>
      </c>
      <c r="O156" s="5">
        <v>2</v>
      </c>
      <c r="P156" s="5"/>
      <c r="Q156" s="5"/>
      <c r="R156" s="5"/>
      <c r="S156" s="5"/>
      <c r="T156" s="5"/>
      <c r="U156" s="5"/>
      <c r="V156" s="5"/>
      <c r="W156" s="5">
        <v>0</v>
      </c>
      <c r="X156" s="5">
        <v>1</v>
      </c>
      <c r="Y156" s="5">
        <v>0</v>
      </c>
      <c r="Z156" s="5"/>
      <c r="AA156" s="5"/>
      <c r="AB156" s="5"/>
    </row>
    <row r="157" spans="1:28" x14ac:dyDescent="0.2">
      <c r="A157" s="5">
        <v>50</v>
      </c>
      <c r="B157" s="5">
        <v>0</v>
      </c>
      <c r="C157" s="5">
        <v>0</v>
      </c>
      <c r="D157" s="5">
        <v>1</v>
      </c>
      <c r="E157" s="5">
        <v>233</v>
      </c>
      <c r="F157" s="5">
        <f>ROUND(Source!BD132,O157)</f>
        <v>0</v>
      </c>
      <c r="G157" s="5" t="s">
        <v>254</v>
      </c>
      <c r="H157" s="5" t="s">
        <v>255</v>
      </c>
      <c r="I157" s="5"/>
      <c r="J157" s="5"/>
      <c r="K157" s="5">
        <v>233</v>
      </c>
      <c r="L157" s="5">
        <v>24</v>
      </c>
      <c r="M157" s="5">
        <v>3</v>
      </c>
      <c r="N157" s="5" t="s">
        <v>3</v>
      </c>
      <c r="O157" s="5">
        <v>2</v>
      </c>
      <c r="P157" s="5"/>
      <c r="Q157" s="5"/>
      <c r="R157" s="5"/>
      <c r="S157" s="5"/>
      <c r="T157" s="5"/>
      <c r="U157" s="5"/>
      <c r="V157" s="5"/>
      <c r="W157" s="5">
        <v>0</v>
      </c>
      <c r="X157" s="5">
        <v>1</v>
      </c>
      <c r="Y157" s="5">
        <v>0</v>
      </c>
      <c r="Z157" s="5"/>
      <c r="AA157" s="5"/>
      <c r="AB157" s="5"/>
    </row>
    <row r="158" spans="1:28" x14ac:dyDescent="0.2">
      <c r="A158" s="5">
        <v>50</v>
      </c>
      <c r="B158" s="5">
        <v>0</v>
      </c>
      <c r="C158" s="5">
        <v>0</v>
      </c>
      <c r="D158" s="5">
        <v>1</v>
      </c>
      <c r="E158" s="5">
        <v>210</v>
      </c>
      <c r="F158" s="5">
        <f>ROUND(Source!X132,O158)</f>
        <v>17111.080000000002</v>
      </c>
      <c r="G158" s="5" t="s">
        <v>256</v>
      </c>
      <c r="H158" s="5" t="s">
        <v>257</v>
      </c>
      <c r="I158" s="5"/>
      <c r="J158" s="5"/>
      <c r="K158" s="5">
        <v>210</v>
      </c>
      <c r="L158" s="5">
        <v>25</v>
      </c>
      <c r="M158" s="5">
        <v>3</v>
      </c>
      <c r="N158" s="5" t="s">
        <v>3</v>
      </c>
      <c r="O158" s="5">
        <v>2</v>
      </c>
      <c r="P158" s="5"/>
      <c r="Q158" s="5"/>
      <c r="R158" s="5"/>
      <c r="S158" s="5"/>
      <c r="T158" s="5"/>
      <c r="U158" s="5"/>
      <c r="V158" s="5"/>
      <c r="W158" s="5">
        <v>17111.080000000002</v>
      </c>
      <c r="X158" s="5">
        <v>1</v>
      </c>
      <c r="Y158" s="5">
        <v>17111.080000000002</v>
      </c>
      <c r="Z158" s="5"/>
      <c r="AA158" s="5"/>
      <c r="AB158" s="5"/>
    </row>
    <row r="159" spans="1:28" x14ac:dyDescent="0.2">
      <c r="A159" s="5">
        <v>50</v>
      </c>
      <c r="B159" s="5">
        <v>0</v>
      </c>
      <c r="C159" s="5">
        <v>0</v>
      </c>
      <c r="D159" s="5">
        <v>1</v>
      </c>
      <c r="E159" s="5">
        <v>211</v>
      </c>
      <c r="F159" s="5">
        <f>ROUND(Source!Y132,O159)</f>
        <v>8647.31</v>
      </c>
      <c r="G159" s="5" t="s">
        <v>258</v>
      </c>
      <c r="H159" s="5" t="s">
        <v>259</v>
      </c>
      <c r="I159" s="5"/>
      <c r="J159" s="5"/>
      <c r="K159" s="5">
        <v>211</v>
      </c>
      <c r="L159" s="5">
        <v>26</v>
      </c>
      <c r="M159" s="5">
        <v>3</v>
      </c>
      <c r="N159" s="5" t="s">
        <v>3</v>
      </c>
      <c r="O159" s="5">
        <v>2</v>
      </c>
      <c r="P159" s="5"/>
      <c r="Q159" s="5"/>
      <c r="R159" s="5"/>
      <c r="S159" s="5"/>
      <c r="T159" s="5"/>
      <c r="U159" s="5"/>
      <c r="V159" s="5"/>
      <c r="W159" s="5">
        <v>8647.31</v>
      </c>
      <c r="X159" s="5">
        <v>1</v>
      </c>
      <c r="Y159" s="5">
        <v>8647.31</v>
      </c>
      <c r="Z159" s="5"/>
      <c r="AA159" s="5"/>
      <c r="AB159" s="5"/>
    </row>
    <row r="160" spans="1:28" x14ac:dyDescent="0.2">
      <c r="A160" s="5">
        <v>50</v>
      </c>
      <c r="B160" s="5">
        <v>0</v>
      </c>
      <c r="C160" s="5">
        <v>0</v>
      </c>
      <c r="D160" s="5">
        <v>1</v>
      </c>
      <c r="E160" s="5">
        <v>224</v>
      </c>
      <c r="F160" s="5">
        <f>ROUND(Source!AR132,O160)</f>
        <v>40107</v>
      </c>
      <c r="G160" s="5" t="s">
        <v>260</v>
      </c>
      <c r="H160" s="5" t="s">
        <v>261</v>
      </c>
      <c r="I160" s="5"/>
      <c r="J160" s="5"/>
      <c r="K160" s="5">
        <v>224</v>
      </c>
      <c r="L160" s="5">
        <v>27</v>
      </c>
      <c r="M160" s="5">
        <v>3</v>
      </c>
      <c r="N160" s="5" t="s">
        <v>3</v>
      </c>
      <c r="O160" s="5">
        <v>2</v>
      </c>
      <c r="P160" s="5"/>
      <c r="Q160" s="5"/>
      <c r="R160" s="5"/>
      <c r="S160" s="5"/>
      <c r="T160" s="5"/>
      <c r="U160" s="5"/>
      <c r="V160" s="5"/>
      <c r="W160" s="5">
        <v>40107</v>
      </c>
      <c r="X160" s="5">
        <v>1</v>
      </c>
      <c r="Y160" s="5">
        <v>40107</v>
      </c>
      <c r="Z160" s="5"/>
      <c r="AA160" s="5"/>
      <c r="AB160" s="5"/>
    </row>
    <row r="162" spans="1:255" x14ac:dyDescent="0.2">
      <c r="A162" s="1">
        <v>4</v>
      </c>
      <c r="B162" s="1">
        <v>1</v>
      </c>
      <c r="C162" s="1"/>
      <c r="D162" s="1">
        <f>ROW(A178)</f>
        <v>178</v>
      </c>
      <c r="E162" s="1"/>
      <c r="F162" s="1" t="s">
        <v>15</v>
      </c>
      <c r="G162" s="1" t="s">
        <v>324</v>
      </c>
      <c r="H162" s="1" t="s">
        <v>3</v>
      </c>
      <c r="I162" s="1">
        <v>0</v>
      </c>
      <c r="J162" s="1"/>
      <c r="K162" s="1">
        <v>0</v>
      </c>
      <c r="L162" s="1"/>
      <c r="M162" s="1" t="s">
        <v>3</v>
      </c>
      <c r="N162" s="1"/>
      <c r="O162" s="1"/>
      <c r="P162" s="1"/>
      <c r="Q162" s="1"/>
      <c r="R162" s="1"/>
      <c r="S162" s="1">
        <v>0</v>
      </c>
      <c r="T162" s="1"/>
      <c r="U162" s="1" t="s">
        <v>3</v>
      </c>
      <c r="V162" s="1">
        <v>0</v>
      </c>
      <c r="W162" s="1"/>
      <c r="X162" s="1"/>
      <c r="Y162" s="1"/>
      <c r="Z162" s="1"/>
      <c r="AA162" s="1"/>
      <c r="AB162" s="1" t="s">
        <v>3</v>
      </c>
      <c r="AC162" s="1" t="s">
        <v>3</v>
      </c>
      <c r="AD162" s="1" t="s">
        <v>3</v>
      </c>
      <c r="AE162" s="1" t="s">
        <v>3</v>
      </c>
      <c r="AF162" s="1" t="s">
        <v>3</v>
      </c>
      <c r="AG162" s="1" t="s">
        <v>3</v>
      </c>
      <c r="AH162" s="1"/>
      <c r="AI162" s="1"/>
      <c r="AJ162" s="1"/>
      <c r="AK162" s="1"/>
      <c r="AL162" s="1"/>
      <c r="AM162" s="1"/>
      <c r="AN162" s="1"/>
      <c r="AO162" s="1"/>
      <c r="AP162" s="1" t="s">
        <v>3</v>
      </c>
      <c r="AQ162" s="1" t="s">
        <v>3</v>
      </c>
      <c r="AR162" s="1" t="s">
        <v>3</v>
      </c>
      <c r="AS162" s="1"/>
      <c r="AT162" s="1"/>
      <c r="AU162" s="1"/>
      <c r="AV162" s="1"/>
      <c r="AW162" s="1"/>
      <c r="AX162" s="1"/>
      <c r="AY162" s="1"/>
      <c r="AZ162" s="1" t="s">
        <v>3</v>
      </c>
      <c r="BA162" s="1"/>
      <c r="BB162" s="1" t="s">
        <v>3</v>
      </c>
      <c r="BC162" s="1" t="s">
        <v>3</v>
      </c>
      <c r="BD162" s="1" t="s">
        <v>3</v>
      </c>
      <c r="BE162" s="1" t="s">
        <v>3</v>
      </c>
      <c r="BF162" s="1" t="s">
        <v>3</v>
      </c>
      <c r="BG162" s="1" t="s">
        <v>3</v>
      </c>
      <c r="BH162" s="1" t="s">
        <v>3</v>
      </c>
      <c r="BI162" s="1" t="s">
        <v>3</v>
      </c>
      <c r="BJ162" s="1" t="s">
        <v>3</v>
      </c>
      <c r="BK162" s="1" t="s">
        <v>3</v>
      </c>
      <c r="BL162" s="1" t="s">
        <v>3</v>
      </c>
      <c r="BM162" s="1" t="s">
        <v>3</v>
      </c>
      <c r="BN162" s="1" t="s">
        <v>3</v>
      </c>
      <c r="BO162" s="1" t="s">
        <v>3</v>
      </c>
      <c r="BP162" s="1" t="s">
        <v>3</v>
      </c>
      <c r="BQ162" s="1"/>
      <c r="BR162" s="1"/>
      <c r="BS162" s="1"/>
      <c r="BT162" s="1"/>
      <c r="BU162" s="1"/>
      <c r="BV162" s="1"/>
      <c r="BW162" s="1"/>
      <c r="BX162" s="1">
        <v>0</v>
      </c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>
        <v>0</v>
      </c>
    </row>
    <row r="164" spans="1:255" x14ac:dyDescent="0.2">
      <c r="A164" s="3">
        <v>52</v>
      </c>
      <c r="B164" s="3">
        <f t="shared" ref="B164:G164" si="147">B178</f>
        <v>1</v>
      </c>
      <c r="C164" s="3">
        <f t="shared" si="147"/>
        <v>4</v>
      </c>
      <c r="D164" s="3">
        <f t="shared" si="147"/>
        <v>162</v>
      </c>
      <c r="E164" s="3">
        <f t="shared" si="147"/>
        <v>0</v>
      </c>
      <c r="F164" s="3" t="str">
        <f t="shared" si="147"/>
        <v>Новый раздел</v>
      </c>
      <c r="G164" s="3" t="str">
        <f t="shared" si="147"/>
        <v>Аудитория № 311</v>
      </c>
      <c r="H164" s="3"/>
      <c r="I164" s="3"/>
      <c r="J164" s="3"/>
      <c r="K164" s="3"/>
      <c r="L164" s="3"/>
      <c r="M164" s="3"/>
      <c r="N164" s="3"/>
      <c r="O164" s="3">
        <f t="shared" ref="O164:AT164" si="148">O178</f>
        <v>74972.59</v>
      </c>
      <c r="P164" s="3">
        <f t="shared" si="148"/>
        <v>73496.28</v>
      </c>
      <c r="Q164" s="3">
        <f t="shared" si="148"/>
        <v>-781.25</v>
      </c>
      <c r="R164" s="3">
        <f t="shared" si="148"/>
        <v>-695.93</v>
      </c>
      <c r="S164" s="3">
        <f t="shared" si="148"/>
        <v>2953.49</v>
      </c>
      <c r="T164" s="3">
        <f t="shared" si="148"/>
        <v>0</v>
      </c>
      <c r="U164" s="3">
        <f t="shared" si="148"/>
        <v>4.2723557999999997</v>
      </c>
      <c r="V164" s="3">
        <f t="shared" si="148"/>
        <v>0</v>
      </c>
      <c r="W164" s="3">
        <f t="shared" si="148"/>
        <v>0</v>
      </c>
      <c r="X164" s="3">
        <f t="shared" si="148"/>
        <v>2438.16</v>
      </c>
      <c r="Y164" s="3">
        <f t="shared" si="148"/>
        <v>997.99</v>
      </c>
      <c r="Z164" s="3">
        <f t="shared" si="148"/>
        <v>0</v>
      </c>
      <c r="AA164" s="3">
        <f t="shared" si="148"/>
        <v>0</v>
      </c>
      <c r="AB164" s="3">
        <f t="shared" si="148"/>
        <v>74972.59</v>
      </c>
      <c r="AC164" s="3">
        <f t="shared" si="148"/>
        <v>73496.28</v>
      </c>
      <c r="AD164" s="3">
        <f t="shared" si="148"/>
        <v>-781.25</v>
      </c>
      <c r="AE164" s="3">
        <f t="shared" si="148"/>
        <v>-695.93</v>
      </c>
      <c r="AF164" s="3">
        <f t="shared" si="148"/>
        <v>2953.49</v>
      </c>
      <c r="AG164" s="3">
        <f t="shared" si="148"/>
        <v>0</v>
      </c>
      <c r="AH164" s="3">
        <f t="shared" si="148"/>
        <v>4.2723557999999997</v>
      </c>
      <c r="AI164" s="3">
        <f t="shared" si="148"/>
        <v>0</v>
      </c>
      <c r="AJ164" s="3">
        <f t="shared" si="148"/>
        <v>0</v>
      </c>
      <c r="AK164" s="3">
        <f t="shared" si="148"/>
        <v>2438.16</v>
      </c>
      <c r="AL164" s="3">
        <f t="shared" si="148"/>
        <v>997.99</v>
      </c>
      <c r="AM164" s="3">
        <f t="shared" si="148"/>
        <v>0</v>
      </c>
      <c r="AN164" s="3">
        <f t="shared" si="148"/>
        <v>0</v>
      </c>
      <c r="AO164" s="3">
        <f t="shared" si="148"/>
        <v>0</v>
      </c>
      <c r="AP164" s="3">
        <f t="shared" si="148"/>
        <v>0</v>
      </c>
      <c r="AQ164" s="3">
        <f t="shared" si="148"/>
        <v>0</v>
      </c>
      <c r="AR164" s="3">
        <f t="shared" si="148"/>
        <v>78408.740000000005</v>
      </c>
      <c r="AS164" s="3">
        <f t="shared" si="148"/>
        <v>78408.740000000005</v>
      </c>
      <c r="AT164" s="3">
        <f t="shared" si="148"/>
        <v>0</v>
      </c>
      <c r="AU164" s="3">
        <f t="shared" ref="AU164:BZ164" si="149">AU178</f>
        <v>0</v>
      </c>
      <c r="AV164" s="3">
        <f t="shared" si="149"/>
        <v>73496.28</v>
      </c>
      <c r="AW164" s="3">
        <f t="shared" si="149"/>
        <v>73496.28</v>
      </c>
      <c r="AX164" s="3">
        <f t="shared" si="149"/>
        <v>0</v>
      </c>
      <c r="AY164" s="3">
        <f t="shared" si="149"/>
        <v>73496.28</v>
      </c>
      <c r="AZ164" s="3">
        <f t="shared" si="149"/>
        <v>0</v>
      </c>
      <c r="BA164" s="3">
        <f t="shared" si="149"/>
        <v>0</v>
      </c>
      <c r="BB164" s="3">
        <f t="shared" si="149"/>
        <v>0</v>
      </c>
      <c r="BC164" s="3">
        <f t="shared" si="149"/>
        <v>0</v>
      </c>
      <c r="BD164" s="3">
        <f t="shared" si="149"/>
        <v>0</v>
      </c>
      <c r="BE164" s="3">
        <f t="shared" si="149"/>
        <v>0</v>
      </c>
      <c r="BF164" s="3">
        <f t="shared" si="149"/>
        <v>0</v>
      </c>
      <c r="BG164" s="3">
        <f t="shared" si="149"/>
        <v>0</v>
      </c>
      <c r="BH164" s="3">
        <f t="shared" si="149"/>
        <v>0</v>
      </c>
      <c r="BI164" s="3">
        <f t="shared" si="149"/>
        <v>0</v>
      </c>
      <c r="BJ164" s="3">
        <f t="shared" si="149"/>
        <v>0</v>
      </c>
      <c r="BK164" s="3">
        <f t="shared" si="149"/>
        <v>0</v>
      </c>
      <c r="BL164" s="3">
        <f t="shared" si="149"/>
        <v>0</v>
      </c>
      <c r="BM164" s="3">
        <f t="shared" si="149"/>
        <v>0</v>
      </c>
      <c r="BN164" s="3">
        <f t="shared" si="149"/>
        <v>0</v>
      </c>
      <c r="BO164" s="3">
        <f t="shared" si="149"/>
        <v>0</v>
      </c>
      <c r="BP164" s="3">
        <f t="shared" si="149"/>
        <v>0</v>
      </c>
      <c r="BQ164" s="3">
        <f t="shared" si="149"/>
        <v>0</v>
      </c>
      <c r="BR164" s="3">
        <f t="shared" si="149"/>
        <v>0</v>
      </c>
      <c r="BS164" s="3">
        <f t="shared" si="149"/>
        <v>0</v>
      </c>
      <c r="BT164" s="3">
        <f t="shared" si="149"/>
        <v>0</v>
      </c>
      <c r="BU164" s="3">
        <f t="shared" si="149"/>
        <v>0</v>
      </c>
      <c r="BV164" s="3">
        <f t="shared" si="149"/>
        <v>0</v>
      </c>
      <c r="BW164" s="3">
        <f t="shared" si="149"/>
        <v>0</v>
      </c>
      <c r="BX164" s="3">
        <f t="shared" si="149"/>
        <v>0</v>
      </c>
      <c r="BY164" s="3">
        <f t="shared" si="149"/>
        <v>0</v>
      </c>
      <c r="BZ164" s="3">
        <f t="shared" si="149"/>
        <v>0</v>
      </c>
      <c r="CA164" s="3">
        <f t="shared" ref="CA164:DF164" si="150">CA178</f>
        <v>78408.740000000005</v>
      </c>
      <c r="CB164" s="3">
        <f t="shared" si="150"/>
        <v>78408.740000000005</v>
      </c>
      <c r="CC164" s="3">
        <f t="shared" si="150"/>
        <v>0</v>
      </c>
      <c r="CD164" s="3">
        <f t="shared" si="150"/>
        <v>0</v>
      </c>
      <c r="CE164" s="3">
        <f t="shared" si="150"/>
        <v>73496.28</v>
      </c>
      <c r="CF164" s="3">
        <f t="shared" si="150"/>
        <v>73496.28</v>
      </c>
      <c r="CG164" s="3">
        <f t="shared" si="150"/>
        <v>0</v>
      </c>
      <c r="CH164" s="3">
        <f t="shared" si="150"/>
        <v>73496.28</v>
      </c>
      <c r="CI164" s="3">
        <f t="shared" si="150"/>
        <v>0</v>
      </c>
      <c r="CJ164" s="3">
        <f t="shared" si="150"/>
        <v>0</v>
      </c>
      <c r="CK164" s="3">
        <f t="shared" si="150"/>
        <v>0</v>
      </c>
      <c r="CL164" s="3">
        <f t="shared" si="150"/>
        <v>0</v>
      </c>
      <c r="CM164" s="3">
        <f t="shared" si="150"/>
        <v>0</v>
      </c>
      <c r="CN164" s="3">
        <f t="shared" si="150"/>
        <v>0</v>
      </c>
      <c r="CO164" s="3">
        <f t="shared" si="150"/>
        <v>0</v>
      </c>
      <c r="CP164" s="3">
        <f t="shared" si="150"/>
        <v>0</v>
      </c>
      <c r="CQ164" s="3">
        <f t="shared" si="150"/>
        <v>0</v>
      </c>
      <c r="CR164" s="3">
        <f t="shared" si="150"/>
        <v>0</v>
      </c>
      <c r="CS164" s="3">
        <f t="shared" si="150"/>
        <v>0</v>
      </c>
      <c r="CT164" s="3">
        <f t="shared" si="150"/>
        <v>0</v>
      </c>
      <c r="CU164" s="3">
        <f t="shared" si="150"/>
        <v>0</v>
      </c>
      <c r="CV164" s="3">
        <f t="shared" si="150"/>
        <v>0</v>
      </c>
      <c r="CW164" s="3">
        <f t="shared" si="150"/>
        <v>0</v>
      </c>
      <c r="CX164" s="3">
        <f t="shared" si="150"/>
        <v>0</v>
      </c>
      <c r="CY164" s="3">
        <f t="shared" si="150"/>
        <v>0</v>
      </c>
      <c r="CZ164" s="3">
        <f t="shared" si="150"/>
        <v>0</v>
      </c>
      <c r="DA164" s="3">
        <f t="shared" si="150"/>
        <v>0</v>
      </c>
      <c r="DB164" s="3">
        <f t="shared" si="150"/>
        <v>0</v>
      </c>
      <c r="DC164" s="3">
        <f t="shared" si="150"/>
        <v>0</v>
      </c>
      <c r="DD164" s="3">
        <f t="shared" si="150"/>
        <v>0</v>
      </c>
      <c r="DE164" s="3">
        <f t="shared" si="150"/>
        <v>0</v>
      </c>
      <c r="DF164" s="3">
        <f t="shared" si="150"/>
        <v>0</v>
      </c>
      <c r="DG164" s="4">
        <f t="shared" ref="DG164:EL164" si="151">DG178</f>
        <v>0</v>
      </c>
      <c r="DH164" s="4">
        <f t="shared" si="151"/>
        <v>0</v>
      </c>
      <c r="DI164" s="4">
        <f t="shared" si="151"/>
        <v>0</v>
      </c>
      <c r="DJ164" s="4">
        <f t="shared" si="151"/>
        <v>0</v>
      </c>
      <c r="DK164" s="4">
        <f t="shared" si="151"/>
        <v>0</v>
      </c>
      <c r="DL164" s="4">
        <f t="shared" si="151"/>
        <v>0</v>
      </c>
      <c r="DM164" s="4">
        <f t="shared" si="151"/>
        <v>0</v>
      </c>
      <c r="DN164" s="4">
        <f t="shared" si="151"/>
        <v>0</v>
      </c>
      <c r="DO164" s="4">
        <f t="shared" si="151"/>
        <v>0</v>
      </c>
      <c r="DP164" s="4">
        <f t="shared" si="151"/>
        <v>0</v>
      </c>
      <c r="DQ164" s="4">
        <f t="shared" si="151"/>
        <v>0</v>
      </c>
      <c r="DR164" s="4">
        <f t="shared" si="151"/>
        <v>0</v>
      </c>
      <c r="DS164" s="4">
        <f t="shared" si="151"/>
        <v>0</v>
      </c>
      <c r="DT164" s="4">
        <f t="shared" si="151"/>
        <v>0</v>
      </c>
      <c r="DU164" s="4">
        <f t="shared" si="151"/>
        <v>0</v>
      </c>
      <c r="DV164" s="4">
        <f t="shared" si="151"/>
        <v>0</v>
      </c>
      <c r="DW164" s="4">
        <f t="shared" si="151"/>
        <v>0</v>
      </c>
      <c r="DX164" s="4">
        <f t="shared" si="151"/>
        <v>0</v>
      </c>
      <c r="DY164" s="4">
        <f t="shared" si="151"/>
        <v>0</v>
      </c>
      <c r="DZ164" s="4">
        <f t="shared" si="151"/>
        <v>0</v>
      </c>
      <c r="EA164" s="4">
        <f t="shared" si="151"/>
        <v>0</v>
      </c>
      <c r="EB164" s="4">
        <f t="shared" si="151"/>
        <v>0</v>
      </c>
      <c r="EC164" s="4">
        <f t="shared" si="151"/>
        <v>0</v>
      </c>
      <c r="ED164" s="4">
        <f t="shared" si="151"/>
        <v>0</v>
      </c>
      <c r="EE164" s="4">
        <f t="shared" si="151"/>
        <v>0</v>
      </c>
      <c r="EF164" s="4">
        <f t="shared" si="151"/>
        <v>0</v>
      </c>
      <c r="EG164" s="4">
        <f t="shared" si="151"/>
        <v>0</v>
      </c>
      <c r="EH164" s="4">
        <f t="shared" si="151"/>
        <v>0</v>
      </c>
      <c r="EI164" s="4">
        <f t="shared" si="151"/>
        <v>0</v>
      </c>
      <c r="EJ164" s="4">
        <f t="shared" si="151"/>
        <v>0</v>
      </c>
      <c r="EK164" s="4">
        <f t="shared" si="151"/>
        <v>0</v>
      </c>
      <c r="EL164" s="4">
        <f t="shared" si="151"/>
        <v>0</v>
      </c>
      <c r="EM164" s="4">
        <f t="shared" ref="EM164:FR164" si="152">EM178</f>
        <v>0</v>
      </c>
      <c r="EN164" s="4">
        <f t="shared" si="152"/>
        <v>0</v>
      </c>
      <c r="EO164" s="4">
        <f t="shared" si="152"/>
        <v>0</v>
      </c>
      <c r="EP164" s="4">
        <f t="shared" si="152"/>
        <v>0</v>
      </c>
      <c r="EQ164" s="4">
        <f t="shared" si="152"/>
        <v>0</v>
      </c>
      <c r="ER164" s="4">
        <f t="shared" si="152"/>
        <v>0</v>
      </c>
      <c r="ES164" s="4">
        <f t="shared" si="152"/>
        <v>0</v>
      </c>
      <c r="ET164" s="4">
        <f t="shared" si="152"/>
        <v>0</v>
      </c>
      <c r="EU164" s="4">
        <f t="shared" si="152"/>
        <v>0</v>
      </c>
      <c r="EV164" s="4">
        <f t="shared" si="152"/>
        <v>0</v>
      </c>
      <c r="EW164" s="4">
        <f t="shared" si="152"/>
        <v>0</v>
      </c>
      <c r="EX164" s="4">
        <f t="shared" si="152"/>
        <v>0</v>
      </c>
      <c r="EY164" s="4">
        <f t="shared" si="152"/>
        <v>0</v>
      </c>
      <c r="EZ164" s="4">
        <f t="shared" si="152"/>
        <v>0</v>
      </c>
      <c r="FA164" s="4">
        <f t="shared" si="152"/>
        <v>0</v>
      </c>
      <c r="FB164" s="4">
        <f t="shared" si="152"/>
        <v>0</v>
      </c>
      <c r="FC164" s="4">
        <f t="shared" si="152"/>
        <v>0</v>
      </c>
      <c r="FD164" s="4">
        <f t="shared" si="152"/>
        <v>0</v>
      </c>
      <c r="FE164" s="4">
        <f t="shared" si="152"/>
        <v>0</v>
      </c>
      <c r="FF164" s="4">
        <f t="shared" si="152"/>
        <v>0</v>
      </c>
      <c r="FG164" s="4">
        <f t="shared" si="152"/>
        <v>0</v>
      </c>
      <c r="FH164" s="4">
        <f t="shared" si="152"/>
        <v>0</v>
      </c>
      <c r="FI164" s="4">
        <f t="shared" si="152"/>
        <v>0</v>
      </c>
      <c r="FJ164" s="4">
        <f t="shared" si="152"/>
        <v>0</v>
      </c>
      <c r="FK164" s="4">
        <f t="shared" si="152"/>
        <v>0</v>
      </c>
      <c r="FL164" s="4">
        <f t="shared" si="152"/>
        <v>0</v>
      </c>
      <c r="FM164" s="4">
        <f t="shared" si="152"/>
        <v>0</v>
      </c>
      <c r="FN164" s="4">
        <f t="shared" si="152"/>
        <v>0</v>
      </c>
      <c r="FO164" s="4">
        <f t="shared" si="152"/>
        <v>0</v>
      </c>
      <c r="FP164" s="4">
        <f t="shared" si="152"/>
        <v>0</v>
      </c>
      <c r="FQ164" s="4">
        <f t="shared" si="152"/>
        <v>0</v>
      </c>
      <c r="FR164" s="4">
        <f t="shared" si="152"/>
        <v>0</v>
      </c>
      <c r="FS164" s="4">
        <f t="shared" ref="FS164:GX164" si="153">FS178</f>
        <v>0</v>
      </c>
      <c r="FT164" s="4">
        <f t="shared" si="153"/>
        <v>0</v>
      </c>
      <c r="FU164" s="4">
        <f t="shared" si="153"/>
        <v>0</v>
      </c>
      <c r="FV164" s="4">
        <f t="shared" si="153"/>
        <v>0</v>
      </c>
      <c r="FW164" s="4">
        <f t="shared" si="153"/>
        <v>0</v>
      </c>
      <c r="FX164" s="4">
        <f t="shared" si="153"/>
        <v>0</v>
      </c>
      <c r="FY164" s="4">
        <f t="shared" si="153"/>
        <v>0</v>
      </c>
      <c r="FZ164" s="4">
        <f t="shared" si="153"/>
        <v>0</v>
      </c>
      <c r="GA164" s="4">
        <f t="shared" si="153"/>
        <v>0</v>
      </c>
      <c r="GB164" s="4">
        <f t="shared" si="153"/>
        <v>0</v>
      </c>
      <c r="GC164" s="4">
        <f t="shared" si="153"/>
        <v>0</v>
      </c>
      <c r="GD164" s="4">
        <f t="shared" si="153"/>
        <v>0</v>
      </c>
      <c r="GE164" s="4">
        <f t="shared" si="153"/>
        <v>0</v>
      </c>
      <c r="GF164" s="4">
        <f t="shared" si="153"/>
        <v>0</v>
      </c>
      <c r="GG164" s="4">
        <f t="shared" si="153"/>
        <v>0</v>
      </c>
      <c r="GH164" s="4">
        <f t="shared" si="153"/>
        <v>0</v>
      </c>
      <c r="GI164" s="4">
        <f t="shared" si="153"/>
        <v>0</v>
      </c>
      <c r="GJ164" s="4">
        <f t="shared" si="153"/>
        <v>0</v>
      </c>
      <c r="GK164" s="4">
        <f t="shared" si="153"/>
        <v>0</v>
      </c>
      <c r="GL164" s="4">
        <f t="shared" si="153"/>
        <v>0</v>
      </c>
      <c r="GM164" s="4">
        <f t="shared" si="153"/>
        <v>0</v>
      </c>
      <c r="GN164" s="4">
        <f t="shared" si="153"/>
        <v>0</v>
      </c>
      <c r="GO164" s="4">
        <f t="shared" si="153"/>
        <v>0</v>
      </c>
      <c r="GP164" s="4">
        <f t="shared" si="153"/>
        <v>0</v>
      </c>
      <c r="GQ164" s="4">
        <f t="shared" si="153"/>
        <v>0</v>
      </c>
      <c r="GR164" s="4">
        <f t="shared" si="153"/>
        <v>0</v>
      </c>
      <c r="GS164" s="4">
        <f t="shared" si="153"/>
        <v>0</v>
      </c>
      <c r="GT164" s="4">
        <f t="shared" si="153"/>
        <v>0</v>
      </c>
      <c r="GU164" s="4">
        <f t="shared" si="153"/>
        <v>0</v>
      </c>
      <c r="GV164" s="4">
        <f t="shared" si="153"/>
        <v>0</v>
      </c>
      <c r="GW164" s="4">
        <f t="shared" si="153"/>
        <v>0</v>
      </c>
      <c r="GX164" s="4">
        <f t="shared" si="153"/>
        <v>0</v>
      </c>
    </row>
    <row r="166" spans="1:255" ht="409.5" x14ac:dyDescent="0.2">
      <c r="A166" s="2">
        <v>17</v>
      </c>
      <c r="B166" s="2">
        <v>1</v>
      </c>
      <c r="C166" s="2">
        <f>ROW(SmtRes!A156)</f>
        <v>156</v>
      </c>
      <c r="D166" s="2">
        <f>ROW(EtalonRes!A143)</f>
        <v>143</v>
      </c>
      <c r="E166" s="2" t="s">
        <v>325</v>
      </c>
      <c r="F166" s="2" t="s">
        <v>326</v>
      </c>
      <c r="G166" s="2" t="s">
        <v>327</v>
      </c>
      <c r="H166" s="2" t="s">
        <v>311</v>
      </c>
      <c r="I166" s="2">
        <f>ROUND((1.3*2.5)/100,7)</f>
        <v>3.2500000000000001E-2</v>
      </c>
      <c r="J166" s="2">
        <v>0</v>
      </c>
      <c r="K166" s="2">
        <f>ROUND((1.3*2.5)/100,7)</f>
        <v>3.2500000000000001E-2</v>
      </c>
      <c r="L166" s="2"/>
      <c r="M166" s="2"/>
      <c r="N166" s="2"/>
      <c r="O166" s="2">
        <f t="shared" ref="O166:O176" si="154">ROUND(CP166,2)</f>
        <v>2755.55</v>
      </c>
      <c r="P166" s="2">
        <f>SUMIF(SmtRes!AQ145:'SmtRes'!AQ156,"=1",SmtRes!DF145:'SmtRes'!DF156)</f>
        <v>219.69</v>
      </c>
      <c r="Q166" s="2">
        <f>SUMIF(SmtRes!AQ145:'SmtRes'!AQ156,"=1",SmtRes!DG145:'SmtRes'!DG156)</f>
        <v>0</v>
      </c>
      <c r="R166" s="2">
        <f>SUMIF(SmtRes!AQ145:'SmtRes'!AQ156,"=1",SmtRes!DH145:'SmtRes'!DH156)</f>
        <v>0</v>
      </c>
      <c r="S166" s="2">
        <f>SUMIF(SmtRes!AQ145:'SmtRes'!AQ156,"=1",SmtRes!DI145:'SmtRes'!DI156)</f>
        <v>2535.86</v>
      </c>
      <c r="T166" s="2">
        <f t="shared" ref="T166:T176" si="155">ROUND(CU166*I166,2)</f>
        <v>0</v>
      </c>
      <c r="U166" s="2">
        <f>SUMIF(SmtRes!AQ145:'SmtRes'!AQ156,"=1",SmtRes!CV145:'SmtRes'!CV156)</f>
        <v>3.5924849999999999</v>
      </c>
      <c r="V166" s="2">
        <f>SUMIF(SmtRes!AQ145:'SmtRes'!AQ156,"=1",SmtRes!CW145:'SmtRes'!CW156)</f>
        <v>0</v>
      </c>
      <c r="W166" s="2">
        <f t="shared" ref="W166:W176" si="156">ROUND(CX166*I166,2)</f>
        <v>0</v>
      </c>
      <c r="X166" s="2">
        <f t="shared" ref="X166:X176" si="157">ROUND(CY166,2)</f>
        <v>2738.73</v>
      </c>
      <c r="Y166" s="2">
        <f t="shared" ref="Y166:Y176" si="158">ROUND(CZ166,2)</f>
        <v>1185.51</v>
      </c>
      <c r="Z166" s="2"/>
      <c r="AA166" s="2">
        <v>85997836</v>
      </c>
      <c r="AB166" s="2">
        <f t="shared" ref="AB166:AB176" si="159">ROUND((AC166+AD166+AF166),6)</f>
        <v>84200.882895999996</v>
      </c>
      <c r="AC166" s="2">
        <f>ROUND((SUM(SmtRes!BQ145:'SmtRes'!BQ156)),6)</f>
        <v>6174.3194560000002</v>
      </c>
      <c r="AD166" s="2">
        <f>ROUND((((0)-(0))+AE166),6)</f>
        <v>0</v>
      </c>
      <c r="AE166" s="2">
        <f>ROUND((0),6)</f>
        <v>0</v>
      </c>
      <c r="AF166" s="2">
        <f>ROUND((SUM(SmtRes!BT145:'SmtRes'!BT156)),6)</f>
        <v>78026.563439999998</v>
      </c>
      <c r="AG166" s="2">
        <f t="shared" ref="AG166:AG176" si="160">ROUND((AP166),6)</f>
        <v>0</v>
      </c>
      <c r="AH166" s="2">
        <f>(SUM(SmtRes!BU145:'SmtRes'!BU156))</f>
        <v>110.53799999999998</v>
      </c>
      <c r="AI166" s="2">
        <f>(0)</f>
        <v>0</v>
      </c>
      <c r="AJ166" s="2">
        <f t="shared" ref="AJ166:AJ176" si="161">(AS166)</f>
        <v>0</v>
      </c>
      <c r="AK166" s="2">
        <v>62715.307455999995</v>
      </c>
      <c r="AL166" s="2">
        <v>6174.3194559999993</v>
      </c>
      <c r="AM166" s="2">
        <v>0</v>
      </c>
      <c r="AN166" s="2">
        <v>0</v>
      </c>
      <c r="AO166" s="2">
        <v>56540.987999999998</v>
      </c>
      <c r="AP166" s="2">
        <v>0</v>
      </c>
      <c r="AQ166" s="2">
        <v>80.099999999999994</v>
      </c>
      <c r="AR166" s="2">
        <v>10.24</v>
      </c>
      <c r="AS166" s="2">
        <v>0</v>
      </c>
      <c r="AT166" s="2">
        <v>108</v>
      </c>
      <c r="AU166" s="2">
        <v>46.75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1</v>
      </c>
      <c r="BD166" s="2" t="s">
        <v>3</v>
      </c>
      <c r="BE166" s="2" t="s">
        <v>3</v>
      </c>
      <c r="BF166" s="2" t="s">
        <v>3</v>
      </c>
      <c r="BG166" s="2" t="s">
        <v>3</v>
      </c>
      <c r="BH166" s="2">
        <v>0</v>
      </c>
      <c r="BI166" s="2">
        <v>1</v>
      </c>
      <c r="BJ166" s="2" t="s">
        <v>328</v>
      </c>
      <c r="BK166" s="2"/>
      <c r="BL166" s="2"/>
      <c r="BM166" s="2">
        <v>10001</v>
      </c>
      <c r="BN166" s="2">
        <v>0</v>
      </c>
      <c r="BO166" s="2" t="s">
        <v>3</v>
      </c>
      <c r="BP166" s="2">
        <v>0</v>
      </c>
      <c r="BQ166" s="2">
        <v>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3</v>
      </c>
      <c r="BZ166" s="2">
        <v>108</v>
      </c>
      <c r="CA166" s="2">
        <v>55</v>
      </c>
      <c r="CB166" s="2" t="s">
        <v>3</v>
      </c>
      <c r="CC166" s="2"/>
      <c r="CD166" s="2"/>
      <c r="CE166" s="2">
        <v>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7" t="s">
        <v>737</v>
      </c>
      <c r="CO166" s="2">
        <v>0</v>
      </c>
      <c r="CP166" s="2">
        <f t="shared" ref="CP166:CP176" si="162">(P166+Q166+S166+R166)</f>
        <v>2755.55</v>
      </c>
      <c r="CQ166" s="2">
        <f>SUMIF(SmtRes!AQ145:'SmtRes'!AQ156,"=1",SmtRes!AA145:'SmtRes'!AA156)</f>
        <v>106024.45999999999</v>
      </c>
      <c r="CR166" s="2">
        <f>SUMIF(SmtRes!AQ145:'SmtRes'!AQ156,"=1",SmtRes!AB145:'SmtRes'!AB156)</f>
        <v>0</v>
      </c>
      <c r="CS166" s="2">
        <f>SUMIF(SmtRes!AQ145:'SmtRes'!AQ156,"=1",SmtRes!AC145:'SmtRes'!AC156)</f>
        <v>0</v>
      </c>
      <c r="CT166" s="2">
        <f>SUMIF(SmtRes!AQ145:'SmtRes'!AQ156,"=1",SmtRes!AD145:'SmtRes'!AD156)</f>
        <v>705.88</v>
      </c>
      <c r="CU166" s="2">
        <f t="shared" ref="CU166:CU176" si="163">AG166</f>
        <v>0</v>
      </c>
      <c r="CV166" s="2">
        <f>SUMIF(SmtRes!AQ145:'SmtRes'!AQ156,"=1",SmtRes!BU145:'SmtRes'!BU156)</f>
        <v>110.53799999999998</v>
      </c>
      <c r="CW166" s="2">
        <f>SUMIF(SmtRes!AQ145:'SmtRes'!AQ156,"=1",SmtRes!BV145:'SmtRes'!BV156)</f>
        <v>0</v>
      </c>
      <c r="CX166" s="2">
        <f t="shared" ref="CX166:CX176" si="164">AJ166</f>
        <v>0</v>
      </c>
      <c r="CY166" s="2">
        <f t="shared" ref="CY166:CY172" si="165">(((S166+R166)*AT166)/100)</f>
        <v>2738.7287999999999</v>
      </c>
      <c r="CZ166" s="2">
        <f t="shared" ref="CZ166:CZ172" si="166">(((S166+R166)*AU166)/100)</f>
        <v>1185.5145500000001</v>
      </c>
      <c r="DA166" s="2"/>
      <c r="DB166" s="2"/>
      <c r="DC166" s="2" t="s">
        <v>3</v>
      </c>
      <c r="DD166" s="2" t="s">
        <v>3</v>
      </c>
      <c r="DE166" s="2" t="s">
        <v>329</v>
      </c>
      <c r="DF166" s="2" t="s">
        <v>329</v>
      </c>
      <c r="DG166" s="2" t="s">
        <v>330</v>
      </c>
      <c r="DH166" s="2" t="s">
        <v>3</v>
      </c>
      <c r="DI166" s="2" t="s">
        <v>330</v>
      </c>
      <c r="DJ166" s="2" t="s">
        <v>329</v>
      </c>
      <c r="DK166" s="2" t="s">
        <v>3</v>
      </c>
      <c r="DL166" s="2" t="s">
        <v>3</v>
      </c>
      <c r="DM166" s="2" t="s">
        <v>269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1005</v>
      </c>
      <c r="DV166" s="2" t="s">
        <v>311</v>
      </c>
      <c r="DW166" s="2" t="s">
        <v>311</v>
      </c>
      <c r="DX166" s="2">
        <v>100</v>
      </c>
      <c r="DY166" s="2"/>
      <c r="DZ166" s="2" t="s">
        <v>3</v>
      </c>
      <c r="EA166" s="2" t="s">
        <v>3</v>
      </c>
      <c r="EB166" s="2" t="s">
        <v>3</v>
      </c>
      <c r="EC166" s="2" t="s">
        <v>3</v>
      </c>
      <c r="ED166" s="2"/>
      <c r="EE166" s="2">
        <v>84053898</v>
      </c>
      <c r="EF166" s="2">
        <v>2</v>
      </c>
      <c r="EG166" s="2" t="s">
        <v>270</v>
      </c>
      <c r="EH166" s="2">
        <v>10</v>
      </c>
      <c r="EI166" s="2" t="s">
        <v>331</v>
      </c>
      <c r="EJ166" s="2">
        <v>1</v>
      </c>
      <c r="EK166" s="2">
        <v>10001</v>
      </c>
      <c r="EL166" s="2" t="s">
        <v>331</v>
      </c>
      <c r="EM166" s="2" t="s">
        <v>332</v>
      </c>
      <c r="EN166" s="2"/>
      <c r="EO166" s="2" t="s">
        <v>333</v>
      </c>
      <c r="EP166" s="2"/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80.099999999999994</v>
      </c>
      <c r="EX166" s="2">
        <v>10.24</v>
      </c>
      <c r="EY166" s="2">
        <v>0</v>
      </c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v>0</v>
      </c>
      <c r="FS166" s="2">
        <v>0</v>
      </c>
      <c r="FT166" s="2"/>
      <c r="FU166" s="2"/>
      <c r="FV166" s="2"/>
      <c r="FW166" s="2"/>
      <c r="FX166" s="2">
        <v>108</v>
      </c>
      <c r="FY166" s="2">
        <v>46.75</v>
      </c>
      <c r="FZ166" s="2"/>
      <c r="GA166" s="2" t="s">
        <v>3</v>
      </c>
      <c r="GB166" s="2"/>
      <c r="GC166" s="2"/>
      <c r="GD166" s="2">
        <v>1</v>
      </c>
      <c r="GE166" s="2"/>
      <c r="GF166" s="2">
        <v>953763313</v>
      </c>
      <c r="GG166" s="2">
        <v>2</v>
      </c>
      <c r="GH166" s="2">
        <v>1</v>
      </c>
      <c r="GI166" s="2">
        <v>-2</v>
      </c>
      <c r="GJ166" s="2">
        <v>0</v>
      </c>
      <c r="GK166" s="2">
        <v>0</v>
      </c>
      <c r="GL166" s="2">
        <f t="shared" ref="GL166:GL176" si="167">ROUND(IF(AND(BH166=3,BI166=3,FS166&lt;&gt;0),P166,0),2)</f>
        <v>0</v>
      </c>
      <c r="GM166" s="2">
        <f t="shared" ref="GM166:GM176" si="168">ROUND(O166+X166+Y166,2)+GX166</f>
        <v>6679.79</v>
      </c>
      <c r="GN166" s="2">
        <f t="shared" ref="GN166:GN176" si="169">IF(OR(BI166=0,BI166=1),GM166-GX166,0)</f>
        <v>6679.79</v>
      </c>
      <c r="GO166" s="2">
        <f t="shared" ref="GO166:GO176" si="170">IF(BI166=2,GM166-GX166,0)</f>
        <v>0</v>
      </c>
      <c r="GP166" s="2">
        <f t="shared" ref="GP166:GP176" si="171">IF(BI166=4,GM166-GX166,0)</f>
        <v>0</v>
      </c>
      <c r="GQ166" s="2"/>
      <c r="GR166" s="2">
        <v>0</v>
      </c>
      <c r="GS166" s="2">
        <v>3</v>
      </c>
      <c r="GT166" s="2">
        <v>0</v>
      </c>
      <c r="GU166" s="2" t="s">
        <v>3</v>
      </c>
      <c r="GV166" s="2">
        <f t="shared" ref="GV166:GV176" si="172">ROUND((GT166),6)</f>
        <v>0</v>
      </c>
      <c r="GW166" s="2">
        <v>1</v>
      </c>
      <c r="GX166" s="2">
        <f t="shared" ref="GX166:GX176" si="173">ROUND(HC166*I166,2)</f>
        <v>0</v>
      </c>
      <c r="GY166" s="2"/>
      <c r="GZ166" s="2"/>
      <c r="HA166" s="2">
        <v>0</v>
      </c>
      <c r="HB166" s="2">
        <v>0</v>
      </c>
      <c r="HC166" s="2">
        <f t="shared" ref="HC166:HC176" si="174">GV166*GW166</f>
        <v>0</v>
      </c>
      <c r="HD166" s="2"/>
      <c r="HE166" s="2" t="s">
        <v>3</v>
      </c>
      <c r="HF166" s="2" t="s">
        <v>3</v>
      </c>
      <c r="HG166" s="2"/>
      <c r="HH166" s="2"/>
      <c r="HI166" s="2"/>
      <c r="HJ166" s="2"/>
      <c r="HK166" s="2"/>
      <c r="HL166" s="2"/>
      <c r="HM166" s="2" t="s">
        <v>3</v>
      </c>
      <c r="HN166" s="2" t="s">
        <v>334</v>
      </c>
      <c r="HO166" s="2" t="s">
        <v>335</v>
      </c>
      <c r="HP166" s="2" t="s">
        <v>331</v>
      </c>
      <c r="HQ166" s="2" t="s">
        <v>331</v>
      </c>
      <c r="HR166" s="2"/>
      <c r="HS166" s="2">
        <v>0</v>
      </c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x14ac:dyDescent="0.2">
      <c r="A167" s="2">
        <v>18</v>
      </c>
      <c r="B167" s="2">
        <v>1</v>
      </c>
      <c r="C167" s="2">
        <v>150</v>
      </c>
      <c r="D167" s="2"/>
      <c r="E167" s="2" t="s">
        <v>336</v>
      </c>
      <c r="F167" s="2" t="s">
        <v>337</v>
      </c>
      <c r="G167" s="2" t="s">
        <v>338</v>
      </c>
      <c r="H167" s="2" t="s">
        <v>339</v>
      </c>
      <c r="I167" s="2">
        <f>I166*J167</f>
        <v>0</v>
      </c>
      <c r="J167" s="2">
        <v>0</v>
      </c>
      <c r="K167" s="2">
        <v>0</v>
      </c>
      <c r="L167" s="2"/>
      <c r="M167" s="2"/>
      <c r="N167" s="2"/>
      <c r="O167" s="2">
        <f t="shared" si="154"/>
        <v>0</v>
      </c>
      <c r="P167" s="2">
        <f t="shared" ref="P167:P173" si="175">ROUND(CQ167*I167,2)</f>
        <v>0</v>
      </c>
      <c r="Q167" s="2">
        <f t="shared" ref="Q167:Q173" si="176">ROUND(CR167*I167,2)</f>
        <v>0</v>
      </c>
      <c r="R167" s="2">
        <f t="shared" ref="R167:R173" si="177">ROUND(CS167*I167,2)</f>
        <v>0</v>
      </c>
      <c r="S167" s="2">
        <f t="shared" ref="S167:S173" si="178">ROUND(CT167*I167,2)</f>
        <v>0</v>
      </c>
      <c r="T167" s="2">
        <f t="shared" si="155"/>
        <v>0</v>
      </c>
      <c r="U167" s="2">
        <f t="shared" ref="U167:U173" si="179">ROUND(CV167*I167,7)</f>
        <v>0</v>
      </c>
      <c r="V167" s="2">
        <f t="shared" ref="V167:V173" si="180">ROUND(CW167*I167,7)</f>
        <v>0</v>
      </c>
      <c r="W167" s="2">
        <f t="shared" si="156"/>
        <v>0</v>
      </c>
      <c r="X167" s="2">
        <f t="shared" si="157"/>
        <v>0</v>
      </c>
      <c r="Y167" s="2">
        <f t="shared" si="158"/>
        <v>0</v>
      </c>
      <c r="Z167" s="2"/>
      <c r="AA167" s="2">
        <v>85997836</v>
      </c>
      <c r="AB167" s="2">
        <f t="shared" si="159"/>
        <v>0</v>
      </c>
      <c r="AC167" s="2">
        <f t="shared" ref="AC167:AC173" si="181">ROUND((ES167),6)</f>
        <v>0</v>
      </c>
      <c r="AD167" s="2">
        <f t="shared" ref="AD167:AD172" si="182">ROUND((((ET167)-(EU167))+AE167),6)</f>
        <v>0</v>
      </c>
      <c r="AE167" s="2">
        <f t="shared" ref="AE167:AF173" si="183">ROUND((EU167),6)</f>
        <v>0</v>
      </c>
      <c r="AF167" s="2">
        <f t="shared" si="183"/>
        <v>0</v>
      </c>
      <c r="AG167" s="2">
        <f t="shared" si="160"/>
        <v>0</v>
      </c>
      <c r="AH167" s="2">
        <f t="shared" ref="AH167:AI173" si="184">(EW167)</f>
        <v>0</v>
      </c>
      <c r="AI167" s="2">
        <f t="shared" si="184"/>
        <v>0</v>
      </c>
      <c r="AJ167" s="2">
        <f t="shared" si="161"/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108</v>
      </c>
      <c r="AU167" s="2">
        <v>55</v>
      </c>
      <c r="AV167" s="2">
        <v>1</v>
      </c>
      <c r="AW167" s="2">
        <v>1</v>
      </c>
      <c r="AX167" s="2"/>
      <c r="AY167" s="2"/>
      <c r="AZ167" s="2">
        <v>1</v>
      </c>
      <c r="BA167" s="2">
        <v>1</v>
      </c>
      <c r="BB167" s="2">
        <v>1</v>
      </c>
      <c r="BC167" s="2">
        <v>1</v>
      </c>
      <c r="BD167" s="2" t="s">
        <v>3</v>
      </c>
      <c r="BE167" s="2" t="s">
        <v>3</v>
      </c>
      <c r="BF167" s="2" t="s">
        <v>3</v>
      </c>
      <c r="BG167" s="2" t="s">
        <v>3</v>
      </c>
      <c r="BH167" s="2">
        <v>3</v>
      </c>
      <c r="BI167" s="2">
        <v>1</v>
      </c>
      <c r="BJ167" s="2" t="s">
        <v>3</v>
      </c>
      <c r="BK167" s="2"/>
      <c r="BL167" s="2"/>
      <c r="BM167" s="2">
        <v>10001</v>
      </c>
      <c r="BN167" s="2">
        <v>0</v>
      </c>
      <c r="BO167" s="2" t="s">
        <v>3</v>
      </c>
      <c r="BP167" s="2">
        <v>0</v>
      </c>
      <c r="BQ167" s="2">
        <v>2</v>
      </c>
      <c r="BR167" s="2">
        <v>0</v>
      </c>
      <c r="BS167" s="2">
        <v>1</v>
      </c>
      <c r="BT167" s="2">
        <v>1</v>
      </c>
      <c r="BU167" s="2">
        <v>1</v>
      </c>
      <c r="BV167" s="2">
        <v>1</v>
      </c>
      <c r="BW167" s="2">
        <v>1</v>
      </c>
      <c r="BX167" s="2">
        <v>1</v>
      </c>
      <c r="BY167" s="2" t="s">
        <v>3</v>
      </c>
      <c r="BZ167" s="2">
        <v>108</v>
      </c>
      <c r="CA167" s="2">
        <v>55</v>
      </c>
      <c r="CB167" s="2" t="s">
        <v>3</v>
      </c>
      <c r="CC167" s="2"/>
      <c r="CD167" s="2"/>
      <c r="CE167" s="2">
        <v>0</v>
      </c>
      <c r="CF167" s="2">
        <v>0</v>
      </c>
      <c r="CG167" s="2">
        <v>0</v>
      </c>
      <c r="CH167" s="2"/>
      <c r="CI167" s="2"/>
      <c r="CJ167" s="2"/>
      <c r="CK167" s="2"/>
      <c r="CL167" s="2"/>
      <c r="CM167" s="2">
        <v>0</v>
      </c>
      <c r="CN167" s="2" t="s">
        <v>3</v>
      </c>
      <c r="CO167" s="2">
        <v>0</v>
      </c>
      <c r="CP167" s="2">
        <f t="shared" si="162"/>
        <v>0</v>
      </c>
      <c r="CQ167" s="2">
        <f t="shared" ref="CQ167:CQ172" si="185">ROUND(AL167*BC167,2)</f>
        <v>0</v>
      </c>
      <c r="CR167" s="2">
        <f t="shared" ref="CR167:CR172" si="186">ROUND(AM167*BB167,2)</f>
        <v>0</v>
      </c>
      <c r="CS167" s="2">
        <f t="shared" ref="CS167:CS173" si="187">ROUND(AN167*BS167,2)</f>
        <v>0</v>
      </c>
      <c r="CT167" s="2">
        <f t="shared" ref="CT167:CT173" si="188">ROUND(AO167*BA167,2)</f>
        <v>0</v>
      </c>
      <c r="CU167" s="2">
        <f t="shared" si="163"/>
        <v>0</v>
      </c>
      <c r="CV167" s="2">
        <f t="shared" ref="CV167:CW173" si="189">AH167</f>
        <v>0</v>
      </c>
      <c r="CW167" s="2">
        <f t="shared" si="189"/>
        <v>0</v>
      </c>
      <c r="CX167" s="2">
        <f t="shared" si="164"/>
        <v>0</v>
      </c>
      <c r="CY167" s="2">
        <f t="shared" si="165"/>
        <v>0</v>
      </c>
      <c r="CZ167" s="2">
        <f t="shared" si="166"/>
        <v>0</v>
      </c>
      <c r="DA167" s="2"/>
      <c r="DB167" s="2"/>
      <c r="DC167" s="2" t="s">
        <v>3</v>
      </c>
      <c r="DD167" s="2" t="s">
        <v>3</v>
      </c>
      <c r="DE167" s="2" t="s">
        <v>3</v>
      </c>
      <c r="DF167" s="2" t="s">
        <v>3</v>
      </c>
      <c r="DG167" s="2" t="s">
        <v>3</v>
      </c>
      <c r="DH167" s="2" t="s">
        <v>3</v>
      </c>
      <c r="DI167" s="2" t="s">
        <v>3</v>
      </c>
      <c r="DJ167" s="2" t="s">
        <v>3</v>
      </c>
      <c r="DK167" s="2" t="s">
        <v>3</v>
      </c>
      <c r="DL167" s="2" t="s">
        <v>3</v>
      </c>
      <c r="DM167" s="2" t="s">
        <v>3</v>
      </c>
      <c r="DN167" s="2">
        <v>0</v>
      </c>
      <c r="DO167" s="2">
        <v>0</v>
      </c>
      <c r="DP167" s="2">
        <v>1</v>
      </c>
      <c r="DQ167" s="2">
        <v>1</v>
      </c>
      <c r="DR167" s="2"/>
      <c r="DS167" s="2"/>
      <c r="DT167" s="2"/>
      <c r="DU167" s="2">
        <v>1013</v>
      </c>
      <c r="DV167" s="2" t="s">
        <v>339</v>
      </c>
      <c r="DW167" s="2" t="s">
        <v>339</v>
      </c>
      <c r="DX167" s="2">
        <v>1</v>
      </c>
      <c r="DY167" s="2"/>
      <c r="DZ167" s="2" t="s">
        <v>3</v>
      </c>
      <c r="EA167" s="2" t="s">
        <v>3</v>
      </c>
      <c r="EB167" s="2" t="s">
        <v>3</v>
      </c>
      <c r="EC167" s="2" t="s">
        <v>3</v>
      </c>
      <c r="ED167" s="2"/>
      <c r="EE167" s="2">
        <v>84053898</v>
      </c>
      <c r="EF167" s="2">
        <v>2</v>
      </c>
      <c r="EG167" s="2" t="s">
        <v>270</v>
      </c>
      <c r="EH167" s="2">
        <v>10</v>
      </c>
      <c r="EI167" s="2" t="s">
        <v>331</v>
      </c>
      <c r="EJ167" s="2">
        <v>1</v>
      </c>
      <c r="EK167" s="2">
        <v>10001</v>
      </c>
      <c r="EL167" s="2" t="s">
        <v>331</v>
      </c>
      <c r="EM167" s="2" t="s">
        <v>332</v>
      </c>
      <c r="EN167" s="2"/>
      <c r="EO167" s="2" t="s">
        <v>3</v>
      </c>
      <c r="EP167" s="2"/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>
        <v>0</v>
      </c>
      <c r="FR167" s="2">
        <v>0</v>
      </c>
      <c r="FS167" s="2">
        <v>0</v>
      </c>
      <c r="FT167" s="2"/>
      <c r="FU167" s="2"/>
      <c r="FV167" s="2"/>
      <c r="FW167" s="2"/>
      <c r="FX167" s="2">
        <v>108</v>
      </c>
      <c r="FY167" s="2">
        <v>55</v>
      </c>
      <c r="FZ167" s="2"/>
      <c r="GA167" s="2" t="s">
        <v>3</v>
      </c>
      <c r="GB167" s="2"/>
      <c r="GC167" s="2"/>
      <c r="GD167" s="2">
        <v>1</v>
      </c>
      <c r="GE167" s="2"/>
      <c r="GF167" s="2">
        <v>805514110</v>
      </c>
      <c r="GG167" s="2">
        <v>2</v>
      </c>
      <c r="GH167" s="2">
        <v>1</v>
      </c>
      <c r="GI167" s="2">
        <v>-2</v>
      </c>
      <c r="GJ167" s="2">
        <v>0</v>
      </c>
      <c r="GK167" s="2">
        <v>0</v>
      </c>
      <c r="GL167" s="2">
        <f t="shared" si="167"/>
        <v>0</v>
      </c>
      <c r="GM167" s="2">
        <f t="shared" si="168"/>
        <v>0</v>
      </c>
      <c r="GN167" s="2">
        <f t="shared" si="169"/>
        <v>0</v>
      </c>
      <c r="GO167" s="2">
        <f t="shared" si="170"/>
        <v>0</v>
      </c>
      <c r="GP167" s="2">
        <f t="shared" si="171"/>
        <v>0</v>
      </c>
      <c r="GQ167" s="2"/>
      <c r="GR167" s="2">
        <v>0</v>
      </c>
      <c r="GS167" s="2">
        <v>3</v>
      </c>
      <c r="GT167" s="2">
        <v>0</v>
      </c>
      <c r="GU167" s="2" t="s">
        <v>3</v>
      </c>
      <c r="GV167" s="2">
        <f t="shared" si="172"/>
        <v>0</v>
      </c>
      <c r="GW167" s="2">
        <v>1</v>
      </c>
      <c r="GX167" s="2">
        <f t="shared" si="173"/>
        <v>0</v>
      </c>
      <c r="GY167" s="2"/>
      <c r="GZ167" s="2"/>
      <c r="HA167" s="2">
        <v>0</v>
      </c>
      <c r="HB167" s="2">
        <v>0</v>
      </c>
      <c r="HC167" s="2">
        <f t="shared" si="174"/>
        <v>0</v>
      </c>
      <c r="HD167" s="2"/>
      <c r="HE167" s="2" t="s">
        <v>3</v>
      </c>
      <c r="HF167" s="2" t="s">
        <v>3</v>
      </c>
      <c r="HG167" s="2"/>
      <c r="HH167" s="2"/>
      <c r="HI167" s="2"/>
      <c r="HJ167" s="2"/>
      <c r="HK167" s="2"/>
      <c r="HL167" s="2"/>
      <c r="HM167" s="2" t="s">
        <v>3</v>
      </c>
      <c r="HN167" s="2" t="s">
        <v>334</v>
      </c>
      <c r="HO167" s="2" t="s">
        <v>335</v>
      </c>
      <c r="HP167" s="2" t="s">
        <v>331</v>
      </c>
      <c r="HQ167" s="2" t="s">
        <v>331</v>
      </c>
      <c r="HR167" s="2"/>
      <c r="HS167" s="2">
        <v>0</v>
      </c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>
        <v>0</v>
      </c>
      <c r="IL167" s="2"/>
      <c r="IM167" s="2"/>
      <c r="IN167" s="2"/>
      <c r="IO167" s="2"/>
      <c r="IP167" s="2"/>
      <c r="IQ167" s="2"/>
      <c r="IR167" s="2"/>
      <c r="IS167" s="2"/>
      <c r="IT167" s="2"/>
      <c r="IU167" s="2"/>
    </row>
    <row r="168" spans="1:255" x14ac:dyDescent="0.2">
      <c r="A168" s="2">
        <v>18</v>
      </c>
      <c r="B168" s="2">
        <v>1</v>
      </c>
      <c r="C168" s="2">
        <v>153</v>
      </c>
      <c r="D168" s="2"/>
      <c r="E168" s="2" t="s">
        <v>340</v>
      </c>
      <c r="F168" s="2" t="s">
        <v>341</v>
      </c>
      <c r="G168" s="2" t="s">
        <v>342</v>
      </c>
      <c r="H168" s="2" t="s">
        <v>170</v>
      </c>
      <c r="I168" s="2">
        <f>I166*J168</f>
        <v>0</v>
      </c>
      <c r="J168" s="2">
        <v>0</v>
      </c>
      <c r="K168" s="2">
        <v>0</v>
      </c>
      <c r="L168" s="2"/>
      <c r="M168" s="2"/>
      <c r="N168" s="2"/>
      <c r="O168" s="2">
        <f t="shared" si="154"/>
        <v>0</v>
      </c>
      <c r="P168" s="2">
        <f t="shared" si="175"/>
        <v>0</v>
      </c>
      <c r="Q168" s="2">
        <f t="shared" si="176"/>
        <v>0</v>
      </c>
      <c r="R168" s="2">
        <f t="shared" si="177"/>
        <v>0</v>
      </c>
      <c r="S168" s="2">
        <f t="shared" si="178"/>
        <v>0</v>
      </c>
      <c r="T168" s="2">
        <f t="shared" si="155"/>
        <v>0</v>
      </c>
      <c r="U168" s="2">
        <f t="shared" si="179"/>
        <v>0</v>
      </c>
      <c r="V168" s="2">
        <f t="shared" si="180"/>
        <v>0</v>
      </c>
      <c r="W168" s="2">
        <f t="shared" si="156"/>
        <v>0</v>
      </c>
      <c r="X168" s="2">
        <f t="shared" si="157"/>
        <v>0</v>
      </c>
      <c r="Y168" s="2">
        <f t="shared" si="158"/>
        <v>0</v>
      </c>
      <c r="Z168" s="2"/>
      <c r="AA168" s="2">
        <v>85997836</v>
      </c>
      <c r="AB168" s="2">
        <f t="shared" si="159"/>
        <v>0</v>
      </c>
      <c r="AC168" s="2">
        <f t="shared" si="181"/>
        <v>0</v>
      </c>
      <c r="AD168" s="2">
        <f t="shared" si="182"/>
        <v>0</v>
      </c>
      <c r="AE168" s="2">
        <f t="shared" si="183"/>
        <v>0</v>
      </c>
      <c r="AF168" s="2">
        <f t="shared" si="183"/>
        <v>0</v>
      </c>
      <c r="AG168" s="2">
        <f t="shared" si="160"/>
        <v>0</v>
      </c>
      <c r="AH168" s="2">
        <f t="shared" si="184"/>
        <v>0</v>
      </c>
      <c r="AI168" s="2">
        <f t="shared" si="184"/>
        <v>0</v>
      </c>
      <c r="AJ168" s="2">
        <f t="shared" si="161"/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108</v>
      </c>
      <c r="AU168" s="2">
        <v>55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3</v>
      </c>
      <c r="BE168" s="2" t="s">
        <v>3</v>
      </c>
      <c r="BF168" s="2" t="s">
        <v>3</v>
      </c>
      <c r="BG168" s="2" t="s">
        <v>3</v>
      </c>
      <c r="BH168" s="2">
        <v>3</v>
      </c>
      <c r="BI168" s="2">
        <v>1</v>
      </c>
      <c r="BJ168" s="2" t="s">
        <v>3</v>
      </c>
      <c r="BK168" s="2"/>
      <c r="BL168" s="2"/>
      <c r="BM168" s="2">
        <v>10001</v>
      </c>
      <c r="BN168" s="2">
        <v>0</v>
      </c>
      <c r="BO168" s="2" t="s">
        <v>3</v>
      </c>
      <c r="BP168" s="2">
        <v>0</v>
      </c>
      <c r="BQ168" s="2">
        <v>2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3</v>
      </c>
      <c r="BZ168" s="2">
        <v>108</v>
      </c>
      <c r="CA168" s="2">
        <v>55</v>
      </c>
      <c r="CB168" s="2" t="s">
        <v>3</v>
      </c>
      <c r="CC168" s="2"/>
      <c r="CD168" s="2"/>
      <c r="CE168" s="2">
        <v>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2" t="s">
        <v>3</v>
      </c>
      <c r="CO168" s="2">
        <v>0</v>
      </c>
      <c r="CP168" s="2">
        <f t="shared" si="162"/>
        <v>0</v>
      </c>
      <c r="CQ168" s="2">
        <f t="shared" si="185"/>
        <v>0</v>
      </c>
      <c r="CR168" s="2">
        <f t="shared" si="186"/>
        <v>0</v>
      </c>
      <c r="CS168" s="2">
        <f t="shared" si="187"/>
        <v>0</v>
      </c>
      <c r="CT168" s="2">
        <f t="shared" si="188"/>
        <v>0</v>
      </c>
      <c r="CU168" s="2">
        <f t="shared" si="163"/>
        <v>0</v>
      </c>
      <c r="CV168" s="2">
        <f t="shared" si="189"/>
        <v>0</v>
      </c>
      <c r="CW168" s="2">
        <f t="shared" si="189"/>
        <v>0</v>
      </c>
      <c r="CX168" s="2">
        <f t="shared" si="164"/>
        <v>0</v>
      </c>
      <c r="CY168" s="2">
        <f t="shared" si="165"/>
        <v>0</v>
      </c>
      <c r="CZ168" s="2">
        <f t="shared" si="166"/>
        <v>0</v>
      </c>
      <c r="DA168" s="2"/>
      <c r="DB168" s="2"/>
      <c r="DC168" s="2" t="s">
        <v>3</v>
      </c>
      <c r="DD168" s="2" t="s">
        <v>3</v>
      </c>
      <c r="DE168" s="2" t="s">
        <v>3</v>
      </c>
      <c r="DF168" s="2" t="s">
        <v>3</v>
      </c>
      <c r="DG168" s="2" t="s">
        <v>3</v>
      </c>
      <c r="DH168" s="2" t="s">
        <v>3</v>
      </c>
      <c r="DI168" s="2" t="s">
        <v>3</v>
      </c>
      <c r="DJ168" s="2" t="s">
        <v>3</v>
      </c>
      <c r="DK168" s="2" t="s">
        <v>3</v>
      </c>
      <c r="DL168" s="2" t="s">
        <v>3</v>
      </c>
      <c r="DM168" s="2" t="s">
        <v>3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1009</v>
      </c>
      <c r="DV168" s="2" t="s">
        <v>170</v>
      </c>
      <c r="DW168" s="2" t="s">
        <v>170</v>
      </c>
      <c r="DX168" s="2">
        <v>1</v>
      </c>
      <c r="DY168" s="2"/>
      <c r="DZ168" s="2" t="s">
        <v>3</v>
      </c>
      <c r="EA168" s="2" t="s">
        <v>3</v>
      </c>
      <c r="EB168" s="2" t="s">
        <v>3</v>
      </c>
      <c r="EC168" s="2" t="s">
        <v>3</v>
      </c>
      <c r="ED168" s="2"/>
      <c r="EE168" s="2">
        <v>84053898</v>
      </c>
      <c r="EF168" s="2">
        <v>2</v>
      </c>
      <c r="EG168" s="2" t="s">
        <v>270</v>
      </c>
      <c r="EH168" s="2">
        <v>10</v>
      </c>
      <c r="EI168" s="2" t="s">
        <v>331</v>
      </c>
      <c r="EJ168" s="2">
        <v>1</v>
      </c>
      <c r="EK168" s="2">
        <v>10001</v>
      </c>
      <c r="EL168" s="2" t="s">
        <v>331</v>
      </c>
      <c r="EM168" s="2" t="s">
        <v>332</v>
      </c>
      <c r="EN168" s="2"/>
      <c r="EO168" s="2" t="s">
        <v>3</v>
      </c>
      <c r="EP168" s="2"/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v>0</v>
      </c>
      <c r="FS168" s="2">
        <v>0</v>
      </c>
      <c r="FT168" s="2"/>
      <c r="FU168" s="2"/>
      <c r="FV168" s="2"/>
      <c r="FW168" s="2"/>
      <c r="FX168" s="2">
        <v>108</v>
      </c>
      <c r="FY168" s="2">
        <v>55</v>
      </c>
      <c r="FZ168" s="2"/>
      <c r="GA168" s="2" t="s">
        <v>3</v>
      </c>
      <c r="GB168" s="2"/>
      <c r="GC168" s="2"/>
      <c r="GD168" s="2">
        <v>1</v>
      </c>
      <c r="GE168" s="2"/>
      <c r="GF168" s="2">
        <v>553349952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 t="shared" si="167"/>
        <v>0</v>
      </c>
      <c r="GM168" s="2">
        <f t="shared" si="168"/>
        <v>0</v>
      </c>
      <c r="GN168" s="2">
        <f t="shared" si="169"/>
        <v>0</v>
      </c>
      <c r="GO168" s="2">
        <f t="shared" si="170"/>
        <v>0</v>
      </c>
      <c r="GP168" s="2">
        <f t="shared" si="171"/>
        <v>0</v>
      </c>
      <c r="GQ168" s="2"/>
      <c r="GR168" s="2">
        <v>0</v>
      </c>
      <c r="GS168" s="2">
        <v>3</v>
      </c>
      <c r="GT168" s="2">
        <v>0</v>
      </c>
      <c r="GU168" s="2" t="s">
        <v>3</v>
      </c>
      <c r="GV168" s="2">
        <f t="shared" si="172"/>
        <v>0</v>
      </c>
      <c r="GW168" s="2">
        <v>1</v>
      </c>
      <c r="GX168" s="2">
        <f t="shared" si="173"/>
        <v>0</v>
      </c>
      <c r="GY168" s="2"/>
      <c r="GZ168" s="2"/>
      <c r="HA168" s="2">
        <v>0</v>
      </c>
      <c r="HB168" s="2">
        <v>0</v>
      </c>
      <c r="HC168" s="2">
        <f t="shared" si="174"/>
        <v>0</v>
      </c>
      <c r="HD168" s="2"/>
      <c r="HE168" s="2" t="s">
        <v>3</v>
      </c>
      <c r="HF168" s="2" t="s">
        <v>3</v>
      </c>
      <c r="HG168" s="2"/>
      <c r="HH168" s="2"/>
      <c r="HI168" s="2"/>
      <c r="HJ168" s="2"/>
      <c r="HK168" s="2"/>
      <c r="HL168" s="2"/>
      <c r="HM168" s="2" t="s">
        <v>3</v>
      </c>
      <c r="HN168" s="2" t="s">
        <v>334</v>
      </c>
      <c r="HO168" s="2" t="s">
        <v>335</v>
      </c>
      <c r="HP168" s="2" t="s">
        <v>331</v>
      </c>
      <c r="HQ168" s="2" t="s">
        <v>331</v>
      </c>
      <c r="HR168" s="2"/>
      <c r="HS168" s="2">
        <v>0</v>
      </c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x14ac:dyDescent="0.2">
      <c r="A169" s="2">
        <v>18</v>
      </c>
      <c r="B169" s="2">
        <v>1</v>
      </c>
      <c r="C169" s="2">
        <v>156</v>
      </c>
      <c r="D169" s="2"/>
      <c r="E169" s="2" t="s">
        <v>343</v>
      </c>
      <c r="F169" s="2" t="s">
        <v>344</v>
      </c>
      <c r="G169" s="2" t="s">
        <v>345</v>
      </c>
      <c r="H169" s="2" t="s">
        <v>43</v>
      </c>
      <c r="I169" s="2">
        <f>I166*J169</f>
        <v>3.25</v>
      </c>
      <c r="J169" s="2">
        <v>100</v>
      </c>
      <c r="K169" s="2">
        <v>100</v>
      </c>
      <c r="L169" s="2"/>
      <c r="M169" s="2"/>
      <c r="N169" s="2"/>
      <c r="O169" s="2">
        <f t="shared" si="154"/>
        <v>0</v>
      </c>
      <c r="P169" s="2">
        <f t="shared" si="175"/>
        <v>0</v>
      </c>
      <c r="Q169" s="2">
        <f t="shared" si="176"/>
        <v>0</v>
      </c>
      <c r="R169" s="2">
        <f t="shared" si="177"/>
        <v>0</v>
      </c>
      <c r="S169" s="2">
        <f t="shared" si="178"/>
        <v>0</v>
      </c>
      <c r="T169" s="2">
        <f t="shared" si="155"/>
        <v>0</v>
      </c>
      <c r="U169" s="2">
        <f t="shared" si="179"/>
        <v>0</v>
      </c>
      <c r="V169" s="2">
        <f t="shared" si="180"/>
        <v>0</v>
      </c>
      <c r="W169" s="2">
        <f t="shared" si="156"/>
        <v>0</v>
      </c>
      <c r="X169" s="2">
        <f t="shared" si="157"/>
        <v>0</v>
      </c>
      <c r="Y169" s="2">
        <f t="shared" si="158"/>
        <v>0</v>
      </c>
      <c r="Z169" s="2"/>
      <c r="AA169" s="2">
        <v>85997836</v>
      </c>
      <c r="AB169" s="2">
        <f t="shared" si="159"/>
        <v>0</v>
      </c>
      <c r="AC169" s="2">
        <f t="shared" si="181"/>
        <v>0</v>
      </c>
      <c r="AD169" s="2">
        <f t="shared" si="182"/>
        <v>0</v>
      </c>
      <c r="AE169" s="2">
        <f t="shared" si="183"/>
        <v>0</v>
      </c>
      <c r="AF169" s="2">
        <f t="shared" si="183"/>
        <v>0</v>
      </c>
      <c r="AG169" s="2">
        <f t="shared" si="160"/>
        <v>0</v>
      </c>
      <c r="AH169" s="2">
        <f t="shared" si="184"/>
        <v>0</v>
      </c>
      <c r="AI169" s="2">
        <f t="shared" si="184"/>
        <v>0</v>
      </c>
      <c r="AJ169" s="2">
        <f t="shared" si="161"/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108</v>
      </c>
      <c r="AU169" s="2">
        <v>55</v>
      </c>
      <c r="AV169" s="2">
        <v>1</v>
      </c>
      <c r="AW169" s="2">
        <v>1</v>
      </c>
      <c r="AX169" s="2"/>
      <c r="AY169" s="2"/>
      <c r="AZ169" s="2">
        <v>1</v>
      </c>
      <c r="BA169" s="2">
        <v>1</v>
      </c>
      <c r="BB169" s="2">
        <v>1</v>
      </c>
      <c r="BC169" s="2">
        <v>1</v>
      </c>
      <c r="BD169" s="2" t="s">
        <v>3</v>
      </c>
      <c r="BE169" s="2" t="s">
        <v>3</v>
      </c>
      <c r="BF169" s="2" t="s">
        <v>3</v>
      </c>
      <c r="BG169" s="2" t="s">
        <v>3</v>
      </c>
      <c r="BH169" s="2">
        <v>3</v>
      </c>
      <c r="BI169" s="2">
        <v>1</v>
      </c>
      <c r="BJ169" s="2" t="s">
        <v>3</v>
      </c>
      <c r="BK169" s="2"/>
      <c r="BL169" s="2"/>
      <c r="BM169" s="2">
        <v>10001</v>
      </c>
      <c r="BN169" s="2">
        <v>0</v>
      </c>
      <c r="BO169" s="2" t="s">
        <v>3</v>
      </c>
      <c r="BP169" s="2">
        <v>0</v>
      </c>
      <c r="BQ169" s="2">
        <v>2</v>
      </c>
      <c r="BR169" s="2">
        <v>0</v>
      </c>
      <c r="BS169" s="2">
        <v>1</v>
      </c>
      <c r="BT169" s="2">
        <v>1</v>
      </c>
      <c r="BU169" s="2">
        <v>1</v>
      </c>
      <c r="BV169" s="2">
        <v>1</v>
      </c>
      <c r="BW169" s="2">
        <v>1</v>
      </c>
      <c r="BX169" s="2">
        <v>1</v>
      </c>
      <c r="BY169" s="2" t="s">
        <v>3</v>
      </c>
      <c r="BZ169" s="2">
        <v>108</v>
      </c>
      <c r="CA169" s="2">
        <v>55</v>
      </c>
      <c r="CB169" s="2" t="s">
        <v>3</v>
      </c>
      <c r="CC169" s="2"/>
      <c r="CD169" s="2"/>
      <c r="CE169" s="2">
        <v>0</v>
      </c>
      <c r="CF169" s="2">
        <v>0</v>
      </c>
      <c r="CG169" s="2">
        <v>0</v>
      </c>
      <c r="CH169" s="2"/>
      <c r="CI169" s="2"/>
      <c r="CJ169" s="2"/>
      <c r="CK169" s="2"/>
      <c r="CL169" s="2"/>
      <c r="CM169" s="2">
        <v>0</v>
      </c>
      <c r="CN169" s="2" t="s">
        <v>3</v>
      </c>
      <c r="CO169" s="2">
        <v>0</v>
      </c>
      <c r="CP169" s="2">
        <f t="shared" si="162"/>
        <v>0</v>
      </c>
      <c r="CQ169" s="2">
        <f t="shared" si="185"/>
        <v>0</v>
      </c>
      <c r="CR169" s="2">
        <f t="shared" si="186"/>
        <v>0</v>
      </c>
      <c r="CS169" s="2">
        <f t="shared" si="187"/>
        <v>0</v>
      </c>
      <c r="CT169" s="2">
        <f t="shared" si="188"/>
        <v>0</v>
      </c>
      <c r="CU169" s="2">
        <f t="shared" si="163"/>
        <v>0</v>
      </c>
      <c r="CV169" s="2">
        <f t="shared" si="189"/>
        <v>0</v>
      </c>
      <c r="CW169" s="2">
        <f t="shared" si="189"/>
        <v>0</v>
      </c>
      <c r="CX169" s="2">
        <f t="shared" si="164"/>
        <v>0</v>
      </c>
      <c r="CY169" s="2">
        <f t="shared" si="165"/>
        <v>0</v>
      </c>
      <c r="CZ169" s="2">
        <f t="shared" si="166"/>
        <v>0</v>
      </c>
      <c r="DA169" s="2"/>
      <c r="DB169" s="2"/>
      <c r="DC169" s="2" t="s">
        <v>3</v>
      </c>
      <c r="DD169" s="2" t="s">
        <v>3</v>
      </c>
      <c r="DE169" s="2" t="s">
        <v>3</v>
      </c>
      <c r="DF169" s="2" t="s">
        <v>3</v>
      </c>
      <c r="DG169" s="2" t="s">
        <v>3</v>
      </c>
      <c r="DH169" s="2" t="s">
        <v>3</v>
      </c>
      <c r="DI169" s="2" t="s">
        <v>3</v>
      </c>
      <c r="DJ169" s="2" t="s">
        <v>3</v>
      </c>
      <c r="DK169" s="2" t="s">
        <v>3</v>
      </c>
      <c r="DL169" s="2" t="s">
        <v>3</v>
      </c>
      <c r="DM169" s="2" t="s">
        <v>3</v>
      </c>
      <c r="DN169" s="2">
        <v>0</v>
      </c>
      <c r="DO169" s="2">
        <v>0</v>
      </c>
      <c r="DP169" s="2">
        <v>1</v>
      </c>
      <c r="DQ169" s="2">
        <v>1</v>
      </c>
      <c r="DR169" s="2"/>
      <c r="DS169" s="2"/>
      <c r="DT169" s="2"/>
      <c r="DU169" s="2">
        <v>1013</v>
      </c>
      <c r="DV169" s="2" t="s">
        <v>43</v>
      </c>
      <c r="DW169" s="2" t="s">
        <v>43</v>
      </c>
      <c r="DX169" s="2">
        <v>1</v>
      </c>
      <c r="DY169" s="2"/>
      <c r="DZ169" s="2" t="s">
        <v>3</v>
      </c>
      <c r="EA169" s="2" t="s">
        <v>3</v>
      </c>
      <c r="EB169" s="2" t="s">
        <v>3</v>
      </c>
      <c r="EC169" s="2" t="s">
        <v>3</v>
      </c>
      <c r="ED169" s="2"/>
      <c r="EE169" s="2">
        <v>84053898</v>
      </c>
      <c r="EF169" s="2">
        <v>2</v>
      </c>
      <c r="EG169" s="2" t="s">
        <v>270</v>
      </c>
      <c r="EH169" s="2">
        <v>10</v>
      </c>
      <c r="EI169" s="2" t="s">
        <v>331</v>
      </c>
      <c r="EJ169" s="2">
        <v>1</v>
      </c>
      <c r="EK169" s="2">
        <v>10001</v>
      </c>
      <c r="EL169" s="2" t="s">
        <v>331</v>
      </c>
      <c r="EM169" s="2" t="s">
        <v>332</v>
      </c>
      <c r="EN169" s="2"/>
      <c r="EO169" s="2" t="s">
        <v>3</v>
      </c>
      <c r="EP169" s="2"/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>
        <v>0</v>
      </c>
      <c r="FR169" s="2">
        <v>0</v>
      </c>
      <c r="FS169" s="2">
        <v>0</v>
      </c>
      <c r="FT169" s="2"/>
      <c r="FU169" s="2"/>
      <c r="FV169" s="2"/>
      <c r="FW169" s="2"/>
      <c r="FX169" s="2">
        <v>108</v>
      </c>
      <c r="FY169" s="2">
        <v>55</v>
      </c>
      <c r="FZ169" s="2"/>
      <c r="GA169" s="2" t="s">
        <v>3</v>
      </c>
      <c r="GB169" s="2"/>
      <c r="GC169" s="2"/>
      <c r="GD169" s="2">
        <v>1</v>
      </c>
      <c r="GE169" s="2"/>
      <c r="GF169" s="2">
        <v>970582645</v>
      </c>
      <c r="GG169" s="2">
        <v>2</v>
      </c>
      <c r="GH169" s="2">
        <v>1</v>
      </c>
      <c r="GI169" s="2">
        <v>-2</v>
      </c>
      <c r="GJ169" s="2">
        <v>0</v>
      </c>
      <c r="GK169" s="2">
        <v>0</v>
      </c>
      <c r="GL169" s="2">
        <f t="shared" si="167"/>
        <v>0</v>
      </c>
      <c r="GM169" s="2">
        <f t="shared" si="168"/>
        <v>0</v>
      </c>
      <c r="GN169" s="2">
        <f t="shared" si="169"/>
        <v>0</v>
      </c>
      <c r="GO169" s="2">
        <f t="shared" si="170"/>
        <v>0</v>
      </c>
      <c r="GP169" s="2">
        <f t="shared" si="171"/>
        <v>0</v>
      </c>
      <c r="GQ169" s="2"/>
      <c r="GR169" s="2">
        <v>0</v>
      </c>
      <c r="GS169" s="2">
        <v>3</v>
      </c>
      <c r="GT169" s="2">
        <v>0</v>
      </c>
      <c r="GU169" s="2" t="s">
        <v>3</v>
      </c>
      <c r="GV169" s="2">
        <f t="shared" si="172"/>
        <v>0</v>
      </c>
      <c r="GW169" s="2">
        <v>1</v>
      </c>
      <c r="GX169" s="2">
        <f t="shared" si="173"/>
        <v>0</v>
      </c>
      <c r="GY169" s="2"/>
      <c r="GZ169" s="2"/>
      <c r="HA169" s="2">
        <v>0</v>
      </c>
      <c r="HB169" s="2">
        <v>0</v>
      </c>
      <c r="HC169" s="2">
        <f t="shared" si="174"/>
        <v>0</v>
      </c>
      <c r="HD169" s="2"/>
      <c r="HE169" s="2" t="s">
        <v>3</v>
      </c>
      <c r="HF169" s="2" t="s">
        <v>3</v>
      </c>
      <c r="HG169" s="2"/>
      <c r="HH169" s="2"/>
      <c r="HI169" s="2"/>
      <c r="HJ169" s="2"/>
      <c r="HK169" s="2"/>
      <c r="HL169" s="2"/>
      <c r="HM169" s="2" t="s">
        <v>3</v>
      </c>
      <c r="HN169" s="2" t="s">
        <v>334</v>
      </c>
      <c r="HO169" s="2" t="s">
        <v>335</v>
      </c>
      <c r="HP169" s="2" t="s">
        <v>331</v>
      </c>
      <c r="HQ169" s="2" t="s">
        <v>331</v>
      </c>
      <c r="HR169" s="2"/>
      <c r="HS169" s="2">
        <v>0</v>
      </c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>
        <v>0</v>
      </c>
      <c r="IL169" s="2"/>
      <c r="IM169" s="2"/>
      <c r="IN169" s="2"/>
      <c r="IO169" s="2"/>
      <c r="IP169" s="2"/>
      <c r="IQ169" s="2"/>
      <c r="IR169" s="2"/>
      <c r="IS169" s="2"/>
      <c r="IT169" s="2"/>
      <c r="IU169" s="2"/>
    </row>
    <row r="170" spans="1:255" ht="409.5" x14ac:dyDescent="0.2">
      <c r="A170" s="2">
        <v>18</v>
      </c>
      <c r="B170" s="2">
        <v>1</v>
      </c>
      <c r="C170" s="2">
        <v>147</v>
      </c>
      <c r="D170" s="2"/>
      <c r="E170" s="2" t="s">
        <v>346</v>
      </c>
      <c r="F170" s="2" t="s">
        <v>347</v>
      </c>
      <c r="G170" s="2" t="s">
        <v>348</v>
      </c>
      <c r="H170" s="2" t="s">
        <v>29</v>
      </c>
      <c r="I170" s="2">
        <f>I166*J170</f>
        <v>-0.51772499999999999</v>
      </c>
      <c r="J170" s="2">
        <v>-15.93</v>
      </c>
      <c r="K170" s="2">
        <v>-10.62</v>
      </c>
      <c r="L170" s="2"/>
      <c r="M170" s="2"/>
      <c r="N170" s="2"/>
      <c r="O170" s="2">
        <f t="shared" si="154"/>
        <v>-1040.23</v>
      </c>
      <c r="P170" s="2">
        <f t="shared" si="175"/>
        <v>0</v>
      </c>
      <c r="Q170" s="2">
        <f t="shared" si="176"/>
        <v>-538.08000000000004</v>
      </c>
      <c r="R170" s="2">
        <f t="shared" si="177"/>
        <v>-502.15</v>
      </c>
      <c r="S170" s="2">
        <f t="shared" si="178"/>
        <v>0</v>
      </c>
      <c r="T170" s="2">
        <f t="shared" si="155"/>
        <v>0</v>
      </c>
      <c r="U170" s="2">
        <f t="shared" si="179"/>
        <v>0</v>
      </c>
      <c r="V170" s="2">
        <f t="shared" si="180"/>
        <v>0</v>
      </c>
      <c r="W170" s="2">
        <f t="shared" si="156"/>
        <v>0</v>
      </c>
      <c r="X170" s="2">
        <f t="shared" si="157"/>
        <v>-542.32000000000005</v>
      </c>
      <c r="Y170" s="2">
        <f t="shared" si="158"/>
        <v>-276.18</v>
      </c>
      <c r="Z170" s="2"/>
      <c r="AA170" s="2">
        <v>85997836</v>
      </c>
      <c r="AB170" s="2">
        <f t="shared" si="159"/>
        <v>1039.32</v>
      </c>
      <c r="AC170" s="2">
        <f t="shared" si="181"/>
        <v>0</v>
      </c>
      <c r="AD170" s="2">
        <f t="shared" si="182"/>
        <v>1039.32</v>
      </c>
      <c r="AE170" s="2">
        <f t="shared" si="183"/>
        <v>969.91</v>
      </c>
      <c r="AF170" s="2">
        <f t="shared" si="183"/>
        <v>0</v>
      </c>
      <c r="AG170" s="2">
        <f t="shared" si="160"/>
        <v>0</v>
      </c>
      <c r="AH170" s="2">
        <f t="shared" si="184"/>
        <v>0</v>
      </c>
      <c r="AI170" s="2">
        <f t="shared" si="184"/>
        <v>0</v>
      </c>
      <c r="AJ170" s="2">
        <f t="shared" si="161"/>
        <v>0</v>
      </c>
      <c r="AK170" s="2">
        <v>1039.32</v>
      </c>
      <c r="AL170" s="2">
        <v>0</v>
      </c>
      <c r="AM170" s="2">
        <v>1039.32</v>
      </c>
      <c r="AN170" s="2">
        <v>969.91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108</v>
      </c>
      <c r="AU170" s="2">
        <v>55</v>
      </c>
      <c r="AV170" s="2">
        <v>1</v>
      </c>
      <c r="AW170" s="2">
        <v>1</v>
      </c>
      <c r="AX170" s="2"/>
      <c r="AY170" s="2"/>
      <c r="AZ170" s="2">
        <v>1</v>
      </c>
      <c r="BA170" s="2">
        <v>1</v>
      </c>
      <c r="BB170" s="2">
        <v>1</v>
      </c>
      <c r="BC170" s="2">
        <v>1</v>
      </c>
      <c r="BD170" s="2" t="s">
        <v>3</v>
      </c>
      <c r="BE170" s="2" t="s">
        <v>3</v>
      </c>
      <c r="BF170" s="2" t="s">
        <v>3</v>
      </c>
      <c r="BG170" s="2" t="s">
        <v>3</v>
      </c>
      <c r="BH170" s="2">
        <v>2</v>
      </c>
      <c r="BI170" s="2">
        <v>1</v>
      </c>
      <c r="BJ170" s="2" t="s">
        <v>349</v>
      </c>
      <c r="BK170" s="2"/>
      <c r="BL170" s="2"/>
      <c r="BM170" s="2">
        <v>10001</v>
      </c>
      <c r="BN170" s="2">
        <v>0</v>
      </c>
      <c r="BO170" s="2" t="s">
        <v>3</v>
      </c>
      <c r="BP170" s="2">
        <v>0</v>
      </c>
      <c r="BQ170" s="2">
        <v>2</v>
      </c>
      <c r="BR170" s="2">
        <v>0</v>
      </c>
      <c r="BS170" s="2">
        <v>1</v>
      </c>
      <c r="BT170" s="2">
        <v>1</v>
      </c>
      <c r="BU170" s="2">
        <v>1</v>
      </c>
      <c r="BV170" s="2">
        <v>1</v>
      </c>
      <c r="BW170" s="2">
        <v>1</v>
      </c>
      <c r="BX170" s="2">
        <v>1</v>
      </c>
      <c r="BY170" s="2" t="s">
        <v>3</v>
      </c>
      <c r="BZ170" s="2">
        <v>108</v>
      </c>
      <c r="CA170" s="2">
        <v>55</v>
      </c>
      <c r="CB170" s="2" t="s">
        <v>3</v>
      </c>
      <c r="CC170" s="2"/>
      <c r="CD170" s="2"/>
      <c r="CE170" s="2">
        <v>0</v>
      </c>
      <c r="CF170" s="2">
        <v>0</v>
      </c>
      <c r="CG170" s="2">
        <v>0</v>
      </c>
      <c r="CH170" s="2"/>
      <c r="CI170" s="2"/>
      <c r="CJ170" s="2"/>
      <c r="CK170" s="2"/>
      <c r="CL170" s="2"/>
      <c r="CM170" s="2">
        <v>0</v>
      </c>
      <c r="CN170" s="7" t="s">
        <v>737</v>
      </c>
      <c r="CO170" s="2">
        <v>0</v>
      </c>
      <c r="CP170" s="2">
        <f t="shared" si="162"/>
        <v>-1040.23</v>
      </c>
      <c r="CQ170" s="2">
        <f t="shared" si="185"/>
        <v>0</v>
      </c>
      <c r="CR170" s="2">
        <f t="shared" si="186"/>
        <v>1039.32</v>
      </c>
      <c r="CS170" s="2">
        <f t="shared" si="187"/>
        <v>969.91</v>
      </c>
      <c r="CT170" s="2">
        <f t="shared" si="188"/>
        <v>0</v>
      </c>
      <c r="CU170" s="2">
        <f t="shared" si="163"/>
        <v>0</v>
      </c>
      <c r="CV170" s="2">
        <f t="shared" si="189"/>
        <v>0</v>
      </c>
      <c r="CW170" s="2">
        <f t="shared" si="189"/>
        <v>0</v>
      </c>
      <c r="CX170" s="2">
        <f t="shared" si="164"/>
        <v>0</v>
      </c>
      <c r="CY170" s="2">
        <f t="shared" si="165"/>
        <v>-542.322</v>
      </c>
      <c r="CZ170" s="2">
        <f t="shared" si="166"/>
        <v>-276.1825</v>
      </c>
      <c r="DA170" s="2"/>
      <c r="DB170" s="2"/>
      <c r="DC170" s="2" t="s">
        <v>3</v>
      </c>
      <c r="DD170" s="2" t="s">
        <v>3</v>
      </c>
      <c r="DE170" s="2" t="s">
        <v>3</v>
      </c>
      <c r="DF170" s="2" t="s">
        <v>3</v>
      </c>
      <c r="DG170" s="2" t="s">
        <v>3</v>
      </c>
      <c r="DH170" s="2" t="s">
        <v>3</v>
      </c>
      <c r="DI170" s="2" t="s">
        <v>3</v>
      </c>
      <c r="DJ170" s="2" t="s">
        <v>3</v>
      </c>
      <c r="DK170" s="2" t="s">
        <v>3</v>
      </c>
      <c r="DL170" s="2" t="s">
        <v>3</v>
      </c>
      <c r="DM170" s="2" t="s">
        <v>3</v>
      </c>
      <c r="DN170" s="2">
        <v>0</v>
      </c>
      <c r="DO170" s="2">
        <v>0</v>
      </c>
      <c r="DP170" s="2">
        <v>1</v>
      </c>
      <c r="DQ170" s="2">
        <v>1</v>
      </c>
      <c r="DR170" s="2"/>
      <c r="DS170" s="2"/>
      <c r="DT170" s="2"/>
      <c r="DU170" s="2">
        <v>1011</v>
      </c>
      <c r="DV170" s="2" t="s">
        <v>29</v>
      </c>
      <c r="DW170" s="2" t="s">
        <v>29</v>
      </c>
      <c r="DX170" s="2">
        <v>1</v>
      </c>
      <c r="DY170" s="2"/>
      <c r="DZ170" s="2" t="s">
        <v>3</v>
      </c>
      <c r="EA170" s="2" t="s">
        <v>3</v>
      </c>
      <c r="EB170" s="2" t="s">
        <v>3</v>
      </c>
      <c r="EC170" s="2" t="s">
        <v>3</v>
      </c>
      <c r="ED170" s="2"/>
      <c r="EE170" s="2">
        <v>84053898</v>
      </c>
      <c r="EF170" s="2">
        <v>2</v>
      </c>
      <c r="EG170" s="2" t="s">
        <v>270</v>
      </c>
      <c r="EH170" s="2">
        <v>10</v>
      </c>
      <c r="EI170" s="2" t="s">
        <v>331</v>
      </c>
      <c r="EJ170" s="2">
        <v>1</v>
      </c>
      <c r="EK170" s="2">
        <v>10001</v>
      </c>
      <c r="EL170" s="2" t="s">
        <v>331</v>
      </c>
      <c r="EM170" s="2" t="s">
        <v>332</v>
      </c>
      <c r="EN170" s="2"/>
      <c r="EO170" s="2" t="s">
        <v>333</v>
      </c>
      <c r="EP170" s="2"/>
      <c r="EQ170" s="2">
        <v>0</v>
      </c>
      <c r="ER170" s="2">
        <v>1039.32</v>
      </c>
      <c r="ES170" s="2">
        <v>0</v>
      </c>
      <c r="ET170" s="2">
        <v>1039.32</v>
      </c>
      <c r="EU170" s="2">
        <v>969.91</v>
      </c>
      <c r="EV170" s="2">
        <v>0</v>
      </c>
      <c r="EW170" s="2">
        <v>0</v>
      </c>
      <c r="EX170" s="2">
        <v>0</v>
      </c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>
        <v>0</v>
      </c>
      <c r="FR170" s="2">
        <v>0</v>
      </c>
      <c r="FS170" s="2">
        <v>1</v>
      </c>
      <c r="FT170" s="2"/>
      <c r="FU170" s="2"/>
      <c r="FV170" s="2"/>
      <c r="FW170" s="2"/>
      <c r="FX170" s="2">
        <v>108</v>
      </c>
      <c r="FY170" s="2">
        <v>55</v>
      </c>
      <c r="FZ170" s="2"/>
      <c r="GA170" s="2" t="s">
        <v>3</v>
      </c>
      <c r="GB170" s="2"/>
      <c r="GC170" s="2"/>
      <c r="GD170" s="2">
        <v>1</v>
      </c>
      <c r="GE170" s="2"/>
      <c r="GF170" s="2">
        <v>1380566452</v>
      </c>
      <c r="GG170" s="2">
        <v>2</v>
      </c>
      <c r="GH170" s="2">
        <v>1</v>
      </c>
      <c r="GI170" s="2">
        <v>-2</v>
      </c>
      <c r="GJ170" s="2">
        <v>0</v>
      </c>
      <c r="GK170" s="2">
        <v>0</v>
      </c>
      <c r="GL170" s="2">
        <f t="shared" si="167"/>
        <v>0</v>
      </c>
      <c r="GM170" s="2">
        <f t="shared" si="168"/>
        <v>-1858.73</v>
      </c>
      <c r="GN170" s="2">
        <f t="shared" si="169"/>
        <v>-1858.73</v>
      </c>
      <c r="GO170" s="2">
        <f t="shared" si="170"/>
        <v>0</v>
      </c>
      <c r="GP170" s="2">
        <f t="shared" si="171"/>
        <v>0</v>
      </c>
      <c r="GQ170" s="2"/>
      <c r="GR170" s="2">
        <v>0</v>
      </c>
      <c r="GS170" s="2">
        <v>7</v>
      </c>
      <c r="GT170" s="2">
        <v>0</v>
      </c>
      <c r="GU170" s="2" t="s">
        <v>3</v>
      </c>
      <c r="GV170" s="2">
        <f t="shared" si="172"/>
        <v>0</v>
      </c>
      <c r="GW170" s="2">
        <v>1</v>
      </c>
      <c r="GX170" s="2">
        <f t="shared" si="173"/>
        <v>0</v>
      </c>
      <c r="GY170" s="2"/>
      <c r="GZ170" s="2"/>
      <c r="HA170" s="2">
        <v>0</v>
      </c>
      <c r="HB170" s="2">
        <v>0</v>
      </c>
      <c r="HC170" s="2">
        <f t="shared" si="174"/>
        <v>0</v>
      </c>
      <c r="HD170" s="2"/>
      <c r="HE170" s="2" t="s">
        <v>3</v>
      </c>
      <c r="HF170" s="2" t="s">
        <v>3</v>
      </c>
      <c r="HG170" s="2"/>
      <c r="HH170" s="2"/>
      <c r="HI170" s="2"/>
      <c r="HJ170" s="2"/>
      <c r="HK170" s="2"/>
      <c r="HL170" s="2"/>
      <c r="HM170" s="2" t="s">
        <v>329</v>
      </c>
      <c r="HN170" s="2" t="s">
        <v>334</v>
      </c>
      <c r="HO170" s="2" t="s">
        <v>335</v>
      </c>
      <c r="HP170" s="2" t="s">
        <v>331</v>
      </c>
      <c r="HQ170" s="2" t="s">
        <v>331</v>
      </c>
      <c r="HR170" s="2"/>
      <c r="HS170" s="2">
        <v>0</v>
      </c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>
        <v>0</v>
      </c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 spans="1:255" ht="409.5" x14ac:dyDescent="0.2">
      <c r="A171" s="2">
        <v>18</v>
      </c>
      <c r="B171" s="2">
        <v>1</v>
      </c>
      <c r="C171" s="2">
        <v>148</v>
      </c>
      <c r="D171" s="2"/>
      <c r="E171" s="2" t="s">
        <v>350</v>
      </c>
      <c r="F171" s="2" t="s">
        <v>123</v>
      </c>
      <c r="G171" s="2" t="s">
        <v>124</v>
      </c>
      <c r="H171" s="2" t="s">
        <v>29</v>
      </c>
      <c r="I171" s="2">
        <f>I166*J171</f>
        <v>-9.2137499999999997E-2</v>
      </c>
      <c r="J171" s="2">
        <v>-2.835</v>
      </c>
      <c r="K171" s="2">
        <v>-1.89</v>
      </c>
      <c r="L171" s="2"/>
      <c r="M171" s="2"/>
      <c r="N171" s="2"/>
      <c r="O171" s="2">
        <f t="shared" si="154"/>
        <v>-239.51</v>
      </c>
      <c r="P171" s="2">
        <f t="shared" si="175"/>
        <v>0</v>
      </c>
      <c r="Q171" s="2">
        <f t="shared" si="176"/>
        <v>-150.13999999999999</v>
      </c>
      <c r="R171" s="2">
        <f t="shared" si="177"/>
        <v>-89.37</v>
      </c>
      <c r="S171" s="2">
        <f t="shared" si="178"/>
        <v>0</v>
      </c>
      <c r="T171" s="2">
        <f t="shared" si="155"/>
        <v>0</v>
      </c>
      <c r="U171" s="2">
        <f t="shared" si="179"/>
        <v>0</v>
      </c>
      <c r="V171" s="2">
        <f t="shared" si="180"/>
        <v>0</v>
      </c>
      <c r="W171" s="2">
        <f t="shared" si="156"/>
        <v>0</v>
      </c>
      <c r="X171" s="2">
        <f t="shared" si="157"/>
        <v>-96.52</v>
      </c>
      <c r="Y171" s="2">
        <f t="shared" si="158"/>
        <v>-49.15</v>
      </c>
      <c r="Z171" s="2"/>
      <c r="AA171" s="2">
        <v>85997836</v>
      </c>
      <c r="AB171" s="2">
        <f t="shared" si="159"/>
        <v>1629.55</v>
      </c>
      <c r="AC171" s="2">
        <f t="shared" si="181"/>
        <v>0</v>
      </c>
      <c r="AD171" s="2">
        <f t="shared" si="182"/>
        <v>1629.55</v>
      </c>
      <c r="AE171" s="2">
        <f t="shared" si="183"/>
        <v>969.91</v>
      </c>
      <c r="AF171" s="2">
        <f t="shared" si="183"/>
        <v>0</v>
      </c>
      <c r="AG171" s="2">
        <f t="shared" si="160"/>
        <v>0</v>
      </c>
      <c r="AH171" s="2">
        <f t="shared" si="184"/>
        <v>0</v>
      </c>
      <c r="AI171" s="2">
        <f t="shared" si="184"/>
        <v>0</v>
      </c>
      <c r="AJ171" s="2">
        <f t="shared" si="161"/>
        <v>0</v>
      </c>
      <c r="AK171" s="2">
        <v>1629.55</v>
      </c>
      <c r="AL171" s="2">
        <v>0</v>
      </c>
      <c r="AM171" s="2">
        <v>1629.55</v>
      </c>
      <c r="AN171" s="2">
        <v>969.91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108</v>
      </c>
      <c r="AU171" s="2">
        <v>55</v>
      </c>
      <c r="AV171" s="2">
        <v>1</v>
      </c>
      <c r="AW171" s="2">
        <v>1</v>
      </c>
      <c r="AX171" s="2"/>
      <c r="AY171" s="2"/>
      <c r="AZ171" s="2">
        <v>1</v>
      </c>
      <c r="BA171" s="2">
        <v>1</v>
      </c>
      <c r="BB171" s="2">
        <v>1</v>
      </c>
      <c r="BC171" s="2">
        <v>1</v>
      </c>
      <c r="BD171" s="2" t="s">
        <v>3</v>
      </c>
      <c r="BE171" s="2" t="s">
        <v>3</v>
      </c>
      <c r="BF171" s="2" t="s">
        <v>3</v>
      </c>
      <c r="BG171" s="2" t="s">
        <v>3</v>
      </c>
      <c r="BH171" s="2">
        <v>2</v>
      </c>
      <c r="BI171" s="2">
        <v>1</v>
      </c>
      <c r="BJ171" s="2" t="s">
        <v>125</v>
      </c>
      <c r="BK171" s="2"/>
      <c r="BL171" s="2"/>
      <c r="BM171" s="2">
        <v>10001</v>
      </c>
      <c r="BN171" s="2">
        <v>0</v>
      </c>
      <c r="BO171" s="2" t="s">
        <v>3</v>
      </c>
      <c r="BP171" s="2">
        <v>0</v>
      </c>
      <c r="BQ171" s="2">
        <v>2</v>
      </c>
      <c r="BR171" s="2">
        <v>0</v>
      </c>
      <c r="BS171" s="2">
        <v>1</v>
      </c>
      <c r="BT171" s="2">
        <v>1</v>
      </c>
      <c r="BU171" s="2">
        <v>1</v>
      </c>
      <c r="BV171" s="2">
        <v>1</v>
      </c>
      <c r="BW171" s="2">
        <v>1</v>
      </c>
      <c r="BX171" s="2">
        <v>1</v>
      </c>
      <c r="BY171" s="2" t="s">
        <v>3</v>
      </c>
      <c r="BZ171" s="2">
        <v>108</v>
      </c>
      <c r="CA171" s="2">
        <v>55</v>
      </c>
      <c r="CB171" s="2" t="s">
        <v>3</v>
      </c>
      <c r="CC171" s="2"/>
      <c r="CD171" s="2"/>
      <c r="CE171" s="2">
        <v>0</v>
      </c>
      <c r="CF171" s="2">
        <v>0</v>
      </c>
      <c r="CG171" s="2">
        <v>0</v>
      </c>
      <c r="CH171" s="2"/>
      <c r="CI171" s="2"/>
      <c r="CJ171" s="2"/>
      <c r="CK171" s="2"/>
      <c r="CL171" s="2"/>
      <c r="CM171" s="2">
        <v>0</v>
      </c>
      <c r="CN171" s="7" t="s">
        <v>737</v>
      </c>
      <c r="CO171" s="2">
        <v>0</v>
      </c>
      <c r="CP171" s="2">
        <f t="shared" si="162"/>
        <v>-239.51</v>
      </c>
      <c r="CQ171" s="2">
        <f t="shared" si="185"/>
        <v>0</v>
      </c>
      <c r="CR171" s="2">
        <f t="shared" si="186"/>
        <v>1629.55</v>
      </c>
      <c r="CS171" s="2">
        <f t="shared" si="187"/>
        <v>969.91</v>
      </c>
      <c r="CT171" s="2">
        <f t="shared" si="188"/>
        <v>0</v>
      </c>
      <c r="CU171" s="2">
        <f t="shared" si="163"/>
        <v>0</v>
      </c>
      <c r="CV171" s="2">
        <f t="shared" si="189"/>
        <v>0</v>
      </c>
      <c r="CW171" s="2">
        <f t="shared" si="189"/>
        <v>0</v>
      </c>
      <c r="CX171" s="2">
        <f t="shared" si="164"/>
        <v>0</v>
      </c>
      <c r="CY171" s="2">
        <f t="shared" si="165"/>
        <v>-96.519600000000011</v>
      </c>
      <c r="CZ171" s="2">
        <f t="shared" si="166"/>
        <v>-49.153500000000001</v>
      </c>
      <c r="DA171" s="2"/>
      <c r="DB171" s="2"/>
      <c r="DC171" s="2" t="s">
        <v>3</v>
      </c>
      <c r="DD171" s="2" t="s">
        <v>3</v>
      </c>
      <c r="DE171" s="2" t="s">
        <v>3</v>
      </c>
      <c r="DF171" s="2" t="s">
        <v>3</v>
      </c>
      <c r="DG171" s="2" t="s">
        <v>3</v>
      </c>
      <c r="DH171" s="2" t="s">
        <v>3</v>
      </c>
      <c r="DI171" s="2" t="s">
        <v>3</v>
      </c>
      <c r="DJ171" s="2" t="s">
        <v>3</v>
      </c>
      <c r="DK171" s="2" t="s">
        <v>3</v>
      </c>
      <c r="DL171" s="2" t="s">
        <v>3</v>
      </c>
      <c r="DM171" s="2" t="s">
        <v>3</v>
      </c>
      <c r="DN171" s="2">
        <v>0</v>
      </c>
      <c r="DO171" s="2">
        <v>0</v>
      </c>
      <c r="DP171" s="2">
        <v>1</v>
      </c>
      <c r="DQ171" s="2">
        <v>1</v>
      </c>
      <c r="DR171" s="2"/>
      <c r="DS171" s="2"/>
      <c r="DT171" s="2"/>
      <c r="DU171" s="2">
        <v>1011</v>
      </c>
      <c r="DV171" s="2" t="s">
        <v>29</v>
      </c>
      <c r="DW171" s="2" t="s">
        <v>29</v>
      </c>
      <c r="DX171" s="2">
        <v>1</v>
      </c>
      <c r="DY171" s="2"/>
      <c r="DZ171" s="2" t="s">
        <v>3</v>
      </c>
      <c r="EA171" s="2" t="s">
        <v>3</v>
      </c>
      <c r="EB171" s="2" t="s">
        <v>3</v>
      </c>
      <c r="EC171" s="2" t="s">
        <v>3</v>
      </c>
      <c r="ED171" s="2"/>
      <c r="EE171" s="2">
        <v>84053898</v>
      </c>
      <c r="EF171" s="2">
        <v>2</v>
      </c>
      <c r="EG171" s="2" t="s">
        <v>270</v>
      </c>
      <c r="EH171" s="2">
        <v>10</v>
      </c>
      <c r="EI171" s="2" t="s">
        <v>331</v>
      </c>
      <c r="EJ171" s="2">
        <v>1</v>
      </c>
      <c r="EK171" s="2">
        <v>10001</v>
      </c>
      <c r="EL171" s="2" t="s">
        <v>331</v>
      </c>
      <c r="EM171" s="2" t="s">
        <v>332</v>
      </c>
      <c r="EN171" s="2"/>
      <c r="EO171" s="2" t="s">
        <v>333</v>
      </c>
      <c r="EP171" s="2"/>
      <c r="EQ171" s="2">
        <v>0</v>
      </c>
      <c r="ER171" s="2">
        <v>1629.55</v>
      </c>
      <c r="ES171" s="2">
        <v>0</v>
      </c>
      <c r="ET171" s="2">
        <v>1629.55</v>
      </c>
      <c r="EU171" s="2">
        <v>969.91</v>
      </c>
      <c r="EV171" s="2">
        <v>0</v>
      </c>
      <c r="EW171" s="2">
        <v>0</v>
      </c>
      <c r="EX171" s="2">
        <v>0</v>
      </c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>
        <v>0</v>
      </c>
      <c r="FR171" s="2">
        <v>0</v>
      </c>
      <c r="FS171" s="2">
        <v>1</v>
      </c>
      <c r="FT171" s="2"/>
      <c r="FU171" s="2"/>
      <c r="FV171" s="2"/>
      <c r="FW171" s="2"/>
      <c r="FX171" s="2">
        <v>108</v>
      </c>
      <c r="FY171" s="2">
        <v>55</v>
      </c>
      <c r="FZ171" s="2"/>
      <c r="GA171" s="2" t="s">
        <v>3</v>
      </c>
      <c r="GB171" s="2"/>
      <c r="GC171" s="2"/>
      <c r="GD171" s="2">
        <v>1</v>
      </c>
      <c r="GE171" s="2"/>
      <c r="GF171" s="2">
        <v>639918019</v>
      </c>
      <c r="GG171" s="2">
        <v>2</v>
      </c>
      <c r="GH171" s="2">
        <v>1</v>
      </c>
      <c r="GI171" s="2">
        <v>-2</v>
      </c>
      <c r="GJ171" s="2">
        <v>0</v>
      </c>
      <c r="GK171" s="2">
        <v>0</v>
      </c>
      <c r="GL171" s="2">
        <f t="shared" si="167"/>
        <v>0</v>
      </c>
      <c r="GM171" s="2">
        <f t="shared" si="168"/>
        <v>-385.18</v>
      </c>
      <c r="GN171" s="2">
        <f t="shared" si="169"/>
        <v>-385.18</v>
      </c>
      <c r="GO171" s="2">
        <f t="shared" si="170"/>
        <v>0</v>
      </c>
      <c r="GP171" s="2">
        <f t="shared" si="171"/>
        <v>0</v>
      </c>
      <c r="GQ171" s="2"/>
      <c r="GR171" s="2">
        <v>0</v>
      </c>
      <c r="GS171" s="2">
        <v>7</v>
      </c>
      <c r="GT171" s="2">
        <v>0</v>
      </c>
      <c r="GU171" s="2" t="s">
        <v>3</v>
      </c>
      <c r="GV171" s="2">
        <f t="shared" si="172"/>
        <v>0</v>
      </c>
      <c r="GW171" s="2">
        <v>1</v>
      </c>
      <c r="GX171" s="2">
        <f t="shared" si="173"/>
        <v>0</v>
      </c>
      <c r="GY171" s="2"/>
      <c r="GZ171" s="2"/>
      <c r="HA171" s="2">
        <v>0</v>
      </c>
      <c r="HB171" s="2">
        <v>0</v>
      </c>
      <c r="HC171" s="2">
        <f t="shared" si="174"/>
        <v>0</v>
      </c>
      <c r="HD171" s="2"/>
      <c r="HE171" s="2" t="s">
        <v>3</v>
      </c>
      <c r="HF171" s="2" t="s">
        <v>3</v>
      </c>
      <c r="HG171" s="2"/>
      <c r="HH171" s="2"/>
      <c r="HI171" s="2"/>
      <c r="HJ171" s="2"/>
      <c r="HK171" s="2"/>
      <c r="HL171" s="2"/>
      <c r="HM171" s="2" t="s">
        <v>329</v>
      </c>
      <c r="HN171" s="2" t="s">
        <v>334</v>
      </c>
      <c r="HO171" s="2" t="s">
        <v>335</v>
      </c>
      <c r="HP171" s="2" t="s">
        <v>331</v>
      </c>
      <c r="HQ171" s="2" t="s">
        <v>331</v>
      </c>
      <c r="HR171" s="2"/>
      <c r="HS171" s="2">
        <v>0</v>
      </c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>
        <v>0</v>
      </c>
      <c r="IL171" s="2"/>
      <c r="IM171" s="2"/>
      <c r="IN171" s="2"/>
      <c r="IO171" s="2"/>
      <c r="IP171" s="2"/>
      <c r="IQ171" s="2"/>
      <c r="IR171" s="2"/>
      <c r="IS171" s="2"/>
      <c r="IT171" s="2"/>
      <c r="IU171" s="2"/>
    </row>
    <row r="172" spans="1:255" ht="409.5" x14ac:dyDescent="0.2">
      <c r="A172" s="2">
        <v>18</v>
      </c>
      <c r="B172" s="2">
        <v>1</v>
      </c>
      <c r="C172" s="2">
        <v>149</v>
      </c>
      <c r="D172" s="2"/>
      <c r="E172" s="2" t="s">
        <v>351</v>
      </c>
      <c r="F172" s="2" t="s">
        <v>127</v>
      </c>
      <c r="G172" s="2" t="s">
        <v>128</v>
      </c>
      <c r="H172" s="2" t="s">
        <v>29</v>
      </c>
      <c r="I172" s="2">
        <f>I166*J172</f>
        <v>-0.13893749999999999</v>
      </c>
      <c r="J172" s="2">
        <v>-4.2749999999999995</v>
      </c>
      <c r="K172" s="2">
        <v>-2.85</v>
      </c>
      <c r="L172" s="2"/>
      <c r="M172" s="2"/>
      <c r="N172" s="2"/>
      <c r="O172" s="2">
        <f t="shared" si="154"/>
        <v>-189.7</v>
      </c>
      <c r="P172" s="2">
        <f t="shared" si="175"/>
        <v>0</v>
      </c>
      <c r="Q172" s="2">
        <f t="shared" si="176"/>
        <v>-89.38</v>
      </c>
      <c r="R172" s="2">
        <f t="shared" si="177"/>
        <v>-100.32</v>
      </c>
      <c r="S172" s="2">
        <f t="shared" si="178"/>
        <v>0</v>
      </c>
      <c r="T172" s="2">
        <f t="shared" si="155"/>
        <v>0</v>
      </c>
      <c r="U172" s="2">
        <f t="shared" si="179"/>
        <v>0</v>
      </c>
      <c r="V172" s="2">
        <f t="shared" si="180"/>
        <v>0</v>
      </c>
      <c r="W172" s="2">
        <f t="shared" si="156"/>
        <v>0</v>
      </c>
      <c r="X172" s="2">
        <f t="shared" si="157"/>
        <v>-108.35</v>
      </c>
      <c r="Y172" s="2">
        <f t="shared" si="158"/>
        <v>-55.18</v>
      </c>
      <c r="Z172" s="2"/>
      <c r="AA172" s="2">
        <v>85997836</v>
      </c>
      <c r="AB172" s="2">
        <f t="shared" si="159"/>
        <v>643.29</v>
      </c>
      <c r="AC172" s="2">
        <f t="shared" si="181"/>
        <v>0</v>
      </c>
      <c r="AD172" s="2">
        <f t="shared" si="182"/>
        <v>643.29</v>
      </c>
      <c r="AE172" s="2">
        <f t="shared" si="183"/>
        <v>722.05</v>
      </c>
      <c r="AF172" s="2">
        <f t="shared" si="183"/>
        <v>0</v>
      </c>
      <c r="AG172" s="2">
        <f t="shared" si="160"/>
        <v>0</v>
      </c>
      <c r="AH172" s="2">
        <f t="shared" si="184"/>
        <v>0</v>
      </c>
      <c r="AI172" s="2">
        <f t="shared" si="184"/>
        <v>0</v>
      </c>
      <c r="AJ172" s="2">
        <f t="shared" si="161"/>
        <v>0</v>
      </c>
      <c r="AK172" s="2">
        <v>643.29</v>
      </c>
      <c r="AL172" s="2">
        <v>0</v>
      </c>
      <c r="AM172" s="2">
        <v>643.29</v>
      </c>
      <c r="AN172" s="2">
        <v>722.05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108</v>
      </c>
      <c r="AU172" s="2">
        <v>55</v>
      </c>
      <c r="AV172" s="2">
        <v>1</v>
      </c>
      <c r="AW172" s="2">
        <v>1</v>
      </c>
      <c r="AX172" s="2"/>
      <c r="AY172" s="2"/>
      <c r="AZ172" s="2">
        <v>1</v>
      </c>
      <c r="BA172" s="2">
        <v>1</v>
      </c>
      <c r="BB172" s="2">
        <v>1</v>
      </c>
      <c r="BC172" s="2">
        <v>1</v>
      </c>
      <c r="BD172" s="2" t="s">
        <v>3</v>
      </c>
      <c r="BE172" s="2" t="s">
        <v>3</v>
      </c>
      <c r="BF172" s="2" t="s">
        <v>3</v>
      </c>
      <c r="BG172" s="2" t="s">
        <v>3</v>
      </c>
      <c r="BH172" s="2">
        <v>2</v>
      </c>
      <c r="BI172" s="2">
        <v>1</v>
      </c>
      <c r="BJ172" s="2" t="s">
        <v>129</v>
      </c>
      <c r="BK172" s="2"/>
      <c r="BL172" s="2"/>
      <c r="BM172" s="2">
        <v>10001</v>
      </c>
      <c r="BN172" s="2">
        <v>0</v>
      </c>
      <c r="BO172" s="2" t="s">
        <v>3</v>
      </c>
      <c r="BP172" s="2">
        <v>0</v>
      </c>
      <c r="BQ172" s="2">
        <v>2</v>
      </c>
      <c r="BR172" s="2">
        <v>0</v>
      </c>
      <c r="BS172" s="2">
        <v>1</v>
      </c>
      <c r="BT172" s="2">
        <v>1</v>
      </c>
      <c r="BU172" s="2">
        <v>1</v>
      </c>
      <c r="BV172" s="2">
        <v>1</v>
      </c>
      <c r="BW172" s="2">
        <v>1</v>
      </c>
      <c r="BX172" s="2">
        <v>1</v>
      </c>
      <c r="BY172" s="2" t="s">
        <v>3</v>
      </c>
      <c r="BZ172" s="2">
        <v>108</v>
      </c>
      <c r="CA172" s="2">
        <v>55</v>
      </c>
      <c r="CB172" s="2" t="s">
        <v>3</v>
      </c>
      <c r="CC172" s="2"/>
      <c r="CD172" s="2"/>
      <c r="CE172" s="2">
        <v>0</v>
      </c>
      <c r="CF172" s="2">
        <v>0</v>
      </c>
      <c r="CG172" s="2">
        <v>0</v>
      </c>
      <c r="CH172" s="2"/>
      <c r="CI172" s="2"/>
      <c r="CJ172" s="2"/>
      <c r="CK172" s="2"/>
      <c r="CL172" s="2"/>
      <c r="CM172" s="2">
        <v>0</v>
      </c>
      <c r="CN172" s="7" t="s">
        <v>737</v>
      </c>
      <c r="CO172" s="2">
        <v>0</v>
      </c>
      <c r="CP172" s="2">
        <f t="shared" si="162"/>
        <v>-189.7</v>
      </c>
      <c r="CQ172" s="2">
        <f t="shared" si="185"/>
        <v>0</v>
      </c>
      <c r="CR172" s="2">
        <f t="shared" si="186"/>
        <v>643.29</v>
      </c>
      <c r="CS172" s="2">
        <f t="shared" si="187"/>
        <v>722.05</v>
      </c>
      <c r="CT172" s="2">
        <f t="shared" si="188"/>
        <v>0</v>
      </c>
      <c r="CU172" s="2">
        <f t="shared" si="163"/>
        <v>0</v>
      </c>
      <c r="CV172" s="2">
        <f t="shared" si="189"/>
        <v>0</v>
      </c>
      <c r="CW172" s="2">
        <f t="shared" si="189"/>
        <v>0</v>
      </c>
      <c r="CX172" s="2">
        <f t="shared" si="164"/>
        <v>0</v>
      </c>
      <c r="CY172" s="2">
        <f t="shared" si="165"/>
        <v>-108.34559999999999</v>
      </c>
      <c r="CZ172" s="2">
        <f t="shared" si="166"/>
        <v>-55.175999999999995</v>
      </c>
      <c r="DA172" s="2"/>
      <c r="DB172" s="2"/>
      <c r="DC172" s="2" t="s">
        <v>3</v>
      </c>
      <c r="DD172" s="2" t="s">
        <v>3</v>
      </c>
      <c r="DE172" s="2" t="s">
        <v>3</v>
      </c>
      <c r="DF172" s="2" t="s">
        <v>3</v>
      </c>
      <c r="DG172" s="2" t="s">
        <v>3</v>
      </c>
      <c r="DH172" s="2" t="s">
        <v>3</v>
      </c>
      <c r="DI172" s="2" t="s">
        <v>3</v>
      </c>
      <c r="DJ172" s="2" t="s">
        <v>3</v>
      </c>
      <c r="DK172" s="2" t="s">
        <v>3</v>
      </c>
      <c r="DL172" s="2" t="s">
        <v>3</v>
      </c>
      <c r="DM172" s="2" t="s">
        <v>3</v>
      </c>
      <c r="DN172" s="2">
        <v>0</v>
      </c>
      <c r="DO172" s="2">
        <v>0</v>
      </c>
      <c r="DP172" s="2">
        <v>1</v>
      </c>
      <c r="DQ172" s="2">
        <v>1</v>
      </c>
      <c r="DR172" s="2"/>
      <c r="DS172" s="2"/>
      <c r="DT172" s="2"/>
      <c r="DU172" s="2">
        <v>1011</v>
      </c>
      <c r="DV172" s="2" t="s">
        <v>29</v>
      </c>
      <c r="DW172" s="2" t="s">
        <v>29</v>
      </c>
      <c r="DX172" s="2">
        <v>1</v>
      </c>
      <c r="DY172" s="2"/>
      <c r="DZ172" s="2" t="s">
        <v>3</v>
      </c>
      <c r="EA172" s="2" t="s">
        <v>3</v>
      </c>
      <c r="EB172" s="2" t="s">
        <v>3</v>
      </c>
      <c r="EC172" s="2" t="s">
        <v>3</v>
      </c>
      <c r="ED172" s="2"/>
      <c r="EE172" s="2">
        <v>84053898</v>
      </c>
      <c r="EF172" s="2">
        <v>2</v>
      </c>
      <c r="EG172" s="2" t="s">
        <v>270</v>
      </c>
      <c r="EH172" s="2">
        <v>10</v>
      </c>
      <c r="EI172" s="2" t="s">
        <v>331</v>
      </c>
      <c r="EJ172" s="2">
        <v>1</v>
      </c>
      <c r="EK172" s="2">
        <v>10001</v>
      </c>
      <c r="EL172" s="2" t="s">
        <v>331</v>
      </c>
      <c r="EM172" s="2" t="s">
        <v>332</v>
      </c>
      <c r="EN172" s="2"/>
      <c r="EO172" s="2" t="s">
        <v>333</v>
      </c>
      <c r="EP172" s="2"/>
      <c r="EQ172" s="2">
        <v>0</v>
      </c>
      <c r="ER172" s="2">
        <v>643.29</v>
      </c>
      <c r="ES172" s="2">
        <v>0</v>
      </c>
      <c r="ET172" s="2">
        <v>643.29</v>
      </c>
      <c r="EU172" s="2">
        <v>722.05</v>
      </c>
      <c r="EV172" s="2">
        <v>0</v>
      </c>
      <c r="EW172" s="2">
        <v>0</v>
      </c>
      <c r="EX172" s="2">
        <v>0</v>
      </c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>
        <v>0</v>
      </c>
      <c r="FR172" s="2">
        <v>0</v>
      </c>
      <c r="FS172" s="2">
        <v>1</v>
      </c>
      <c r="FT172" s="2"/>
      <c r="FU172" s="2"/>
      <c r="FV172" s="2"/>
      <c r="FW172" s="2"/>
      <c r="FX172" s="2">
        <v>108</v>
      </c>
      <c r="FY172" s="2">
        <v>55</v>
      </c>
      <c r="FZ172" s="2"/>
      <c r="GA172" s="2" t="s">
        <v>3</v>
      </c>
      <c r="GB172" s="2"/>
      <c r="GC172" s="2"/>
      <c r="GD172" s="2">
        <v>1</v>
      </c>
      <c r="GE172" s="2"/>
      <c r="GF172" s="2">
        <v>-849950259</v>
      </c>
      <c r="GG172" s="2">
        <v>2</v>
      </c>
      <c r="GH172" s="2">
        <v>1</v>
      </c>
      <c r="GI172" s="2">
        <v>-2</v>
      </c>
      <c r="GJ172" s="2">
        <v>0</v>
      </c>
      <c r="GK172" s="2">
        <v>0</v>
      </c>
      <c r="GL172" s="2">
        <f t="shared" si="167"/>
        <v>0</v>
      </c>
      <c r="GM172" s="2">
        <f t="shared" si="168"/>
        <v>-353.23</v>
      </c>
      <c r="GN172" s="2">
        <f t="shared" si="169"/>
        <v>-353.23</v>
      </c>
      <c r="GO172" s="2">
        <f t="shared" si="170"/>
        <v>0</v>
      </c>
      <c r="GP172" s="2">
        <f t="shared" si="171"/>
        <v>0</v>
      </c>
      <c r="GQ172" s="2"/>
      <c r="GR172" s="2">
        <v>0</v>
      </c>
      <c r="GS172" s="2">
        <v>7</v>
      </c>
      <c r="GT172" s="2">
        <v>0</v>
      </c>
      <c r="GU172" s="2" t="s">
        <v>3</v>
      </c>
      <c r="GV172" s="2">
        <f t="shared" si="172"/>
        <v>0</v>
      </c>
      <c r="GW172" s="2">
        <v>1</v>
      </c>
      <c r="GX172" s="2">
        <f t="shared" si="173"/>
        <v>0</v>
      </c>
      <c r="GY172" s="2"/>
      <c r="GZ172" s="2"/>
      <c r="HA172" s="2">
        <v>0</v>
      </c>
      <c r="HB172" s="2">
        <v>0</v>
      </c>
      <c r="HC172" s="2">
        <f t="shared" si="174"/>
        <v>0</v>
      </c>
      <c r="HD172" s="2"/>
      <c r="HE172" s="2" t="s">
        <v>3</v>
      </c>
      <c r="HF172" s="2" t="s">
        <v>3</v>
      </c>
      <c r="HG172" s="2"/>
      <c r="HH172" s="2"/>
      <c r="HI172" s="2"/>
      <c r="HJ172" s="2"/>
      <c r="HK172" s="2"/>
      <c r="HL172" s="2"/>
      <c r="HM172" s="2" t="s">
        <v>329</v>
      </c>
      <c r="HN172" s="2" t="s">
        <v>334</v>
      </c>
      <c r="HO172" s="2" t="s">
        <v>335</v>
      </c>
      <c r="HP172" s="2" t="s">
        <v>331</v>
      </c>
      <c r="HQ172" s="2" t="s">
        <v>331</v>
      </c>
      <c r="HR172" s="2"/>
      <c r="HS172" s="2">
        <v>0</v>
      </c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>
        <v>0</v>
      </c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x14ac:dyDescent="0.2">
      <c r="A173" s="2">
        <v>17</v>
      </c>
      <c r="B173" s="2">
        <v>1</v>
      </c>
      <c r="C173" s="2"/>
      <c r="D173" s="2"/>
      <c r="E173" s="2" t="s">
        <v>352</v>
      </c>
      <c r="F173" s="2" t="s">
        <v>353</v>
      </c>
      <c r="G173" s="2" t="s">
        <v>354</v>
      </c>
      <c r="H173" s="2" t="s">
        <v>43</v>
      </c>
      <c r="I173" s="2">
        <v>1</v>
      </c>
      <c r="J173" s="2">
        <v>0</v>
      </c>
      <c r="K173" s="2">
        <v>1</v>
      </c>
      <c r="L173" s="2"/>
      <c r="M173" s="2"/>
      <c r="N173" s="2"/>
      <c r="O173" s="2">
        <f t="shared" si="154"/>
        <v>68647.539999999994</v>
      </c>
      <c r="P173" s="2">
        <f t="shared" si="175"/>
        <v>68647.539999999994</v>
      </c>
      <c r="Q173" s="2">
        <f t="shared" si="176"/>
        <v>0</v>
      </c>
      <c r="R173" s="2">
        <f t="shared" si="177"/>
        <v>0</v>
      </c>
      <c r="S173" s="2">
        <f t="shared" si="178"/>
        <v>0</v>
      </c>
      <c r="T173" s="2">
        <f t="shared" si="155"/>
        <v>0</v>
      </c>
      <c r="U173" s="2">
        <f t="shared" si="179"/>
        <v>0</v>
      </c>
      <c r="V173" s="2">
        <f t="shared" si="180"/>
        <v>0</v>
      </c>
      <c r="W173" s="2">
        <f t="shared" si="156"/>
        <v>0</v>
      </c>
      <c r="X173" s="2">
        <f t="shared" si="157"/>
        <v>0</v>
      </c>
      <c r="Y173" s="2">
        <f t="shared" si="158"/>
        <v>0</v>
      </c>
      <c r="Z173" s="2"/>
      <c r="AA173" s="2">
        <v>85997836</v>
      </c>
      <c r="AB173" s="2">
        <f t="shared" si="159"/>
        <v>68647.539999999994</v>
      </c>
      <c r="AC173" s="2">
        <f t="shared" si="181"/>
        <v>68647.539999999994</v>
      </c>
      <c r="AD173" s="2">
        <f>ROUND((ET173),6)</f>
        <v>0</v>
      </c>
      <c r="AE173" s="2">
        <f t="shared" si="183"/>
        <v>0</v>
      </c>
      <c r="AF173" s="2">
        <f t="shared" si="183"/>
        <v>0</v>
      </c>
      <c r="AG173" s="2">
        <f t="shared" si="160"/>
        <v>0</v>
      </c>
      <c r="AH173" s="2">
        <f t="shared" si="184"/>
        <v>0</v>
      </c>
      <c r="AI173" s="2">
        <f t="shared" si="184"/>
        <v>0</v>
      </c>
      <c r="AJ173" s="2">
        <f t="shared" si="161"/>
        <v>0</v>
      </c>
      <c r="AK173" s="2">
        <v>68647.539999999994</v>
      </c>
      <c r="AL173" s="2">
        <v>68647.539999999994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1</v>
      </c>
      <c r="AW173" s="2">
        <v>1</v>
      </c>
      <c r="AX173" s="2"/>
      <c r="AY173" s="2"/>
      <c r="AZ173" s="2">
        <v>1</v>
      </c>
      <c r="BA173" s="2">
        <v>1</v>
      </c>
      <c r="BB173" s="2">
        <v>1</v>
      </c>
      <c r="BC173" s="2">
        <v>1</v>
      </c>
      <c r="BD173" s="2" t="s">
        <v>3</v>
      </c>
      <c r="BE173" s="2" t="s">
        <v>3</v>
      </c>
      <c r="BF173" s="2" t="s">
        <v>3</v>
      </c>
      <c r="BG173" s="2" t="s">
        <v>3</v>
      </c>
      <c r="BH173" s="2">
        <v>3</v>
      </c>
      <c r="BI173" s="2">
        <v>1</v>
      </c>
      <c r="BJ173" s="2" t="s">
        <v>353</v>
      </c>
      <c r="BK173" s="2"/>
      <c r="BL173" s="2"/>
      <c r="BM173" s="2">
        <v>900</v>
      </c>
      <c r="BN173" s="2">
        <v>0</v>
      </c>
      <c r="BO173" s="2" t="s">
        <v>3</v>
      </c>
      <c r="BP173" s="2">
        <v>0</v>
      </c>
      <c r="BQ173" s="2">
        <v>90</v>
      </c>
      <c r="BR173" s="2">
        <v>0</v>
      </c>
      <c r="BS173" s="2">
        <v>1</v>
      </c>
      <c r="BT173" s="2">
        <v>1</v>
      </c>
      <c r="BU173" s="2">
        <v>1</v>
      </c>
      <c r="BV173" s="2">
        <v>1</v>
      </c>
      <c r="BW173" s="2">
        <v>1</v>
      </c>
      <c r="BX173" s="2">
        <v>1</v>
      </c>
      <c r="BY173" s="2" t="s">
        <v>3</v>
      </c>
      <c r="BZ173" s="2">
        <v>0</v>
      </c>
      <c r="CA173" s="2">
        <v>0</v>
      </c>
      <c r="CB173" s="2" t="s">
        <v>3</v>
      </c>
      <c r="CC173" s="2"/>
      <c r="CD173" s="2"/>
      <c r="CE173" s="2">
        <v>0</v>
      </c>
      <c r="CF173" s="2">
        <v>0</v>
      </c>
      <c r="CG173" s="2">
        <v>0</v>
      </c>
      <c r="CH173" s="2"/>
      <c r="CI173" s="2"/>
      <c r="CJ173" s="2"/>
      <c r="CK173" s="2"/>
      <c r="CL173" s="2"/>
      <c r="CM173" s="2">
        <v>0</v>
      </c>
      <c r="CN173" s="2" t="s">
        <v>3</v>
      </c>
      <c r="CO173" s="2">
        <v>0</v>
      </c>
      <c r="CP173" s="2">
        <f t="shared" si="162"/>
        <v>68647.539999999994</v>
      </c>
      <c r="CQ173" s="2">
        <f>ROUND(AL173,2)</f>
        <v>68647.539999999994</v>
      </c>
      <c r="CR173" s="2">
        <f>ROUND(AM173,2)</f>
        <v>0</v>
      </c>
      <c r="CS173" s="2">
        <f t="shared" si="187"/>
        <v>0</v>
      </c>
      <c r="CT173" s="2">
        <f t="shared" si="188"/>
        <v>0</v>
      </c>
      <c r="CU173" s="2">
        <f t="shared" si="163"/>
        <v>0</v>
      </c>
      <c r="CV173" s="2">
        <f t="shared" si="189"/>
        <v>0</v>
      </c>
      <c r="CW173" s="2">
        <f t="shared" si="189"/>
        <v>0</v>
      </c>
      <c r="CX173" s="2">
        <f t="shared" si="164"/>
        <v>0</v>
      </c>
      <c r="CY173" s="2">
        <f>0</f>
        <v>0</v>
      </c>
      <c r="CZ173" s="2">
        <f>0</f>
        <v>0</v>
      </c>
      <c r="DA173" s="2"/>
      <c r="DB173" s="2"/>
      <c r="DC173" s="2" t="s">
        <v>3</v>
      </c>
      <c r="DD173" s="2" t="s">
        <v>3</v>
      </c>
      <c r="DE173" s="2" t="s">
        <v>3</v>
      </c>
      <c r="DF173" s="2" t="s">
        <v>3</v>
      </c>
      <c r="DG173" s="2" t="s">
        <v>3</v>
      </c>
      <c r="DH173" s="2" t="s">
        <v>3</v>
      </c>
      <c r="DI173" s="2" t="s">
        <v>3</v>
      </c>
      <c r="DJ173" s="2" t="s">
        <v>3</v>
      </c>
      <c r="DK173" s="2" t="s">
        <v>3</v>
      </c>
      <c r="DL173" s="2" t="s">
        <v>3</v>
      </c>
      <c r="DM173" s="2" t="s">
        <v>3</v>
      </c>
      <c r="DN173" s="2">
        <v>0</v>
      </c>
      <c r="DO173" s="2">
        <v>0</v>
      </c>
      <c r="DP173" s="2">
        <v>1</v>
      </c>
      <c r="DQ173" s="2">
        <v>1</v>
      </c>
      <c r="DR173" s="2"/>
      <c r="DS173" s="2"/>
      <c r="DT173" s="2"/>
      <c r="DU173" s="2">
        <v>1013</v>
      </c>
      <c r="DV173" s="2" t="s">
        <v>43</v>
      </c>
      <c r="DW173" s="2" t="s">
        <v>43</v>
      </c>
      <c r="DX173" s="2">
        <v>1</v>
      </c>
      <c r="DY173" s="2"/>
      <c r="DZ173" s="2" t="s">
        <v>3</v>
      </c>
      <c r="EA173" s="2" t="s">
        <v>3</v>
      </c>
      <c r="EB173" s="2" t="s">
        <v>3</v>
      </c>
      <c r="EC173" s="2" t="s">
        <v>3</v>
      </c>
      <c r="ED173" s="2"/>
      <c r="EE173" s="2">
        <v>84054334</v>
      </c>
      <c r="EF173" s="2">
        <v>90</v>
      </c>
      <c r="EG173" s="2" t="s">
        <v>355</v>
      </c>
      <c r="EH173" s="2">
        <v>0</v>
      </c>
      <c r="EI173" s="2" t="s">
        <v>3</v>
      </c>
      <c r="EJ173" s="2">
        <v>1</v>
      </c>
      <c r="EK173" s="2">
        <v>900</v>
      </c>
      <c r="EL173" s="2" t="s">
        <v>355</v>
      </c>
      <c r="EM173" s="2" t="s">
        <v>356</v>
      </c>
      <c r="EN173" s="2"/>
      <c r="EO173" s="2" t="s">
        <v>3</v>
      </c>
      <c r="EP173" s="2"/>
      <c r="EQ173" s="2">
        <v>16</v>
      </c>
      <c r="ER173" s="2">
        <v>0</v>
      </c>
      <c r="ES173" s="2">
        <v>68647.539999999994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5</v>
      </c>
      <c r="FA173" s="2"/>
      <c r="FB173" s="2"/>
      <c r="FC173" s="2">
        <v>0</v>
      </c>
      <c r="FD173" s="2">
        <v>18</v>
      </c>
      <c r="FE173" s="2"/>
      <c r="FF173" s="2">
        <v>68647.539999999994</v>
      </c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>
        <v>0</v>
      </c>
      <c r="FR173" s="2">
        <v>0</v>
      </c>
      <c r="FS173" s="2">
        <v>0</v>
      </c>
      <c r="FT173" s="2"/>
      <c r="FU173" s="2"/>
      <c r="FV173" s="2"/>
      <c r="FW173" s="2"/>
      <c r="FX173" s="2">
        <v>0</v>
      </c>
      <c r="FY173" s="2">
        <v>0</v>
      </c>
      <c r="FZ173" s="2"/>
      <c r="GA173" s="2" t="s">
        <v>3</v>
      </c>
      <c r="GB173" s="2"/>
      <c r="GC173" s="2"/>
      <c r="GD173" s="2">
        <v>1</v>
      </c>
      <c r="GE173" s="2"/>
      <c r="GF173" s="2">
        <v>-6261517</v>
      </c>
      <c r="GG173" s="2">
        <v>2</v>
      </c>
      <c r="GH173" s="2">
        <v>3</v>
      </c>
      <c r="GI173" s="2">
        <v>-2</v>
      </c>
      <c r="GJ173" s="2">
        <v>0</v>
      </c>
      <c r="GK173" s="2">
        <v>0</v>
      </c>
      <c r="GL173" s="2">
        <f t="shared" si="167"/>
        <v>0</v>
      </c>
      <c r="GM173" s="2">
        <f t="shared" si="168"/>
        <v>68647.539999999994</v>
      </c>
      <c r="GN173" s="2">
        <f t="shared" si="169"/>
        <v>68647.539999999994</v>
      </c>
      <c r="GO173" s="2">
        <f t="shared" si="170"/>
        <v>0</v>
      </c>
      <c r="GP173" s="2">
        <f t="shared" si="171"/>
        <v>0</v>
      </c>
      <c r="GQ173" s="2"/>
      <c r="GR173" s="2">
        <v>1</v>
      </c>
      <c r="GS173" s="2">
        <v>1</v>
      </c>
      <c r="GT173" s="2">
        <v>0</v>
      </c>
      <c r="GU173" s="2" t="s">
        <v>3</v>
      </c>
      <c r="GV173" s="2">
        <f t="shared" si="172"/>
        <v>0</v>
      </c>
      <c r="GW173" s="2">
        <v>1</v>
      </c>
      <c r="GX173" s="2">
        <f t="shared" si="173"/>
        <v>0</v>
      </c>
      <c r="GY173" s="2"/>
      <c r="GZ173" s="2"/>
      <c r="HA173" s="2">
        <v>0</v>
      </c>
      <c r="HB173" s="2">
        <v>0</v>
      </c>
      <c r="HC173" s="2">
        <f t="shared" si="174"/>
        <v>0</v>
      </c>
      <c r="HD173" s="2"/>
      <c r="HE173" s="2" t="s">
        <v>3</v>
      </c>
      <c r="HF173" s="2" t="s">
        <v>3</v>
      </c>
      <c r="HG173" s="2">
        <f>ROUND(ROUND(AL173,2)*I173,2)</f>
        <v>68647.539999999994</v>
      </c>
      <c r="HH173" s="2"/>
      <c r="HI173" s="2"/>
      <c r="HJ173" s="2"/>
      <c r="HK173" s="2"/>
      <c r="HL173" s="2"/>
      <c r="HM173" s="2" t="s">
        <v>3</v>
      </c>
      <c r="HN173" s="2" t="s">
        <v>3</v>
      </c>
      <c r="HO173" s="2" t="s">
        <v>3</v>
      </c>
      <c r="HP173" s="2" t="s">
        <v>3</v>
      </c>
      <c r="HQ173" s="2" t="s">
        <v>3</v>
      </c>
      <c r="HR173" s="2"/>
      <c r="HS173" s="2">
        <v>0</v>
      </c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>
        <v>0</v>
      </c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 spans="1:255" ht="409.5" x14ac:dyDescent="0.2">
      <c r="A174" s="2">
        <v>17</v>
      </c>
      <c r="B174" s="2">
        <v>1</v>
      </c>
      <c r="C174" s="2">
        <f>ROW(SmtRes!A161)</f>
        <v>161</v>
      </c>
      <c r="D174" s="2">
        <f>ROW(EtalonRes!A148)</f>
        <v>148</v>
      </c>
      <c r="E174" s="2" t="s">
        <v>357</v>
      </c>
      <c r="F174" s="2" t="s">
        <v>358</v>
      </c>
      <c r="G174" s="2" t="s">
        <v>359</v>
      </c>
      <c r="H174" s="2" t="s">
        <v>61</v>
      </c>
      <c r="I174" s="2">
        <f>ROUND((2.5+1.3+2.5)/100,7)</f>
        <v>6.3E-2</v>
      </c>
      <c r="J174" s="2">
        <v>0</v>
      </c>
      <c r="K174" s="2">
        <f>ROUND((2.5+1.3+2.5)/100,7)</f>
        <v>6.3E-2</v>
      </c>
      <c r="L174" s="2"/>
      <c r="M174" s="2"/>
      <c r="N174" s="2"/>
      <c r="O174" s="2">
        <f t="shared" si="154"/>
        <v>421.68</v>
      </c>
      <c r="P174" s="2">
        <f>SUMIF(SmtRes!AQ157:'SmtRes'!AQ161,"=1",SmtRes!DF157:'SmtRes'!DF161)</f>
        <v>4.05</v>
      </c>
      <c r="Q174" s="2">
        <f>SUMIF(SmtRes!AQ157:'SmtRes'!AQ161,"=1",SmtRes!DG157:'SmtRes'!DG161)</f>
        <v>0</v>
      </c>
      <c r="R174" s="2">
        <f>SUMIF(SmtRes!AQ157:'SmtRes'!AQ161,"=1",SmtRes!DH157:'SmtRes'!DH161)</f>
        <v>0</v>
      </c>
      <c r="S174" s="2">
        <f>SUMIF(SmtRes!AQ157:'SmtRes'!AQ161,"=1",SmtRes!DI157:'SmtRes'!DI161)</f>
        <v>417.63</v>
      </c>
      <c r="T174" s="2">
        <f t="shared" si="155"/>
        <v>0</v>
      </c>
      <c r="U174" s="2">
        <f>SUMIF(SmtRes!AQ157:'SmtRes'!AQ161,"=1",SmtRes!CV157:'SmtRes'!CV161)</f>
        <v>0.6798708</v>
      </c>
      <c r="V174" s="2">
        <f>SUMIF(SmtRes!AQ157:'SmtRes'!AQ161,"=1",SmtRes!CW157:'SmtRes'!CW161)</f>
        <v>0</v>
      </c>
      <c r="W174" s="2">
        <f t="shared" si="156"/>
        <v>0</v>
      </c>
      <c r="X174" s="2">
        <f t="shared" si="157"/>
        <v>451.04</v>
      </c>
      <c r="Y174" s="2">
        <f t="shared" si="158"/>
        <v>195.24</v>
      </c>
      <c r="Z174" s="2"/>
      <c r="AA174" s="2">
        <v>85997836</v>
      </c>
      <c r="AB174" s="2">
        <f t="shared" si="159"/>
        <v>6678.9743500000004</v>
      </c>
      <c r="AC174" s="2">
        <f>ROUND((SUM(SmtRes!BQ157:'SmtRes'!BQ161)),6)</f>
        <v>49.910302000000001</v>
      </c>
      <c r="AD174" s="2">
        <f>ROUND((((0)-(0))+AE174),6)</f>
        <v>0</v>
      </c>
      <c r="AE174" s="2">
        <f>ROUND((0),6)</f>
        <v>0</v>
      </c>
      <c r="AF174" s="2">
        <f>ROUND((SUM(SmtRes!BT157:'SmtRes'!BT161)),6)</f>
        <v>6629.0640480000002</v>
      </c>
      <c r="AG174" s="2">
        <f t="shared" si="160"/>
        <v>0</v>
      </c>
      <c r="AH174" s="2">
        <f>(SUM(SmtRes!BU157:'SmtRes'!BU161))</f>
        <v>10.791599999999999</v>
      </c>
      <c r="AI174" s="2">
        <f>(0)</f>
        <v>0</v>
      </c>
      <c r="AJ174" s="2">
        <f t="shared" si="161"/>
        <v>0</v>
      </c>
      <c r="AK174" s="2">
        <v>4853.5799020000004</v>
      </c>
      <c r="AL174" s="2">
        <v>49.910302000000001</v>
      </c>
      <c r="AM174" s="2">
        <v>0</v>
      </c>
      <c r="AN174" s="2">
        <v>0</v>
      </c>
      <c r="AO174" s="2">
        <v>4803.6696000000002</v>
      </c>
      <c r="AP174" s="2">
        <v>0</v>
      </c>
      <c r="AQ174" s="2">
        <v>7.82</v>
      </c>
      <c r="AR174" s="2">
        <v>0.04</v>
      </c>
      <c r="AS174" s="2">
        <v>0</v>
      </c>
      <c r="AT174" s="2">
        <v>108</v>
      </c>
      <c r="AU174" s="2">
        <v>46.75</v>
      </c>
      <c r="AV174" s="2">
        <v>1</v>
      </c>
      <c r="AW174" s="2">
        <v>1</v>
      </c>
      <c r="AX174" s="2"/>
      <c r="AY174" s="2"/>
      <c r="AZ174" s="2">
        <v>1</v>
      </c>
      <c r="BA174" s="2">
        <v>1</v>
      </c>
      <c r="BB174" s="2">
        <v>1</v>
      </c>
      <c r="BC174" s="2">
        <v>1</v>
      </c>
      <c r="BD174" s="2" t="s">
        <v>3</v>
      </c>
      <c r="BE174" s="2" t="s">
        <v>3</v>
      </c>
      <c r="BF174" s="2" t="s">
        <v>3</v>
      </c>
      <c r="BG174" s="2" t="s">
        <v>3</v>
      </c>
      <c r="BH174" s="2">
        <v>0</v>
      </c>
      <c r="BI174" s="2">
        <v>1</v>
      </c>
      <c r="BJ174" s="2" t="s">
        <v>360</v>
      </c>
      <c r="BK174" s="2"/>
      <c r="BL174" s="2"/>
      <c r="BM174" s="2">
        <v>10001</v>
      </c>
      <c r="BN174" s="2">
        <v>0</v>
      </c>
      <c r="BO174" s="2" t="s">
        <v>3</v>
      </c>
      <c r="BP174" s="2">
        <v>0</v>
      </c>
      <c r="BQ174" s="2">
        <v>2</v>
      </c>
      <c r="BR174" s="2">
        <v>0</v>
      </c>
      <c r="BS174" s="2">
        <v>1</v>
      </c>
      <c r="BT174" s="2">
        <v>1</v>
      </c>
      <c r="BU174" s="2">
        <v>1</v>
      </c>
      <c r="BV174" s="2">
        <v>1</v>
      </c>
      <c r="BW174" s="2">
        <v>1</v>
      </c>
      <c r="BX174" s="2">
        <v>1</v>
      </c>
      <c r="BY174" s="2" t="s">
        <v>3</v>
      </c>
      <c r="BZ174" s="2">
        <v>108</v>
      </c>
      <c r="CA174" s="2">
        <v>55</v>
      </c>
      <c r="CB174" s="2" t="s">
        <v>3</v>
      </c>
      <c r="CC174" s="2"/>
      <c r="CD174" s="2"/>
      <c r="CE174" s="2">
        <v>0</v>
      </c>
      <c r="CF174" s="2">
        <v>0</v>
      </c>
      <c r="CG174" s="2">
        <v>0</v>
      </c>
      <c r="CH174" s="2"/>
      <c r="CI174" s="2"/>
      <c r="CJ174" s="2"/>
      <c r="CK174" s="2"/>
      <c r="CL174" s="2"/>
      <c r="CM174" s="2">
        <v>0</v>
      </c>
      <c r="CN174" s="7" t="s">
        <v>737</v>
      </c>
      <c r="CO174" s="2">
        <v>0</v>
      </c>
      <c r="CP174" s="2">
        <f t="shared" si="162"/>
        <v>421.68</v>
      </c>
      <c r="CQ174" s="2">
        <f>SUMIF(SmtRes!AQ157:'SmtRes'!AQ161,"=1",SmtRes!AA157:'SmtRes'!AA161)</f>
        <v>90682.1</v>
      </c>
      <c r="CR174" s="2">
        <f>SUMIF(SmtRes!AQ157:'SmtRes'!AQ161,"=1",SmtRes!AB157:'SmtRes'!AB161)</f>
        <v>0</v>
      </c>
      <c r="CS174" s="2">
        <f>SUMIF(SmtRes!AQ157:'SmtRes'!AQ161,"=1",SmtRes!AC157:'SmtRes'!AC161)</f>
        <v>0</v>
      </c>
      <c r="CT174" s="2">
        <f>SUMIF(SmtRes!AQ157:'SmtRes'!AQ161,"=1",SmtRes!AD157:'SmtRes'!AD161)</f>
        <v>614.28</v>
      </c>
      <c r="CU174" s="2">
        <f t="shared" si="163"/>
        <v>0</v>
      </c>
      <c r="CV174" s="2">
        <f>SUMIF(SmtRes!AQ157:'SmtRes'!AQ161,"=1",SmtRes!BU157:'SmtRes'!BU161)</f>
        <v>10.791599999999999</v>
      </c>
      <c r="CW174" s="2">
        <f>SUMIF(SmtRes!AQ157:'SmtRes'!AQ161,"=1",SmtRes!BV157:'SmtRes'!BV161)</f>
        <v>0</v>
      </c>
      <c r="CX174" s="2">
        <f t="shared" si="164"/>
        <v>0</v>
      </c>
      <c r="CY174" s="2">
        <f>(((S174+R174)*AT174)/100)</f>
        <v>451.04040000000003</v>
      </c>
      <c r="CZ174" s="2">
        <f>(((S174+R174)*AU174)/100)</f>
        <v>195.24202499999998</v>
      </c>
      <c r="DA174" s="2"/>
      <c r="DB174" s="2"/>
      <c r="DC174" s="2" t="s">
        <v>3</v>
      </c>
      <c r="DD174" s="2" t="s">
        <v>3</v>
      </c>
      <c r="DE174" s="2" t="s">
        <v>329</v>
      </c>
      <c r="DF174" s="2" t="s">
        <v>329</v>
      </c>
      <c r="DG174" s="2" t="s">
        <v>330</v>
      </c>
      <c r="DH174" s="2" t="s">
        <v>3</v>
      </c>
      <c r="DI174" s="2" t="s">
        <v>330</v>
      </c>
      <c r="DJ174" s="2" t="s">
        <v>329</v>
      </c>
      <c r="DK174" s="2" t="s">
        <v>3</v>
      </c>
      <c r="DL174" s="2" t="s">
        <v>3</v>
      </c>
      <c r="DM174" s="2" t="s">
        <v>269</v>
      </c>
      <c r="DN174" s="2">
        <v>0</v>
      </c>
      <c r="DO174" s="2">
        <v>0</v>
      </c>
      <c r="DP174" s="2">
        <v>1</v>
      </c>
      <c r="DQ174" s="2">
        <v>1</v>
      </c>
      <c r="DR174" s="2"/>
      <c r="DS174" s="2"/>
      <c r="DT174" s="2"/>
      <c r="DU174" s="2">
        <v>1003</v>
      </c>
      <c r="DV174" s="2" t="s">
        <v>61</v>
      </c>
      <c r="DW174" s="2" t="s">
        <v>61</v>
      </c>
      <c r="DX174" s="2">
        <v>100</v>
      </c>
      <c r="DY174" s="2"/>
      <c r="DZ174" s="2" t="s">
        <v>3</v>
      </c>
      <c r="EA174" s="2" t="s">
        <v>3</v>
      </c>
      <c r="EB174" s="2" t="s">
        <v>3</v>
      </c>
      <c r="EC174" s="2" t="s">
        <v>3</v>
      </c>
      <c r="ED174" s="2"/>
      <c r="EE174" s="2">
        <v>84053898</v>
      </c>
      <c r="EF174" s="2">
        <v>2</v>
      </c>
      <c r="EG174" s="2" t="s">
        <v>270</v>
      </c>
      <c r="EH174" s="2">
        <v>10</v>
      </c>
      <c r="EI174" s="2" t="s">
        <v>331</v>
      </c>
      <c r="EJ174" s="2">
        <v>1</v>
      </c>
      <c r="EK174" s="2">
        <v>10001</v>
      </c>
      <c r="EL174" s="2" t="s">
        <v>331</v>
      </c>
      <c r="EM174" s="2" t="s">
        <v>332</v>
      </c>
      <c r="EN174" s="2"/>
      <c r="EO174" s="2" t="s">
        <v>333</v>
      </c>
      <c r="EP174" s="2"/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7.82</v>
      </c>
      <c r="EX174" s="2">
        <v>0.04</v>
      </c>
      <c r="EY174" s="2">
        <v>0</v>
      </c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>
        <v>0</v>
      </c>
      <c r="FR174" s="2">
        <v>0</v>
      </c>
      <c r="FS174" s="2">
        <v>0</v>
      </c>
      <c r="FT174" s="2"/>
      <c r="FU174" s="2"/>
      <c r="FV174" s="2"/>
      <c r="FW174" s="2"/>
      <c r="FX174" s="2">
        <v>108</v>
      </c>
      <c r="FY174" s="2">
        <v>46.75</v>
      </c>
      <c r="FZ174" s="2"/>
      <c r="GA174" s="2" t="s">
        <v>3</v>
      </c>
      <c r="GB174" s="2"/>
      <c r="GC174" s="2"/>
      <c r="GD174" s="2">
        <v>1</v>
      </c>
      <c r="GE174" s="2"/>
      <c r="GF174" s="2">
        <v>561897439</v>
      </c>
      <c r="GG174" s="2">
        <v>2</v>
      </c>
      <c r="GH174" s="2">
        <v>1</v>
      </c>
      <c r="GI174" s="2">
        <v>-2</v>
      </c>
      <c r="GJ174" s="2">
        <v>0</v>
      </c>
      <c r="GK174" s="2">
        <v>0</v>
      </c>
      <c r="GL174" s="2">
        <f t="shared" si="167"/>
        <v>0</v>
      </c>
      <c r="GM174" s="2">
        <f t="shared" si="168"/>
        <v>1067.96</v>
      </c>
      <c r="GN174" s="2">
        <f t="shared" si="169"/>
        <v>1067.96</v>
      </c>
      <c r="GO174" s="2">
        <f t="shared" si="170"/>
        <v>0</v>
      </c>
      <c r="GP174" s="2">
        <f t="shared" si="171"/>
        <v>0</v>
      </c>
      <c r="GQ174" s="2"/>
      <c r="GR174" s="2">
        <v>0</v>
      </c>
      <c r="GS174" s="2">
        <v>3</v>
      </c>
      <c r="GT174" s="2">
        <v>0</v>
      </c>
      <c r="GU174" s="2" t="s">
        <v>3</v>
      </c>
      <c r="GV174" s="2">
        <f t="shared" si="172"/>
        <v>0</v>
      </c>
      <c r="GW174" s="2">
        <v>1</v>
      </c>
      <c r="GX174" s="2">
        <f t="shared" si="173"/>
        <v>0</v>
      </c>
      <c r="GY174" s="2"/>
      <c r="GZ174" s="2"/>
      <c r="HA174" s="2">
        <v>0</v>
      </c>
      <c r="HB174" s="2">
        <v>0</v>
      </c>
      <c r="HC174" s="2">
        <f t="shared" si="174"/>
        <v>0</v>
      </c>
      <c r="HD174" s="2"/>
      <c r="HE174" s="2" t="s">
        <v>3</v>
      </c>
      <c r="HF174" s="2" t="s">
        <v>3</v>
      </c>
      <c r="HG174" s="2"/>
      <c r="HH174" s="2"/>
      <c r="HI174" s="2"/>
      <c r="HJ174" s="2"/>
      <c r="HK174" s="2"/>
      <c r="HL174" s="2"/>
      <c r="HM174" s="2" t="s">
        <v>3</v>
      </c>
      <c r="HN174" s="2" t="s">
        <v>334</v>
      </c>
      <c r="HO174" s="2" t="s">
        <v>335</v>
      </c>
      <c r="HP174" s="2" t="s">
        <v>331</v>
      </c>
      <c r="HQ174" s="2" t="s">
        <v>331</v>
      </c>
      <c r="HR174" s="2"/>
      <c r="HS174" s="2">
        <v>0</v>
      </c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>
        <v>0</v>
      </c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x14ac:dyDescent="0.2">
      <c r="A175" s="2">
        <v>18</v>
      </c>
      <c r="B175" s="2">
        <v>1</v>
      </c>
      <c r="C175" s="2">
        <v>161</v>
      </c>
      <c r="D175" s="2"/>
      <c r="E175" s="2" t="s">
        <v>361</v>
      </c>
      <c r="F175" s="2" t="s">
        <v>362</v>
      </c>
      <c r="G175" s="2" t="s">
        <v>363</v>
      </c>
      <c r="H175" s="2" t="s">
        <v>364</v>
      </c>
      <c r="I175" s="2">
        <f>I174*J175</f>
        <v>7.056</v>
      </c>
      <c r="J175" s="2">
        <v>112</v>
      </c>
      <c r="K175" s="2">
        <v>112</v>
      </c>
      <c r="L175" s="2"/>
      <c r="M175" s="2"/>
      <c r="N175" s="2"/>
      <c r="O175" s="2">
        <f t="shared" si="154"/>
        <v>4625</v>
      </c>
      <c r="P175" s="2">
        <f>ROUND(CQ175*I175,2)</f>
        <v>4625</v>
      </c>
      <c r="Q175" s="2">
        <f>ROUND(CR175*I175,2)</f>
        <v>0</v>
      </c>
      <c r="R175" s="2">
        <f>ROUND(CS175*I175,2)</f>
        <v>0</v>
      </c>
      <c r="S175" s="2">
        <f>ROUND(CT175*I175,2)</f>
        <v>0</v>
      </c>
      <c r="T175" s="2">
        <f t="shared" si="155"/>
        <v>0</v>
      </c>
      <c r="U175" s="2">
        <f>ROUND(CV175*I175,7)</f>
        <v>0</v>
      </c>
      <c r="V175" s="2">
        <f>ROUND(CW175*I175,7)</f>
        <v>0</v>
      </c>
      <c r="W175" s="2">
        <f t="shared" si="156"/>
        <v>0</v>
      </c>
      <c r="X175" s="2">
        <f t="shared" si="157"/>
        <v>0</v>
      </c>
      <c r="Y175" s="2">
        <f t="shared" si="158"/>
        <v>0</v>
      </c>
      <c r="Z175" s="2"/>
      <c r="AA175" s="2">
        <v>85997836</v>
      </c>
      <c r="AB175" s="2">
        <f t="shared" si="159"/>
        <v>387.85</v>
      </c>
      <c r="AC175" s="2">
        <f>ROUND((ES175),6)</f>
        <v>387.85</v>
      </c>
      <c r="AD175" s="2">
        <f>ROUND((((ET175)-(EU175))+AE175),6)</f>
        <v>0</v>
      </c>
      <c r="AE175" s="2">
        <f>ROUND((EU175),6)</f>
        <v>0</v>
      </c>
      <c r="AF175" s="2">
        <f>ROUND((EV175),6)</f>
        <v>0</v>
      </c>
      <c r="AG175" s="2">
        <f t="shared" si="160"/>
        <v>0</v>
      </c>
      <c r="AH175" s="2">
        <f>(EW175)</f>
        <v>0</v>
      </c>
      <c r="AI175" s="2">
        <f>(EX175)</f>
        <v>0</v>
      </c>
      <c r="AJ175" s="2">
        <f t="shared" si="161"/>
        <v>0</v>
      </c>
      <c r="AK175" s="2">
        <v>387.85</v>
      </c>
      <c r="AL175" s="2">
        <v>387.85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108</v>
      </c>
      <c r="AU175" s="2">
        <v>55</v>
      </c>
      <c r="AV175" s="2">
        <v>1</v>
      </c>
      <c r="AW175" s="2">
        <v>1</v>
      </c>
      <c r="AX175" s="2"/>
      <c r="AY175" s="2"/>
      <c r="AZ175" s="2">
        <v>1</v>
      </c>
      <c r="BA175" s="2">
        <v>1</v>
      </c>
      <c r="BB175" s="2">
        <v>1</v>
      </c>
      <c r="BC175" s="2">
        <v>1.69</v>
      </c>
      <c r="BD175" s="2" t="s">
        <v>3</v>
      </c>
      <c r="BE175" s="2" t="s">
        <v>3</v>
      </c>
      <c r="BF175" s="2" t="s">
        <v>3</v>
      </c>
      <c r="BG175" s="2" t="s">
        <v>3</v>
      </c>
      <c r="BH175" s="2">
        <v>3</v>
      </c>
      <c r="BI175" s="2">
        <v>1</v>
      </c>
      <c r="BJ175" s="2" t="s">
        <v>365</v>
      </c>
      <c r="BK175" s="2"/>
      <c r="BL175" s="2"/>
      <c r="BM175" s="2">
        <v>10001</v>
      </c>
      <c r="BN175" s="2">
        <v>0</v>
      </c>
      <c r="BO175" s="2" t="s">
        <v>362</v>
      </c>
      <c r="BP175" s="2">
        <v>1</v>
      </c>
      <c r="BQ175" s="2">
        <v>2</v>
      </c>
      <c r="BR175" s="2">
        <v>0</v>
      </c>
      <c r="BS175" s="2">
        <v>1</v>
      </c>
      <c r="BT175" s="2">
        <v>1</v>
      </c>
      <c r="BU175" s="2">
        <v>1</v>
      </c>
      <c r="BV175" s="2">
        <v>1</v>
      </c>
      <c r="BW175" s="2">
        <v>1</v>
      </c>
      <c r="BX175" s="2">
        <v>1</v>
      </c>
      <c r="BY175" s="2" t="s">
        <v>3</v>
      </c>
      <c r="BZ175" s="2">
        <v>108</v>
      </c>
      <c r="CA175" s="2">
        <v>55</v>
      </c>
      <c r="CB175" s="2" t="s">
        <v>3</v>
      </c>
      <c r="CC175" s="2"/>
      <c r="CD175" s="2"/>
      <c r="CE175" s="2">
        <v>0</v>
      </c>
      <c r="CF175" s="2">
        <v>0</v>
      </c>
      <c r="CG175" s="2">
        <v>0</v>
      </c>
      <c r="CH175" s="2"/>
      <c r="CI175" s="2"/>
      <c r="CJ175" s="2"/>
      <c r="CK175" s="2"/>
      <c r="CL175" s="2"/>
      <c r="CM175" s="2">
        <v>0</v>
      </c>
      <c r="CN175" s="2" t="s">
        <v>3</v>
      </c>
      <c r="CO175" s="2">
        <v>0</v>
      </c>
      <c r="CP175" s="2">
        <f t="shared" si="162"/>
        <v>4625</v>
      </c>
      <c r="CQ175" s="2">
        <f>ROUND(AL175*BC175,2)</f>
        <v>655.47</v>
      </c>
      <c r="CR175" s="2">
        <f>ROUND(AM175*BB175,2)</f>
        <v>0</v>
      </c>
      <c r="CS175" s="2">
        <f>ROUND(AN175*BS175,2)</f>
        <v>0</v>
      </c>
      <c r="CT175" s="2">
        <f>ROUND(AO175*BA175,2)</f>
        <v>0</v>
      </c>
      <c r="CU175" s="2">
        <f t="shared" si="163"/>
        <v>0</v>
      </c>
      <c r="CV175" s="2">
        <f>AH175</f>
        <v>0</v>
      </c>
      <c r="CW175" s="2">
        <f>AI175</f>
        <v>0</v>
      </c>
      <c r="CX175" s="2">
        <f t="shared" si="164"/>
        <v>0</v>
      </c>
      <c r="CY175" s="2">
        <f>(((S175+R175)*AT175)/100)</f>
        <v>0</v>
      </c>
      <c r="CZ175" s="2">
        <f>(((S175+R175)*AU175)/100)</f>
        <v>0</v>
      </c>
      <c r="DA175" s="2"/>
      <c r="DB175" s="2"/>
      <c r="DC175" s="2" t="s">
        <v>3</v>
      </c>
      <c r="DD175" s="2" t="s">
        <v>3</v>
      </c>
      <c r="DE175" s="2" t="s">
        <v>3</v>
      </c>
      <c r="DF175" s="2" t="s">
        <v>3</v>
      </c>
      <c r="DG175" s="2" t="s">
        <v>3</v>
      </c>
      <c r="DH175" s="2" t="s">
        <v>3</v>
      </c>
      <c r="DI175" s="2" t="s">
        <v>3</v>
      </c>
      <c r="DJ175" s="2" t="s">
        <v>3</v>
      </c>
      <c r="DK175" s="2" t="s">
        <v>3</v>
      </c>
      <c r="DL175" s="2" t="s">
        <v>3</v>
      </c>
      <c r="DM175" s="2" t="s">
        <v>3</v>
      </c>
      <c r="DN175" s="2">
        <v>0</v>
      </c>
      <c r="DO175" s="2">
        <v>0</v>
      </c>
      <c r="DP175" s="2">
        <v>1</v>
      </c>
      <c r="DQ175" s="2">
        <v>1</v>
      </c>
      <c r="DR175" s="2"/>
      <c r="DS175" s="2"/>
      <c r="DT175" s="2"/>
      <c r="DU175" s="2">
        <v>1003</v>
      </c>
      <c r="DV175" s="2" t="s">
        <v>364</v>
      </c>
      <c r="DW175" s="2" t="s">
        <v>364</v>
      </c>
      <c r="DX175" s="2">
        <v>1</v>
      </c>
      <c r="DY175" s="2"/>
      <c r="DZ175" s="2" t="s">
        <v>3</v>
      </c>
      <c r="EA175" s="2" t="s">
        <v>3</v>
      </c>
      <c r="EB175" s="2" t="s">
        <v>3</v>
      </c>
      <c r="EC175" s="2" t="s">
        <v>3</v>
      </c>
      <c r="ED175" s="2"/>
      <c r="EE175" s="2">
        <v>84053898</v>
      </c>
      <c r="EF175" s="2">
        <v>2</v>
      </c>
      <c r="EG175" s="2" t="s">
        <v>270</v>
      </c>
      <c r="EH175" s="2">
        <v>10</v>
      </c>
      <c r="EI175" s="2" t="s">
        <v>331</v>
      </c>
      <c r="EJ175" s="2">
        <v>1</v>
      </c>
      <c r="EK175" s="2">
        <v>10001</v>
      </c>
      <c r="EL175" s="2" t="s">
        <v>331</v>
      </c>
      <c r="EM175" s="2" t="s">
        <v>332</v>
      </c>
      <c r="EN175" s="2"/>
      <c r="EO175" s="2" t="s">
        <v>3</v>
      </c>
      <c r="EP175" s="2"/>
      <c r="EQ175" s="2">
        <v>0</v>
      </c>
      <c r="ER175" s="2">
        <v>387.85</v>
      </c>
      <c r="ES175" s="2">
        <v>387.85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>
        <v>0</v>
      </c>
      <c r="FR175" s="2">
        <v>0</v>
      </c>
      <c r="FS175" s="2">
        <v>0</v>
      </c>
      <c r="FT175" s="2"/>
      <c r="FU175" s="2"/>
      <c r="FV175" s="2"/>
      <c r="FW175" s="2"/>
      <c r="FX175" s="2">
        <v>108</v>
      </c>
      <c r="FY175" s="2">
        <v>55</v>
      </c>
      <c r="FZ175" s="2"/>
      <c r="GA175" s="2" t="s">
        <v>3</v>
      </c>
      <c r="GB175" s="2"/>
      <c r="GC175" s="2"/>
      <c r="GD175" s="2">
        <v>1</v>
      </c>
      <c r="GE175" s="2"/>
      <c r="GF175" s="2">
        <v>584360736</v>
      </c>
      <c r="GG175" s="2">
        <v>2</v>
      </c>
      <c r="GH175" s="2">
        <v>1</v>
      </c>
      <c r="GI175" s="2">
        <v>2</v>
      </c>
      <c r="GJ175" s="2">
        <v>0</v>
      </c>
      <c r="GK175" s="2">
        <v>0</v>
      </c>
      <c r="GL175" s="2">
        <f t="shared" si="167"/>
        <v>0</v>
      </c>
      <c r="GM175" s="2">
        <f t="shared" si="168"/>
        <v>4625</v>
      </c>
      <c r="GN175" s="2">
        <f t="shared" si="169"/>
        <v>4625</v>
      </c>
      <c r="GO175" s="2">
        <f t="shared" si="170"/>
        <v>0</v>
      </c>
      <c r="GP175" s="2">
        <f t="shared" si="171"/>
        <v>0</v>
      </c>
      <c r="GQ175" s="2"/>
      <c r="GR175" s="2">
        <v>0</v>
      </c>
      <c r="GS175" s="2">
        <v>3</v>
      </c>
      <c r="GT175" s="2">
        <v>0</v>
      </c>
      <c r="GU175" s="2" t="s">
        <v>3</v>
      </c>
      <c r="GV175" s="2">
        <f t="shared" si="172"/>
        <v>0</v>
      </c>
      <c r="GW175" s="2">
        <v>1</v>
      </c>
      <c r="GX175" s="2">
        <f t="shared" si="173"/>
        <v>0</v>
      </c>
      <c r="GY175" s="2"/>
      <c r="GZ175" s="2"/>
      <c r="HA175" s="2">
        <v>0</v>
      </c>
      <c r="HB175" s="2">
        <v>0</v>
      </c>
      <c r="HC175" s="2">
        <f t="shared" si="174"/>
        <v>0</v>
      </c>
      <c r="HD175" s="2"/>
      <c r="HE175" s="2" t="s">
        <v>3</v>
      </c>
      <c r="HF175" s="2" t="s">
        <v>3</v>
      </c>
      <c r="HG175" s="2"/>
      <c r="HH175" s="2"/>
      <c r="HI175" s="2"/>
      <c r="HJ175" s="2"/>
      <c r="HK175" s="2"/>
      <c r="HL175" s="2"/>
      <c r="HM175" s="2" t="s">
        <v>3</v>
      </c>
      <c r="HN175" s="2" t="s">
        <v>334</v>
      </c>
      <c r="HO175" s="2" t="s">
        <v>335</v>
      </c>
      <c r="HP175" s="2" t="s">
        <v>331</v>
      </c>
      <c r="HQ175" s="2" t="s">
        <v>331</v>
      </c>
      <c r="HR175" s="2"/>
      <c r="HS175" s="2">
        <v>0</v>
      </c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>
        <v>0</v>
      </c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 spans="1:255" ht="409.5" x14ac:dyDescent="0.2">
      <c r="A176" s="2">
        <v>18</v>
      </c>
      <c r="B176" s="2">
        <v>1</v>
      </c>
      <c r="C176" s="2">
        <v>159</v>
      </c>
      <c r="D176" s="2"/>
      <c r="E176" s="2" t="s">
        <v>366</v>
      </c>
      <c r="F176" s="2" t="s">
        <v>127</v>
      </c>
      <c r="G176" s="2" t="s">
        <v>128</v>
      </c>
      <c r="H176" s="2" t="s">
        <v>29</v>
      </c>
      <c r="I176" s="2">
        <f>I174*J176</f>
        <v>-5.6699999999999997E-3</v>
      </c>
      <c r="J176" s="2">
        <v>-0.09</v>
      </c>
      <c r="K176" s="2">
        <v>-0.06</v>
      </c>
      <c r="L176" s="2"/>
      <c r="M176" s="2"/>
      <c r="N176" s="2"/>
      <c r="O176" s="2">
        <f t="shared" si="154"/>
        <v>-7.74</v>
      </c>
      <c r="P176" s="2">
        <f>ROUND(CQ176*I176,2)</f>
        <v>0</v>
      </c>
      <c r="Q176" s="2">
        <f>ROUND(CR176*I176,2)</f>
        <v>-3.65</v>
      </c>
      <c r="R176" s="2">
        <f>ROUND(CS176*I176,2)</f>
        <v>-4.09</v>
      </c>
      <c r="S176" s="2">
        <f>ROUND(CT176*I176,2)</f>
        <v>0</v>
      </c>
      <c r="T176" s="2">
        <f t="shared" si="155"/>
        <v>0</v>
      </c>
      <c r="U176" s="2">
        <f>ROUND(CV176*I176,7)</f>
        <v>0</v>
      </c>
      <c r="V176" s="2">
        <f>ROUND(CW176*I176,7)</f>
        <v>0</v>
      </c>
      <c r="W176" s="2">
        <f t="shared" si="156"/>
        <v>0</v>
      </c>
      <c r="X176" s="2">
        <f t="shared" si="157"/>
        <v>-4.42</v>
      </c>
      <c r="Y176" s="2">
        <f t="shared" si="158"/>
        <v>-2.25</v>
      </c>
      <c r="Z176" s="2"/>
      <c r="AA176" s="2">
        <v>85997836</v>
      </c>
      <c r="AB176" s="2">
        <f t="shared" si="159"/>
        <v>643.29</v>
      </c>
      <c r="AC176" s="2">
        <f>ROUND((ES176),6)</f>
        <v>0</v>
      </c>
      <c r="AD176" s="2">
        <f>ROUND((((ET176)-(EU176))+AE176),6)</f>
        <v>643.29</v>
      </c>
      <c r="AE176" s="2">
        <f>ROUND((EU176),6)</f>
        <v>722.05</v>
      </c>
      <c r="AF176" s="2">
        <f>ROUND((EV176),6)</f>
        <v>0</v>
      </c>
      <c r="AG176" s="2">
        <f t="shared" si="160"/>
        <v>0</v>
      </c>
      <c r="AH176" s="2">
        <f>(EW176)</f>
        <v>0</v>
      </c>
      <c r="AI176" s="2">
        <f>(EX176)</f>
        <v>0</v>
      </c>
      <c r="AJ176" s="2">
        <f t="shared" si="161"/>
        <v>0</v>
      </c>
      <c r="AK176" s="2">
        <v>643.29</v>
      </c>
      <c r="AL176" s="2">
        <v>0</v>
      </c>
      <c r="AM176" s="2">
        <v>643.29</v>
      </c>
      <c r="AN176" s="2">
        <v>722.05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108</v>
      </c>
      <c r="AU176" s="2">
        <v>55</v>
      </c>
      <c r="AV176" s="2">
        <v>1</v>
      </c>
      <c r="AW176" s="2">
        <v>1</v>
      </c>
      <c r="AX176" s="2"/>
      <c r="AY176" s="2"/>
      <c r="AZ176" s="2">
        <v>1</v>
      </c>
      <c r="BA176" s="2">
        <v>1</v>
      </c>
      <c r="BB176" s="2">
        <v>1</v>
      </c>
      <c r="BC176" s="2">
        <v>1</v>
      </c>
      <c r="BD176" s="2" t="s">
        <v>3</v>
      </c>
      <c r="BE176" s="2" t="s">
        <v>3</v>
      </c>
      <c r="BF176" s="2" t="s">
        <v>3</v>
      </c>
      <c r="BG176" s="2" t="s">
        <v>3</v>
      </c>
      <c r="BH176" s="2">
        <v>2</v>
      </c>
      <c r="BI176" s="2">
        <v>1</v>
      </c>
      <c r="BJ176" s="2" t="s">
        <v>129</v>
      </c>
      <c r="BK176" s="2"/>
      <c r="BL176" s="2"/>
      <c r="BM176" s="2">
        <v>10001</v>
      </c>
      <c r="BN176" s="2">
        <v>0</v>
      </c>
      <c r="BO176" s="2" t="s">
        <v>3</v>
      </c>
      <c r="BP176" s="2">
        <v>0</v>
      </c>
      <c r="BQ176" s="2">
        <v>2</v>
      </c>
      <c r="BR176" s="2">
        <v>0</v>
      </c>
      <c r="BS176" s="2">
        <v>1</v>
      </c>
      <c r="BT176" s="2">
        <v>1</v>
      </c>
      <c r="BU176" s="2">
        <v>1</v>
      </c>
      <c r="BV176" s="2">
        <v>1</v>
      </c>
      <c r="BW176" s="2">
        <v>1</v>
      </c>
      <c r="BX176" s="2">
        <v>1</v>
      </c>
      <c r="BY176" s="2" t="s">
        <v>3</v>
      </c>
      <c r="BZ176" s="2">
        <v>108</v>
      </c>
      <c r="CA176" s="2">
        <v>55</v>
      </c>
      <c r="CB176" s="2" t="s">
        <v>3</v>
      </c>
      <c r="CC176" s="2"/>
      <c r="CD176" s="2"/>
      <c r="CE176" s="2">
        <v>0</v>
      </c>
      <c r="CF176" s="2">
        <v>0</v>
      </c>
      <c r="CG176" s="2">
        <v>0</v>
      </c>
      <c r="CH176" s="2"/>
      <c r="CI176" s="2"/>
      <c r="CJ176" s="2"/>
      <c r="CK176" s="2"/>
      <c r="CL176" s="2"/>
      <c r="CM176" s="2">
        <v>0</v>
      </c>
      <c r="CN176" s="7" t="s">
        <v>737</v>
      </c>
      <c r="CO176" s="2">
        <v>0</v>
      </c>
      <c r="CP176" s="2">
        <f t="shared" si="162"/>
        <v>-7.74</v>
      </c>
      <c r="CQ176" s="2">
        <f>ROUND(AL176*BC176,2)</f>
        <v>0</v>
      </c>
      <c r="CR176" s="2">
        <f>ROUND(AM176*BB176,2)</f>
        <v>643.29</v>
      </c>
      <c r="CS176" s="2">
        <f>ROUND(AN176*BS176,2)</f>
        <v>722.05</v>
      </c>
      <c r="CT176" s="2">
        <f>ROUND(AO176*BA176,2)</f>
        <v>0</v>
      </c>
      <c r="CU176" s="2">
        <f t="shared" si="163"/>
        <v>0</v>
      </c>
      <c r="CV176" s="2">
        <f>AH176</f>
        <v>0</v>
      </c>
      <c r="CW176" s="2">
        <f>AI176</f>
        <v>0</v>
      </c>
      <c r="CX176" s="2">
        <f t="shared" si="164"/>
        <v>0</v>
      </c>
      <c r="CY176" s="2">
        <f>(((S176+R176)*AT176)/100)</f>
        <v>-4.4171999999999993</v>
      </c>
      <c r="CZ176" s="2">
        <f>(((S176+R176)*AU176)/100)</f>
        <v>-2.2494999999999998</v>
      </c>
      <c r="DA176" s="2"/>
      <c r="DB176" s="2"/>
      <c r="DC176" s="2" t="s">
        <v>3</v>
      </c>
      <c r="DD176" s="2" t="s">
        <v>3</v>
      </c>
      <c r="DE176" s="2" t="s">
        <v>3</v>
      </c>
      <c r="DF176" s="2" t="s">
        <v>3</v>
      </c>
      <c r="DG176" s="2" t="s">
        <v>3</v>
      </c>
      <c r="DH176" s="2" t="s">
        <v>3</v>
      </c>
      <c r="DI176" s="2" t="s">
        <v>3</v>
      </c>
      <c r="DJ176" s="2" t="s">
        <v>3</v>
      </c>
      <c r="DK176" s="2" t="s">
        <v>3</v>
      </c>
      <c r="DL176" s="2" t="s">
        <v>3</v>
      </c>
      <c r="DM176" s="2" t="s">
        <v>3</v>
      </c>
      <c r="DN176" s="2">
        <v>0</v>
      </c>
      <c r="DO176" s="2">
        <v>0</v>
      </c>
      <c r="DP176" s="2">
        <v>1</v>
      </c>
      <c r="DQ176" s="2">
        <v>1</v>
      </c>
      <c r="DR176" s="2"/>
      <c r="DS176" s="2"/>
      <c r="DT176" s="2"/>
      <c r="DU176" s="2">
        <v>1011</v>
      </c>
      <c r="DV176" s="2" t="s">
        <v>29</v>
      </c>
      <c r="DW176" s="2" t="s">
        <v>29</v>
      </c>
      <c r="DX176" s="2">
        <v>1</v>
      </c>
      <c r="DY176" s="2"/>
      <c r="DZ176" s="2" t="s">
        <v>3</v>
      </c>
      <c r="EA176" s="2" t="s">
        <v>3</v>
      </c>
      <c r="EB176" s="2" t="s">
        <v>3</v>
      </c>
      <c r="EC176" s="2" t="s">
        <v>3</v>
      </c>
      <c r="ED176" s="2"/>
      <c r="EE176" s="2">
        <v>84053898</v>
      </c>
      <c r="EF176" s="2">
        <v>2</v>
      </c>
      <c r="EG176" s="2" t="s">
        <v>270</v>
      </c>
      <c r="EH176" s="2">
        <v>10</v>
      </c>
      <c r="EI176" s="2" t="s">
        <v>331</v>
      </c>
      <c r="EJ176" s="2">
        <v>1</v>
      </c>
      <c r="EK176" s="2">
        <v>10001</v>
      </c>
      <c r="EL176" s="2" t="s">
        <v>331</v>
      </c>
      <c r="EM176" s="2" t="s">
        <v>332</v>
      </c>
      <c r="EN176" s="2"/>
      <c r="EO176" s="2" t="s">
        <v>333</v>
      </c>
      <c r="EP176" s="2"/>
      <c r="EQ176" s="2">
        <v>0</v>
      </c>
      <c r="ER176" s="2">
        <v>643.29</v>
      </c>
      <c r="ES176" s="2">
        <v>0</v>
      </c>
      <c r="ET176" s="2">
        <v>643.29</v>
      </c>
      <c r="EU176" s="2">
        <v>722.05</v>
      </c>
      <c r="EV176" s="2">
        <v>0</v>
      </c>
      <c r="EW176" s="2">
        <v>0</v>
      </c>
      <c r="EX176" s="2">
        <v>0</v>
      </c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>
        <v>0</v>
      </c>
      <c r="FR176" s="2">
        <v>0</v>
      </c>
      <c r="FS176" s="2">
        <v>1</v>
      </c>
      <c r="FT176" s="2"/>
      <c r="FU176" s="2"/>
      <c r="FV176" s="2"/>
      <c r="FW176" s="2"/>
      <c r="FX176" s="2">
        <v>108</v>
      </c>
      <c r="FY176" s="2">
        <v>55</v>
      </c>
      <c r="FZ176" s="2"/>
      <c r="GA176" s="2" t="s">
        <v>3</v>
      </c>
      <c r="GB176" s="2"/>
      <c r="GC176" s="2"/>
      <c r="GD176" s="2">
        <v>1</v>
      </c>
      <c r="GE176" s="2"/>
      <c r="GF176" s="2">
        <v>-849950259</v>
      </c>
      <c r="GG176" s="2">
        <v>2</v>
      </c>
      <c r="GH176" s="2">
        <v>1</v>
      </c>
      <c r="GI176" s="2">
        <v>-2</v>
      </c>
      <c r="GJ176" s="2">
        <v>0</v>
      </c>
      <c r="GK176" s="2">
        <v>0</v>
      </c>
      <c r="GL176" s="2">
        <f t="shared" si="167"/>
        <v>0</v>
      </c>
      <c r="GM176" s="2">
        <f t="shared" si="168"/>
        <v>-14.41</v>
      </c>
      <c r="GN176" s="2">
        <f t="shared" si="169"/>
        <v>-14.41</v>
      </c>
      <c r="GO176" s="2">
        <f t="shared" si="170"/>
        <v>0</v>
      </c>
      <c r="GP176" s="2">
        <f t="shared" si="171"/>
        <v>0</v>
      </c>
      <c r="GQ176" s="2"/>
      <c r="GR176" s="2">
        <v>0</v>
      </c>
      <c r="GS176" s="2">
        <v>7</v>
      </c>
      <c r="GT176" s="2">
        <v>0</v>
      </c>
      <c r="GU176" s="2" t="s">
        <v>3</v>
      </c>
      <c r="GV176" s="2">
        <f t="shared" si="172"/>
        <v>0</v>
      </c>
      <c r="GW176" s="2">
        <v>1</v>
      </c>
      <c r="GX176" s="2">
        <f t="shared" si="173"/>
        <v>0</v>
      </c>
      <c r="GY176" s="2"/>
      <c r="GZ176" s="2"/>
      <c r="HA176" s="2">
        <v>0</v>
      </c>
      <c r="HB176" s="2">
        <v>0</v>
      </c>
      <c r="HC176" s="2">
        <f t="shared" si="174"/>
        <v>0</v>
      </c>
      <c r="HD176" s="2"/>
      <c r="HE176" s="2" t="s">
        <v>3</v>
      </c>
      <c r="HF176" s="2" t="s">
        <v>3</v>
      </c>
      <c r="HG176" s="2"/>
      <c r="HH176" s="2"/>
      <c r="HI176" s="2"/>
      <c r="HJ176" s="2"/>
      <c r="HK176" s="2"/>
      <c r="HL176" s="2"/>
      <c r="HM176" s="2" t="s">
        <v>329</v>
      </c>
      <c r="HN176" s="2" t="s">
        <v>334</v>
      </c>
      <c r="HO176" s="2" t="s">
        <v>335</v>
      </c>
      <c r="HP176" s="2" t="s">
        <v>331</v>
      </c>
      <c r="HQ176" s="2" t="s">
        <v>331</v>
      </c>
      <c r="HR176" s="2"/>
      <c r="HS176" s="2">
        <v>0</v>
      </c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>
        <v>0</v>
      </c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8" spans="1:206" x14ac:dyDescent="0.2">
      <c r="A178" s="3">
        <v>51</v>
      </c>
      <c r="B178" s="3">
        <f>B162</f>
        <v>1</v>
      </c>
      <c r="C178" s="3">
        <f>A162</f>
        <v>4</v>
      </c>
      <c r="D178" s="3">
        <f>ROW(A162)</f>
        <v>162</v>
      </c>
      <c r="E178" s="3"/>
      <c r="F178" s="3" t="str">
        <f>IF(F162&lt;&gt;"",F162,"")</f>
        <v>Новый раздел</v>
      </c>
      <c r="G178" s="3" t="str">
        <f>IF(G162&lt;&gt;"",G162,"")</f>
        <v>Аудитория № 311</v>
      </c>
      <c r="H178" s="3">
        <v>0</v>
      </c>
      <c r="I178" s="3"/>
      <c r="J178" s="3"/>
      <c r="K178" s="3"/>
      <c r="L178" s="3"/>
      <c r="M178" s="3"/>
      <c r="N178" s="3"/>
      <c r="O178" s="3">
        <f t="shared" ref="O178:T178" si="190">ROUND(AB178,2)</f>
        <v>74972.59</v>
      </c>
      <c r="P178" s="3">
        <f t="shared" si="190"/>
        <v>73496.28</v>
      </c>
      <c r="Q178" s="3">
        <f t="shared" si="190"/>
        <v>-781.25</v>
      </c>
      <c r="R178" s="3">
        <f t="shared" si="190"/>
        <v>-695.93</v>
      </c>
      <c r="S178" s="3">
        <f t="shared" si="190"/>
        <v>2953.49</v>
      </c>
      <c r="T178" s="3">
        <f t="shared" si="190"/>
        <v>0</v>
      </c>
      <c r="U178" s="3">
        <f>AH178</f>
        <v>4.2723557999999997</v>
      </c>
      <c r="V178" s="3">
        <f>AI178</f>
        <v>0</v>
      </c>
      <c r="W178" s="3">
        <f>ROUND(AJ178,2)</f>
        <v>0</v>
      </c>
      <c r="X178" s="3">
        <f>ROUND(AK178,2)</f>
        <v>2438.16</v>
      </c>
      <c r="Y178" s="3">
        <f>ROUND(AL178,2)</f>
        <v>997.99</v>
      </c>
      <c r="Z178" s="3"/>
      <c r="AA178" s="3"/>
      <c r="AB178" s="3">
        <f>ROUND(SUMIF(AA166:AA176,"=85997836",O166:O176),2)</f>
        <v>74972.59</v>
      </c>
      <c r="AC178" s="3">
        <f>ROUND(SUMIF(AA166:AA176,"=85997836",P166:P176),2)</f>
        <v>73496.28</v>
      </c>
      <c r="AD178" s="3">
        <f>ROUND(SUMIF(AA166:AA176,"=85997836",Q166:Q176),2)</f>
        <v>-781.25</v>
      </c>
      <c r="AE178" s="3">
        <f>ROUND(SUMIF(AA166:AA176,"=85997836",R166:R176),2)</f>
        <v>-695.93</v>
      </c>
      <c r="AF178" s="3">
        <f>ROUND(SUMIF(AA166:AA176,"=85997836",S166:S176),2)</f>
        <v>2953.49</v>
      </c>
      <c r="AG178" s="3">
        <f>ROUND(SUMIF(AA166:AA176,"=85997836",T166:T176),2)</f>
        <v>0</v>
      </c>
      <c r="AH178" s="3">
        <f>SUMIF(AA166:AA176,"=85997836",U166:U176)</f>
        <v>4.2723557999999997</v>
      </c>
      <c r="AI178" s="3">
        <f>SUMIF(AA166:AA176,"=85997836",V166:V176)</f>
        <v>0</v>
      </c>
      <c r="AJ178" s="3">
        <f>ROUND(SUMIF(AA166:AA176,"=85997836",W166:W176),2)</f>
        <v>0</v>
      </c>
      <c r="AK178" s="3">
        <f>ROUND(SUMIF(AA166:AA176,"=85997836",X166:X176),2)</f>
        <v>2438.16</v>
      </c>
      <c r="AL178" s="3">
        <f>ROUND(SUMIF(AA166:AA176,"=85997836",Y166:Y176),2)</f>
        <v>997.99</v>
      </c>
      <c r="AM178" s="3"/>
      <c r="AN178" s="3"/>
      <c r="AO178" s="3">
        <f t="shared" ref="AO178:BD178" si="191">ROUND(BX178,2)</f>
        <v>0</v>
      </c>
      <c r="AP178" s="3">
        <f t="shared" si="191"/>
        <v>0</v>
      </c>
      <c r="AQ178" s="3">
        <f t="shared" si="191"/>
        <v>0</v>
      </c>
      <c r="AR178" s="3">
        <f t="shared" si="191"/>
        <v>78408.740000000005</v>
      </c>
      <c r="AS178" s="3">
        <f t="shared" si="191"/>
        <v>78408.740000000005</v>
      </c>
      <c r="AT178" s="3">
        <f t="shared" si="191"/>
        <v>0</v>
      </c>
      <c r="AU178" s="3">
        <f t="shared" si="191"/>
        <v>0</v>
      </c>
      <c r="AV178" s="3">
        <f t="shared" si="191"/>
        <v>73496.28</v>
      </c>
      <c r="AW178" s="3">
        <f t="shared" si="191"/>
        <v>73496.28</v>
      </c>
      <c r="AX178" s="3">
        <f t="shared" si="191"/>
        <v>0</v>
      </c>
      <c r="AY178" s="3">
        <f t="shared" si="191"/>
        <v>73496.28</v>
      </c>
      <c r="AZ178" s="3">
        <f t="shared" si="191"/>
        <v>0</v>
      </c>
      <c r="BA178" s="3">
        <f t="shared" si="191"/>
        <v>0</v>
      </c>
      <c r="BB178" s="3">
        <f t="shared" si="191"/>
        <v>0</v>
      </c>
      <c r="BC178" s="3">
        <f t="shared" si="191"/>
        <v>0</v>
      </c>
      <c r="BD178" s="3">
        <f t="shared" si="191"/>
        <v>0</v>
      </c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>
        <f>ROUND(SUMIF(AA166:AA176,"=85997836",FQ166:FQ176),2)</f>
        <v>0</v>
      </c>
      <c r="BY178" s="3">
        <f>ROUND(SUMIF(AA166:AA176,"=85997836",FR166:FR176),2)</f>
        <v>0</v>
      </c>
      <c r="BZ178" s="3">
        <f>ROUND(SUMIF(AA166:AA176,"=85997836",GL166:GL176),2)</f>
        <v>0</v>
      </c>
      <c r="CA178" s="3">
        <f>ROUND(SUMIF(AA166:AA176,"=85997836",GM166:GM176),2)</f>
        <v>78408.740000000005</v>
      </c>
      <c r="CB178" s="3">
        <f>ROUND(SUMIF(AA166:AA176,"=85997836",GN166:GN176),2)</f>
        <v>78408.740000000005</v>
      </c>
      <c r="CC178" s="3">
        <f>ROUND(SUMIF(AA166:AA176,"=85997836",GO166:GO176),2)</f>
        <v>0</v>
      </c>
      <c r="CD178" s="3">
        <f>ROUND(SUMIF(AA166:AA176,"=85997836",GP166:GP176),2)</f>
        <v>0</v>
      </c>
      <c r="CE178" s="3">
        <f>AC178-BX178</f>
        <v>73496.28</v>
      </c>
      <c r="CF178" s="3">
        <f>AC178-BY178</f>
        <v>73496.28</v>
      </c>
      <c r="CG178" s="3">
        <f>BX178-BZ178</f>
        <v>0</v>
      </c>
      <c r="CH178" s="3">
        <f>AC178-BX178-BY178+BZ178</f>
        <v>73496.28</v>
      </c>
      <c r="CI178" s="3">
        <f>BY178-BZ178</f>
        <v>0</v>
      </c>
      <c r="CJ178" s="3">
        <f>ROUND(SUMIF(AA166:AA176,"=85997836",GX166:GX176),2)</f>
        <v>0</v>
      </c>
      <c r="CK178" s="3">
        <f>ROUND(SUMIF(AA166:AA176,"=85997836",GY166:GY176),2)</f>
        <v>0</v>
      </c>
      <c r="CL178" s="3">
        <f>ROUND(SUMIF(AA166:AA176,"=85997836",GZ166:GZ176),2)</f>
        <v>0</v>
      </c>
      <c r="CM178" s="3">
        <f>ROUND(SUMIF(AA166:AA176,"=85997836",HD166:HD176),2)</f>
        <v>0</v>
      </c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>
        <v>0</v>
      </c>
    </row>
    <row r="180" spans="1:206" x14ac:dyDescent="0.2">
      <c r="A180" s="5">
        <v>50</v>
      </c>
      <c r="B180" s="5">
        <v>0</v>
      </c>
      <c r="C180" s="5">
        <v>0</v>
      </c>
      <c r="D180" s="5">
        <v>1</v>
      </c>
      <c r="E180" s="5">
        <v>201</v>
      </c>
      <c r="F180" s="5">
        <f>ROUND(Source!O178,O180)</f>
        <v>74972.59</v>
      </c>
      <c r="G180" s="5" t="s">
        <v>208</v>
      </c>
      <c r="H180" s="5" t="s">
        <v>209</v>
      </c>
      <c r="I180" s="5"/>
      <c r="J180" s="5"/>
      <c r="K180" s="5">
        <v>201</v>
      </c>
      <c r="L180" s="5">
        <v>1</v>
      </c>
      <c r="M180" s="5">
        <v>3</v>
      </c>
      <c r="N180" s="5" t="s">
        <v>3</v>
      </c>
      <c r="O180" s="5">
        <v>2</v>
      </c>
      <c r="P180" s="5"/>
      <c r="Q180" s="5"/>
      <c r="R180" s="5"/>
      <c r="S180" s="5"/>
      <c r="T180" s="5"/>
      <c r="U180" s="5"/>
      <c r="V180" s="5"/>
      <c r="W180" s="5">
        <v>74972.590000000011</v>
      </c>
      <c r="X180" s="5">
        <v>1</v>
      </c>
      <c r="Y180" s="5">
        <v>74972.590000000011</v>
      </c>
      <c r="Z180" s="5"/>
      <c r="AA180" s="5"/>
      <c r="AB180" s="5"/>
    </row>
    <row r="181" spans="1:206" x14ac:dyDescent="0.2">
      <c r="A181" s="5">
        <v>50</v>
      </c>
      <c r="B181" s="5">
        <v>0</v>
      </c>
      <c r="C181" s="5">
        <v>0</v>
      </c>
      <c r="D181" s="5">
        <v>1</v>
      </c>
      <c r="E181" s="5">
        <v>202</v>
      </c>
      <c r="F181" s="5">
        <f>ROUND(Source!P178,O181)</f>
        <v>73496.28</v>
      </c>
      <c r="G181" s="5" t="s">
        <v>210</v>
      </c>
      <c r="H181" s="5" t="s">
        <v>211</v>
      </c>
      <c r="I181" s="5"/>
      <c r="J181" s="5"/>
      <c r="K181" s="5">
        <v>202</v>
      </c>
      <c r="L181" s="5">
        <v>2</v>
      </c>
      <c r="M181" s="5">
        <v>3</v>
      </c>
      <c r="N181" s="5" t="s">
        <v>3</v>
      </c>
      <c r="O181" s="5">
        <v>2</v>
      </c>
      <c r="P181" s="5"/>
      <c r="Q181" s="5"/>
      <c r="R181" s="5"/>
      <c r="S181" s="5"/>
      <c r="T181" s="5"/>
      <c r="U181" s="5"/>
      <c r="V181" s="5"/>
      <c r="W181" s="5">
        <v>73496.28</v>
      </c>
      <c r="X181" s="5">
        <v>1</v>
      </c>
      <c r="Y181" s="5">
        <v>73496.28</v>
      </c>
      <c r="Z181" s="5"/>
      <c r="AA181" s="5"/>
      <c r="AB181" s="5"/>
    </row>
    <row r="182" spans="1:206" x14ac:dyDescent="0.2">
      <c r="A182" s="5">
        <v>50</v>
      </c>
      <c r="B182" s="5">
        <v>0</v>
      </c>
      <c r="C182" s="5">
        <v>0</v>
      </c>
      <c r="D182" s="5">
        <v>1</v>
      </c>
      <c r="E182" s="5">
        <v>222</v>
      </c>
      <c r="F182" s="5">
        <f>ROUND(Source!AO178,O182)</f>
        <v>0</v>
      </c>
      <c r="G182" s="5" t="s">
        <v>212</v>
      </c>
      <c r="H182" s="5" t="s">
        <v>213</v>
      </c>
      <c r="I182" s="5"/>
      <c r="J182" s="5"/>
      <c r="K182" s="5">
        <v>222</v>
      </c>
      <c r="L182" s="5">
        <v>3</v>
      </c>
      <c r="M182" s="5">
        <v>3</v>
      </c>
      <c r="N182" s="5" t="s">
        <v>3</v>
      </c>
      <c r="O182" s="5">
        <v>2</v>
      </c>
      <c r="P182" s="5"/>
      <c r="Q182" s="5"/>
      <c r="R182" s="5"/>
      <c r="S182" s="5"/>
      <c r="T182" s="5"/>
      <c r="U182" s="5"/>
      <c r="V182" s="5"/>
      <c r="W182" s="5">
        <v>0</v>
      </c>
      <c r="X182" s="5">
        <v>1</v>
      </c>
      <c r="Y182" s="5">
        <v>0</v>
      </c>
      <c r="Z182" s="5"/>
      <c r="AA182" s="5"/>
      <c r="AB182" s="5"/>
    </row>
    <row r="183" spans="1:206" x14ac:dyDescent="0.2">
      <c r="A183" s="5">
        <v>50</v>
      </c>
      <c r="B183" s="5">
        <v>0</v>
      </c>
      <c r="C183" s="5">
        <v>0</v>
      </c>
      <c r="D183" s="5">
        <v>1</v>
      </c>
      <c r="E183" s="5">
        <v>225</v>
      </c>
      <c r="F183" s="5">
        <f>ROUND(Source!AV178,O183)</f>
        <v>73496.28</v>
      </c>
      <c r="G183" s="5" t="s">
        <v>214</v>
      </c>
      <c r="H183" s="5" t="s">
        <v>215</v>
      </c>
      <c r="I183" s="5"/>
      <c r="J183" s="5"/>
      <c r="K183" s="5">
        <v>225</v>
      </c>
      <c r="L183" s="5">
        <v>4</v>
      </c>
      <c r="M183" s="5">
        <v>3</v>
      </c>
      <c r="N183" s="5" t="s">
        <v>3</v>
      </c>
      <c r="O183" s="5">
        <v>2</v>
      </c>
      <c r="P183" s="5"/>
      <c r="Q183" s="5"/>
      <c r="R183" s="5"/>
      <c r="S183" s="5"/>
      <c r="T183" s="5"/>
      <c r="U183" s="5"/>
      <c r="V183" s="5"/>
      <c r="W183" s="5">
        <v>73496.28</v>
      </c>
      <c r="X183" s="5">
        <v>1</v>
      </c>
      <c r="Y183" s="5">
        <v>73496.28</v>
      </c>
      <c r="Z183" s="5"/>
      <c r="AA183" s="5"/>
      <c r="AB183" s="5"/>
    </row>
    <row r="184" spans="1:206" x14ac:dyDescent="0.2">
      <c r="A184" s="5">
        <v>50</v>
      </c>
      <c r="B184" s="5">
        <v>0</v>
      </c>
      <c r="C184" s="5">
        <v>0</v>
      </c>
      <c r="D184" s="5">
        <v>1</v>
      </c>
      <c r="E184" s="5">
        <v>226</v>
      </c>
      <c r="F184" s="5">
        <f>ROUND(Source!AW178,O184)</f>
        <v>73496.28</v>
      </c>
      <c r="G184" s="5" t="s">
        <v>216</v>
      </c>
      <c r="H184" s="5" t="s">
        <v>217</v>
      </c>
      <c r="I184" s="5"/>
      <c r="J184" s="5"/>
      <c r="K184" s="5">
        <v>226</v>
      </c>
      <c r="L184" s="5">
        <v>5</v>
      </c>
      <c r="M184" s="5">
        <v>3</v>
      </c>
      <c r="N184" s="5" t="s">
        <v>3</v>
      </c>
      <c r="O184" s="5">
        <v>2</v>
      </c>
      <c r="P184" s="5"/>
      <c r="Q184" s="5"/>
      <c r="R184" s="5"/>
      <c r="S184" s="5"/>
      <c r="T184" s="5"/>
      <c r="U184" s="5"/>
      <c r="V184" s="5"/>
      <c r="W184" s="5">
        <v>73496.28</v>
      </c>
      <c r="X184" s="5">
        <v>1</v>
      </c>
      <c r="Y184" s="5">
        <v>73496.28</v>
      </c>
      <c r="Z184" s="5"/>
      <c r="AA184" s="5"/>
      <c r="AB184" s="5"/>
    </row>
    <row r="185" spans="1:206" x14ac:dyDescent="0.2">
      <c r="A185" s="5">
        <v>50</v>
      </c>
      <c r="B185" s="5">
        <v>0</v>
      </c>
      <c r="C185" s="5">
        <v>0</v>
      </c>
      <c r="D185" s="5">
        <v>1</v>
      </c>
      <c r="E185" s="5">
        <v>227</v>
      </c>
      <c r="F185" s="5">
        <f>ROUND(Source!AX178,O185)</f>
        <v>0</v>
      </c>
      <c r="G185" s="5" t="s">
        <v>218</v>
      </c>
      <c r="H185" s="5" t="s">
        <v>219</v>
      </c>
      <c r="I185" s="5"/>
      <c r="J185" s="5"/>
      <c r="K185" s="5">
        <v>227</v>
      </c>
      <c r="L185" s="5">
        <v>6</v>
      </c>
      <c r="M185" s="5">
        <v>3</v>
      </c>
      <c r="N185" s="5" t="s">
        <v>3</v>
      </c>
      <c r="O185" s="5">
        <v>2</v>
      </c>
      <c r="P185" s="5"/>
      <c r="Q185" s="5"/>
      <c r="R185" s="5"/>
      <c r="S185" s="5"/>
      <c r="T185" s="5"/>
      <c r="U185" s="5"/>
      <c r="V185" s="5"/>
      <c r="W185" s="5">
        <v>0</v>
      </c>
      <c r="X185" s="5">
        <v>1</v>
      </c>
      <c r="Y185" s="5">
        <v>0</v>
      </c>
      <c r="Z185" s="5"/>
      <c r="AA185" s="5"/>
      <c r="AB185" s="5"/>
    </row>
    <row r="186" spans="1:206" x14ac:dyDescent="0.2">
      <c r="A186" s="5">
        <v>50</v>
      </c>
      <c r="B186" s="5">
        <v>0</v>
      </c>
      <c r="C186" s="5">
        <v>0</v>
      </c>
      <c r="D186" s="5">
        <v>1</v>
      </c>
      <c r="E186" s="5">
        <v>228</v>
      </c>
      <c r="F186" s="5">
        <f>ROUND(Source!AY178,O186)</f>
        <v>73496.28</v>
      </c>
      <c r="G186" s="5" t="s">
        <v>220</v>
      </c>
      <c r="H186" s="5" t="s">
        <v>221</v>
      </c>
      <c r="I186" s="5"/>
      <c r="J186" s="5"/>
      <c r="K186" s="5">
        <v>228</v>
      </c>
      <c r="L186" s="5">
        <v>7</v>
      </c>
      <c r="M186" s="5">
        <v>3</v>
      </c>
      <c r="N186" s="5" t="s">
        <v>3</v>
      </c>
      <c r="O186" s="5">
        <v>2</v>
      </c>
      <c r="P186" s="5"/>
      <c r="Q186" s="5"/>
      <c r="R186" s="5"/>
      <c r="S186" s="5"/>
      <c r="T186" s="5"/>
      <c r="U186" s="5"/>
      <c r="V186" s="5"/>
      <c r="W186" s="5">
        <v>73496.28</v>
      </c>
      <c r="X186" s="5">
        <v>1</v>
      </c>
      <c r="Y186" s="5">
        <v>73496.28</v>
      </c>
      <c r="Z186" s="5"/>
      <c r="AA186" s="5"/>
      <c r="AB186" s="5"/>
    </row>
    <row r="187" spans="1:206" x14ac:dyDescent="0.2">
      <c r="A187" s="5">
        <v>50</v>
      </c>
      <c r="B187" s="5">
        <v>0</v>
      </c>
      <c r="C187" s="5">
        <v>0</v>
      </c>
      <c r="D187" s="5">
        <v>1</v>
      </c>
      <c r="E187" s="5">
        <v>216</v>
      </c>
      <c r="F187" s="5">
        <f>ROUND(Source!AP178,O187)</f>
        <v>0</v>
      </c>
      <c r="G187" s="5" t="s">
        <v>222</v>
      </c>
      <c r="H187" s="5" t="s">
        <v>223</v>
      </c>
      <c r="I187" s="5"/>
      <c r="J187" s="5"/>
      <c r="K187" s="5">
        <v>216</v>
      </c>
      <c r="L187" s="5">
        <v>8</v>
      </c>
      <c r="M187" s="5">
        <v>3</v>
      </c>
      <c r="N187" s="5" t="s">
        <v>3</v>
      </c>
      <c r="O187" s="5">
        <v>2</v>
      </c>
      <c r="P187" s="5"/>
      <c r="Q187" s="5"/>
      <c r="R187" s="5"/>
      <c r="S187" s="5"/>
      <c r="T187" s="5"/>
      <c r="U187" s="5"/>
      <c r="V187" s="5"/>
      <c r="W187" s="5">
        <v>0</v>
      </c>
      <c r="X187" s="5">
        <v>1</v>
      </c>
      <c r="Y187" s="5">
        <v>0</v>
      </c>
      <c r="Z187" s="5"/>
      <c r="AA187" s="5"/>
      <c r="AB187" s="5"/>
    </row>
    <row r="188" spans="1:206" x14ac:dyDescent="0.2">
      <c r="A188" s="5">
        <v>50</v>
      </c>
      <c r="B188" s="5">
        <v>0</v>
      </c>
      <c r="C188" s="5">
        <v>0</v>
      </c>
      <c r="D188" s="5">
        <v>1</v>
      </c>
      <c r="E188" s="5">
        <v>223</v>
      </c>
      <c r="F188" s="5">
        <f>ROUND(Source!AQ178,O188)</f>
        <v>0</v>
      </c>
      <c r="G188" s="5" t="s">
        <v>224</v>
      </c>
      <c r="H188" s="5" t="s">
        <v>225</v>
      </c>
      <c r="I188" s="5"/>
      <c r="J188" s="5"/>
      <c r="K188" s="5">
        <v>223</v>
      </c>
      <c r="L188" s="5">
        <v>9</v>
      </c>
      <c r="M188" s="5">
        <v>3</v>
      </c>
      <c r="N188" s="5" t="s">
        <v>3</v>
      </c>
      <c r="O188" s="5">
        <v>2</v>
      </c>
      <c r="P188" s="5"/>
      <c r="Q188" s="5"/>
      <c r="R188" s="5"/>
      <c r="S188" s="5"/>
      <c r="T188" s="5"/>
      <c r="U188" s="5"/>
      <c r="V188" s="5"/>
      <c r="W188" s="5">
        <v>0</v>
      </c>
      <c r="X188" s="5">
        <v>1</v>
      </c>
      <c r="Y188" s="5">
        <v>0</v>
      </c>
      <c r="Z188" s="5"/>
      <c r="AA188" s="5"/>
      <c r="AB188" s="5"/>
    </row>
    <row r="189" spans="1:206" x14ac:dyDescent="0.2">
      <c r="A189" s="5">
        <v>50</v>
      </c>
      <c r="B189" s="5">
        <v>0</v>
      </c>
      <c r="C189" s="5">
        <v>0</v>
      </c>
      <c r="D189" s="5">
        <v>1</v>
      </c>
      <c r="E189" s="5">
        <v>229</v>
      </c>
      <c r="F189" s="5">
        <f>ROUND(Source!AZ178,O189)</f>
        <v>0</v>
      </c>
      <c r="G189" s="5" t="s">
        <v>226</v>
      </c>
      <c r="H189" s="5" t="s">
        <v>227</v>
      </c>
      <c r="I189" s="5"/>
      <c r="J189" s="5"/>
      <c r="K189" s="5">
        <v>229</v>
      </c>
      <c r="L189" s="5">
        <v>10</v>
      </c>
      <c r="M189" s="5">
        <v>3</v>
      </c>
      <c r="N189" s="5" t="s">
        <v>3</v>
      </c>
      <c r="O189" s="5">
        <v>2</v>
      </c>
      <c r="P189" s="5"/>
      <c r="Q189" s="5"/>
      <c r="R189" s="5"/>
      <c r="S189" s="5"/>
      <c r="T189" s="5"/>
      <c r="U189" s="5"/>
      <c r="V189" s="5"/>
      <c r="W189" s="5">
        <v>0</v>
      </c>
      <c r="X189" s="5">
        <v>1</v>
      </c>
      <c r="Y189" s="5">
        <v>0</v>
      </c>
      <c r="Z189" s="5"/>
      <c r="AA189" s="5"/>
      <c r="AB189" s="5"/>
    </row>
    <row r="190" spans="1:206" x14ac:dyDescent="0.2">
      <c r="A190" s="5">
        <v>50</v>
      </c>
      <c r="B190" s="5">
        <v>0</v>
      </c>
      <c r="C190" s="5">
        <v>0</v>
      </c>
      <c r="D190" s="5">
        <v>1</v>
      </c>
      <c r="E190" s="5">
        <v>203</v>
      </c>
      <c r="F190" s="5">
        <f>ROUND(Source!Q178,O190)</f>
        <v>-781.25</v>
      </c>
      <c r="G190" s="5" t="s">
        <v>228</v>
      </c>
      <c r="H190" s="5" t="s">
        <v>229</v>
      </c>
      <c r="I190" s="5"/>
      <c r="J190" s="5"/>
      <c r="K190" s="5">
        <v>203</v>
      </c>
      <c r="L190" s="5">
        <v>11</v>
      </c>
      <c r="M190" s="5">
        <v>3</v>
      </c>
      <c r="N190" s="5" t="s">
        <v>3</v>
      </c>
      <c r="O190" s="5">
        <v>2</v>
      </c>
      <c r="P190" s="5"/>
      <c r="Q190" s="5"/>
      <c r="R190" s="5"/>
      <c r="S190" s="5"/>
      <c r="T190" s="5"/>
      <c r="U190" s="5"/>
      <c r="V190" s="5"/>
      <c r="W190" s="5">
        <v>-781.25</v>
      </c>
      <c r="X190" s="5">
        <v>1</v>
      </c>
      <c r="Y190" s="5">
        <v>-781.25</v>
      </c>
      <c r="Z190" s="5"/>
      <c r="AA190" s="5"/>
      <c r="AB190" s="5"/>
    </row>
    <row r="191" spans="1:206" x14ac:dyDescent="0.2">
      <c r="A191" s="5">
        <v>50</v>
      </c>
      <c r="B191" s="5">
        <v>0</v>
      </c>
      <c r="C191" s="5">
        <v>0</v>
      </c>
      <c r="D191" s="5">
        <v>1</v>
      </c>
      <c r="E191" s="5">
        <v>231</v>
      </c>
      <c r="F191" s="5">
        <f>ROUND(Source!BB178,O191)</f>
        <v>0</v>
      </c>
      <c r="G191" s="5" t="s">
        <v>230</v>
      </c>
      <c r="H191" s="5" t="s">
        <v>231</v>
      </c>
      <c r="I191" s="5"/>
      <c r="J191" s="5"/>
      <c r="K191" s="5">
        <v>231</v>
      </c>
      <c r="L191" s="5">
        <v>12</v>
      </c>
      <c r="M191" s="5">
        <v>3</v>
      </c>
      <c r="N191" s="5" t="s">
        <v>3</v>
      </c>
      <c r="O191" s="5">
        <v>2</v>
      </c>
      <c r="P191" s="5"/>
      <c r="Q191" s="5"/>
      <c r="R191" s="5"/>
      <c r="S191" s="5"/>
      <c r="T191" s="5"/>
      <c r="U191" s="5"/>
      <c r="V191" s="5"/>
      <c r="W191" s="5">
        <v>0</v>
      </c>
      <c r="X191" s="5">
        <v>1</v>
      </c>
      <c r="Y191" s="5">
        <v>0</v>
      </c>
      <c r="Z191" s="5"/>
      <c r="AA191" s="5"/>
      <c r="AB191" s="5"/>
    </row>
    <row r="192" spans="1:206" x14ac:dyDescent="0.2">
      <c r="A192" s="5">
        <v>50</v>
      </c>
      <c r="B192" s="5">
        <v>0</v>
      </c>
      <c r="C192" s="5">
        <v>0</v>
      </c>
      <c r="D192" s="5">
        <v>1</v>
      </c>
      <c r="E192" s="5">
        <v>204</v>
      </c>
      <c r="F192" s="5">
        <f>ROUND(Source!R178,O192)</f>
        <v>-695.93</v>
      </c>
      <c r="G192" s="5" t="s">
        <v>232</v>
      </c>
      <c r="H192" s="5" t="s">
        <v>233</v>
      </c>
      <c r="I192" s="5"/>
      <c r="J192" s="5"/>
      <c r="K192" s="5">
        <v>204</v>
      </c>
      <c r="L192" s="5">
        <v>13</v>
      </c>
      <c r="M192" s="5">
        <v>3</v>
      </c>
      <c r="N192" s="5" t="s">
        <v>3</v>
      </c>
      <c r="O192" s="5">
        <v>2</v>
      </c>
      <c r="P192" s="5"/>
      <c r="Q192" s="5"/>
      <c r="R192" s="5"/>
      <c r="S192" s="5"/>
      <c r="T192" s="5"/>
      <c r="U192" s="5"/>
      <c r="V192" s="5"/>
      <c r="W192" s="5">
        <v>-695.93</v>
      </c>
      <c r="X192" s="5">
        <v>1</v>
      </c>
      <c r="Y192" s="5">
        <v>-695.93</v>
      </c>
      <c r="Z192" s="5"/>
      <c r="AA192" s="5"/>
      <c r="AB192" s="5"/>
    </row>
    <row r="193" spans="1:88" x14ac:dyDescent="0.2">
      <c r="A193" s="5">
        <v>50</v>
      </c>
      <c r="B193" s="5">
        <v>0</v>
      </c>
      <c r="C193" s="5">
        <v>0</v>
      </c>
      <c r="D193" s="5">
        <v>1</v>
      </c>
      <c r="E193" s="5">
        <v>205</v>
      </c>
      <c r="F193" s="5">
        <f>ROUND(Source!S178,O193)</f>
        <v>2953.49</v>
      </c>
      <c r="G193" s="5" t="s">
        <v>234</v>
      </c>
      <c r="H193" s="5" t="s">
        <v>235</v>
      </c>
      <c r="I193" s="5"/>
      <c r="J193" s="5"/>
      <c r="K193" s="5">
        <v>205</v>
      </c>
      <c r="L193" s="5">
        <v>14</v>
      </c>
      <c r="M193" s="5">
        <v>3</v>
      </c>
      <c r="N193" s="5" t="s">
        <v>3</v>
      </c>
      <c r="O193" s="5">
        <v>2</v>
      </c>
      <c r="P193" s="5"/>
      <c r="Q193" s="5"/>
      <c r="R193" s="5"/>
      <c r="S193" s="5"/>
      <c r="T193" s="5"/>
      <c r="U193" s="5"/>
      <c r="V193" s="5"/>
      <c r="W193" s="5">
        <v>2953.4900000000002</v>
      </c>
      <c r="X193" s="5">
        <v>1</v>
      </c>
      <c r="Y193" s="5">
        <v>2953.4900000000002</v>
      </c>
      <c r="Z193" s="5"/>
      <c r="AA193" s="5"/>
      <c r="AB193" s="5"/>
    </row>
    <row r="194" spans="1:88" x14ac:dyDescent="0.2">
      <c r="A194" s="5">
        <v>50</v>
      </c>
      <c r="B194" s="5">
        <v>0</v>
      </c>
      <c r="C194" s="5">
        <v>0</v>
      </c>
      <c r="D194" s="5">
        <v>1</v>
      </c>
      <c r="E194" s="5">
        <v>232</v>
      </c>
      <c r="F194" s="5">
        <f>ROUND(Source!BC178,O194)</f>
        <v>0</v>
      </c>
      <c r="G194" s="5" t="s">
        <v>236</v>
      </c>
      <c r="H194" s="5" t="s">
        <v>237</v>
      </c>
      <c r="I194" s="5"/>
      <c r="J194" s="5"/>
      <c r="K194" s="5">
        <v>232</v>
      </c>
      <c r="L194" s="5">
        <v>15</v>
      </c>
      <c r="M194" s="5">
        <v>3</v>
      </c>
      <c r="N194" s="5" t="s">
        <v>3</v>
      </c>
      <c r="O194" s="5">
        <v>2</v>
      </c>
      <c r="P194" s="5"/>
      <c r="Q194" s="5"/>
      <c r="R194" s="5"/>
      <c r="S194" s="5"/>
      <c r="T194" s="5"/>
      <c r="U194" s="5"/>
      <c r="V194" s="5"/>
      <c r="W194" s="5">
        <v>0</v>
      </c>
      <c r="X194" s="5">
        <v>1</v>
      </c>
      <c r="Y194" s="5">
        <v>0</v>
      </c>
      <c r="Z194" s="5"/>
      <c r="AA194" s="5"/>
      <c r="AB194" s="5"/>
    </row>
    <row r="195" spans="1:88" x14ac:dyDescent="0.2">
      <c r="A195" s="5">
        <v>50</v>
      </c>
      <c r="B195" s="5">
        <v>0</v>
      </c>
      <c r="C195" s="5">
        <v>0</v>
      </c>
      <c r="D195" s="5">
        <v>1</v>
      </c>
      <c r="E195" s="5">
        <v>214</v>
      </c>
      <c r="F195" s="5">
        <f>ROUND(Source!AS178,O195)</f>
        <v>78408.740000000005</v>
      </c>
      <c r="G195" s="5" t="s">
        <v>238</v>
      </c>
      <c r="H195" s="5" t="s">
        <v>239</v>
      </c>
      <c r="I195" s="5"/>
      <c r="J195" s="5"/>
      <c r="K195" s="5">
        <v>214</v>
      </c>
      <c r="L195" s="5">
        <v>16</v>
      </c>
      <c r="M195" s="5">
        <v>3</v>
      </c>
      <c r="N195" s="5" t="s">
        <v>3</v>
      </c>
      <c r="O195" s="5">
        <v>2</v>
      </c>
      <c r="P195" s="5"/>
      <c r="Q195" s="5"/>
      <c r="R195" s="5"/>
      <c r="S195" s="5"/>
      <c r="T195" s="5"/>
      <c r="U195" s="5"/>
      <c r="V195" s="5"/>
      <c r="W195" s="5">
        <v>78408.740000000005</v>
      </c>
      <c r="X195" s="5">
        <v>1</v>
      </c>
      <c r="Y195" s="5">
        <v>78408.740000000005</v>
      </c>
      <c r="Z195" s="5"/>
      <c r="AA195" s="5"/>
      <c r="AB195" s="5"/>
    </row>
    <row r="196" spans="1:88" x14ac:dyDescent="0.2">
      <c r="A196" s="5">
        <v>50</v>
      </c>
      <c r="B196" s="5">
        <v>0</v>
      </c>
      <c r="C196" s="5">
        <v>0</v>
      </c>
      <c r="D196" s="5">
        <v>1</v>
      </c>
      <c r="E196" s="5">
        <v>215</v>
      </c>
      <c r="F196" s="5">
        <f>ROUND(Source!AT178,O196)</f>
        <v>0</v>
      </c>
      <c r="G196" s="5" t="s">
        <v>240</v>
      </c>
      <c r="H196" s="5" t="s">
        <v>241</v>
      </c>
      <c r="I196" s="5"/>
      <c r="J196" s="5"/>
      <c r="K196" s="5">
        <v>215</v>
      </c>
      <c r="L196" s="5">
        <v>17</v>
      </c>
      <c r="M196" s="5">
        <v>3</v>
      </c>
      <c r="N196" s="5" t="s">
        <v>3</v>
      </c>
      <c r="O196" s="5">
        <v>2</v>
      </c>
      <c r="P196" s="5"/>
      <c r="Q196" s="5"/>
      <c r="R196" s="5"/>
      <c r="S196" s="5"/>
      <c r="T196" s="5"/>
      <c r="U196" s="5"/>
      <c r="V196" s="5"/>
      <c r="W196" s="5">
        <v>0</v>
      </c>
      <c r="X196" s="5">
        <v>1</v>
      </c>
      <c r="Y196" s="5">
        <v>0</v>
      </c>
      <c r="Z196" s="5"/>
      <c r="AA196" s="5"/>
      <c r="AB196" s="5"/>
    </row>
    <row r="197" spans="1:88" x14ac:dyDescent="0.2">
      <c r="A197" s="5">
        <v>50</v>
      </c>
      <c r="B197" s="5">
        <v>0</v>
      </c>
      <c r="C197" s="5">
        <v>0</v>
      </c>
      <c r="D197" s="5">
        <v>1</v>
      </c>
      <c r="E197" s="5">
        <v>217</v>
      </c>
      <c r="F197" s="5">
        <f>ROUND(Source!AU178,O197)</f>
        <v>0</v>
      </c>
      <c r="G197" s="5" t="s">
        <v>242</v>
      </c>
      <c r="H197" s="5" t="s">
        <v>243</v>
      </c>
      <c r="I197" s="5"/>
      <c r="J197" s="5"/>
      <c r="K197" s="5">
        <v>217</v>
      </c>
      <c r="L197" s="5">
        <v>18</v>
      </c>
      <c r="M197" s="5">
        <v>3</v>
      </c>
      <c r="N197" s="5" t="s">
        <v>3</v>
      </c>
      <c r="O197" s="5">
        <v>2</v>
      </c>
      <c r="P197" s="5"/>
      <c r="Q197" s="5"/>
      <c r="R197" s="5"/>
      <c r="S197" s="5"/>
      <c r="T197" s="5"/>
      <c r="U197" s="5"/>
      <c r="V197" s="5"/>
      <c r="W197" s="5">
        <v>0</v>
      </c>
      <c r="X197" s="5">
        <v>1</v>
      </c>
      <c r="Y197" s="5">
        <v>0</v>
      </c>
      <c r="Z197" s="5"/>
      <c r="AA197" s="5"/>
      <c r="AB197" s="5"/>
    </row>
    <row r="198" spans="1:88" x14ac:dyDescent="0.2">
      <c r="A198" s="5">
        <v>50</v>
      </c>
      <c r="B198" s="5">
        <v>0</v>
      </c>
      <c r="C198" s="5">
        <v>0</v>
      </c>
      <c r="D198" s="5">
        <v>1</v>
      </c>
      <c r="E198" s="5">
        <v>230</v>
      </c>
      <c r="F198" s="5">
        <f>ROUND(Source!BA178,O198)</f>
        <v>0</v>
      </c>
      <c r="G198" s="5" t="s">
        <v>244</v>
      </c>
      <c r="H198" s="5" t="s">
        <v>245</v>
      </c>
      <c r="I198" s="5"/>
      <c r="J198" s="5"/>
      <c r="K198" s="5">
        <v>230</v>
      </c>
      <c r="L198" s="5">
        <v>19</v>
      </c>
      <c r="M198" s="5">
        <v>3</v>
      </c>
      <c r="N198" s="5" t="s">
        <v>3</v>
      </c>
      <c r="O198" s="5">
        <v>2</v>
      </c>
      <c r="P198" s="5"/>
      <c r="Q198" s="5"/>
      <c r="R198" s="5"/>
      <c r="S198" s="5"/>
      <c r="T198" s="5"/>
      <c r="U198" s="5"/>
      <c r="V198" s="5"/>
      <c r="W198" s="5">
        <v>0</v>
      </c>
      <c r="X198" s="5">
        <v>1</v>
      </c>
      <c r="Y198" s="5">
        <v>0</v>
      </c>
      <c r="Z198" s="5"/>
      <c r="AA198" s="5"/>
      <c r="AB198" s="5"/>
    </row>
    <row r="199" spans="1:88" x14ac:dyDescent="0.2">
      <c r="A199" s="5">
        <v>50</v>
      </c>
      <c r="B199" s="5">
        <v>0</v>
      </c>
      <c r="C199" s="5">
        <v>0</v>
      </c>
      <c r="D199" s="5">
        <v>1</v>
      </c>
      <c r="E199" s="5">
        <v>206</v>
      </c>
      <c r="F199" s="5">
        <f>ROUND(Source!T178,O199)</f>
        <v>0</v>
      </c>
      <c r="G199" s="5" t="s">
        <v>246</v>
      </c>
      <c r="H199" s="5" t="s">
        <v>247</v>
      </c>
      <c r="I199" s="5"/>
      <c r="J199" s="5"/>
      <c r="K199" s="5">
        <v>206</v>
      </c>
      <c r="L199" s="5">
        <v>20</v>
      </c>
      <c r="M199" s="5">
        <v>3</v>
      </c>
      <c r="N199" s="5" t="s">
        <v>3</v>
      </c>
      <c r="O199" s="5">
        <v>2</v>
      </c>
      <c r="P199" s="5"/>
      <c r="Q199" s="5"/>
      <c r="R199" s="5"/>
      <c r="S199" s="5"/>
      <c r="T199" s="5"/>
      <c r="U199" s="5"/>
      <c r="V199" s="5"/>
      <c r="W199" s="5">
        <v>0</v>
      </c>
      <c r="X199" s="5">
        <v>1</v>
      </c>
      <c r="Y199" s="5">
        <v>0</v>
      </c>
      <c r="Z199" s="5"/>
      <c r="AA199" s="5"/>
      <c r="AB199" s="5"/>
    </row>
    <row r="200" spans="1:88" x14ac:dyDescent="0.2">
      <c r="A200" s="5">
        <v>50</v>
      </c>
      <c r="B200" s="5">
        <v>0</v>
      </c>
      <c r="C200" s="5">
        <v>0</v>
      </c>
      <c r="D200" s="5">
        <v>1</v>
      </c>
      <c r="E200" s="5">
        <v>207</v>
      </c>
      <c r="F200" s="5">
        <f>ROUND(Source!U178,O200)</f>
        <v>4.2723557999999997</v>
      </c>
      <c r="G200" s="5" t="s">
        <v>248</v>
      </c>
      <c r="H200" s="5" t="s">
        <v>249</v>
      </c>
      <c r="I200" s="5"/>
      <c r="J200" s="5"/>
      <c r="K200" s="5">
        <v>207</v>
      </c>
      <c r="L200" s="5">
        <v>21</v>
      </c>
      <c r="M200" s="5">
        <v>3</v>
      </c>
      <c r="N200" s="5" t="s">
        <v>3</v>
      </c>
      <c r="O200" s="5">
        <v>7</v>
      </c>
      <c r="P200" s="5"/>
      <c r="Q200" s="5"/>
      <c r="R200" s="5"/>
      <c r="S200" s="5"/>
      <c r="T200" s="5"/>
      <c r="U200" s="5"/>
      <c r="V200" s="5"/>
      <c r="W200" s="5">
        <v>4.2723557999999997</v>
      </c>
      <c r="X200" s="5">
        <v>1</v>
      </c>
      <c r="Y200" s="5">
        <v>4.2723557999999997</v>
      </c>
      <c r="Z200" s="5"/>
      <c r="AA200" s="5"/>
      <c r="AB200" s="5"/>
    </row>
    <row r="201" spans="1:88" x14ac:dyDescent="0.2">
      <c r="A201" s="5">
        <v>50</v>
      </c>
      <c r="B201" s="5">
        <v>0</v>
      </c>
      <c r="C201" s="5">
        <v>0</v>
      </c>
      <c r="D201" s="5">
        <v>1</v>
      </c>
      <c r="E201" s="5">
        <v>208</v>
      </c>
      <c r="F201" s="5">
        <f>ROUND(Source!V178,O201)</f>
        <v>0</v>
      </c>
      <c r="G201" s="5" t="s">
        <v>250</v>
      </c>
      <c r="H201" s="5" t="s">
        <v>251</v>
      </c>
      <c r="I201" s="5"/>
      <c r="J201" s="5"/>
      <c r="K201" s="5">
        <v>208</v>
      </c>
      <c r="L201" s="5">
        <v>22</v>
      </c>
      <c r="M201" s="5">
        <v>3</v>
      </c>
      <c r="N201" s="5" t="s">
        <v>3</v>
      </c>
      <c r="O201" s="5">
        <v>7</v>
      </c>
      <c r="P201" s="5"/>
      <c r="Q201" s="5"/>
      <c r="R201" s="5"/>
      <c r="S201" s="5"/>
      <c r="T201" s="5"/>
      <c r="U201" s="5"/>
      <c r="V201" s="5"/>
      <c r="W201" s="5">
        <v>0</v>
      </c>
      <c r="X201" s="5">
        <v>1</v>
      </c>
      <c r="Y201" s="5">
        <v>0</v>
      </c>
      <c r="Z201" s="5"/>
      <c r="AA201" s="5"/>
      <c r="AB201" s="5"/>
    </row>
    <row r="202" spans="1:88" x14ac:dyDescent="0.2">
      <c r="A202" s="5">
        <v>50</v>
      </c>
      <c r="B202" s="5">
        <v>0</v>
      </c>
      <c r="C202" s="5">
        <v>0</v>
      </c>
      <c r="D202" s="5">
        <v>1</v>
      </c>
      <c r="E202" s="5">
        <v>209</v>
      </c>
      <c r="F202" s="5">
        <f>ROUND(Source!W178,O202)</f>
        <v>0</v>
      </c>
      <c r="G202" s="5" t="s">
        <v>252</v>
      </c>
      <c r="H202" s="5" t="s">
        <v>253</v>
      </c>
      <c r="I202" s="5"/>
      <c r="J202" s="5"/>
      <c r="K202" s="5">
        <v>209</v>
      </c>
      <c r="L202" s="5">
        <v>23</v>
      </c>
      <c r="M202" s="5">
        <v>3</v>
      </c>
      <c r="N202" s="5" t="s">
        <v>3</v>
      </c>
      <c r="O202" s="5">
        <v>2</v>
      </c>
      <c r="P202" s="5"/>
      <c r="Q202" s="5"/>
      <c r="R202" s="5"/>
      <c r="S202" s="5"/>
      <c r="T202" s="5"/>
      <c r="U202" s="5"/>
      <c r="V202" s="5"/>
      <c r="W202" s="5">
        <v>0</v>
      </c>
      <c r="X202" s="5">
        <v>1</v>
      </c>
      <c r="Y202" s="5">
        <v>0</v>
      </c>
      <c r="Z202" s="5"/>
      <c r="AA202" s="5"/>
      <c r="AB202" s="5"/>
    </row>
    <row r="203" spans="1:88" x14ac:dyDescent="0.2">
      <c r="A203" s="5">
        <v>50</v>
      </c>
      <c r="B203" s="5">
        <v>0</v>
      </c>
      <c r="C203" s="5">
        <v>0</v>
      </c>
      <c r="D203" s="5">
        <v>1</v>
      </c>
      <c r="E203" s="5">
        <v>233</v>
      </c>
      <c r="F203" s="5">
        <f>ROUND(Source!BD178,O203)</f>
        <v>0</v>
      </c>
      <c r="G203" s="5" t="s">
        <v>254</v>
      </c>
      <c r="H203" s="5" t="s">
        <v>255</v>
      </c>
      <c r="I203" s="5"/>
      <c r="J203" s="5"/>
      <c r="K203" s="5">
        <v>233</v>
      </c>
      <c r="L203" s="5">
        <v>24</v>
      </c>
      <c r="M203" s="5">
        <v>3</v>
      </c>
      <c r="N203" s="5" t="s">
        <v>3</v>
      </c>
      <c r="O203" s="5">
        <v>2</v>
      </c>
      <c r="P203" s="5"/>
      <c r="Q203" s="5"/>
      <c r="R203" s="5"/>
      <c r="S203" s="5"/>
      <c r="T203" s="5"/>
      <c r="U203" s="5"/>
      <c r="V203" s="5"/>
      <c r="W203" s="5">
        <v>0</v>
      </c>
      <c r="X203" s="5">
        <v>1</v>
      </c>
      <c r="Y203" s="5">
        <v>0</v>
      </c>
      <c r="Z203" s="5"/>
      <c r="AA203" s="5"/>
      <c r="AB203" s="5"/>
    </row>
    <row r="204" spans="1:88" x14ac:dyDescent="0.2">
      <c r="A204" s="5">
        <v>50</v>
      </c>
      <c r="B204" s="5">
        <v>0</v>
      </c>
      <c r="C204" s="5">
        <v>0</v>
      </c>
      <c r="D204" s="5">
        <v>1</v>
      </c>
      <c r="E204" s="5">
        <v>210</v>
      </c>
      <c r="F204" s="5">
        <f>ROUND(Source!X178,O204)</f>
        <v>2438.16</v>
      </c>
      <c r="G204" s="5" t="s">
        <v>256</v>
      </c>
      <c r="H204" s="5" t="s">
        <v>257</v>
      </c>
      <c r="I204" s="5"/>
      <c r="J204" s="5"/>
      <c r="K204" s="5">
        <v>210</v>
      </c>
      <c r="L204" s="5">
        <v>25</v>
      </c>
      <c r="M204" s="5">
        <v>3</v>
      </c>
      <c r="N204" s="5" t="s">
        <v>3</v>
      </c>
      <c r="O204" s="5">
        <v>2</v>
      </c>
      <c r="P204" s="5"/>
      <c r="Q204" s="5"/>
      <c r="R204" s="5"/>
      <c r="S204" s="5"/>
      <c r="T204" s="5"/>
      <c r="U204" s="5"/>
      <c r="V204" s="5"/>
      <c r="W204" s="5">
        <v>2438.16</v>
      </c>
      <c r="X204" s="5">
        <v>1</v>
      </c>
      <c r="Y204" s="5">
        <v>2438.16</v>
      </c>
      <c r="Z204" s="5"/>
      <c r="AA204" s="5"/>
      <c r="AB204" s="5"/>
    </row>
    <row r="205" spans="1:88" x14ac:dyDescent="0.2">
      <c r="A205" s="5">
        <v>50</v>
      </c>
      <c r="B205" s="5">
        <v>0</v>
      </c>
      <c r="C205" s="5">
        <v>0</v>
      </c>
      <c r="D205" s="5">
        <v>1</v>
      </c>
      <c r="E205" s="5">
        <v>211</v>
      </c>
      <c r="F205" s="5">
        <f>ROUND(Source!Y178,O205)</f>
        <v>997.99</v>
      </c>
      <c r="G205" s="5" t="s">
        <v>258</v>
      </c>
      <c r="H205" s="5" t="s">
        <v>259</v>
      </c>
      <c r="I205" s="5"/>
      <c r="J205" s="5"/>
      <c r="K205" s="5">
        <v>211</v>
      </c>
      <c r="L205" s="5">
        <v>26</v>
      </c>
      <c r="M205" s="5">
        <v>3</v>
      </c>
      <c r="N205" s="5" t="s">
        <v>3</v>
      </c>
      <c r="O205" s="5">
        <v>2</v>
      </c>
      <c r="P205" s="5"/>
      <c r="Q205" s="5"/>
      <c r="R205" s="5"/>
      <c r="S205" s="5"/>
      <c r="T205" s="5"/>
      <c r="U205" s="5"/>
      <c r="V205" s="5"/>
      <c r="W205" s="5">
        <v>997.99</v>
      </c>
      <c r="X205" s="5">
        <v>1</v>
      </c>
      <c r="Y205" s="5">
        <v>997.99</v>
      </c>
      <c r="Z205" s="5"/>
      <c r="AA205" s="5"/>
      <c r="AB205" s="5"/>
    </row>
    <row r="206" spans="1:88" x14ac:dyDescent="0.2">
      <c r="A206" s="5">
        <v>50</v>
      </c>
      <c r="B206" s="5">
        <v>0</v>
      </c>
      <c r="C206" s="5">
        <v>0</v>
      </c>
      <c r="D206" s="5">
        <v>1</v>
      </c>
      <c r="E206" s="5">
        <v>224</v>
      </c>
      <c r="F206" s="5">
        <f>ROUND(Source!AR178,O206)</f>
        <v>78408.740000000005</v>
      </c>
      <c r="G206" s="5" t="s">
        <v>260</v>
      </c>
      <c r="H206" s="5" t="s">
        <v>261</v>
      </c>
      <c r="I206" s="5"/>
      <c r="J206" s="5"/>
      <c r="K206" s="5">
        <v>224</v>
      </c>
      <c r="L206" s="5">
        <v>27</v>
      </c>
      <c r="M206" s="5">
        <v>3</v>
      </c>
      <c r="N206" s="5" t="s">
        <v>3</v>
      </c>
      <c r="O206" s="5">
        <v>2</v>
      </c>
      <c r="P206" s="5"/>
      <c r="Q206" s="5"/>
      <c r="R206" s="5"/>
      <c r="S206" s="5"/>
      <c r="T206" s="5"/>
      <c r="U206" s="5"/>
      <c r="V206" s="5"/>
      <c r="W206" s="5">
        <v>78408.740000000005</v>
      </c>
      <c r="X206" s="5">
        <v>1</v>
      </c>
      <c r="Y206" s="5">
        <v>78408.740000000005</v>
      </c>
      <c r="Z206" s="5"/>
      <c r="AA206" s="5"/>
      <c r="AB206" s="5"/>
    </row>
    <row r="208" spans="1:88" x14ac:dyDescent="0.2">
      <c r="A208" s="1">
        <v>4</v>
      </c>
      <c r="B208" s="1">
        <v>1</v>
      </c>
      <c r="C208" s="1"/>
      <c r="D208" s="1">
        <f>ROW(A256)</f>
        <v>256</v>
      </c>
      <c r="E208" s="1"/>
      <c r="F208" s="1" t="s">
        <v>15</v>
      </c>
      <c r="G208" s="1" t="s">
        <v>367</v>
      </c>
      <c r="H208" s="1" t="s">
        <v>3</v>
      </c>
      <c r="I208" s="1">
        <v>0</v>
      </c>
      <c r="J208" s="1"/>
      <c r="K208" s="1">
        <v>0</v>
      </c>
      <c r="L208" s="1"/>
      <c r="M208" s="1" t="s">
        <v>3</v>
      </c>
      <c r="N208" s="1"/>
      <c r="O208" s="1"/>
      <c r="P208" s="1"/>
      <c r="Q208" s="1"/>
      <c r="R208" s="1"/>
      <c r="S208" s="1">
        <v>0</v>
      </c>
      <c r="T208" s="1"/>
      <c r="U208" s="1" t="s">
        <v>3</v>
      </c>
      <c r="V208" s="1">
        <v>0</v>
      </c>
      <c r="W208" s="1"/>
      <c r="X208" s="1"/>
      <c r="Y208" s="1"/>
      <c r="Z208" s="1"/>
      <c r="AA208" s="1"/>
      <c r="AB208" s="1" t="s">
        <v>3</v>
      </c>
      <c r="AC208" s="1" t="s">
        <v>3</v>
      </c>
      <c r="AD208" s="1" t="s">
        <v>3</v>
      </c>
      <c r="AE208" s="1" t="s">
        <v>3</v>
      </c>
      <c r="AF208" s="1" t="s">
        <v>3</v>
      </c>
      <c r="AG208" s="1" t="s">
        <v>3</v>
      </c>
      <c r="AH208" s="1"/>
      <c r="AI208" s="1"/>
      <c r="AJ208" s="1"/>
      <c r="AK208" s="1"/>
      <c r="AL208" s="1"/>
      <c r="AM208" s="1"/>
      <c r="AN208" s="1"/>
      <c r="AO208" s="1"/>
      <c r="AP208" s="1" t="s">
        <v>3</v>
      </c>
      <c r="AQ208" s="1" t="s">
        <v>3</v>
      </c>
      <c r="AR208" s="1" t="s">
        <v>3</v>
      </c>
      <c r="AS208" s="1"/>
      <c r="AT208" s="1"/>
      <c r="AU208" s="1"/>
      <c r="AV208" s="1"/>
      <c r="AW208" s="1"/>
      <c r="AX208" s="1"/>
      <c r="AY208" s="1"/>
      <c r="AZ208" s="1" t="s">
        <v>3</v>
      </c>
      <c r="BA208" s="1"/>
      <c r="BB208" s="1" t="s">
        <v>3</v>
      </c>
      <c r="BC208" s="1" t="s">
        <v>3</v>
      </c>
      <c r="BD208" s="1" t="s">
        <v>3</v>
      </c>
      <c r="BE208" s="1" t="s">
        <v>3</v>
      </c>
      <c r="BF208" s="1" t="s">
        <v>3</v>
      </c>
      <c r="BG208" s="1" t="s">
        <v>3</v>
      </c>
      <c r="BH208" s="1" t="s">
        <v>3</v>
      </c>
      <c r="BI208" s="1" t="s">
        <v>3</v>
      </c>
      <c r="BJ208" s="1" t="s">
        <v>3</v>
      </c>
      <c r="BK208" s="1" t="s">
        <v>3</v>
      </c>
      <c r="BL208" s="1" t="s">
        <v>3</v>
      </c>
      <c r="BM208" s="1" t="s">
        <v>3</v>
      </c>
      <c r="BN208" s="1" t="s">
        <v>3</v>
      </c>
      <c r="BO208" s="1" t="s">
        <v>3</v>
      </c>
      <c r="BP208" s="1" t="s">
        <v>3</v>
      </c>
      <c r="BQ208" s="1"/>
      <c r="BR208" s="1"/>
      <c r="BS208" s="1"/>
      <c r="BT208" s="1"/>
      <c r="BU208" s="1"/>
      <c r="BV208" s="1"/>
      <c r="BW208" s="1"/>
      <c r="BX208" s="1">
        <v>0</v>
      </c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>
        <v>0</v>
      </c>
    </row>
    <row r="210" spans="1:255" x14ac:dyDescent="0.2">
      <c r="A210" s="3">
        <v>52</v>
      </c>
      <c r="B210" s="3">
        <f t="shared" ref="B210:G210" si="192">B256</f>
        <v>1</v>
      </c>
      <c r="C210" s="3">
        <f t="shared" si="192"/>
        <v>4</v>
      </c>
      <c r="D210" s="3">
        <f t="shared" si="192"/>
        <v>208</v>
      </c>
      <c r="E210" s="3">
        <f t="shared" si="192"/>
        <v>0</v>
      </c>
      <c r="F210" s="3" t="str">
        <f t="shared" si="192"/>
        <v>Новый раздел</v>
      </c>
      <c r="G210" s="3" t="str">
        <f t="shared" si="192"/>
        <v>Аудитория № 239</v>
      </c>
      <c r="H210" s="3"/>
      <c r="I210" s="3"/>
      <c r="J210" s="3"/>
      <c r="K210" s="3"/>
      <c r="L210" s="3"/>
      <c r="M210" s="3"/>
      <c r="N210" s="3"/>
      <c r="O210" s="3">
        <f t="shared" ref="O210:AT210" si="193">O256</f>
        <v>37863.42</v>
      </c>
      <c r="P210" s="3">
        <f t="shared" si="193"/>
        <v>21316.240000000002</v>
      </c>
      <c r="Q210" s="3">
        <f t="shared" si="193"/>
        <v>-51.28</v>
      </c>
      <c r="R210" s="3">
        <f t="shared" si="193"/>
        <v>-4.82</v>
      </c>
      <c r="S210" s="3">
        <f t="shared" si="193"/>
        <v>16603.28</v>
      </c>
      <c r="T210" s="3">
        <f t="shared" si="193"/>
        <v>0</v>
      </c>
      <c r="U210" s="3">
        <f t="shared" si="193"/>
        <v>24.077138799999997</v>
      </c>
      <c r="V210" s="3">
        <f t="shared" si="193"/>
        <v>4.2000000000000006E-3</v>
      </c>
      <c r="W210" s="3">
        <f t="shared" si="193"/>
        <v>0</v>
      </c>
      <c r="X210" s="3">
        <f t="shared" si="193"/>
        <v>16208.45</v>
      </c>
      <c r="Y210" s="3">
        <f t="shared" si="193"/>
        <v>7817.63</v>
      </c>
      <c r="Z210" s="3">
        <f t="shared" si="193"/>
        <v>0</v>
      </c>
      <c r="AA210" s="3">
        <f t="shared" si="193"/>
        <v>0</v>
      </c>
      <c r="AB210" s="3">
        <f t="shared" si="193"/>
        <v>37863.42</v>
      </c>
      <c r="AC210" s="3">
        <f t="shared" si="193"/>
        <v>21316.240000000002</v>
      </c>
      <c r="AD210" s="3">
        <f t="shared" si="193"/>
        <v>-51.28</v>
      </c>
      <c r="AE210" s="3">
        <f t="shared" si="193"/>
        <v>-4.82</v>
      </c>
      <c r="AF210" s="3">
        <f t="shared" si="193"/>
        <v>16603.28</v>
      </c>
      <c r="AG210" s="3">
        <f t="shared" si="193"/>
        <v>0</v>
      </c>
      <c r="AH210" s="3">
        <f t="shared" si="193"/>
        <v>24.077138799999997</v>
      </c>
      <c r="AI210" s="3">
        <f t="shared" si="193"/>
        <v>4.2000000000000006E-3</v>
      </c>
      <c r="AJ210" s="3">
        <f t="shared" si="193"/>
        <v>0</v>
      </c>
      <c r="AK210" s="3">
        <f t="shared" si="193"/>
        <v>16208.45</v>
      </c>
      <c r="AL210" s="3">
        <f t="shared" si="193"/>
        <v>7817.63</v>
      </c>
      <c r="AM210" s="3">
        <f t="shared" si="193"/>
        <v>0</v>
      </c>
      <c r="AN210" s="3">
        <f t="shared" si="193"/>
        <v>0</v>
      </c>
      <c r="AO210" s="3">
        <f t="shared" si="193"/>
        <v>0</v>
      </c>
      <c r="AP210" s="3">
        <f t="shared" si="193"/>
        <v>0</v>
      </c>
      <c r="AQ210" s="3">
        <f t="shared" si="193"/>
        <v>0</v>
      </c>
      <c r="AR210" s="3">
        <f t="shared" si="193"/>
        <v>61889.5</v>
      </c>
      <c r="AS210" s="3">
        <f t="shared" si="193"/>
        <v>25543.11</v>
      </c>
      <c r="AT210" s="3">
        <f t="shared" si="193"/>
        <v>36346.39</v>
      </c>
      <c r="AU210" s="3">
        <f t="shared" ref="AU210:BZ210" si="194">AU256</f>
        <v>0</v>
      </c>
      <c r="AV210" s="3">
        <f t="shared" si="194"/>
        <v>21316.240000000002</v>
      </c>
      <c r="AW210" s="3">
        <f t="shared" si="194"/>
        <v>21316.240000000002</v>
      </c>
      <c r="AX210" s="3">
        <f t="shared" si="194"/>
        <v>0</v>
      </c>
      <c r="AY210" s="3">
        <f t="shared" si="194"/>
        <v>21316.240000000002</v>
      </c>
      <c r="AZ210" s="3">
        <f t="shared" si="194"/>
        <v>0</v>
      </c>
      <c r="BA210" s="3">
        <f t="shared" si="194"/>
        <v>0</v>
      </c>
      <c r="BB210" s="3">
        <f t="shared" si="194"/>
        <v>0</v>
      </c>
      <c r="BC210" s="3">
        <f t="shared" si="194"/>
        <v>0</v>
      </c>
      <c r="BD210" s="3">
        <f t="shared" si="194"/>
        <v>0</v>
      </c>
      <c r="BE210" s="3">
        <f t="shared" si="194"/>
        <v>0</v>
      </c>
      <c r="BF210" s="3">
        <f t="shared" si="194"/>
        <v>0</v>
      </c>
      <c r="BG210" s="3">
        <f t="shared" si="194"/>
        <v>0</v>
      </c>
      <c r="BH210" s="3">
        <f t="shared" si="194"/>
        <v>0</v>
      </c>
      <c r="BI210" s="3">
        <f t="shared" si="194"/>
        <v>0</v>
      </c>
      <c r="BJ210" s="3">
        <f t="shared" si="194"/>
        <v>0</v>
      </c>
      <c r="BK210" s="3">
        <f t="shared" si="194"/>
        <v>0</v>
      </c>
      <c r="BL210" s="3">
        <f t="shared" si="194"/>
        <v>0</v>
      </c>
      <c r="BM210" s="3">
        <f t="shared" si="194"/>
        <v>0</v>
      </c>
      <c r="BN210" s="3">
        <f t="shared" si="194"/>
        <v>0</v>
      </c>
      <c r="BO210" s="3">
        <f t="shared" si="194"/>
        <v>0</v>
      </c>
      <c r="BP210" s="3">
        <f t="shared" si="194"/>
        <v>0</v>
      </c>
      <c r="BQ210" s="3">
        <f t="shared" si="194"/>
        <v>0</v>
      </c>
      <c r="BR210" s="3">
        <f t="shared" si="194"/>
        <v>0</v>
      </c>
      <c r="BS210" s="3">
        <f t="shared" si="194"/>
        <v>0</v>
      </c>
      <c r="BT210" s="3">
        <f t="shared" si="194"/>
        <v>0</v>
      </c>
      <c r="BU210" s="3">
        <f t="shared" si="194"/>
        <v>0</v>
      </c>
      <c r="BV210" s="3">
        <f t="shared" si="194"/>
        <v>0</v>
      </c>
      <c r="BW210" s="3">
        <f t="shared" si="194"/>
        <v>0</v>
      </c>
      <c r="BX210" s="3">
        <f t="shared" si="194"/>
        <v>0</v>
      </c>
      <c r="BY210" s="3">
        <f t="shared" si="194"/>
        <v>0</v>
      </c>
      <c r="BZ210" s="3">
        <f t="shared" si="194"/>
        <v>0</v>
      </c>
      <c r="CA210" s="3">
        <f t="shared" ref="CA210:DF210" si="195">CA256</f>
        <v>61889.5</v>
      </c>
      <c r="CB210" s="3">
        <f t="shared" si="195"/>
        <v>25543.11</v>
      </c>
      <c r="CC210" s="3">
        <f t="shared" si="195"/>
        <v>36346.39</v>
      </c>
      <c r="CD210" s="3">
        <f t="shared" si="195"/>
        <v>0</v>
      </c>
      <c r="CE210" s="3">
        <f t="shared" si="195"/>
        <v>21316.240000000002</v>
      </c>
      <c r="CF210" s="3">
        <f t="shared" si="195"/>
        <v>21316.240000000002</v>
      </c>
      <c r="CG210" s="3">
        <f t="shared" si="195"/>
        <v>0</v>
      </c>
      <c r="CH210" s="3">
        <f t="shared" si="195"/>
        <v>21316.240000000002</v>
      </c>
      <c r="CI210" s="3">
        <f t="shared" si="195"/>
        <v>0</v>
      </c>
      <c r="CJ210" s="3">
        <f t="shared" si="195"/>
        <v>0</v>
      </c>
      <c r="CK210" s="3">
        <f t="shared" si="195"/>
        <v>0</v>
      </c>
      <c r="CL210" s="3">
        <f t="shared" si="195"/>
        <v>0</v>
      </c>
      <c r="CM210" s="3">
        <f t="shared" si="195"/>
        <v>0</v>
      </c>
      <c r="CN210" s="3">
        <f t="shared" si="195"/>
        <v>0</v>
      </c>
      <c r="CO210" s="3">
        <f t="shared" si="195"/>
        <v>0</v>
      </c>
      <c r="CP210" s="3">
        <f t="shared" si="195"/>
        <v>0</v>
      </c>
      <c r="CQ210" s="3">
        <f t="shared" si="195"/>
        <v>0</v>
      </c>
      <c r="CR210" s="3">
        <f t="shared" si="195"/>
        <v>0</v>
      </c>
      <c r="CS210" s="3">
        <f t="shared" si="195"/>
        <v>0</v>
      </c>
      <c r="CT210" s="3">
        <f t="shared" si="195"/>
        <v>0</v>
      </c>
      <c r="CU210" s="3">
        <f t="shared" si="195"/>
        <v>0</v>
      </c>
      <c r="CV210" s="3">
        <f t="shared" si="195"/>
        <v>0</v>
      </c>
      <c r="CW210" s="3">
        <f t="shared" si="195"/>
        <v>0</v>
      </c>
      <c r="CX210" s="3">
        <f t="shared" si="195"/>
        <v>0</v>
      </c>
      <c r="CY210" s="3">
        <f t="shared" si="195"/>
        <v>0</v>
      </c>
      <c r="CZ210" s="3">
        <f t="shared" si="195"/>
        <v>0</v>
      </c>
      <c r="DA210" s="3">
        <f t="shared" si="195"/>
        <v>0</v>
      </c>
      <c r="DB210" s="3">
        <f t="shared" si="195"/>
        <v>0</v>
      </c>
      <c r="DC210" s="3">
        <f t="shared" si="195"/>
        <v>0</v>
      </c>
      <c r="DD210" s="3">
        <f t="shared" si="195"/>
        <v>0</v>
      </c>
      <c r="DE210" s="3">
        <f t="shared" si="195"/>
        <v>0</v>
      </c>
      <c r="DF210" s="3">
        <f t="shared" si="195"/>
        <v>0</v>
      </c>
      <c r="DG210" s="4">
        <f t="shared" ref="DG210:EL210" si="196">DG256</f>
        <v>0</v>
      </c>
      <c r="DH210" s="4">
        <f t="shared" si="196"/>
        <v>0</v>
      </c>
      <c r="DI210" s="4">
        <f t="shared" si="196"/>
        <v>0</v>
      </c>
      <c r="DJ210" s="4">
        <f t="shared" si="196"/>
        <v>0</v>
      </c>
      <c r="DK210" s="4">
        <f t="shared" si="196"/>
        <v>0</v>
      </c>
      <c r="DL210" s="4">
        <f t="shared" si="196"/>
        <v>0</v>
      </c>
      <c r="DM210" s="4">
        <f t="shared" si="196"/>
        <v>0</v>
      </c>
      <c r="DN210" s="4">
        <f t="shared" si="196"/>
        <v>0</v>
      </c>
      <c r="DO210" s="4">
        <f t="shared" si="196"/>
        <v>0</v>
      </c>
      <c r="DP210" s="4">
        <f t="shared" si="196"/>
        <v>0</v>
      </c>
      <c r="DQ210" s="4">
        <f t="shared" si="196"/>
        <v>0</v>
      </c>
      <c r="DR210" s="4">
        <f t="shared" si="196"/>
        <v>0</v>
      </c>
      <c r="DS210" s="4">
        <f t="shared" si="196"/>
        <v>0</v>
      </c>
      <c r="DT210" s="4">
        <f t="shared" si="196"/>
        <v>0</v>
      </c>
      <c r="DU210" s="4">
        <f t="shared" si="196"/>
        <v>0</v>
      </c>
      <c r="DV210" s="4">
        <f t="shared" si="196"/>
        <v>0</v>
      </c>
      <c r="DW210" s="4">
        <f t="shared" si="196"/>
        <v>0</v>
      </c>
      <c r="DX210" s="4">
        <f t="shared" si="196"/>
        <v>0</v>
      </c>
      <c r="DY210" s="4">
        <f t="shared" si="196"/>
        <v>0</v>
      </c>
      <c r="DZ210" s="4">
        <f t="shared" si="196"/>
        <v>0</v>
      </c>
      <c r="EA210" s="4">
        <f t="shared" si="196"/>
        <v>0</v>
      </c>
      <c r="EB210" s="4">
        <f t="shared" si="196"/>
        <v>0</v>
      </c>
      <c r="EC210" s="4">
        <f t="shared" si="196"/>
        <v>0</v>
      </c>
      <c r="ED210" s="4">
        <f t="shared" si="196"/>
        <v>0</v>
      </c>
      <c r="EE210" s="4">
        <f t="shared" si="196"/>
        <v>0</v>
      </c>
      <c r="EF210" s="4">
        <f t="shared" si="196"/>
        <v>0</v>
      </c>
      <c r="EG210" s="4">
        <f t="shared" si="196"/>
        <v>0</v>
      </c>
      <c r="EH210" s="4">
        <f t="shared" si="196"/>
        <v>0</v>
      </c>
      <c r="EI210" s="4">
        <f t="shared" si="196"/>
        <v>0</v>
      </c>
      <c r="EJ210" s="4">
        <f t="shared" si="196"/>
        <v>0</v>
      </c>
      <c r="EK210" s="4">
        <f t="shared" si="196"/>
        <v>0</v>
      </c>
      <c r="EL210" s="4">
        <f t="shared" si="196"/>
        <v>0</v>
      </c>
      <c r="EM210" s="4">
        <f t="shared" ref="EM210:FR210" si="197">EM256</f>
        <v>0</v>
      </c>
      <c r="EN210" s="4">
        <f t="shared" si="197"/>
        <v>0</v>
      </c>
      <c r="EO210" s="4">
        <f t="shared" si="197"/>
        <v>0</v>
      </c>
      <c r="EP210" s="4">
        <f t="shared" si="197"/>
        <v>0</v>
      </c>
      <c r="EQ210" s="4">
        <f t="shared" si="197"/>
        <v>0</v>
      </c>
      <c r="ER210" s="4">
        <f t="shared" si="197"/>
        <v>0</v>
      </c>
      <c r="ES210" s="4">
        <f t="shared" si="197"/>
        <v>0</v>
      </c>
      <c r="ET210" s="4">
        <f t="shared" si="197"/>
        <v>0</v>
      </c>
      <c r="EU210" s="4">
        <f t="shared" si="197"/>
        <v>0</v>
      </c>
      <c r="EV210" s="4">
        <f t="shared" si="197"/>
        <v>0</v>
      </c>
      <c r="EW210" s="4">
        <f t="shared" si="197"/>
        <v>0</v>
      </c>
      <c r="EX210" s="4">
        <f t="shared" si="197"/>
        <v>0</v>
      </c>
      <c r="EY210" s="4">
        <f t="shared" si="197"/>
        <v>0</v>
      </c>
      <c r="EZ210" s="4">
        <f t="shared" si="197"/>
        <v>0</v>
      </c>
      <c r="FA210" s="4">
        <f t="shared" si="197"/>
        <v>0</v>
      </c>
      <c r="FB210" s="4">
        <f t="shared" si="197"/>
        <v>0</v>
      </c>
      <c r="FC210" s="4">
        <f t="shared" si="197"/>
        <v>0</v>
      </c>
      <c r="FD210" s="4">
        <f t="shared" si="197"/>
        <v>0</v>
      </c>
      <c r="FE210" s="4">
        <f t="shared" si="197"/>
        <v>0</v>
      </c>
      <c r="FF210" s="4">
        <f t="shared" si="197"/>
        <v>0</v>
      </c>
      <c r="FG210" s="4">
        <f t="shared" si="197"/>
        <v>0</v>
      </c>
      <c r="FH210" s="4">
        <f t="shared" si="197"/>
        <v>0</v>
      </c>
      <c r="FI210" s="4">
        <f t="shared" si="197"/>
        <v>0</v>
      </c>
      <c r="FJ210" s="4">
        <f t="shared" si="197"/>
        <v>0</v>
      </c>
      <c r="FK210" s="4">
        <f t="shared" si="197"/>
        <v>0</v>
      </c>
      <c r="FL210" s="4">
        <f t="shared" si="197"/>
        <v>0</v>
      </c>
      <c r="FM210" s="4">
        <f t="shared" si="197"/>
        <v>0</v>
      </c>
      <c r="FN210" s="4">
        <f t="shared" si="197"/>
        <v>0</v>
      </c>
      <c r="FO210" s="4">
        <f t="shared" si="197"/>
        <v>0</v>
      </c>
      <c r="FP210" s="4">
        <f t="shared" si="197"/>
        <v>0</v>
      </c>
      <c r="FQ210" s="4">
        <f t="shared" si="197"/>
        <v>0</v>
      </c>
      <c r="FR210" s="4">
        <f t="shared" si="197"/>
        <v>0</v>
      </c>
      <c r="FS210" s="4">
        <f t="shared" ref="FS210:GX210" si="198">FS256</f>
        <v>0</v>
      </c>
      <c r="FT210" s="4">
        <f t="shared" si="198"/>
        <v>0</v>
      </c>
      <c r="FU210" s="4">
        <f t="shared" si="198"/>
        <v>0</v>
      </c>
      <c r="FV210" s="4">
        <f t="shared" si="198"/>
        <v>0</v>
      </c>
      <c r="FW210" s="4">
        <f t="shared" si="198"/>
        <v>0</v>
      </c>
      <c r="FX210" s="4">
        <f t="shared" si="198"/>
        <v>0</v>
      </c>
      <c r="FY210" s="4">
        <f t="shared" si="198"/>
        <v>0</v>
      </c>
      <c r="FZ210" s="4">
        <f t="shared" si="198"/>
        <v>0</v>
      </c>
      <c r="GA210" s="4">
        <f t="shared" si="198"/>
        <v>0</v>
      </c>
      <c r="GB210" s="4">
        <f t="shared" si="198"/>
        <v>0</v>
      </c>
      <c r="GC210" s="4">
        <f t="shared" si="198"/>
        <v>0</v>
      </c>
      <c r="GD210" s="4">
        <f t="shared" si="198"/>
        <v>0</v>
      </c>
      <c r="GE210" s="4">
        <f t="shared" si="198"/>
        <v>0</v>
      </c>
      <c r="GF210" s="4">
        <f t="shared" si="198"/>
        <v>0</v>
      </c>
      <c r="GG210" s="4">
        <f t="shared" si="198"/>
        <v>0</v>
      </c>
      <c r="GH210" s="4">
        <f t="shared" si="198"/>
        <v>0</v>
      </c>
      <c r="GI210" s="4">
        <f t="shared" si="198"/>
        <v>0</v>
      </c>
      <c r="GJ210" s="4">
        <f t="shared" si="198"/>
        <v>0</v>
      </c>
      <c r="GK210" s="4">
        <f t="shared" si="198"/>
        <v>0</v>
      </c>
      <c r="GL210" s="4">
        <f t="shared" si="198"/>
        <v>0</v>
      </c>
      <c r="GM210" s="4">
        <f t="shared" si="198"/>
        <v>0</v>
      </c>
      <c r="GN210" s="4">
        <f t="shared" si="198"/>
        <v>0</v>
      </c>
      <c r="GO210" s="4">
        <f t="shared" si="198"/>
        <v>0</v>
      </c>
      <c r="GP210" s="4">
        <f t="shared" si="198"/>
        <v>0</v>
      </c>
      <c r="GQ210" s="4">
        <f t="shared" si="198"/>
        <v>0</v>
      </c>
      <c r="GR210" s="4">
        <f t="shared" si="198"/>
        <v>0</v>
      </c>
      <c r="GS210" s="4">
        <f t="shared" si="198"/>
        <v>0</v>
      </c>
      <c r="GT210" s="4">
        <f t="shared" si="198"/>
        <v>0</v>
      </c>
      <c r="GU210" s="4">
        <f t="shared" si="198"/>
        <v>0</v>
      </c>
      <c r="GV210" s="4">
        <f t="shared" si="198"/>
        <v>0</v>
      </c>
      <c r="GW210" s="4">
        <f t="shared" si="198"/>
        <v>0</v>
      </c>
      <c r="GX210" s="4">
        <f t="shared" si="198"/>
        <v>0</v>
      </c>
    </row>
    <row r="212" spans="1:255" x14ac:dyDescent="0.2">
      <c r="A212" s="2">
        <v>17</v>
      </c>
      <c r="B212" s="2">
        <v>1</v>
      </c>
      <c r="C212" s="2">
        <f>ROW(SmtRes!A168)</f>
        <v>168</v>
      </c>
      <c r="D212" s="2">
        <f>ROW(EtalonRes!A155)</f>
        <v>155</v>
      </c>
      <c r="E212" s="2" t="s">
        <v>368</v>
      </c>
      <c r="F212" s="2" t="s">
        <v>82</v>
      </c>
      <c r="G212" s="2" t="s">
        <v>369</v>
      </c>
      <c r="H212" s="2" t="s">
        <v>61</v>
      </c>
      <c r="I212" s="2">
        <f>ROUND((12)/100,7)</f>
        <v>0.12</v>
      </c>
      <c r="J212" s="2">
        <v>0</v>
      </c>
      <c r="K212" s="2">
        <f>ROUND((12)/100,7)</f>
        <v>0.12</v>
      </c>
      <c r="L212" s="2"/>
      <c r="M212" s="2"/>
      <c r="N212" s="2"/>
      <c r="O212" s="2">
        <f>ROUND(CP212,2)</f>
        <v>1786.15</v>
      </c>
      <c r="P212" s="2">
        <f>SUMIF(SmtRes!AQ162:'SmtRes'!AQ168,"=1",SmtRes!DF162:'SmtRes'!DF168)</f>
        <v>44.370000000000005</v>
      </c>
      <c r="Q212" s="2">
        <f>SUMIF(SmtRes!AQ162:'SmtRes'!AQ168,"=1",SmtRes!DG162:'SmtRes'!DG168)</f>
        <v>0</v>
      </c>
      <c r="R212" s="2">
        <f>SUMIF(SmtRes!AQ162:'SmtRes'!AQ168,"=1",SmtRes!DH162:'SmtRes'!DH168)</f>
        <v>0</v>
      </c>
      <c r="S212" s="2">
        <f>SUMIF(SmtRes!AQ162:'SmtRes'!AQ168,"=1",SmtRes!DI162:'SmtRes'!DI168)</f>
        <v>1741.78</v>
      </c>
      <c r="T212" s="2">
        <f t="shared" ref="T212:T254" si="199">ROUND(CU212*I212,2)</f>
        <v>0</v>
      </c>
      <c r="U212" s="2">
        <f>SUMIF(SmtRes!AQ162:'SmtRes'!AQ168,"=1",SmtRes!CV162:'SmtRes'!CV168)</f>
        <v>2.4396</v>
      </c>
      <c r="V212" s="2">
        <f>SUMIF(SmtRes!AQ162:'SmtRes'!AQ168,"=1",SmtRes!CW162:'SmtRes'!CW168)</f>
        <v>0</v>
      </c>
      <c r="W212" s="2">
        <f t="shared" ref="W212:W254" si="200">ROUND(CX212*I212,2)</f>
        <v>0</v>
      </c>
      <c r="X212" s="2">
        <f t="shared" ref="X212:X254" si="201">ROUND(CY212,2)</f>
        <v>1689.53</v>
      </c>
      <c r="Y212" s="2">
        <f t="shared" ref="Y212:Y254" si="202">ROUND(CZ212,2)</f>
        <v>888.31</v>
      </c>
      <c r="Z212" s="2"/>
      <c r="AA212" s="2">
        <v>85997836</v>
      </c>
      <c r="AB212" s="2">
        <f t="shared" ref="AB212:AB254" si="203">ROUND((AC212+AD212+AF212),6)</f>
        <v>14813.980056</v>
      </c>
      <c r="AC212" s="2">
        <f>ROUND((SUM(SmtRes!BQ162:'SmtRes'!BQ168)),6)</f>
        <v>299.17325599999998</v>
      </c>
      <c r="AD212" s="2">
        <f>ROUND((((0)-(0))+AE212),6)</f>
        <v>0</v>
      </c>
      <c r="AE212" s="2">
        <f>ROUND((0),6)</f>
        <v>0</v>
      </c>
      <c r="AF212" s="2">
        <f>ROUND((SUM(SmtRes!BT162:'SmtRes'!BT168)),6)</f>
        <v>14514.8068</v>
      </c>
      <c r="AG212" s="2">
        <f t="shared" ref="AG212:AG254" si="204">ROUND((AP212),6)</f>
        <v>0</v>
      </c>
      <c r="AH212" s="2">
        <f>(SUM(SmtRes!BU162:'SmtRes'!BU168))</f>
        <v>20.329999999999998</v>
      </c>
      <c r="AI212" s="2">
        <f>(0)</f>
        <v>0</v>
      </c>
      <c r="AJ212" s="2">
        <f t="shared" ref="AJ212:AJ254" si="205">(AS212)</f>
        <v>0</v>
      </c>
      <c r="AK212" s="2">
        <v>14813.980056</v>
      </c>
      <c r="AL212" s="2">
        <v>299.17325599999998</v>
      </c>
      <c r="AM212" s="2">
        <v>0</v>
      </c>
      <c r="AN212" s="2">
        <v>0</v>
      </c>
      <c r="AO212" s="2">
        <v>14514.8068</v>
      </c>
      <c r="AP212" s="2">
        <v>0</v>
      </c>
      <c r="AQ212" s="2">
        <v>20.329999999999998</v>
      </c>
      <c r="AR212" s="2">
        <v>0.01</v>
      </c>
      <c r="AS212" s="2">
        <v>0</v>
      </c>
      <c r="AT212" s="2">
        <v>97</v>
      </c>
      <c r="AU212" s="2">
        <v>51</v>
      </c>
      <c r="AV212" s="2">
        <v>1</v>
      </c>
      <c r="AW212" s="2">
        <v>1</v>
      </c>
      <c r="AX212" s="2"/>
      <c r="AY212" s="2"/>
      <c r="AZ212" s="2">
        <v>1</v>
      </c>
      <c r="BA212" s="2">
        <v>1</v>
      </c>
      <c r="BB212" s="2">
        <v>1</v>
      </c>
      <c r="BC212" s="2">
        <v>1</v>
      </c>
      <c r="BD212" s="2" t="s">
        <v>3</v>
      </c>
      <c r="BE212" s="2" t="s">
        <v>3</v>
      </c>
      <c r="BF212" s="2" t="s">
        <v>3</v>
      </c>
      <c r="BG212" s="2" t="s">
        <v>3</v>
      </c>
      <c r="BH212" s="2">
        <v>0</v>
      </c>
      <c r="BI212" s="2">
        <v>2</v>
      </c>
      <c r="BJ212" s="2" t="s">
        <v>84</v>
      </c>
      <c r="BK212" s="2"/>
      <c r="BL212" s="2"/>
      <c r="BM212" s="2">
        <v>108001</v>
      </c>
      <c r="BN212" s="2">
        <v>0</v>
      </c>
      <c r="BO212" s="2" t="s">
        <v>3</v>
      </c>
      <c r="BP212" s="2">
        <v>0</v>
      </c>
      <c r="BQ212" s="2">
        <v>3</v>
      </c>
      <c r="BR212" s="2">
        <v>0</v>
      </c>
      <c r="BS212" s="2">
        <v>1</v>
      </c>
      <c r="BT212" s="2">
        <v>1</v>
      </c>
      <c r="BU212" s="2">
        <v>1</v>
      </c>
      <c r="BV212" s="2">
        <v>1</v>
      </c>
      <c r="BW212" s="2">
        <v>1</v>
      </c>
      <c r="BX212" s="2">
        <v>1</v>
      </c>
      <c r="BY212" s="2" t="s">
        <v>3</v>
      </c>
      <c r="BZ212" s="2">
        <v>97</v>
      </c>
      <c r="CA212" s="2">
        <v>51</v>
      </c>
      <c r="CB212" s="2" t="s">
        <v>3</v>
      </c>
      <c r="CC212" s="2"/>
      <c r="CD212" s="2"/>
      <c r="CE212" s="2">
        <v>0</v>
      </c>
      <c r="CF212" s="2">
        <v>0</v>
      </c>
      <c r="CG212" s="2">
        <v>0</v>
      </c>
      <c r="CH212" s="2"/>
      <c r="CI212" s="2"/>
      <c r="CJ212" s="2"/>
      <c r="CK212" s="2"/>
      <c r="CL212" s="2"/>
      <c r="CM212" s="2">
        <v>0</v>
      </c>
      <c r="CN212" s="2" t="s">
        <v>370</v>
      </c>
      <c r="CO212" s="2">
        <v>0</v>
      </c>
      <c r="CP212" s="2">
        <f>(P212+Q212+S212+R212)</f>
        <v>1786.15</v>
      </c>
      <c r="CQ212" s="2">
        <f>SUMIF(SmtRes!AQ162:'SmtRes'!AQ168,"=1",SmtRes!AA162:'SmtRes'!AA168)</f>
        <v>128299.93</v>
      </c>
      <c r="CR212" s="2">
        <f>SUMIF(SmtRes!AQ162:'SmtRes'!AQ168,"=1",SmtRes!AB162:'SmtRes'!AB168)</f>
        <v>0</v>
      </c>
      <c r="CS212" s="2">
        <f>SUMIF(SmtRes!AQ162:'SmtRes'!AQ168,"=1",SmtRes!AC162:'SmtRes'!AC168)</f>
        <v>0</v>
      </c>
      <c r="CT212" s="2">
        <f>SUMIF(SmtRes!AQ162:'SmtRes'!AQ168,"=1",SmtRes!AD162:'SmtRes'!AD168)</f>
        <v>713.96</v>
      </c>
      <c r="CU212" s="2">
        <f>AG212</f>
        <v>0</v>
      </c>
      <c r="CV212" s="2">
        <f>SUMIF(SmtRes!AQ162:'SmtRes'!AQ168,"=1",SmtRes!BU162:'SmtRes'!BU168)</f>
        <v>20.329999999999998</v>
      </c>
      <c r="CW212" s="2">
        <f>SUMIF(SmtRes!AQ162:'SmtRes'!AQ168,"=1",SmtRes!BV162:'SmtRes'!BV168)</f>
        <v>0</v>
      </c>
      <c r="CX212" s="2">
        <f>AJ212</f>
        <v>0</v>
      </c>
      <c r="CY212" s="2">
        <f>(((S212+R212)*AT212)/100)</f>
        <v>1689.5266000000001</v>
      </c>
      <c r="CZ212" s="2">
        <f>(((S212+R212)*AU212)/100)</f>
        <v>888.30780000000004</v>
      </c>
      <c r="DA212" s="2"/>
      <c r="DB212" s="2"/>
      <c r="DC212" s="2" t="s">
        <v>3</v>
      </c>
      <c r="DD212" s="2" t="s">
        <v>46</v>
      </c>
      <c r="DE212" s="2" t="s">
        <v>47</v>
      </c>
      <c r="DF212" s="2" t="s">
        <v>47</v>
      </c>
      <c r="DG212" s="2" t="s">
        <v>47</v>
      </c>
      <c r="DH212" s="2" t="s">
        <v>3</v>
      </c>
      <c r="DI212" s="2" t="s">
        <v>47</v>
      </c>
      <c r="DJ212" s="2" t="s">
        <v>47</v>
      </c>
      <c r="DK212" s="2" t="s">
        <v>3</v>
      </c>
      <c r="DL212" s="2" t="s">
        <v>3</v>
      </c>
      <c r="DM212" s="2" t="s">
        <v>3</v>
      </c>
      <c r="DN212" s="2">
        <v>0</v>
      </c>
      <c r="DO212" s="2">
        <v>0</v>
      </c>
      <c r="DP212" s="2">
        <v>1</v>
      </c>
      <c r="DQ212" s="2">
        <v>1</v>
      </c>
      <c r="DR212" s="2"/>
      <c r="DS212" s="2"/>
      <c r="DT212" s="2"/>
      <c r="DU212" s="2">
        <v>1003</v>
      </c>
      <c r="DV212" s="2" t="s">
        <v>61</v>
      </c>
      <c r="DW212" s="2" t="s">
        <v>61</v>
      </c>
      <c r="DX212" s="2">
        <v>100</v>
      </c>
      <c r="DY212" s="2"/>
      <c r="DZ212" s="2" t="s">
        <v>3</v>
      </c>
      <c r="EA212" s="2" t="s">
        <v>3</v>
      </c>
      <c r="EB212" s="2" t="s">
        <v>3</v>
      </c>
      <c r="EC212" s="2" t="s">
        <v>3</v>
      </c>
      <c r="ED212" s="2"/>
      <c r="EE212" s="2">
        <v>84053775</v>
      </c>
      <c r="EF212" s="2">
        <v>3</v>
      </c>
      <c r="EG212" s="2" t="s">
        <v>48</v>
      </c>
      <c r="EH212" s="2">
        <v>0</v>
      </c>
      <c r="EI212" s="2" t="s">
        <v>3</v>
      </c>
      <c r="EJ212" s="2">
        <v>2</v>
      </c>
      <c r="EK212" s="2">
        <v>108001</v>
      </c>
      <c r="EL212" s="2" t="s">
        <v>49</v>
      </c>
      <c r="EM212" s="2" t="s">
        <v>50</v>
      </c>
      <c r="EN212" s="2"/>
      <c r="EO212" s="2" t="s">
        <v>371</v>
      </c>
      <c r="EP212" s="2"/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20.329999999999998</v>
      </c>
      <c r="EX212" s="2">
        <v>0.01</v>
      </c>
      <c r="EY212" s="2">
        <v>0</v>
      </c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>
        <v>0</v>
      </c>
      <c r="FR212" s="2">
        <v>0</v>
      </c>
      <c r="FS212" s="2">
        <v>0</v>
      </c>
      <c r="FT212" s="2"/>
      <c r="FU212" s="2"/>
      <c r="FV212" s="2"/>
      <c r="FW212" s="2"/>
      <c r="FX212" s="2">
        <v>97</v>
      </c>
      <c r="FY212" s="2">
        <v>51</v>
      </c>
      <c r="FZ212" s="2"/>
      <c r="GA212" s="2" t="s">
        <v>3</v>
      </c>
      <c r="GB212" s="2"/>
      <c r="GC212" s="2"/>
      <c r="GD212" s="2">
        <v>1</v>
      </c>
      <c r="GE212" s="2"/>
      <c r="GF212" s="2">
        <v>-1545138183</v>
      </c>
      <c r="GG212" s="2">
        <v>2</v>
      </c>
      <c r="GH212" s="2">
        <v>1</v>
      </c>
      <c r="GI212" s="2">
        <v>-2</v>
      </c>
      <c r="GJ212" s="2">
        <v>0</v>
      </c>
      <c r="GK212" s="2">
        <v>0</v>
      </c>
      <c r="GL212" s="2">
        <f t="shared" ref="GL212:GL254" si="206">ROUND(IF(AND(BH212=3,BI212=3,FS212&lt;&gt;0),P212,0),2)</f>
        <v>0</v>
      </c>
      <c r="GM212" s="2">
        <f t="shared" ref="GM212:GM254" si="207">ROUND(O212+X212+Y212,2)+GX212</f>
        <v>4363.99</v>
      </c>
      <c r="GN212" s="2">
        <f t="shared" ref="GN212:GN254" si="208">IF(OR(BI212=0,BI212=1),GM212-GX212,0)</f>
        <v>0</v>
      </c>
      <c r="GO212" s="2">
        <f t="shared" ref="GO212:GO254" si="209">IF(BI212=2,GM212-GX212,0)</f>
        <v>4363.99</v>
      </c>
      <c r="GP212" s="2">
        <f t="shared" ref="GP212:GP254" si="210">IF(BI212=4,GM212-GX212,0)</f>
        <v>0</v>
      </c>
      <c r="GQ212" s="2"/>
      <c r="GR212" s="2">
        <v>0</v>
      </c>
      <c r="GS212" s="2">
        <v>3</v>
      </c>
      <c r="GT212" s="2">
        <v>0</v>
      </c>
      <c r="GU212" s="2" t="s">
        <v>3</v>
      </c>
      <c r="GV212" s="2">
        <f t="shared" ref="GV212:GV254" si="211">ROUND((GT212),6)</f>
        <v>0</v>
      </c>
      <c r="GW212" s="2">
        <v>1</v>
      </c>
      <c r="GX212" s="2">
        <f t="shared" ref="GX212:GX254" si="212">ROUND(HC212*I212,2)</f>
        <v>0</v>
      </c>
      <c r="GY212" s="2"/>
      <c r="GZ212" s="2"/>
      <c r="HA212" s="2">
        <v>0</v>
      </c>
      <c r="HB212" s="2">
        <v>0</v>
      </c>
      <c r="HC212" s="2">
        <f>GV212*GW212</f>
        <v>0</v>
      </c>
      <c r="HD212" s="2"/>
      <c r="HE212" s="2" t="s">
        <v>3</v>
      </c>
      <c r="HF212" s="2" t="s">
        <v>3</v>
      </c>
      <c r="HG212" s="2"/>
      <c r="HH212" s="2"/>
      <c r="HI212" s="2"/>
      <c r="HJ212" s="2"/>
      <c r="HK212" s="2"/>
      <c r="HL212" s="2"/>
      <c r="HM212" s="2" t="s">
        <v>3</v>
      </c>
      <c r="HN212" s="2" t="s">
        <v>52</v>
      </c>
      <c r="HO212" s="2" t="s">
        <v>53</v>
      </c>
      <c r="HP212" s="2" t="s">
        <v>49</v>
      </c>
      <c r="HQ212" s="2" t="s">
        <v>49</v>
      </c>
      <c r="HR212" s="2"/>
      <c r="HS212" s="2">
        <v>0</v>
      </c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>
        <v>0</v>
      </c>
      <c r="IL212" s="2"/>
      <c r="IM212" s="2"/>
      <c r="IN212" s="2"/>
      <c r="IO212" s="2"/>
      <c r="IP212" s="2"/>
      <c r="IQ212" s="2"/>
      <c r="IR212" s="2"/>
      <c r="IS212" s="2"/>
      <c r="IT212" s="2"/>
      <c r="IU212" s="2"/>
    </row>
    <row r="213" spans="1:255" x14ac:dyDescent="0.2">
      <c r="A213" s="2">
        <v>18</v>
      </c>
      <c r="B213" s="2">
        <v>1</v>
      </c>
      <c r="C213" s="2">
        <v>168</v>
      </c>
      <c r="D213" s="2"/>
      <c r="E213" s="2" t="s">
        <v>372</v>
      </c>
      <c r="F213" s="2" t="s">
        <v>55</v>
      </c>
      <c r="G213" s="2" t="s">
        <v>56</v>
      </c>
      <c r="H213" s="2" t="s">
        <v>57</v>
      </c>
      <c r="I213" s="2">
        <f>J213</f>
        <v>2</v>
      </c>
      <c r="J213" s="2">
        <v>2</v>
      </c>
      <c r="K213" s="2">
        <v>2</v>
      </c>
      <c r="L213" s="2"/>
      <c r="M213" s="2"/>
      <c r="N213" s="2"/>
      <c r="O213" s="2">
        <f>ROUND(P213,2)</f>
        <v>10.45</v>
      </c>
      <c r="P213" s="2">
        <f>ROUND(ROUND((ROUND(SUMIF(SmtRes!AQ162:'SmtRes'!AQ168,"=1",SmtRes!CU162:'SmtRes'!CU168),2)*ROUND(0.3,7)),2)*I213/100,2)</f>
        <v>10.45</v>
      </c>
      <c r="Q213" s="2">
        <f>ROUND(CR213*I213,2)</f>
        <v>0</v>
      </c>
      <c r="R213" s="2">
        <f>ROUND(CS213*I213,2)</f>
        <v>0</v>
      </c>
      <c r="S213" s="2">
        <f>ROUND(CT213*I213,2)</f>
        <v>0</v>
      </c>
      <c r="T213" s="2">
        <f t="shared" si="199"/>
        <v>0</v>
      </c>
      <c r="U213" s="2">
        <f>ROUND(CV213*I213,7)</f>
        <v>0</v>
      </c>
      <c r="V213" s="2">
        <f>ROUND(CW213*I213,7)</f>
        <v>0</v>
      </c>
      <c r="W213" s="2">
        <f t="shared" si="200"/>
        <v>0</v>
      </c>
      <c r="X213" s="2">
        <f t="shared" si="201"/>
        <v>0</v>
      </c>
      <c r="Y213" s="2">
        <f t="shared" si="202"/>
        <v>0</v>
      </c>
      <c r="Z213" s="2"/>
      <c r="AA213" s="2">
        <v>85997836</v>
      </c>
      <c r="AB213" s="2">
        <f t="shared" si="203"/>
        <v>0</v>
      </c>
      <c r="AC213" s="2">
        <f>ROUND(((ES213*ROUND(0.3,7))),6)</f>
        <v>0</v>
      </c>
      <c r="AD213" s="2">
        <f>ROUND((((ET213)-(EU213))+AE213),6)</f>
        <v>0</v>
      </c>
      <c r="AE213" s="2">
        <f>ROUND((EU213),6)</f>
        <v>0</v>
      </c>
      <c r="AF213" s="2">
        <f>ROUND((EV213),6)</f>
        <v>0</v>
      </c>
      <c r="AG213" s="2">
        <f t="shared" si="204"/>
        <v>0</v>
      </c>
      <c r="AH213" s="2">
        <f>(EW213)</f>
        <v>0</v>
      </c>
      <c r="AI213" s="2">
        <f>(EX213)</f>
        <v>0</v>
      </c>
      <c r="AJ213" s="2">
        <f t="shared" si="205"/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97</v>
      </c>
      <c r="AU213" s="2">
        <v>51</v>
      </c>
      <c r="AV213" s="2">
        <v>1</v>
      </c>
      <c r="AW213" s="2">
        <v>1</v>
      </c>
      <c r="AX213" s="2"/>
      <c r="AY213" s="2"/>
      <c r="AZ213" s="2">
        <v>1</v>
      </c>
      <c r="BA213" s="2">
        <v>1</v>
      </c>
      <c r="BB213" s="2">
        <v>1</v>
      </c>
      <c r="BC213" s="2">
        <v>1</v>
      </c>
      <c r="BD213" s="2" t="s">
        <v>3</v>
      </c>
      <c r="BE213" s="2" t="s">
        <v>3</v>
      </c>
      <c r="BF213" s="2" t="s">
        <v>3</v>
      </c>
      <c r="BG213" s="2" t="s">
        <v>3</v>
      </c>
      <c r="BH213" s="2">
        <v>3</v>
      </c>
      <c r="BI213" s="2">
        <v>2</v>
      </c>
      <c r="BJ213" s="2" t="s">
        <v>3</v>
      </c>
      <c r="BK213" s="2"/>
      <c r="BL213" s="2"/>
      <c r="BM213" s="2">
        <v>108001</v>
      </c>
      <c r="BN213" s="2">
        <v>0</v>
      </c>
      <c r="BO213" s="2" t="s">
        <v>3</v>
      </c>
      <c r="BP213" s="2">
        <v>0</v>
      </c>
      <c r="BQ213" s="2">
        <v>3</v>
      </c>
      <c r="BR213" s="2">
        <v>0</v>
      </c>
      <c r="BS213" s="2">
        <v>1</v>
      </c>
      <c r="BT213" s="2">
        <v>1</v>
      </c>
      <c r="BU213" s="2">
        <v>1</v>
      </c>
      <c r="BV213" s="2">
        <v>1</v>
      </c>
      <c r="BW213" s="2">
        <v>1</v>
      </c>
      <c r="BX213" s="2">
        <v>1</v>
      </c>
      <c r="BY213" s="2" t="s">
        <v>3</v>
      </c>
      <c r="BZ213" s="2">
        <v>97</v>
      </c>
      <c r="CA213" s="2">
        <v>51</v>
      </c>
      <c r="CB213" s="2" t="s">
        <v>3</v>
      </c>
      <c r="CC213" s="2"/>
      <c r="CD213" s="2"/>
      <c r="CE213" s="2">
        <v>0</v>
      </c>
      <c r="CF213" s="2">
        <v>0</v>
      </c>
      <c r="CG213" s="2">
        <v>0</v>
      </c>
      <c r="CH213" s="2"/>
      <c r="CI213" s="2"/>
      <c r="CJ213" s="2"/>
      <c r="CK213" s="2"/>
      <c r="CL213" s="2"/>
      <c r="CM213" s="2">
        <v>0</v>
      </c>
      <c r="CN213" s="2" t="s">
        <v>66</v>
      </c>
      <c r="CO213" s="2">
        <v>0</v>
      </c>
      <c r="CP213" s="2">
        <f>0</f>
        <v>0</v>
      </c>
      <c r="CQ213" s="2">
        <f>0</f>
        <v>0</v>
      </c>
      <c r="CR213" s="2">
        <f>0</f>
        <v>0</v>
      </c>
      <c r="CS213" s="2">
        <f>0</f>
        <v>0</v>
      </c>
      <c r="CT213" s="2">
        <f>0</f>
        <v>0</v>
      </c>
      <c r="CU213" s="2">
        <f>0</f>
        <v>0</v>
      </c>
      <c r="CV213" s="2">
        <f>0</f>
        <v>0</v>
      </c>
      <c r="CW213" s="2">
        <f>0</f>
        <v>0</v>
      </c>
      <c r="CX213" s="2">
        <f>0</f>
        <v>0</v>
      </c>
      <c r="CY213" s="2">
        <f>0</f>
        <v>0</v>
      </c>
      <c r="CZ213" s="2">
        <f>0</f>
        <v>0</v>
      </c>
      <c r="DA213" s="2"/>
      <c r="DB213" s="2"/>
      <c r="DC213" s="2" t="s">
        <v>3</v>
      </c>
      <c r="DD213" s="2" t="s">
        <v>47</v>
      </c>
      <c r="DE213" s="2" t="s">
        <v>3</v>
      </c>
      <c r="DF213" s="2" t="s">
        <v>3</v>
      </c>
      <c r="DG213" s="2" t="s">
        <v>3</v>
      </c>
      <c r="DH213" s="2" t="s">
        <v>3</v>
      </c>
      <c r="DI213" s="2" t="s">
        <v>3</v>
      </c>
      <c r="DJ213" s="2" t="s">
        <v>3</v>
      </c>
      <c r="DK213" s="2" t="s">
        <v>3</v>
      </c>
      <c r="DL213" s="2" t="s">
        <v>3</v>
      </c>
      <c r="DM213" s="2" t="s">
        <v>3</v>
      </c>
      <c r="DN213" s="2">
        <v>0</v>
      </c>
      <c r="DO213" s="2">
        <v>0</v>
      </c>
      <c r="DP213" s="2">
        <v>1</v>
      </c>
      <c r="DQ213" s="2">
        <v>1</v>
      </c>
      <c r="DR213" s="2"/>
      <c r="DS213" s="2"/>
      <c r="DT213" s="2"/>
      <c r="DU213" s="2">
        <v>1013</v>
      </c>
      <c r="DV213" s="2" t="s">
        <v>57</v>
      </c>
      <c r="DW213" s="2" t="s">
        <v>57</v>
      </c>
      <c r="DX213" s="2">
        <v>1</v>
      </c>
      <c r="DY213" s="2"/>
      <c r="DZ213" s="2" t="s">
        <v>3</v>
      </c>
      <c r="EA213" s="2" t="s">
        <v>3</v>
      </c>
      <c r="EB213" s="2" t="s">
        <v>3</v>
      </c>
      <c r="EC213" s="2" t="s">
        <v>3</v>
      </c>
      <c r="ED213" s="2"/>
      <c r="EE213" s="2">
        <v>84053775</v>
      </c>
      <c r="EF213" s="2">
        <v>3</v>
      </c>
      <c r="EG213" s="2" t="s">
        <v>48</v>
      </c>
      <c r="EH213" s="2">
        <v>0</v>
      </c>
      <c r="EI213" s="2" t="s">
        <v>3</v>
      </c>
      <c r="EJ213" s="2">
        <v>2</v>
      </c>
      <c r="EK213" s="2">
        <v>108001</v>
      </c>
      <c r="EL213" s="2" t="s">
        <v>49</v>
      </c>
      <c r="EM213" s="2" t="s">
        <v>50</v>
      </c>
      <c r="EN213" s="2"/>
      <c r="EO213" s="2" t="s">
        <v>64</v>
      </c>
      <c r="EP213" s="2"/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>
        <v>0</v>
      </c>
      <c r="FR213" s="2">
        <v>0</v>
      </c>
      <c r="FS213" s="2">
        <v>0</v>
      </c>
      <c r="FT213" s="2"/>
      <c r="FU213" s="2"/>
      <c r="FV213" s="2"/>
      <c r="FW213" s="2"/>
      <c r="FX213" s="2">
        <v>97</v>
      </c>
      <c r="FY213" s="2">
        <v>51</v>
      </c>
      <c r="FZ213" s="2"/>
      <c r="GA213" s="2" t="s">
        <v>3</v>
      </c>
      <c r="GB213" s="2"/>
      <c r="GC213" s="2"/>
      <c r="GD213" s="2">
        <v>1</v>
      </c>
      <c r="GE213" s="2"/>
      <c r="GF213" s="2">
        <v>274903907</v>
      </c>
      <c r="GG213" s="2">
        <v>2</v>
      </c>
      <c r="GH213" s="2">
        <v>1</v>
      </c>
      <c r="GI213" s="2">
        <v>-2</v>
      </c>
      <c r="GJ213" s="2">
        <v>0</v>
      </c>
      <c r="GK213" s="2">
        <v>0</v>
      </c>
      <c r="GL213" s="2">
        <f t="shared" si="206"/>
        <v>0</v>
      </c>
      <c r="GM213" s="2">
        <f t="shared" si="207"/>
        <v>10.45</v>
      </c>
      <c r="GN213" s="2">
        <f t="shared" si="208"/>
        <v>0</v>
      </c>
      <c r="GO213" s="2">
        <f t="shared" si="209"/>
        <v>10.45</v>
      </c>
      <c r="GP213" s="2">
        <f t="shared" si="210"/>
        <v>0</v>
      </c>
      <c r="GQ213" s="2"/>
      <c r="GR213" s="2">
        <v>0</v>
      </c>
      <c r="GS213" s="2">
        <v>3</v>
      </c>
      <c r="GT213" s="2">
        <v>0</v>
      </c>
      <c r="GU213" s="2" t="s">
        <v>3</v>
      </c>
      <c r="GV213" s="2">
        <f t="shared" si="211"/>
        <v>0</v>
      </c>
      <c r="GW213" s="2">
        <v>1</v>
      </c>
      <c r="GX213" s="2">
        <f t="shared" si="212"/>
        <v>0</v>
      </c>
      <c r="GY213" s="2"/>
      <c r="GZ213" s="2"/>
      <c r="HA213" s="2">
        <v>0</v>
      </c>
      <c r="HB213" s="2">
        <v>0</v>
      </c>
      <c r="HC213" s="2">
        <f>0</f>
        <v>0</v>
      </c>
      <c r="HD213" s="2"/>
      <c r="HE213" s="2" t="s">
        <v>3</v>
      </c>
      <c r="HF213" s="2" t="s">
        <v>3</v>
      </c>
      <c r="HG213" s="2"/>
      <c r="HH213" s="2"/>
      <c r="HI213" s="2"/>
      <c r="HJ213" s="2"/>
      <c r="HK213" s="2"/>
      <c r="HL213" s="2"/>
      <c r="HM213" s="2" t="s">
        <v>3</v>
      </c>
      <c r="HN213" s="2" t="s">
        <v>52</v>
      </c>
      <c r="HO213" s="2" t="s">
        <v>53</v>
      </c>
      <c r="HP213" s="2" t="s">
        <v>49</v>
      </c>
      <c r="HQ213" s="2" t="s">
        <v>49</v>
      </c>
      <c r="HR213" s="2"/>
      <c r="HS213" s="2">
        <v>0</v>
      </c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>
        <v>0</v>
      </c>
      <c r="IL213" s="2"/>
      <c r="IM213" s="2"/>
      <c r="IN213" s="2"/>
      <c r="IO213" s="2"/>
      <c r="IP213" s="2"/>
      <c r="IQ213" s="2"/>
      <c r="IR213" s="2"/>
      <c r="IS213" s="2"/>
      <c r="IT213" s="2"/>
      <c r="IU213" s="2"/>
    </row>
    <row r="214" spans="1:255" x14ac:dyDescent="0.2">
      <c r="A214" s="2">
        <v>18</v>
      </c>
      <c r="B214" s="2">
        <v>1</v>
      </c>
      <c r="C214" s="2">
        <v>164</v>
      </c>
      <c r="D214" s="2"/>
      <c r="E214" s="2" t="s">
        <v>373</v>
      </c>
      <c r="F214" s="2" t="s">
        <v>27</v>
      </c>
      <c r="G214" s="2" t="s">
        <v>28</v>
      </c>
      <c r="H214" s="2" t="s">
        <v>29</v>
      </c>
      <c r="I214" s="2">
        <f>I212*J214</f>
        <v>3.6000000000000002E-4</v>
      </c>
      <c r="J214" s="2">
        <v>3.0000000000000005E-3</v>
      </c>
      <c r="K214" s="2">
        <v>0.01</v>
      </c>
      <c r="L214" s="2"/>
      <c r="M214" s="2"/>
      <c r="N214" s="2"/>
      <c r="O214" s="2">
        <f t="shared" ref="O214:O222" si="213">ROUND(CP214,2)</f>
        <v>0.25</v>
      </c>
      <c r="P214" s="2">
        <f>ROUND(CQ214*I214,2)</f>
        <v>0</v>
      </c>
      <c r="Q214" s="2">
        <f>ROUND(CR214*I214,2)</f>
        <v>0.02</v>
      </c>
      <c r="R214" s="2">
        <f>ROUND(CS214*I214,2)</f>
        <v>0.23</v>
      </c>
      <c r="S214" s="2">
        <f>ROUND(CT214*I214,2)</f>
        <v>0</v>
      </c>
      <c r="T214" s="2">
        <f t="shared" si="199"/>
        <v>0</v>
      </c>
      <c r="U214" s="2">
        <f>ROUND(CV214*I214,7)</f>
        <v>0</v>
      </c>
      <c r="V214" s="2">
        <f>ROUND(CW214*I214,7)</f>
        <v>0</v>
      </c>
      <c r="W214" s="2">
        <f t="shared" si="200"/>
        <v>0</v>
      </c>
      <c r="X214" s="2">
        <f t="shared" si="201"/>
        <v>0.22</v>
      </c>
      <c r="Y214" s="2">
        <f t="shared" si="202"/>
        <v>0.12</v>
      </c>
      <c r="Z214" s="2"/>
      <c r="AA214" s="2">
        <v>85997836</v>
      </c>
      <c r="AB214" s="2">
        <f t="shared" si="203"/>
        <v>37.32</v>
      </c>
      <c r="AC214" s="2">
        <f>ROUND((ES214),6)</f>
        <v>0</v>
      </c>
      <c r="AD214" s="2">
        <f>ROUND((((ET214)-(EU214))+AE214),6)</f>
        <v>37.32</v>
      </c>
      <c r="AE214" s="2">
        <f>ROUND((EU214),6)</f>
        <v>641.22</v>
      </c>
      <c r="AF214" s="2">
        <f>ROUND((EV214),6)</f>
        <v>0</v>
      </c>
      <c r="AG214" s="2">
        <f t="shared" si="204"/>
        <v>0</v>
      </c>
      <c r="AH214" s="2">
        <f>(EW214)</f>
        <v>0</v>
      </c>
      <c r="AI214" s="2">
        <f>(EX214)</f>
        <v>0</v>
      </c>
      <c r="AJ214" s="2">
        <f t="shared" si="205"/>
        <v>0</v>
      </c>
      <c r="AK214" s="2">
        <v>37.32</v>
      </c>
      <c r="AL214" s="2">
        <v>0</v>
      </c>
      <c r="AM214" s="2">
        <v>37.32</v>
      </c>
      <c r="AN214" s="2">
        <v>641.22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97</v>
      </c>
      <c r="AU214" s="2">
        <v>51</v>
      </c>
      <c r="AV214" s="2">
        <v>1</v>
      </c>
      <c r="AW214" s="2">
        <v>1</v>
      </c>
      <c r="AX214" s="2"/>
      <c r="AY214" s="2"/>
      <c r="AZ214" s="2">
        <v>1</v>
      </c>
      <c r="BA214" s="2">
        <v>1</v>
      </c>
      <c r="BB214" s="2">
        <v>1.54</v>
      </c>
      <c r="BC214" s="2">
        <v>1</v>
      </c>
      <c r="BD214" s="2" t="s">
        <v>3</v>
      </c>
      <c r="BE214" s="2" t="s">
        <v>3</v>
      </c>
      <c r="BF214" s="2" t="s">
        <v>3</v>
      </c>
      <c r="BG214" s="2" t="s">
        <v>3</v>
      </c>
      <c r="BH214" s="2">
        <v>2</v>
      </c>
      <c r="BI214" s="2">
        <v>2</v>
      </c>
      <c r="BJ214" s="2" t="s">
        <v>30</v>
      </c>
      <c r="BK214" s="2"/>
      <c r="BL214" s="2"/>
      <c r="BM214" s="2">
        <v>108001</v>
      </c>
      <c r="BN214" s="2">
        <v>0</v>
      </c>
      <c r="BO214" s="2" t="s">
        <v>27</v>
      </c>
      <c r="BP214" s="2">
        <v>1</v>
      </c>
      <c r="BQ214" s="2">
        <v>3</v>
      </c>
      <c r="BR214" s="2">
        <v>0</v>
      </c>
      <c r="BS214" s="2">
        <v>1</v>
      </c>
      <c r="BT214" s="2">
        <v>1</v>
      </c>
      <c r="BU214" s="2">
        <v>1</v>
      </c>
      <c r="BV214" s="2">
        <v>1</v>
      </c>
      <c r="BW214" s="2">
        <v>1</v>
      </c>
      <c r="BX214" s="2">
        <v>1</v>
      </c>
      <c r="BY214" s="2" t="s">
        <v>3</v>
      </c>
      <c r="BZ214" s="2">
        <v>97</v>
      </c>
      <c r="CA214" s="2">
        <v>51</v>
      </c>
      <c r="CB214" s="2" t="s">
        <v>3</v>
      </c>
      <c r="CC214" s="2"/>
      <c r="CD214" s="2"/>
      <c r="CE214" s="2">
        <v>0</v>
      </c>
      <c r="CF214" s="2">
        <v>0</v>
      </c>
      <c r="CG214" s="2">
        <v>0</v>
      </c>
      <c r="CH214" s="2"/>
      <c r="CI214" s="2"/>
      <c r="CJ214" s="2"/>
      <c r="CK214" s="2"/>
      <c r="CL214" s="2"/>
      <c r="CM214" s="2">
        <v>0</v>
      </c>
      <c r="CN214" s="2" t="s">
        <v>45</v>
      </c>
      <c r="CO214" s="2">
        <v>0</v>
      </c>
      <c r="CP214" s="2">
        <f t="shared" ref="CP214:CP222" si="214">(P214+Q214+S214+R214)</f>
        <v>0.25</v>
      </c>
      <c r="CQ214" s="2">
        <f>ROUND(AL214*BC214,2)</f>
        <v>0</v>
      </c>
      <c r="CR214" s="2">
        <f>ROUND(AM214*BB214,2)</f>
        <v>57.47</v>
      </c>
      <c r="CS214" s="2">
        <f>ROUND(AN214*BS214,2)</f>
        <v>641.22</v>
      </c>
      <c r="CT214" s="2">
        <f>ROUND(AO214*BA214,2)</f>
        <v>0</v>
      </c>
      <c r="CU214" s="2">
        <f>AG214</f>
        <v>0</v>
      </c>
      <c r="CV214" s="2">
        <f>AH214</f>
        <v>0</v>
      </c>
      <c r="CW214" s="2">
        <f>AI214</f>
        <v>0</v>
      </c>
      <c r="CX214" s="2">
        <f>AJ214</f>
        <v>0</v>
      </c>
      <c r="CY214" s="2">
        <f t="shared" ref="CY214:CY222" si="215">(((S214+R214)*AT214)/100)</f>
        <v>0.22310000000000002</v>
      </c>
      <c r="CZ214" s="2">
        <f t="shared" ref="CZ214:CZ222" si="216">(((S214+R214)*AU214)/100)</f>
        <v>0.1173</v>
      </c>
      <c r="DA214" s="2"/>
      <c r="DB214" s="2"/>
      <c r="DC214" s="2" t="s">
        <v>3</v>
      </c>
      <c r="DD214" s="2" t="s">
        <v>3</v>
      </c>
      <c r="DE214" s="2" t="s">
        <v>3</v>
      </c>
      <c r="DF214" s="2" t="s">
        <v>3</v>
      </c>
      <c r="DG214" s="2" t="s">
        <v>3</v>
      </c>
      <c r="DH214" s="2" t="s">
        <v>3</v>
      </c>
      <c r="DI214" s="2" t="s">
        <v>3</v>
      </c>
      <c r="DJ214" s="2" t="s">
        <v>3</v>
      </c>
      <c r="DK214" s="2" t="s">
        <v>3</v>
      </c>
      <c r="DL214" s="2" t="s">
        <v>3</v>
      </c>
      <c r="DM214" s="2" t="s">
        <v>3</v>
      </c>
      <c r="DN214" s="2">
        <v>0</v>
      </c>
      <c r="DO214" s="2">
        <v>0</v>
      </c>
      <c r="DP214" s="2">
        <v>1</v>
      </c>
      <c r="DQ214" s="2">
        <v>1</v>
      </c>
      <c r="DR214" s="2"/>
      <c r="DS214" s="2"/>
      <c r="DT214" s="2"/>
      <c r="DU214" s="2">
        <v>1011</v>
      </c>
      <c r="DV214" s="2" t="s">
        <v>29</v>
      </c>
      <c r="DW214" s="2" t="s">
        <v>29</v>
      </c>
      <c r="DX214" s="2">
        <v>1</v>
      </c>
      <c r="DY214" s="2"/>
      <c r="DZ214" s="2" t="s">
        <v>3</v>
      </c>
      <c r="EA214" s="2" t="s">
        <v>3</v>
      </c>
      <c r="EB214" s="2" t="s">
        <v>3</v>
      </c>
      <c r="EC214" s="2" t="s">
        <v>3</v>
      </c>
      <c r="ED214" s="2"/>
      <c r="EE214" s="2">
        <v>84053775</v>
      </c>
      <c r="EF214" s="2">
        <v>3</v>
      </c>
      <c r="EG214" s="2" t="s">
        <v>48</v>
      </c>
      <c r="EH214" s="2">
        <v>0</v>
      </c>
      <c r="EI214" s="2" t="s">
        <v>3</v>
      </c>
      <c r="EJ214" s="2">
        <v>2</v>
      </c>
      <c r="EK214" s="2">
        <v>108001</v>
      </c>
      <c r="EL214" s="2" t="s">
        <v>49</v>
      </c>
      <c r="EM214" s="2" t="s">
        <v>50</v>
      </c>
      <c r="EN214" s="2"/>
      <c r="EO214" s="2" t="s">
        <v>51</v>
      </c>
      <c r="EP214" s="2"/>
      <c r="EQ214" s="2">
        <v>0</v>
      </c>
      <c r="ER214" s="2">
        <v>37.32</v>
      </c>
      <c r="ES214" s="2">
        <v>0</v>
      </c>
      <c r="ET214" s="2">
        <v>37.32</v>
      </c>
      <c r="EU214" s="2">
        <v>641.22</v>
      </c>
      <c r="EV214" s="2">
        <v>0</v>
      </c>
      <c r="EW214" s="2">
        <v>0</v>
      </c>
      <c r="EX214" s="2">
        <v>0</v>
      </c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>
        <v>0</v>
      </c>
      <c r="FR214" s="2">
        <v>0</v>
      </c>
      <c r="FS214" s="2">
        <v>1</v>
      </c>
      <c r="FT214" s="2"/>
      <c r="FU214" s="2"/>
      <c r="FV214" s="2"/>
      <c r="FW214" s="2"/>
      <c r="FX214" s="2">
        <v>97</v>
      </c>
      <c r="FY214" s="2">
        <v>51</v>
      </c>
      <c r="FZ214" s="2"/>
      <c r="GA214" s="2" t="s">
        <v>3</v>
      </c>
      <c r="GB214" s="2"/>
      <c r="GC214" s="2"/>
      <c r="GD214" s="2">
        <v>1</v>
      </c>
      <c r="GE214" s="2"/>
      <c r="GF214" s="2">
        <v>945201097</v>
      </c>
      <c r="GG214" s="2">
        <v>2</v>
      </c>
      <c r="GH214" s="2">
        <v>1</v>
      </c>
      <c r="GI214" s="2">
        <v>2</v>
      </c>
      <c r="GJ214" s="2">
        <v>0</v>
      </c>
      <c r="GK214" s="2">
        <v>0</v>
      </c>
      <c r="GL214" s="2">
        <f t="shared" si="206"/>
        <v>0</v>
      </c>
      <c r="GM214" s="2">
        <f t="shared" si="207"/>
        <v>0.59</v>
      </c>
      <c r="GN214" s="2">
        <f t="shared" si="208"/>
        <v>0</v>
      </c>
      <c r="GO214" s="2">
        <f t="shared" si="209"/>
        <v>0.59</v>
      </c>
      <c r="GP214" s="2">
        <f t="shared" si="210"/>
        <v>0</v>
      </c>
      <c r="GQ214" s="2"/>
      <c r="GR214" s="2">
        <v>0</v>
      </c>
      <c r="GS214" s="2">
        <v>7</v>
      </c>
      <c r="GT214" s="2">
        <v>0</v>
      </c>
      <c r="GU214" s="2" t="s">
        <v>3</v>
      </c>
      <c r="GV214" s="2">
        <f t="shared" si="211"/>
        <v>0</v>
      </c>
      <c r="GW214" s="2">
        <v>1</v>
      </c>
      <c r="GX214" s="2">
        <f t="shared" si="212"/>
        <v>0</v>
      </c>
      <c r="GY214" s="2"/>
      <c r="GZ214" s="2"/>
      <c r="HA214" s="2">
        <v>0</v>
      </c>
      <c r="HB214" s="2">
        <v>0</v>
      </c>
      <c r="HC214" s="2">
        <f t="shared" ref="HC214:HC222" si="217">GV214*GW214</f>
        <v>0</v>
      </c>
      <c r="HD214" s="2"/>
      <c r="HE214" s="2" t="s">
        <v>3</v>
      </c>
      <c r="HF214" s="2" t="s">
        <v>3</v>
      </c>
      <c r="HG214" s="2"/>
      <c r="HH214" s="2"/>
      <c r="HI214" s="2"/>
      <c r="HJ214" s="2"/>
      <c r="HK214" s="2"/>
      <c r="HL214" s="2"/>
      <c r="HM214" s="2" t="s">
        <v>47</v>
      </c>
      <c r="HN214" s="2" t="s">
        <v>52</v>
      </c>
      <c r="HO214" s="2" t="s">
        <v>53</v>
      </c>
      <c r="HP214" s="2" t="s">
        <v>49</v>
      </c>
      <c r="HQ214" s="2" t="s">
        <v>49</v>
      </c>
      <c r="HR214" s="2"/>
      <c r="HS214" s="2">
        <v>0</v>
      </c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>
        <v>0</v>
      </c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x14ac:dyDescent="0.2">
      <c r="A215" s="2">
        <v>17</v>
      </c>
      <c r="B215" s="2">
        <v>1</v>
      </c>
      <c r="C215" s="2">
        <f>ROW(SmtRes!A171)</f>
        <v>171</v>
      </c>
      <c r="D215" s="2">
        <f>ROW(EtalonRes!A158)</f>
        <v>158</v>
      </c>
      <c r="E215" s="2" t="s">
        <v>374</v>
      </c>
      <c r="F215" s="2" t="s">
        <v>69</v>
      </c>
      <c r="G215" s="2" t="s">
        <v>70</v>
      </c>
      <c r="H215" s="2" t="s">
        <v>61</v>
      </c>
      <c r="I215" s="2">
        <f>ROUND((15)/100,7)</f>
        <v>0.15</v>
      </c>
      <c r="J215" s="2">
        <v>0</v>
      </c>
      <c r="K215" s="2">
        <f>ROUND((15)/100,7)</f>
        <v>0.15</v>
      </c>
      <c r="L215" s="2"/>
      <c r="M215" s="2"/>
      <c r="N215" s="2"/>
      <c r="O215" s="2">
        <f t="shared" si="213"/>
        <v>850.34</v>
      </c>
      <c r="P215" s="2">
        <f>SUMIF(SmtRes!AQ169:'SmtRes'!AQ171,"=1",SmtRes!DF169:'SmtRes'!DF171)</f>
        <v>0</v>
      </c>
      <c r="Q215" s="2">
        <f>SUMIF(SmtRes!AQ169:'SmtRes'!AQ171,"=1",SmtRes!DG169:'SmtRes'!DG171)</f>
        <v>0.09</v>
      </c>
      <c r="R215" s="2">
        <f>SUMIF(SmtRes!AQ169:'SmtRes'!AQ171,"=1",SmtRes!DH169:'SmtRes'!DH171)</f>
        <v>0.96</v>
      </c>
      <c r="S215" s="2">
        <f>SUMIF(SmtRes!AQ169:'SmtRes'!AQ171,"=1",SmtRes!DI169:'SmtRes'!DI171)</f>
        <v>849.29</v>
      </c>
      <c r="T215" s="2">
        <f t="shared" si="199"/>
        <v>0</v>
      </c>
      <c r="U215" s="2">
        <f>SUMIF(SmtRes!AQ169:'SmtRes'!AQ171,"=1",SmtRes!CV169:'SmtRes'!CV171)</f>
        <v>1.446</v>
      </c>
      <c r="V215" s="2">
        <f>SUMIF(SmtRes!AQ169:'SmtRes'!AQ171,"=1",SmtRes!CW169:'SmtRes'!CW171)</f>
        <v>1.5E-3</v>
      </c>
      <c r="W215" s="2">
        <f t="shared" si="200"/>
        <v>0</v>
      </c>
      <c r="X215" s="2">
        <f t="shared" si="201"/>
        <v>773.73</v>
      </c>
      <c r="Y215" s="2">
        <f t="shared" si="202"/>
        <v>408.12</v>
      </c>
      <c r="Z215" s="2"/>
      <c r="AA215" s="2">
        <v>85997836</v>
      </c>
      <c r="AB215" s="2">
        <f t="shared" si="203"/>
        <v>5662.3307999999997</v>
      </c>
      <c r="AC215" s="2">
        <f>ROUND((0),6)</f>
        <v>0</v>
      </c>
      <c r="AD215" s="2">
        <f>ROUND((((SUM(SmtRes!BR169:'SmtRes'!BR171))-(SUM(SmtRes!BS169:'SmtRes'!BS171)))+AE215),6)</f>
        <v>0.37319999999999998</v>
      </c>
      <c r="AE215" s="2">
        <f>ROUND((SUM(SmtRes!BS169:'SmtRes'!BS171)),6)</f>
        <v>6.4122000000000003</v>
      </c>
      <c r="AF215" s="2">
        <f>ROUND((SUM(SmtRes!BT169:'SmtRes'!BT171)),6)</f>
        <v>5661.9575999999997</v>
      </c>
      <c r="AG215" s="2">
        <f t="shared" si="204"/>
        <v>0</v>
      </c>
      <c r="AH215" s="2">
        <f>(SUM(SmtRes!BU169:'SmtRes'!BU171))</f>
        <v>9.64</v>
      </c>
      <c r="AI215" s="2">
        <f>(SUM(SmtRes!BV169:'SmtRes'!BV171))</f>
        <v>0.01</v>
      </c>
      <c r="AJ215" s="2">
        <f t="shared" si="205"/>
        <v>0</v>
      </c>
      <c r="AK215" s="2">
        <v>5668.7430000000004</v>
      </c>
      <c r="AL215" s="2">
        <v>0</v>
      </c>
      <c r="AM215" s="2">
        <v>0.37320000000000003</v>
      </c>
      <c r="AN215" s="2">
        <v>6.4122000000000003</v>
      </c>
      <c r="AO215" s="2">
        <v>5661.9576000000006</v>
      </c>
      <c r="AP215" s="2">
        <v>0</v>
      </c>
      <c r="AQ215" s="2">
        <v>9.64</v>
      </c>
      <c r="AR215" s="2">
        <v>0.01</v>
      </c>
      <c r="AS215" s="2">
        <v>0</v>
      </c>
      <c r="AT215" s="2">
        <v>91</v>
      </c>
      <c r="AU215" s="2">
        <v>48</v>
      </c>
      <c r="AV215" s="2">
        <v>1</v>
      </c>
      <c r="AW215" s="2">
        <v>1</v>
      </c>
      <c r="AX215" s="2"/>
      <c r="AY215" s="2"/>
      <c r="AZ215" s="2">
        <v>1</v>
      </c>
      <c r="BA215" s="2">
        <v>1</v>
      </c>
      <c r="BB215" s="2">
        <v>1</v>
      </c>
      <c r="BC215" s="2">
        <v>1</v>
      </c>
      <c r="BD215" s="2" t="s">
        <v>3</v>
      </c>
      <c r="BE215" s="2" t="s">
        <v>3</v>
      </c>
      <c r="BF215" s="2" t="s">
        <v>3</v>
      </c>
      <c r="BG215" s="2" t="s">
        <v>3</v>
      </c>
      <c r="BH215" s="2">
        <v>0</v>
      </c>
      <c r="BI215" s="2">
        <v>1</v>
      </c>
      <c r="BJ215" s="2" t="s">
        <v>71</v>
      </c>
      <c r="BK215" s="2"/>
      <c r="BL215" s="2"/>
      <c r="BM215" s="2">
        <v>67001</v>
      </c>
      <c r="BN215" s="2">
        <v>0</v>
      </c>
      <c r="BO215" s="2" t="s">
        <v>3</v>
      </c>
      <c r="BP215" s="2">
        <v>0</v>
      </c>
      <c r="BQ215" s="2">
        <v>6</v>
      </c>
      <c r="BR215" s="2">
        <v>0</v>
      </c>
      <c r="BS215" s="2">
        <v>1</v>
      </c>
      <c r="BT215" s="2">
        <v>1</v>
      </c>
      <c r="BU215" s="2">
        <v>1</v>
      </c>
      <c r="BV215" s="2">
        <v>1</v>
      </c>
      <c r="BW215" s="2">
        <v>1</v>
      </c>
      <c r="BX215" s="2">
        <v>1</v>
      </c>
      <c r="BY215" s="2" t="s">
        <v>3</v>
      </c>
      <c r="BZ215" s="2">
        <v>91</v>
      </c>
      <c r="CA215" s="2">
        <v>48</v>
      </c>
      <c r="CB215" s="2" t="s">
        <v>3</v>
      </c>
      <c r="CC215" s="2"/>
      <c r="CD215" s="2"/>
      <c r="CE215" s="2">
        <v>0</v>
      </c>
      <c r="CF215" s="2">
        <v>0</v>
      </c>
      <c r="CG215" s="2">
        <v>0</v>
      </c>
      <c r="CH215" s="2"/>
      <c r="CI215" s="2"/>
      <c r="CJ215" s="2"/>
      <c r="CK215" s="2"/>
      <c r="CL215" s="2"/>
      <c r="CM215" s="2">
        <v>0</v>
      </c>
      <c r="CN215" s="2" t="s">
        <v>3</v>
      </c>
      <c r="CO215" s="2">
        <v>0</v>
      </c>
      <c r="CP215" s="2">
        <f t="shared" si="214"/>
        <v>850.34</v>
      </c>
      <c r="CQ215" s="2">
        <f>SUMIF(SmtRes!AQ169:'SmtRes'!AQ171,"=1",SmtRes!AA169:'SmtRes'!AA171)</f>
        <v>0</v>
      </c>
      <c r="CR215" s="2">
        <f>SUMIF(SmtRes!AQ169:'SmtRes'!AQ171,"=1",SmtRes!AB169:'SmtRes'!AB171)</f>
        <v>57.47</v>
      </c>
      <c r="CS215" s="2">
        <f>SUMIF(SmtRes!AQ169:'SmtRes'!AQ171,"=1",SmtRes!AC169:'SmtRes'!AC171)</f>
        <v>641.22</v>
      </c>
      <c r="CT215" s="2">
        <f>SUMIF(SmtRes!AQ169:'SmtRes'!AQ171,"=1",SmtRes!AD169:'SmtRes'!AD171)</f>
        <v>587.34</v>
      </c>
      <c r="CU215" s="2">
        <f t="shared" ref="CU215:CU222" si="218">AG215</f>
        <v>0</v>
      </c>
      <c r="CV215" s="2">
        <f>SUMIF(SmtRes!AQ169:'SmtRes'!AQ171,"=1",SmtRes!BU169:'SmtRes'!BU171)</f>
        <v>9.64</v>
      </c>
      <c r="CW215" s="2">
        <f>SUMIF(SmtRes!AQ169:'SmtRes'!AQ171,"=1",SmtRes!BV169:'SmtRes'!BV171)</f>
        <v>0.01</v>
      </c>
      <c r="CX215" s="2">
        <f t="shared" ref="CX215:CX222" si="219">AJ215</f>
        <v>0</v>
      </c>
      <c r="CY215" s="2">
        <f t="shared" si="215"/>
        <v>773.72749999999996</v>
      </c>
      <c r="CZ215" s="2">
        <f t="shared" si="216"/>
        <v>408.12</v>
      </c>
      <c r="DA215" s="2"/>
      <c r="DB215" s="2"/>
      <c r="DC215" s="2" t="s">
        <v>3</v>
      </c>
      <c r="DD215" s="2" t="s">
        <v>3</v>
      </c>
      <c r="DE215" s="2" t="s">
        <v>3</v>
      </c>
      <c r="DF215" s="2" t="s">
        <v>3</v>
      </c>
      <c r="DG215" s="2" t="s">
        <v>3</v>
      </c>
      <c r="DH215" s="2" t="s">
        <v>3</v>
      </c>
      <c r="DI215" s="2" t="s">
        <v>3</v>
      </c>
      <c r="DJ215" s="2" t="s">
        <v>3</v>
      </c>
      <c r="DK215" s="2" t="s">
        <v>3</v>
      </c>
      <c r="DL215" s="2" t="s">
        <v>3</v>
      </c>
      <c r="DM215" s="2" t="s">
        <v>3</v>
      </c>
      <c r="DN215" s="2">
        <v>0</v>
      </c>
      <c r="DO215" s="2">
        <v>0</v>
      </c>
      <c r="DP215" s="2">
        <v>1</v>
      </c>
      <c r="DQ215" s="2">
        <v>1</v>
      </c>
      <c r="DR215" s="2"/>
      <c r="DS215" s="2"/>
      <c r="DT215" s="2"/>
      <c r="DU215" s="2">
        <v>1003</v>
      </c>
      <c r="DV215" s="2" t="s">
        <v>61</v>
      </c>
      <c r="DW215" s="2" t="s">
        <v>61</v>
      </c>
      <c r="DX215" s="2">
        <v>100</v>
      </c>
      <c r="DY215" s="2"/>
      <c r="DZ215" s="2" t="s">
        <v>3</v>
      </c>
      <c r="EA215" s="2" t="s">
        <v>3</v>
      </c>
      <c r="EB215" s="2" t="s">
        <v>3</v>
      </c>
      <c r="EC215" s="2" t="s">
        <v>3</v>
      </c>
      <c r="ED215" s="2"/>
      <c r="EE215" s="2">
        <v>84054022</v>
      </c>
      <c r="EF215" s="2">
        <v>6</v>
      </c>
      <c r="EG215" s="2" t="s">
        <v>22</v>
      </c>
      <c r="EH215" s="2">
        <v>101</v>
      </c>
      <c r="EI215" s="2" t="s">
        <v>16</v>
      </c>
      <c r="EJ215" s="2">
        <v>1</v>
      </c>
      <c r="EK215" s="2">
        <v>67001</v>
      </c>
      <c r="EL215" s="2" t="s">
        <v>16</v>
      </c>
      <c r="EM215" s="2" t="s">
        <v>23</v>
      </c>
      <c r="EN215" s="2"/>
      <c r="EO215" s="2" t="s">
        <v>3</v>
      </c>
      <c r="EP215" s="2"/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9.64</v>
      </c>
      <c r="EX215" s="2">
        <v>0.01</v>
      </c>
      <c r="EY215" s="2">
        <v>0</v>
      </c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>
        <v>0</v>
      </c>
      <c r="FR215" s="2">
        <v>0</v>
      </c>
      <c r="FS215" s="2">
        <v>0</v>
      </c>
      <c r="FT215" s="2"/>
      <c r="FU215" s="2"/>
      <c r="FV215" s="2"/>
      <c r="FW215" s="2"/>
      <c r="FX215" s="2">
        <v>91</v>
      </c>
      <c r="FY215" s="2">
        <v>48</v>
      </c>
      <c r="FZ215" s="2"/>
      <c r="GA215" s="2" t="s">
        <v>3</v>
      </c>
      <c r="GB215" s="2"/>
      <c r="GC215" s="2"/>
      <c r="GD215" s="2">
        <v>1</v>
      </c>
      <c r="GE215" s="2"/>
      <c r="GF215" s="2">
        <v>-1680163909</v>
      </c>
      <c r="GG215" s="2">
        <v>2</v>
      </c>
      <c r="GH215" s="2">
        <v>1</v>
      </c>
      <c r="GI215" s="2">
        <v>-2</v>
      </c>
      <c r="GJ215" s="2">
        <v>0</v>
      </c>
      <c r="GK215" s="2">
        <v>0</v>
      </c>
      <c r="GL215" s="2">
        <f t="shared" si="206"/>
        <v>0</v>
      </c>
      <c r="GM215" s="2">
        <f t="shared" si="207"/>
        <v>2032.19</v>
      </c>
      <c r="GN215" s="2">
        <f t="shared" si="208"/>
        <v>2032.19</v>
      </c>
      <c r="GO215" s="2">
        <f t="shared" si="209"/>
        <v>0</v>
      </c>
      <c r="GP215" s="2">
        <f t="shared" si="210"/>
        <v>0</v>
      </c>
      <c r="GQ215" s="2"/>
      <c r="GR215" s="2">
        <v>0</v>
      </c>
      <c r="GS215" s="2">
        <v>0</v>
      </c>
      <c r="GT215" s="2">
        <v>0</v>
      </c>
      <c r="GU215" s="2" t="s">
        <v>3</v>
      </c>
      <c r="GV215" s="2">
        <f t="shared" si="211"/>
        <v>0</v>
      </c>
      <c r="GW215" s="2">
        <v>1</v>
      </c>
      <c r="GX215" s="2">
        <f t="shared" si="212"/>
        <v>0</v>
      </c>
      <c r="GY215" s="2"/>
      <c r="GZ215" s="2"/>
      <c r="HA215" s="2">
        <v>0</v>
      </c>
      <c r="HB215" s="2">
        <v>0</v>
      </c>
      <c r="HC215" s="2">
        <f t="shared" si="217"/>
        <v>0</v>
      </c>
      <c r="HD215" s="2"/>
      <c r="HE215" s="2" t="s">
        <v>3</v>
      </c>
      <c r="HF215" s="2" t="s">
        <v>3</v>
      </c>
      <c r="HG215" s="2"/>
      <c r="HH215" s="2"/>
      <c r="HI215" s="2"/>
      <c r="HJ215" s="2"/>
      <c r="HK215" s="2"/>
      <c r="HL215" s="2"/>
      <c r="HM215" s="2" t="s">
        <v>3</v>
      </c>
      <c r="HN215" s="2" t="s">
        <v>24</v>
      </c>
      <c r="HO215" s="2" t="s">
        <v>25</v>
      </c>
      <c r="HP215" s="2" t="s">
        <v>16</v>
      </c>
      <c r="HQ215" s="2" t="s">
        <v>16</v>
      </c>
      <c r="HR215" s="2"/>
      <c r="HS215" s="2">
        <v>0</v>
      </c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>
        <v>0</v>
      </c>
      <c r="IL215" s="2"/>
      <c r="IM215" s="2"/>
      <c r="IN215" s="2"/>
      <c r="IO215" s="2"/>
      <c r="IP215" s="2"/>
      <c r="IQ215" s="2"/>
      <c r="IR215" s="2"/>
      <c r="IS215" s="2"/>
      <c r="IT215" s="2"/>
      <c r="IU215" s="2"/>
    </row>
    <row r="216" spans="1:255" x14ac:dyDescent="0.2">
      <c r="A216" s="2">
        <v>17</v>
      </c>
      <c r="B216" s="2">
        <v>1</v>
      </c>
      <c r="C216" s="2">
        <f>ROW(SmtRes!A172)</f>
        <v>172</v>
      </c>
      <c r="D216" s="2">
        <f>ROW(EtalonRes!A159)</f>
        <v>159</v>
      </c>
      <c r="E216" s="2" t="s">
        <v>375</v>
      </c>
      <c r="F216" s="2" t="s">
        <v>37</v>
      </c>
      <c r="G216" s="2" t="s">
        <v>38</v>
      </c>
      <c r="H216" s="2" t="s">
        <v>20</v>
      </c>
      <c r="I216" s="2">
        <f>ROUND((16+1)/100,7)</f>
        <v>0.17</v>
      </c>
      <c r="J216" s="2">
        <v>0</v>
      </c>
      <c r="K216" s="2">
        <f>ROUND((16+1)/100,7)</f>
        <v>0.17</v>
      </c>
      <c r="L216" s="2"/>
      <c r="M216" s="2"/>
      <c r="N216" s="2"/>
      <c r="O216" s="2">
        <f t="shared" si="213"/>
        <v>583.11</v>
      </c>
      <c r="P216" s="2">
        <f>SUMIF(SmtRes!AQ172:'SmtRes'!AQ172,"=1",SmtRes!DF172:'SmtRes'!DF172)</f>
        <v>0</v>
      </c>
      <c r="Q216" s="2">
        <f>SUMIF(SmtRes!AQ172:'SmtRes'!AQ172,"=1",SmtRes!DG172:'SmtRes'!DG172)</f>
        <v>0</v>
      </c>
      <c r="R216" s="2">
        <f>SUMIF(SmtRes!AQ172:'SmtRes'!AQ172,"=1",SmtRes!DH172:'SmtRes'!DH172)</f>
        <v>0</v>
      </c>
      <c r="S216" s="2">
        <f>SUMIF(SmtRes!AQ172:'SmtRes'!AQ172,"=1",SmtRes!DI172:'SmtRes'!DI172)</f>
        <v>583.11</v>
      </c>
      <c r="T216" s="2">
        <f t="shared" si="199"/>
        <v>0</v>
      </c>
      <c r="U216" s="2">
        <f>SUMIF(SmtRes!AQ172:'SmtRes'!AQ172,"=1",SmtRes!CV172:'SmtRes'!CV172)</f>
        <v>0.99280000000000002</v>
      </c>
      <c r="V216" s="2">
        <f>SUMIF(SmtRes!AQ172:'SmtRes'!AQ172,"=1",SmtRes!CW172:'SmtRes'!CW172)</f>
        <v>0</v>
      </c>
      <c r="W216" s="2">
        <f t="shared" si="200"/>
        <v>0</v>
      </c>
      <c r="X216" s="2">
        <f t="shared" si="201"/>
        <v>530.63</v>
      </c>
      <c r="Y216" s="2">
        <f t="shared" si="202"/>
        <v>279.89</v>
      </c>
      <c r="Z216" s="2"/>
      <c r="AA216" s="2">
        <v>85997836</v>
      </c>
      <c r="AB216" s="2">
        <f t="shared" si="203"/>
        <v>3430.0655999999999</v>
      </c>
      <c r="AC216" s="2">
        <f>ROUND((0),6)</f>
        <v>0</v>
      </c>
      <c r="AD216" s="2">
        <f>ROUND((((0)-(0))+AE216),6)</f>
        <v>0</v>
      </c>
      <c r="AE216" s="2">
        <f>ROUND((0),6)</f>
        <v>0</v>
      </c>
      <c r="AF216" s="2">
        <f>ROUND((SUM(SmtRes!BT172:'SmtRes'!BT172)),6)</f>
        <v>3430.0655999999999</v>
      </c>
      <c r="AG216" s="2">
        <f t="shared" si="204"/>
        <v>0</v>
      </c>
      <c r="AH216" s="2">
        <f>(SUM(SmtRes!BU172:'SmtRes'!BU172))</f>
        <v>5.84</v>
      </c>
      <c r="AI216" s="2">
        <f>(0)</f>
        <v>0</v>
      </c>
      <c r="AJ216" s="2">
        <f t="shared" si="205"/>
        <v>0</v>
      </c>
      <c r="AK216" s="2">
        <v>3430.0655999999999</v>
      </c>
      <c r="AL216" s="2">
        <v>0</v>
      </c>
      <c r="AM216" s="2">
        <v>0</v>
      </c>
      <c r="AN216" s="2">
        <v>0</v>
      </c>
      <c r="AO216" s="2">
        <v>3430.0655999999999</v>
      </c>
      <c r="AP216" s="2">
        <v>0</v>
      </c>
      <c r="AQ216" s="2">
        <v>5.84</v>
      </c>
      <c r="AR216" s="2">
        <v>0</v>
      </c>
      <c r="AS216" s="2">
        <v>0</v>
      </c>
      <c r="AT216" s="2">
        <v>91</v>
      </c>
      <c r="AU216" s="2">
        <v>48</v>
      </c>
      <c r="AV216" s="2">
        <v>1</v>
      </c>
      <c r="AW216" s="2">
        <v>1</v>
      </c>
      <c r="AX216" s="2"/>
      <c r="AY216" s="2"/>
      <c r="AZ216" s="2">
        <v>1</v>
      </c>
      <c r="BA216" s="2">
        <v>1</v>
      </c>
      <c r="BB216" s="2">
        <v>1</v>
      </c>
      <c r="BC216" s="2">
        <v>1</v>
      </c>
      <c r="BD216" s="2" t="s">
        <v>3</v>
      </c>
      <c r="BE216" s="2" t="s">
        <v>3</v>
      </c>
      <c r="BF216" s="2" t="s">
        <v>3</v>
      </c>
      <c r="BG216" s="2" t="s">
        <v>3</v>
      </c>
      <c r="BH216" s="2">
        <v>0</v>
      </c>
      <c r="BI216" s="2">
        <v>1</v>
      </c>
      <c r="BJ216" s="2" t="s">
        <v>39</v>
      </c>
      <c r="BK216" s="2"/>
      <c r="BL216" s="2"/>
      <c r="BM216" s="2">
        <v>67001</v>
      </c>
      <c r="BN216" s="2">
        <v>0</v>
      </c>
      <c r="BO216" s="2" t="s">
        <v>3</v>
      </c>
      <c r="BP216" s="2">
        <v>0</v>
      </c>
      <c r="BQ216" s="2">
        <v>6</v>
      </c>
      <c r="BR216" s="2">
        <v>0</v>
      </c>
      <c r="BS216" s="2">
        <v>1</v>
      </c>
      <c r="BT216" s="2">
        <v>1</v>
      </c>
      <c r="BU216" s="2">
        <v>1</v>
      </c>
      <c r="BV216" s="2">
        <v>1</v>
      </c>
      <c r="BW216" s="2">
        <v>1</v>
      </c>
      <c r="BX216" s="2">
        <v>1</v>
      </c>
      <c r="BY216" s="2" t="s">
        <v>3</v>
      </c>
      <c r="BZ216" s="2">
        <v>91</v>
      </c>
      <c r="CA216" s="2">
        <v>48</v>
      </c>
      <c r="CB216" s="2" t="s">
        <v>3</v>
      </c>
      <c r="CC216" s="2"/>
      <c r="CD216" s="2"/>
      <c r="CE216" s="2">
        <v>0</v>
      </c>
      <c r="CF216" s="2">
        <v>0</v>
      </c>
      <c r="CG216" s="2">
        <v>0</v>
      </c>
      <c r="CH216" s="2"/>
      <c r="CI216" s="2"/>
      <c r="CJ216" s="2"/>
      <c r="CK216" s="2"/>
      <c r="CL216" s="2"/>
      <c r="CM216" s="2">
        <v>0</v>
      </c>
      <c r="CN216" s="2" t="s">
        <v>3</v>
      </c>
      <c r="CO216" s="2">
        <v>0</v>
      </c>
      <c r="CP216" s="2">
        <f t="shared" si="214"/>
        <v>583.11</v>
      </c>
      <c r="CQ216" s="2">
        <f>SUMIF(SmtRes!AQ172:'SmtRes'!AQ172,"=1",SmtRes!AA172:'SmtRes'!AA172)</f>
        <v>0</v>
      </c>
      <c r="CR216" s="2">
        <f>SUMIF(SmtRes!AQ172:'SmtRes'!AQ172,"=1",SmtRes!AB172:'SmtRes'!AB172)</f>
        <v>0</v>
      </c>
      <c r="CS216" s="2">
        <f>SUMIF(SmtRes!AQ172:'SmtRes'!AQ172,"=1",SmtRes!AC172:'SmtRes'!AC172)</f>
        <v>0</v>
      </c>
      <c r="CT216" s="2">
        <f>SUMIF(SmtRes!AQ172:'SmtRes'!AQ172,"=1",SmtRes!AD172:'SmtRes'!AD172)</f>
        <v>587.34</v>
      </c>
      <c r="CU216" s="2">
        <f t="shared" si="218"/>
        <v>0</v>
      </c>
      <c r="CV216" s="2">
        <f>SUMIF(SmtRes!AQ172:'SmtRes'!AQ172,"=1",SmtRes!BU172:'SmtRes'!BU172)</f>
        <v>5.84</v>
      </c>
      <c r="CW216" s="2">
        <f>SUMIF(SmtRes!AQ172:'SmtRes'!AQ172,"=1",SmtRes!BV172:'SmtRes'!BV172)</f>
        <v>0</v>
      </c>
      <c r="CX216" s="2">
        <f t="shared" si="219"/>
        <v>0</v>
      </c>
      <c r="CY216" s="2">
        <f t="shared" si="215"/>
        <v>530.63009999999997</v>
      </c>
      <c r="CZ216" s="2">
        <f t="shared" si="216"/>
        <v>279.89279999999997</v>
      </c>
      <c r="DA216" s="2"/>
      <c r="DB216" s="2"/>
      <c r="DC216" s="2" t="s">
        <v>3</v>
      </c>
      <c r="DD216" s="2" t="s">
        <v>3</v>
      </c>
      <c r="DE216" s="2" t="s">
        <v>3</v>
      </c>
      <c r="DF216" s="2" t="s">
        <v>3</v>
      </c>
      <c r="DG216" s="2" t="s">
        <v>3</v>
      </c>
      <c r="DH216" s="2" t="s">
        <v>3</v>
      </c>
      <c r="DI216" s="2" t="s">
        <v>3</v>
      </c>
      <c r="DJ216" s="2" t="s">
        <v>3</v>
      </c>
      <c r="DK216" s="2" t="s">
        <v>3</v>
      </c>
      <c r="DL216" s="2" t="s">
        <v>3</v>
      </c>
      <c r="DM216" s="2" t="s">
        <v>3</v>
      </c>
      <c r="DN216" s="2">
        <v>0</v>
      </c>
      <c r="DO216" s="2">
        <v>0</v>
      </c>
      <c r="DP216" s="2">
        <v>1</v>
      </c>
      <c r="DQ216" s="2">
        <v>1</v>
      </c>
      <c r="DR216" s="2"/>
      <c r="DS216" s="2"/>
      <c r="DT216" s="2"/>
      <c r="DU216" s="2">
        <v>1013</v>
      </c>
      <c r="DV216" s="2" t="s">
        <v>20</v>
      </c>
      <c r="DW216" s="2" t="s">
        <v>20</v>
      </c>
      <c r="DX216" s="2">
        <v>1</v>
      </c>
      <c r="DY216" s="2"/>
      <c r="DZ216" s="2" t="s">
        <v>3</v>
      </c>
      <c r="EA216" s="2" t="s">
        <v>3</v>
      </c>
      <c r="EB216" s="2" t="s">
        <v>3</v>
      </c>
      <c r="EC216" s="2" t="s">
        <v>3</v>
      </c>
      <c r="ED216" s="2"/>
      <c r="EE216" s="2">
        <v>84054022</v>
      </c>
      <c r="EF216" s="2">
        <v>6</v>
      </c>
      <c r="EG216" s="2" t="s">
        <v>22</v>
      </c>
      <c r="EH216" s="2">
        <v>101</v>
      </c>
      <c r="EI216" s="2" t="s">
        <v>16</v>
      </c>
      <c r="EJ216" s="2">
        <v>1</v>
      </c>
      <c r="EK216" s="2">
        <v>67001</v>
      </c>
      <c r="EL216" s="2" t="s">
        <v>16</v>
      </c>
      <c r="EM216" s="2" t="s">
        <v>23</v>
      </c>
      <c r="EN216" s="2"/>
      <c r="EO216" s="2" t="s">
        <v>3</v>
      </c>
      <c r="EP216" s="2"/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5.84</v>
      </c>
      <c r="EX216" s="2">
        <v>0</v>
      </c>
      <c r="EY216" s="2">
        <v>0</v>
      </c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>
        <v>0</v>
      </c>
      <c r="FR216" s="2">
        <v>0</v>
      </c>
      <c r="FS216" s="2">
        <v>0</v>
      </c>
      <c r="FT216" s="2"/>
      <c r="FU216" s="2"/>
      <c r="FV216" s="2"/>
      <c r="FW216" s="2"/>
      <c r="FX216" s="2">
        <v>91</v>
      </c>
      <c r="FY216" s="2">
        <v>48</v>
      </c>
      <c r="FZ216" s="2"/>
      <c r="GA216" s="2" t="s">
        <v>3</v>
      </c>
      <c r="GB216" s="2"/>
      <c r="GC216" s="2"/>
      <c r="GD216" s="2">
        <v>1</v>
      </c>
      <c r="GE216" s="2"/>
      <c r="GF216" s="2">
        <v>1484600196</v>
      </c>
      <c r="GG216" s="2">
        <v>2</v>
      </c>
      <c r="GH216" s="2">
        <v>1</v>
      </c>
      <c r="GI216" s="2">
        <v>-2</v>
      </c>
      <c r="GJ216" s="2">
        <v>0</v>
      </c>
      <c r="GK216" s="2">
        <v>0</v>
      </c>
      <c r="GL216" s="2">
        <f t="shared" si="206"/>
        <v>0</v>
      </c>
      <c r="GM216" s="2">
        <f t="shared" si="207"/>
        <v>1393.63</v>
      </c>
      <c r="GN216" s="2">
        <f t="shared" si="208"/>
        <v>1393.63</v>
      </c>
      <c r="GO216" s="2">
        <f t="shared" si="209"/>
        <v>0</v>
      </c>
      <c r="GP216" s="2">
        <f t="shared" si="210"/>
        <v>0</v>
      </c>
      <c r="GQ216" s="2"/>
      <c r="GR216" s="2">
        <v>0</v>
      </c>
      <c r="GS216" s="2">
        <v>0</v>
      </c>
      <c r="GT216" s="2">
        <v>0</v>
      </c>
      <c r="GU216" s="2" t="s">
        <v>3</v>
      </c>
      <c r="GV216" s="2">
        <f t="shared" si="211"/>
        <v>0</v>
      </c>
      <c r="GW216" s="2">
        <v>1</v>
      </c>
      <c r="GX216" s="2">
        <f t="shared" si="212"/>
        <v>0</v>
      </c>
      <c r="GY216" s="2"/>
      <c r="GZ216" s="2"/>
      <c r="HA216" s="2">
        <v>0</v>
      </c>
      <c r="HB216" s="2">
        <v>0</v>
      </c>
      <c r="HC216" s="2">
        <f t="shared" si="217"/>
        <v>0</v>
      </c>
      <c r="HD216" s="2"/>
      <c r="HE216" s="2" t="s">
        <v>3</v>
      </c>
      <c r="HF216" s="2" t="s">
        <v>3</v>
      </c>
      <c r="HG216" s="2"/>
      <c r="HH216" s="2"/>
      <c r="HI216" s="2"/>
      <c r="HJ216" s="2"/>
      <c r="HK216" s="2"/>
      <c r="HL216" s="2"/>
      <c r="HM216" s="2" t="s">
        <v>3</v>
      </c>
      <c r="HN216" s="2" t="s">
        <v>24</v>
      </c>
      <c r="HO216" s="2" t="s">
        <v>25</v>
      </c>
      <c r="HP216" s="2" t="s">
        <v>16</v>
      </c>
      <c r="HQ216" s="2" t="s">
        <v>16</v>
      </c>
      <c r="HR216" s="2"/>
      <c r="HS216" s="2">
        <v>0</v>
      </c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>
        <v>0</v>
      </c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x14ac:dyDescent="0.2">
      <c r="A217" s="2">
        <v>17</v>
      </c>
      <c r="B217" s="2">
        <v>1</v>
      </c>
      <c r="C217" s="2">
        <f>ROW(SmtRes!A184)</f>
        <v>184</v>
      </c>
      <c r="D217" s="2">
        <f>ROW(EtalonRes!A166)</f>
        <v>166</v>
      </c>
      <c r="E217" s="2" t="s">
        <v>376</v>
      </c>
      <c r="F217" s="2" t="s">
        <v>82</v>
      </c>
      <c r="G217" s="2" t="s">
        <v>377</v>
      </c>
      <c r="H217" s="2" t="s">
        <v>61</v>
      </c>
      <c r="I217" s="2">
        <f>ROUND((15)/100,7)</f>
        <v>0.15</v>
      </c>
      <c r="J217" s="2">
        <v>0</v>
      </c>
      <c r="K217" s="2">
        <f>ROUND((15)/100,7)</f>
        <v>0.15</v>
      </c>
      <c r="L217" s="2"/>
      <c r="M217" s="2"/>
      <c r="N217" s="2"/>
      <c r="O217" s="2">
        <f t="shared" si="213"/>
        <v>2232.6799999999998</v>
      </c>
      <c r="P217" s="2">
        <f>SUMIF(SmtRes!AQ173:'SmtRes'!AQ184,"=1",SmtRes!DF173:'SmtRes'!DF184)</f>
        <v>55.460000000000008</v>
      </c>
      <c r="Q217" s="2">
        <f>SUMIF(SmtRes!AQ173:'SmtRes'!AQ184,"=1",SmtRes!DG173:'SmtRes'!DG184)</f>
        <v>0</v>
      </c>
      <c r="R217" s="2">
        <f>SUMIF(SmtRes!AQ173:'SmtRes'!AQ184,"=1",SmtRes!DH173:'SmtRes'!DH184)</f>
        <v>0</v>
      </c>
      <c r="S217" s="2">
        <f>SUMIF(SmtRes!AQ173:'SmtRes'!AQ184,"=1",SmtRes!DI173:'SmtRes'!DI184)</f>
        <v>2177.2199999999998</v>
      </c>
      <c r="T217" s="2">
        <f t="shared" si="199"/>
        <v>0</v>
      </c>
      <c r="U217" s="2">
        <f>SUMIF(SmtRes!AQ173:'SmtRes'!AQ184,"=1",SmtRes!CV173:'SmtRes'!CV184)</f>
        <v>3.0495000000000001</v>
      </c>
      <c r="V217" s="2">
        <f>SUMIF(SmtRes!AQ173:'SmtRes'!AQ184,"=1",SmtRes!CW173:'SmtRes'!CW184)</f>
        <v>0</v>
      </c>
      <c r="W217" s="2">
        <f t="shared" si="200"/>
        <v>0</v>
      </c>
      <c r="X217" s="2">
        <f t="shared" si="201"/>
        <v>2111.9</v>
      </c>
      <c r="Y217" s="2">
        <f t="shared" si="202"/>
        <v>1110.3800000000001</v>
      </c>
      <c r="Z217" s="2"/>
      <c r="AA217" s="2">
        <v>85997836</v>
      </c>
      <c r="AB217" s="2">
        <f t="shared" si="203"/>
        <v>14813.980056</v>
      </c>
      <c r="AC217" s="2">
        <f>ROUND((SUM(SmtRes!BQ173:'SmtRes'!BQ184)),6)</f>
        <v>299.17325599999998</v>
      </c>
      <c r="AD217" s="2">
        <f>ROUND((((0)-(0))+AE217),6)</f>
        <v>0</v>
      </c>
      <c r="AE217" s="2">
        <f>ROUND((0),6)</f>
        <v>0</v>
      </c>
      <c r="AF217" s="2">
        <f>ROUND((SUM(SmtRes!BT173:'SmtRes'!BT184)),6)</f>
        <v>14514.8068</v>
      </c>
      <c r="AG217" s="2">
        <f t="shared" si="204"/>
        <v>0</v>
      </c>
      <c r="AH217" s="2">
        <f>(SUM(SmtRes!BU173:'SmtRes'!BU184))</f>
        <v>20.329999999999998</v>
      </c>
      <c r="AI217" s="2">
        <f>(0)</f>
        <v>0</v>
      </c>
      <c r="AJ217" s="2">
        <f t="shared" si="205"/>
        <v>0</v>
      </c>
      <c r="AK217" s="2">
        <v>14813.980056</v>
      </c>
      <c r="AL217" s="2">
        <v>299.17325599999998</v>
      </c>
      <c r="AM217" s="2">
        <v>0</v>
      </c>
      <c r="AN217" s="2">
        <v>0</v>
      </c>
      <c r="AO217" s="2">
        <v>14514.8068</v>
      </c>
      <c r="AP217" s="2">
        <v>0</v>
      </c>
      <c r="AQ217" s="2">
        <v>20.329999999999998</v>
      </c>
      <c r="AR217" s="2">
        <v>0.01</v>
      </c>
      <c r="AS217" s="2">
        <v>0</v>
      </c>
      <c r="AT217" s="2">
        <v>97</v>
      </c>
      <c r="AU217" s="2">
        <v>51</v>
      </c>
      <c r="AV217" s="2">
        <v>1</v>
      </c>
      <c r="AW217" s="2">
        <v>1</v>
      </c>
      <c r="AX217" s="2"/>
      <c r="AY217" s="2"/>
      <c r="AZ217" s="2">
        <v>1</v>
      </c>
      <c r="BA217" s="2">
        <v>1</v>
      </c>
      <c r="BB217" s="2">
        <v>1</v>
      </c>
      <c r="BC217" s="2">
        <v>1</v>
      </c>
      <c r="BD217" s="2" t="s">
        <v>3</v>
      </c>
      <c r="BE217" s="2" t="s">
        <v>3</v>
      </c>
      <c r="BF217" s="2" t="s">
        <v>3</v>
      </c>
      <c r="BG217" s="2" t="s">
        <v>3</v>
      </c>
      <c r="BH217" s="2">
        <v>0</v>
      </c>
      <c r="BI217" s="2">
        <v>2</v>
      </c>
      <c r="BJ217" s="2" t="s">
        <v>84</v>
      </c>
      <c r="BK217" s="2"/>
      <c r="BL217" s="2"/>
      <c r="BM217" s="2">
        <v>108001</v>
      </c>
      <c r="BN217" s="2">
        <v>0</v>
      </c>
      <c r="BO217" s="2" t="s">
        <v>3</v>
      </c>
      <c r="BP217" s="2">
        <v>0</v>
      </c>
      <c r="BQ217" s="2">
        <v>3</v>
      </c>
      <c r="BR217" s="2">
        <v>0</v>
      </c>
      <c r="BS217" s="2">
        <v>1</v>
      </c>
      <c r="BT217" s="2">
        <v>1</v>
      </c>
      <c r="BU217" s="2">
        <v>1</v>
      </c>
      <c r="BV217" s="2">
        <v>1</v>
      </c>
      <c r="BW217" s="2">
        <v>1</v>
      </c>
      <c r="BX217" s="2">
        <v>1</v>
      </c>
      <c r="BY217" s="2" t="s">
        <v>3</v>
      </c>
      <c r="BZ217" s="2">
        <v>97</v>
      </c>
      <c r="CA217" s="2">
        <v>51</v>
      </c>
      <c r="CB217" s="2" t="s">
        <v>3</v>
      </c>
      <c r="CC217" s="2"/>
      <c r="CD217" s="2"/>
      <c r="CE217" s="2">
        <v>0</v>
      </c>
      <c r="CF217" s="2">
        <v>0</v>
      </c>
      <c r="CG217" s="2">
        <v>0</v>
      </c>
      <c r="CH217" s="2"/>
      <c r="CI217" s="2"/>
      <c r="CJ217" s="2"/>
      <c r="CK217" s="2"/>
      <c r="CL217" s="2"/>
      <c r="CM217" s="2">
        <v>0</v>
      </c>
      <c r="CN217" s="2" t="s">
        <v>3</v>
      </c>
      <c r="CO217" s="2">
        <v>0</v>
      </c>
      <c r="CP217" s="2">
        <f t="shared" si="214"/>
        <v>2232.6799999999998</v>
      </c>
      <c r="CQ217" s="2">
        <f>SUMIF(SmtRes!AQ173:'SmtRes'!AQ184,"=1",SmtRes!AA173:'SmtRes'!AA184)</f>
        <v>128299.93</v>
      </c>
      <c r="CR217" s="2">
        <f>SUMIF(SmtRes!AQ173:'SmtRes'!AQ184,"=1",SmtRes!AB173:'SmtRes'!AB184)</f>
        <v>0</v>
      </c>
      <c r="CS217" s="2">
        <f>SUMIF(SmtRes!AQ173:'SmtRes'!AQ184,"=1",SmtRes!AC173:'SmtRes'!AC184)</f>
        <v>0</v>
      </c>
      <c r="CT217" s="2">
        <f>SUMIF(SmtRes!AQ173:'SmtRes'!AQ184,"=1",SmtRes!AD173:'SmtRes'!AD184)</f>
        <v>713.96</v>
      </c>
      <c r="CU217" s="2">
        <f t="shared" si="218"/>
        <v>0</v>
      </c>
      <c r="CV217" s="2">
        <f>SUMIF(SmtRes!AQ173:'SmtRes'!AQ184,"=1",SmtRes!BU173:'SmtRes'!BU184)</f>
        <v>20.329999999999998</v>
      </c>
      <c r="CW217" s="2">
        <f>SUMIF(SmtRes!AQ173:'SmtRes'!AQ184,"=1",SmtRes!BV173:'SmtRes'!BV184)</f>
        <v>0</v>
      </c>
      <c r="CX217" s="2">
        <f t="shared" si="219"/>
        <v>0</v>
      </c>
      <c r="CY217" s="2">
        <f t="shared" si="215"/>
        <v>2111.9033999999997</v>
      </c>
      <c r="CZ217" s="2">
        <f t="shared" si="216"/>
        <v>1110.3821999999998</v>
      </c>
      <c r="DA217" s="2"/>
      <c r="DB217" s="2"/>
      <c r="DC217" s="2" t="s">
        <v>3</v>
      </c>
      <c r="DD217" s="2" t="s">
        <v>3</v>
      </c>
      <c r="DE217" s="2" t="s">
        <v>3</v>
      </c>
      <c r="DF217" s="2" t="s">
        <v>3</v>
      </c>
      <c r="DG217" s="2" t="s">
        <v>3</v>
      </c>
      <c r="DH217" s="2" t="s">
        <v>3</v>
      </c>
      <c r="DI217" s="2" t="s">
        <v>3</v>
      </c>
      <c r="DJ217" s="2" t="s">
        <v>3</v>
      </c>
      <c r="DK217" s="2" t="s">
        <v>3</v>
      </c>
      <c r="DL217" s="2" t="s">
        <v>3</v>
      </c>
      <c r="DM217" s="2" t="s">
        <v>3</v>
      </c>
      <c r="DN217" s="2">
        <v>0</v>
      </c>
      <c r="DO217" s="2">
        <v>0</v>
      </c>
      <c r="DP217" s="2">
        <v>1</v>
      </c>
      <c r="DQ217" s="2">
        <v>1</v>
      </c>
      <c r="DR217" s="2"/>
      <c r="DS217" s="2"/>
      <c r="DT217" s="2"/>
      <c r="DU217" s="2">
        <v>1003</v>
      </c>
      <c r="DV217" s="2" t="s">
        <v>61</v>
      </c>
      <c r="DW217" s="2" t="s">
        <v>61</v>
      </c>
      <c r="DX217" s="2">
        <v>100</v>
      </c>
      <c r="DY217" s="2"/>
      <c r="DZ217" s="2" t="s">
        <v>3</v>
      </c>
      <c r="EA217" s="2" t="s">
        <v>3</v>
      </c>
      <c r="EB217" s="2" t="s">
        <v>3</v>
      </c>
      <c r="EC217" s="2" t="s">
        <v>3</v>
      </c>
      <c r="ED217" s="2"/>
      <c r="EE217" s="2">
        <v>84053775</v>
      </c>
      <c r="EF217" s="2">
        <v>3</v>
      </c>
      <c r="EG217" s="2" t="s">
        <v>48</v>
      </c>
      <c r="EH217" s="2">
        <v>0</v>
      </c>
      <c r="EI217" s="2" t="s">
        <v>3</v>
      </c>
      <c r="EJ217" s="2">
        <v>2</v>
      </c>
      <c r="EK217" s="2">
        <v>108001</v>
      </c>
      <c r="EL217" s="2" t="s">
        <v>49</v>
      </c>
      <c r="EM217" s="2" t="s">
        <v>50</v>
      </c>
      <c r="EN217" s="2"/>
      <c r="EO217" s="2" t="s">
        <v>3</v>
      </c>
      <c r="EP217" s="2"/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20.329999999999998</v>
      </c>
      <c r="EX217" s="2">
        <v>0.01</v>
      </c>
      <c r="EY217" s="2">
        <v>0</v>
      </c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>
        <v>0</v>
      </c>
      <c r="FR217" s="2">
        <v>0</v>
      </c>
      <c r="FS217" s="2">
        <v>0</v>
      </c>
      <c r="FT217" s="2"/>
      <c r="FU217" s="2"/>
      <c r="FV217" s="2"/>
      <c r="FW217" s="2"/>
      <c r="FX217" s="2">
        <v>97</v>
      </c>
      <c r="FY217" s="2">
        <v>51</v>
      </c>
      <c r="FZ217" s="2"/>
      <c r="GA217" s="2" t="s">
        <v>3</v>
      </c>
      <c r="GB217" s="2"/>
      <c r="GC217" s="2"/>
      <c r="GD217" s="2">
        <v>1</v>
      </c>
      <c r="GE217" s="2"/>
      <c r="GF217" s="2">
        <v>1480441485</v>
      </c>
      <c r="GG217" s="2">
        <v>2</v>
      </c>
      <c r="GH217" s="2">
        <v>1</v>
      </c>
      <c r="GI217" s="2">
        <v>-2</v>
      </c>
      <c r="GJ217" s="2">
        <v>0</v>
      </c>
      <c r="GK217" s="2">
        <v>0</v>
      </c>
      <c r="GL217" s="2">
        <f t="shared" si="206"/>
        <v>0</v>
      </c>
      <c r="GM217" s="2">
        <f t="shared" si="207"/>
        <v>5454.96</v>
      </c>
      <c r="GN217" s="2">
        <f t="shared" si="208"/>
        <v>0</v>
      </c>
      <c r="GO217" s="2">
        <f t="shared" si="209"/>
        <v>5454.96</v>
      </c>
      <c r="GP217" s="2">
        <f t="shared" si="210"/>
        <v>0</v>
      </c>
      <c r="GQ217" s="2"/>
      <c r="GR217" s="2">
        <v>0</v>
      </c>
      <c r="GS217" s="2">
        <v>3</v>
      </c>
      <c r="GT217" s="2">
        <v>0</v>
      </c>
      <c r="GU217" s="2" t="s">
        <v>3</v>
      </c>
      <c r="GV217" s="2">
        <f t="shared" si="211"/>
        <v>0</v>
      </c>
      <c r="GW217" s="2">
        <v>1</v>
      </c>
      <c r="GX217" s="2">
        <f t="shared" si="212"/>
        <v>0</v>
      </c>
      <c r="GY217" s="2"/>
      <c r="GZ217" s="2"/>
      <c r="HA217" s="2">
        <v>0</v>
      </c>
      <c r="HB217" s="2">
        <v>0</v>
      </c>
      <c r="HC217" s="2">
        <f t="shared" si="217"/>
        <v>0</v>
      </c>
      <c r="HD217" s="2"/>
      <c r="HE217" s="2" t="s">
        <v>3</v>
      </c>
      <c r="HF217" s="2" t="s">
        <v>3</v>
      </c>
      <c r="HG217" s="2"/>
      <c r="HH217" s="2"/>
      <c r="HI217" s="2"/>
      <c r="HJ217" s="2"/>
      <c r="HK217" s="2"/>
      <c r="HL217" s="2"/>
      <c r="HM217" s="2" t="s">
        <v>3</v>
      </c>
      <c r="HN217" s="2" t="s">
        <v>52</v>
      </c>
      <c r="HO217" s="2" t="s">
        <v>53</v>
      </c>
      <c r="HP217" s="2" t="s">
        <v>49</v>
      </c>
      <c r="HQ217" s="2" t="s">
        <v>49</v>
      </c>
      <c r="HR217" s="2"/>
      <c r="HS217" s="2">
        <v>0</v>
      </c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>
        <v>0</v>
      </c>
      <c r="IL217" s="2"/>
      <c r="IM217" s="2"/>
      <c r="IN217" s="2"/>
      <c r="IO217" s="2"/>
      <c r="IP217" s="2"/>
      <c r="IQ217" s="2"/>
      <c r="IR217" s="2"/>
      <c r="IS217" s="2"/>
      <c r="IT217" s="2"/>
      <c r="IU217" s="2"/>
    </row>
    <row r="218" spans="1:255" x14ac:dyDescent="0.2">
      <c r="A218" s="2">
        <v>18</v>
      </c>
      <c r="B218" s="2">
        <v>1</v>
      </c>
      <c r="C218" s="2">
        <v>180</v>
      </c>
      <c r="D218" s="2"/>
      <c r="E218" s="2" t="s">
        <v>378</v>
      </c>
      <c r="F218" s="2" t="s">
        <v>379</v>
      </c>
      <c r="G218" s="2" t="s">
        <v>380</v>
      </c>
      <c r="H218" s="2" t="s">
        <v>61</v>
      </c>
      <c r="I218" s="2">
        <f>I217*J218</f>
        <v>0.15</v>
      </c>
      <c r="J218" s="2">
        <v>1</v>
      </c>
      <c r="K218" s="2">
        <v>1</v>
      </c>
      <c r="L218" s="2"/>
      <c r="M218" s="2"/>
      <c r="N218" s="2"/>
      <c r="O218" s="2">
        <f t="shared" si="213"/>
        <v>9278.68</v>
      </c>
      <c r="P218" s="2">
        <f>ROUND(CQ218*I218,2)</f>
        <v>9278.68</v>
      </c>
      <c r="Q218" s="2">
        <f t="shared" ref="Q218:Q224" si="220">ROUND(CR218*I218,2)</f>
        <v>0</v>
      </c>
      <c r="R218" s="2">
        <f t="shared" ref="R218:R224" si="221">ROUND(CS218*I218,2)</f>
        <v>0</v>
      </c>
      <c r="S218" s="2">
        <f t="shared" ref="S218:S224" si="222">ROUND(CT218*I218,2)</f>
        <v>0</v>
      </c>
      <c r="T218" s="2">
        <f t="shared" si="199"/>
        <v>0</v>
      </c>
      <c r="U218" s="2">
        <f t="shared" ref="U218:U224" si="223">ROUND(CV218*I218,7)</f>
        <v>0</v>
      </c>
      <c r="V218" s="2">
        <f t="shared" ref="V218:V224" si="224">ROUND(CW218*I218,7)</f>
        <v>0</v>
      </c>
      <c r="W218" s="2">
        <f t="shared" si="200"/>
        <v>0</v>
      </c>
      <c r="X218" s="2">
        <f t="shared" si="201"/>
        <v>0</v>
      </c>
      <c r="Y218" s="2">
        <f t="shared" si="202"/>
        <v>0</v>
      </c>
      <c r="Z218" s="2"/>
      <c r="AA218" s="2">
        <v>85997836</v>
      </c>
      <c r="AB218" s="2">
        <f t="shared" si="203"/>
        <v>49885.38</v>
      </c>
      <c r="AC218" s="2">
        <f t="shared" ref="AC218:AC224" si="225">ROUND((ES218),6)</f>
        <v>49885.38</v>
      </c>
      <c r="AD218" s="2">
        <f t="shared" ref="AD218:AD224" si="226">ROUND((((ET218)-(EU218))+AE218),6)</f>
        <v>0</v>
      </c>
      <c r="AE218" s="2">
        <f t="shared" ref="AE218:AF224" si="227">ROUND((EU218),6)</f>
        <v>0</v>
      </c>
      <c r="AF218" s="2">
        <f t="shared" si="227"/>
        <v>0</v>
      </c>
      <c r="AG218" s="2">
        <f t="shared" si="204"/>
        <v>0</v>
      </c>
      <c r="AH218" s="2">
        <f t="shared" ref="AH218:AI224" si="228">(EW218)</f>
        <v>0</v>
      </c>
      <c r="AI218" s="2">
        <f t="shared" si="228"/>
        <v>0</v>
      </c>
      <c r="AJ218" s="2">
        <f t="shared" si="205"/>
        <v>0</v>
      </c>
      <c r="AK218" s="2">
        <v>49885.38</v>
      </c>
      <c r="AL218" s="2">
        <v>49885.38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97</v>
      </c>
      <c r="AU218" s="2">
        <v>51</v>
      </c>
      <c r="AV218" s="2">
        <v>1</v>
      </c>
      <c r="AW218" s="2">
        <v>1</v>
      </c>
      <c r="AX218" s="2"/>
      <c r="AY218" s="2"/>
      <c r="AZ218" s="2">
        <v>1</v>
      </c>
      <c r="BA218" s="2">
        <v>1</v>
      </c>
      <c r="BB218" s="2">
        <v>1</v>
      </c>
      <c r="BC218" s="2">
        <v>1.24</v>
      </c>
      <c r="BD218" s="2" t="s">
        <v>3</v>
      </c>
      <c r="BE218" s="2" t="s">
        <v>3</v>
      </c>
      <c r="BF218" s="2" t="s">
        <v>3</v>
      </c>
      <c r="BG218" s="2" t="s">
        <v>3</v>
      </c>
      <c r="BH218" s="2">
        <v>3</v>
      </c>
      <c r="BI218" s="2">
        <v>2</v>
      </c>
      <c r="BJ218" s="2" t="s">
        <v>381</v>
      </c>
      <c r="BK218" s="2"/>
      <c r="BL218" s="2"/>
      <c r="BM218" s="2">
        <v>108001</v>
      </c>
      <c r="BN218" s="2">
        <v>0</v>
      </c>
      <c r="BO218" s="2" t="s">
        <v>379</v>
      </c>
      <c r="BP218" s="2">
        <v>1</v>
      </c>
      <c r="BQ218" s="2">
        <v>3</v>
      </c>
      <c r="BR218" s="2">
        <v>0</v>
      </c>
      <c r="BS218" s="2">
        <v>1</v>
      </c>
      <c r="BT218" s="2">
        <v>1</v>
      </c>
      <c r="BU218" s="2">
        <v>1</v>
      </c>
      <c r="BV218" s="2">
        <v>1</v>
      </c>
      <c r="BW218" s="2">
        <v>1</v>
      </c>
      <c r="BX218" s="2">
        <v>1</v>
      </c>
      <c r="BY218" s="2" t="s">
        <v>3</v>
      </c>
      <c r="BZ218" s="2">
        <v>97</v>
      </c>
      <c r="CA218" s="2">
        <v>51</v>
      </c>
      <c r="CB218" s="2" t="s">
        <v>3</v>
      </c>
      <c r="CC218" s="2"/>
      <c r="CD218" s="2"/>
      <c r="CE218" s="2">
        <v>0</v>
      </c>
      <c r="CF218" s="2">
        <v>0</v>
      </c>
      <c r="CG218" s="2">
        <v>0</v>
      </c>
      <c r="CH218" s="2"/>
      <c r="CI218" s="2"/>
      <c r="CJ218" s="2"/>
      <c r="CK218" s="2"/>
      <c r="CL218" s="2"/>
      <c r="CM218" s="2">
        <v>0</v>
      </c>
      <c r="CN218" s="2" t="s">
        <v>3</v>
      </c>
      <c r="CO218" s="2">
        <v>0</v>
      </c>
      <c r="CP218" s="2">
        <f t="shared" si="214"/>
        <v>9278.68</v>
      </c>
      <c r="CQ218" s="2">
        <f>ROUND(AL218*BC218,2)</f>
        <v>61857.87</v>
      </c>
      <c r="CR218" s="2">
        <f>ROUND(AM218*BB218,2)</f>
        <v>0</v>
      </c>
      <c r="CS218" s="2">
        <f>ROUND(AN218*BS218,2)</f>
        <v>0</v>
      </c>
      <c r="CT218" s="2">
        <f>ROUND(AO218*BA218,2)</f>
        <v>0</v>
      </c>
      <c r="CU218" s="2">
        <f t="shared" si="218"/>
        <v>0</v>
      </c>
      <c r="CV218" s="2">
        <f t="shared" ref="CV218:CW222" si="229">AH218</f>
        <v>0</v>
      </c>
      <c r="CW218" s="2">
        <f t="shared" si="229"/>
        <v>0</v>
      </c>
      <c r="CX218" s="2">
        <f t="shared" si="219"/>
        <v>0</v>
      </c>
      <c r="CY218" s="2">
        <f t="shared" si="215"/>
        <v>0</v>
      </c>
      <c r="CZ218" s="2">
        <f t="shared" si="216"/>
        <v>0</v>
      </c>
      <c r="DA218" s="2"/>
      <c r="DB218" s="2"/>
      <c r="DC218" s="2" t="s">
        <v>3</v>
      </c>
      <c r="DD218" s="2" t="s">
        <v>3</v>
      </c>
      <c r="DE218" s="2" t="s">
        <v>3</v>
      </c>
      <c r="DF218" s="2" t="s">
        <v>3</v>
      </c>
      <c r="DG218" s="2" t="s">
        <v>3</v>
      </c>
      <c r="DH218" s="2" t="s">
        <v>3</v>
      </c>
      <c r="DI218" s="2" t="s">
        <v>3</v>
      </c>
      <c r="DJ218" s="2" t="s">
        <v>3</v>
      </c>
      <c r="DK218" s="2" t="s">
        <v>3</v>
      </c>
      <c r="DL218" s="2" t="s">
        <v>3</v>
      </c>
      <c r="DM218" s="2" t="s">
        <v>3</v>
      </c>
      <c r="DN218" s="2">
        <v>0</v>
      </c>
      <c r="DO218" s="2">
        <v>0</v>
      </c>
      <c r="DP218" s="2">
        <v>1</v>
      </c>
      <c r="DQ218" s="2">
        <v>1</v>
      </c>
      <c r="DR218" s="2"/>
      <c r="DS218" s="2"/>
      <c r="DT218" s="2"/>
      <c r="DU218" s="2">
        <v>1003</v>
      </c>
      <c r="DV218" s="2" t="s">
        <v>61</v>
      </c>
      <c r="DW218" s="2" t="s">
        <v>61</v>
      </c>
      <c r="DX218" s="2">
        <v>100</v>
      </c>
      <c r="DY218" s="2"/>
      <c r="DZ218" s="2" t="s">
        <v>3</v>
      </c>
      <c r="EA218" s="2" t="s">
        <v>3</v>
      </c>
      <c r="EB218" s="2" t="s">
        <v>3</v>
      </c>
      <c r="EC218" s="2" t="s">
        <v>3</v>
      </c>
      <c r="ED218" s="2"/>
      <c r="EE218" s="2">
        <v>84053775</v>
      </c>
      <c r="EF218" s="2">
        <v>3</v>
      </c>
      <c r="EG218" s="2" t="s">
        <v>48</v>
      </c>
      <c r="EH218" s="2">
        <v>0</v>
      </c>
      <c r="EI218" s="2" t="s">
        <v>3</v>
      </c>
      <c r="EJ218" s="2">
        <v>2</v>
      </c>
      <c r="EK218" s="2">
        <v>108001</v>
      </c>
      <c r="EL218" s="2" t="s">
        <v>49</v>
      </c>
      <c r="EM218" s="2" t="s">
        <v>50</v>
      </c>
      <c r="EN218" s="2"/>
      <c r="EO218" s="2" t="s">
        <v>3</v>
      </c>
      <c r="EP218" s="2"/>
      <c r="EQ218" s="2">
        <v>0</v>
      </c>
      <c r="ER218" s="2">
        <v>49885.38</v>
      </c>
      <c r="ES218" s="2">
        <v>49885.38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>
        <v>0</v>
      </c>
      <c r="FR218" s="2">
        <v>0</v>
      </c>
      <c r="FS218" s="2">
        <v>0</v>
      </c>
      <c r="FT218" s="2"/>
      <c r="FU218" s="2"/>
      <c r="FV218" s="2"/>
      <c r="FW218" s="2"/>
      <c r="FX218" s="2">
        <v>97</v>
      </c>
      <c r="FY218" s="2">
        <v>51</v>
      </c>
      <c r="FZ218" s="2"/>
      <c r="GA218" s="2" t="s">
        <v>3</v>
      </c>
      <c r="GB218" s="2"/>
      <c r="GC218" s="2"/>
      <c r="GD218" s="2">
        <v>1</v>
      </c>
      <c r="GE218" s="2"/>
      <c r="GF218" s="2">
        <v>529868507</v>
      </c>
      <c r="GG218" s="2">
        <v>2</v>
      </c>
      <c r="GH218" s="2">
        <v>1</v>
      </c>
      <c r="GI218" s="2">
        <v>2</v>
      </c>
      <c r="GJ218" s="2">
        <v>0</v>
      </c>
      <c r="GK218" s="2">
        <v>0</v>
      </c>
      <c r="GL218" s="2">
        <f t="shared" si="206"/>
        <v>0</v>
      </c>
      <c r="GM218" s="2">
        <f t="shared" si="207"/>
        <v>9278.68</v>
      </c>
      <c r="GN218" s="2">
        <f t="shared" si="208"/>
        <v>0</v>
      </c>
      <c r="GO218" s="2">
        <f t="shared" si="209"/>
        <v>9278.68</v>
      </c>
      <c r="GP218" s="2">
        <f t="shared" si="210"/>
        <v>0</v>
      </c>
      <c r="GQ218" s="2"/>
      <c r="GR218" s="2">
        <v>0</v>
      </c>
      <c r="GS218" s="2">
        <v>3</v>
      </c>
      <c r="GT218" s="2">
        <v>0</v>
      </c>
      <c r="GU218" s="2" t="s">
        <v>3</v>
      </c>
      <c r="GV218" s="2">
        <f t="shared" si="211"/>
        <v>0</v>
      </c>
      <c r="GW218" s="2">
        <v>1</v>
      </c>
      <c r="GX218" s="2">
        <f t="shared" si="212"/>
        <v>0</v>
      </c>
      <c r="GY218" s="2"/>
      <c r="GZ218" s="2"/>
      <c r="HA218" s="2">
        <v>0</v>
      </c>
      <c r="HB218" s="2">
        <v>0</v>
      </c>
      <c r="HC218" s="2">
        <f t="shared" si="217"/>
        <v>0</v>
      </c>
      <c r="HD218" s="2"/>
      <c r="HE218" s="2" t="s">
        <v>3</v>
      </c>
      <c r="HF218" s="2" t="s">
        <v>3</v>
      </c>
      <c r="HG218" s="2"/>
      <c r="HH218" s="2"/>
      <c r="HI218" s="2"/>
      <c r="HJ218" s="2"/>
      <c r="HK218" s="2"/>
      <c r="HL218" s="2"/>
      <c r="HM218" s="2" t="s">
        <v>3</v>
      </c>
      <c r="HN218" s="2" t="s">
        <v>52</v>
      </c>
      <c r="HO218" s="2" t="s">
        <v>53</v>
      </c>
      <c r="HP218" s="2" t="s">
        <v>49</v>
      </c>
      <c r="HQ218" s="2" t="s">
        <v>49</v>
      </c>
      <c r="HR218" s="2"/>
      <c r="HS218" s="2">
        <v>0</v>
      </c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>
        <v>0</v>
      </c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x14ac:dyDescent="0.2">
      <c r="A219" s="2">
        <v>18</v>
      </c>
      <c r="B219" s="2">
        <v>1</v>
      </c>
      <c r="C219" s="2">
        <v>179</v>
      </c>
      <c r="D219" s="2"/>
      <c r="E219" s="2" t="s">
        <v>382</v>
      </c>
      <c r="F219" s="2" t="s">
        <v>383</v>
      </c>
      <c r="G219" s="2" t="s">
        <v>384</v>
      </c>
      <c r="H219" s="2" t="s">
        <v>20</v>
      </c>
      <c r="I219" s="2">
        <f>I217*J219</f>
        <v>0.02</v>
      </c>
      <c r="J219" s="2">
        <v>0.13333333333333333</v>
      </c>
      <c r="K219" s="2">
        <v>0.13333329999999999</v>
      </c>
      <c r="L219" s="2"/>
      <c r="M219" s="2"/>
      <c r="N219" s="2"/>
      <c r="O219" s="2">
        <f t="shared" si="213"/>
        <v>211.58</v>
      </c>
      <c r="P219" s="2">
        <f>ROUND(CQ219*I219,2)</f>
        <v>211.58</v>
      </c>
      <c r="Q219" s="2">
        <f t="shared" si="220"/>
        <v>0</v>
      </c>
      <c r="R219" s="2">
        <f t="shared" si="221"/>
        <v>0</v>
      </c>
      <c r="S219" s="2">
        <f t="shared" si="222"/>
        <v>0</v>
      </c>
      <c r="T219" s="2">
        <f t="shared" si="199"/>
        <v>0</v>
      </c>
      <c r="U219" s="2">
        <f t="shared" si="223"/>
        <v>0</v>
      </c>
      <c r="V219" s="2">
        <f t="shared" si="224"/>
        <v>0</v>
      </c>
      <c r="W219" s="2">
        <f t="shared" si="200"/>
        <v>0</v>
      </c>
      <c r="X219" s="2">
        <f t="shared" si="201"/>
        <v>0</v>
      </c>
      <c r="Y219" s="2">
        <f t="shared" si="202"/>
        <v>0</v>
      </c>
      <c r="Z219" s="2"/>
      <c r="AA219" s="2">
        <v>85997836</v>
      </c>
      <c r="AB219" s="2">
        <f t="shared" si="203"/>
        <v>8531.39</v>
      </c>
      <c r="AC219" s="2">
        <f t="shared" si="225"/>
        <v>8531.39</v>
      </c>
      <c r="AD219" s="2">
        <f t="shared" si="226"/>
        <v>0</v>
      </c>
      <c r="AE219" s="2">
        <f t="shared" si="227"/>
        <v>0</v>
      </c>
      <c r="AF219" s="2">
        <f t="shared" si="227"/>
        <v>0</v>
      </c>
      <c r="AG219" s="2">
        <f t="shared" si="204"/>
        <v>0</v>
      </c>
      <c r="AH219" s="2">
        <f t="shared" si="228"/>
        <v>0</v>
      </c>
      <c r="AI219" s="2">
        <f t="shared" si="228"/>
        <v>0</v>
      </c>
      <c r="AJ219" s="2">
        <f t="shared" si="205"/>
        <v>0</v>
      </c>
      <c r="AK219" s="2">
        <v>8531.39</v>
      </c>
      <c r="AL219" s="2">
        <v>8531.39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97</v>
      </c>
      <c r="AU219" s="2">
        <v>51</v>
      </c>
      <c r="AV219" s="2">
        <v>1</v>
      </c>
      <c r="AW219" s="2">
        <v>1</v>
      </c>
      <c r="AX219" s="2"/>
      <c r="AY219" s="2"/>
      <c r="AZ219" s="2">
        <v>1</v>
      </c>
      <c r="BA219" s="2">
        <v>1</v>
      </c>
      <c r="BB219" s="2">
        <v>1</v>
      </c>
      <c r="BC219" s="2">
        <v>1.24</v>
      </c>
      <c r="BD219" s="2" t="s">
        <v>3</v>
      </c>
      <c r="BE219" s="2" t="s">
        <v>3</v>
      </c>
      <c r="BF219" s="2" t="s">
        <v>3</v>
      </c>
      <c r="BG219" s="2" t="s">
        <v>3</v>
      </c>
      <c r="BH219" s="2">
        <v>3</v>
      </c>
      <c r="BI219" s="2">
        <v>2</v>
      </c>
      <c r="BJ219" s="2" t="s">
        <v>385</v>
      </c>
      <c r="BK219" s="2"/>
      <c r="BL219" s="2"/>
      <c r="BM219" s="2">
        <v>108001</v>
      </c>
      <c r="BN219" s="2">
        <v>0</v>
      </c>
      <c r="BO219" s="2" t="s">
        <v>383</v>
      </c>
      <c r="BP219" s="2">
        <v>1</v>
      </c>
      <c r="BQ219" s="2">
        <v>3</v>
      </c>
      <c r="BR219" s="2">
        <v>0</v>
      </c>
      <c r="BS219" s="2">
        <v>1</v>
      </c>
      <c r="BT219" s="2">
        <v>1</v>
      </c>
      <c r="BU219" s="2">
        <v>1</v>
      </c>
      <c r="BV219" s="2">
        <v>1</v>
      </c>
      <c r="BW219" s="2">
        <v>1</v>
      </c>
      <c r="BX219" s="2">
        <v>1</v>
      </c>
      <c r="BY219" s="2" t="s">
        <v>3</v>
      </c>
      <c r="BZ219" s="2">
        <v>97</v>
      </c>
      <c r="CA219" s="2">
        <v>51</v>
      </c>
      <c r="CB219" s="2" t="s">
        <v>3</v>
      </c>
      <c r="CC219" s="2"/>
      <c r="CD219" s="2"/>
      <c r="CE219" s="2">
        <v>0</v>
      </c>
      <c r="CF219" s="2">
        <v>0</v>
      </c>
      <c r="CG219" s="2">
        <v>0</v>
      </c>
      <c r="CH219" s="2"/>
      <c r="CI219" s="2"/>
      <c r="CJ219" s="2"/>
      <c r="CK219" s="2"/>
      <c r="CL219" s="2"/>
      <c r="CM219" s="2">
        <v>0</v>
      </c>
      <c r="CN219" s="2" t="s">
        <v>3</v>
      </c>
      <c r="CO219" s="2">
        <v>0</v>
      </c>
      <c r="CP219" s="2">
        <f t="shared" si="214"/>
        <v>211.58</v>
      </c>
      <c r="CQ219" s="2">
        <f>ROUND(AL219*BC219,2)</f>
        <v>10578.92</v>
      </c>
      <c r="CR219" s="2">
        <f>ROUND(AM219*BB219,2)</f>
        <v>0</v>
      </c>
      <c r="CS219" s="2">
        <f>ROUND(AN219*BS219,2)</f>
        <v>0</v>
      </c>
      <c r="CT219" s="2">
        <f>ROUND(AO219*BA219,2)</f>
        <v>0</v>
      </c>
      <c r="CU219" s="2">
        <f t="shared" si="218"/>
        <v>0</v>
      </c>
      <c r="CV219" s="2">
        <f t="shared" si="229"/>
        <v>0</v>
      </c>
      <c r="CW219" s="2">
        <f t="shared" si="229"/>
        <v>0</v>
      </c>
      <c r="CX219" s="2">
        <f t="shared" si="219"/>
        <v>0</v>
      </c>
      <c r="CY219" s="2">
        <f t="shared" si="215"/>
        <v>0</v>
      </c>
      <c r="CZ219" s="2">
        <f t="shared" si="216"/>
        <v>0</v>
      </c>
      <c r="DA219" s="2"/>
      <c r="DB219" s="2"/>
      <c r="DC219" s="2" t="s">
        <v>3</v>
      </c>
      <c r="DD219" s="2" t="s">
        <v>3</v>
      </c>
      <c r="DE219" s="2" t="s">
        <v>3</v>
      </c>
      <c r="DF219" s="2" t="s">
        <v>3</v>
      </c>
      <c r="DG219" s="2" t="s">
        <v>3</v>
      </c>
      <c r="DH219" s="2" t="s">
        <v>3</v>
      </c>
      <c r="DI219" s="2" t="s">
        <v>3</v>
      </c>
      <c r="DJ219" s="2" t="s">
        <v>3</v>
      </c>
      <c r="DK219" s="2" t="s">
        <v>3</v>
      </c>
      <c r="DL219" s="2" t="s">
        <v>3</v>
      </c>
      <c r="DM219" s="2" t="s">
        <v>3</v>
      </c>
      <c r="DN219" s="2">
        <v>0</v>
      </c>
      <c r="DO219" s="2">
        <v>0</v>
      </c>
      <c r="DP219" s="2">
        <v>1</v>
      </c>
      <c r="DQ219" s="2">
        <v>1</v>
      </c>
      <c r="DR219" s="2"/>
      <c r="DS219" s="2"/>
      <c r="DT219" s="2"/>
      <c r="DU219" s="2">
        <v>1013</v>
      </c>
      <c r="DV219" s="2" t="s">
        <v>20</v>
      </c>
      <c r="DW219" s="2" t="s">
        <v>20</v>
      </c>
      <c r="DX219" s="2">
        <v>1</v>
      </c>
      <c r="DY219" s="2"/>
      <c r="DZ219" s="2" t="s">
        <v>3</v>
      </c>
      <c r="EA219" s="2" t="s">
        <v>3</v>
      </c>
      <c r="EB219" s="2" t="s">
        <v>3</v>
      </c>
      <c r="EC219" s="2" t="s">
        <v>3</v>
      </c>
      <c r="ED219" s="2"/>
      <c r="EE219" s="2">
        <v>84053775</v>
      </c>
      <c r="EF219" s="2">
        <v>3</v>
      </c>
      <c r="EG219" s="2" t="s">
        <v>48</v>
      </c>
      <c r="EH219" s="2">
        <v>0</v>
      </c>
      <c r="EI219" s="2" t="s">
        <v>3</v>
      </c>
      <c r="EJ219" s="2">
        <v>2</v>
      </c>
      <c r="EK219" s="2">
        <v>108001</v>
      </c>
      <c r="EL219" s="2" t="s">
        <v>49</v>
      </c>
      <c r="EM219" s="2" t="s">
        <v>50</v>
      </c>
      <c r="EN219" s="2"/>
      <c r="EO219" s="2" t="s">
        <v>3</v>
      </c>
      <c r="EP219" s="2"/>
      <c r="EQ219" s="2">
        <v>0</v>
      </c>
      <c r="ER219" s="2">
        <v>8531.39</v>
      </c>
      <c r="ES219" s="2">
        <v>8531.39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>
        <v>0</v>
      </c>
      <c r="FR219" s="2">
        <v>0</v>
      </c>
      <c r="FS219" s="2">
        <v>0</v>
      </c>
      <c r="FT219" s="2"/>
      <c r="FU219" s="2"/>
      <c r="FV219" s="2"/>
      <c r="FW219" s="2"/>
      <c r="FX219" s="2">
        <v>97</v>
      </c>
      <c r="FY219" s="2">
        <v>51</v>
      </c>
      <c r="FZ219" s="2"/>
      <c r="GA219" s="2" t="s">
        <v>3</v>
      </c>
      <c r="GB219" s="2"/>
      <c r="GC219" s="2"/>
      <c r="GD219" s="2">
        <v>1</v>
      </c>
      <c r="GE219" s="2"/>
      <c r="GF219" s="2">
        <v>-1265676876</v>
      </c>
      <c r="GG219" s="2">
        <v>2</v>
      </c>
      <c r="GH219" s="2">
        <v>1</v>
      </c>
      <c r="GI219" s="2">
        <v>2</v>
      </c>
      <c r="GJ219" s="2">
        <v>0</v>
      </c>
      <c r="GK219" s="2">
        <v>0</v>
      </c>
      <c r="GL219" s="2">
        <f t="shared" si="206"/>
        <v>0</v>
      </c>
      <c r="GM219" s="2">
        <f t="shared" si="207"/>
        <v>211.58</v>
      </c>
      <c r="GN219" s="2">
        <f t="shared" si="208"/>
        <v>0</v>
      </c>
      <c r="GO219" s="2">
        <f t="shared" si="209"/>
        <v>211.58</v>
      </c>
      <c r="GP219" s="2">
        <f t="shared" si="210"/>
        <v>0</v>
      </c>
      <c r="GQ219" s="2"/>
      <c r="GR219" s="2">
        <v>0</v>
      </c>
      <c r="GS219" s="2">
        <v>3</v>
      </c>
      <c r="GT219" s="2">
        <v>0</v>
      </c>
      <c r="GU219" s="2" t="s">
        <v>3</v>
      </c>
      <c r="GV219" s="2">
        <f t="shared" si="211"/>
        <v>0</v>
      </c>
      <c r="GW219" s="2">
        <v>1</v>
      </c>
      <c r="GX219" s="2">
        <f t="shared" si="212"/>
        <v>0</v>
      </c>
      <c r="GY219" s="2"/>
      <c r="GZ219" s="2"/>
      <c r="HA219" s="2">
        <v>0</v>
      </c>
      <c r="HB219" s="2">
        <v>0</v>
      </c>
      <c r="HC219" s="2">
        <f t="shared" si="217"/>
        <v>0</v>
      </c>
      <c r="HD219" s="2"/>
      <c r="HE219" s="2" t="s">
        <v>3</v>
      </c>
      <c r="HF219" s="2" t="s">
        <v>3</v>
      </c>
      <c r="HG219" s="2"/>
      <c r="HH219" s="2"/>
      <c r="HI219" s="2"/>
      <c r="HJ219" s="2"/>
      <c r="HK219" s="2"/>
      <c r="HL219" s="2"/>
      <c r="HM219" s="2" t="s">
        <v>3</v>
      </c>
      <c r="HN219" s="2" t="s">
        <v>52</v>
      </c>
      <c r="HO219" s="2" t="s">
        <v>53</v>
      </c>
      <c r="HP219" s="2" t="s">
        <v>49</v>
      </c>
      <c r="HQ219" s="2" t="s">
        <v>49</v>
      </c>
      <c r="HR219" s="2"/>
      <c r="HS219" s="2">
        <v>0</v>
      </c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>
        <v>0</v>
      </c>
      <c r="IL219" s="2"/>
      <c r="IM219" s="2"/>
      <c r="IN219" s="2"/>
      <c r="IO219" s="2"/>
      <c r="IP219" s="2"/>
      <c r="IQ219" s="2"/>
      <c r="IR219" s="2"/>
      <c r="IS219" s="2"/>
      <c r="IT219" s="2"/>
      <c r="IU219" s="2"/>
    </row>
    <row r="220" spans="1:255" x14ac:dyDescent="0.2">
      <c r="A220" s="2">
        <v>18</v>
      </c>
      <c r="B220" s="2">
        <v>1</v>
      </c>
      <c r="C220" s="2">
        <v>183</v>
      </c>
      <c r="D220" s="2"/>
      <c r="E220" s="2" t="s">
        <v>386</v>
      </c>
      <c r="F220" s="2" t="s">
        <v>387</v>
      </c>
      <c r="G220" s="2" t="s">
        <v>388</v>
      </c>
      <c r="H220" s="2" t="s">
        <v>20</v>
      </c>
      <c r="I220" s="2">
        <f>I217*J220</f>
        <v>0.02</v>
      </c>
      <c r="J220" s="2">
        <v>0.13333333333333333</v>
      </c>
      <c r="K220" s="2">
        <v>0.13333329999999999</v>
      </c>
      <c r="L220" s="2"/>
      <c r="M220" s="2"/>
      <c r="N220" s="2"/>
      <c r="O220" s="2">
        <f t="shared" si="213"/>
        <v>201.02</v>
      </c>
      <c r="P220" s="2">
        <f>ROUND(CQ220*I220,2)</f>
        <v>201.02</v>
      </c>
      <c r="Q220" s="2">
        <f t="shared" si="220"/>
        <v>0</v>
      </c>
      <c r="R220" s="2">
        <f t="shared" si="221"/>
        <v>0</v>
      </c>
      <c r="S220" s="2">
        <f t="shared" si="222"/>
        <v>0</v>
      </c>
      <c r="T220" s="2">
        <f t="shared" si="199"/>
        <v>0</v>
      </c>
      <c r="U220" s="2">
        <f t="shared" si="223"/>
        <v>0</v>
      </c>
      <c r="V220" s="2">
        <f t="shared" si="224"/>
        <v>0</v>
      </c>
      <c r="W220" s="2">
        <f t="shared" si="200"/>
        <v>0</v>
      </c>
      <c r="X220" s="2">
        <f t="shared" si="201"/>
        <v>0</v>
      </c>
      <c r="Y220" s="2">
        <f t="shared" si="202"/>
        <v>0</v>
      </c>
      <c r="Z220" s="2"/>
      <c r="AA220" s="2">
        <v>85997836</v>
      </c>
      <c r="AB220" s="2">
        <f t="shared" si="203"/>
        <v>8105.46</v>
      </c>
      <c r="AC220" s="2">
        <f t="shared" si="225"/>
        <v>8105.46</v>
      </c>
      <c r="AD220" s="2">
        <f t="shared" si="226"/>
        <v>0</v>
      </c>
      <c r="AE220" s="2">
        <f t="shared" si="227"/>
        <v>0</v>
      </c>
      <c r="AF220" s="2">
        <f t="shared" si="227"/>
        <v>0</v>
      </c>
      <c r="AG220" s="2">
        <f t="shared" si="204"/>
        <v>0</v>
      </c>
      <c r="AH220" s="2">
        <f t="shared" si="228"/>
        <v>0</v>
      </c>
      <c r="AI220" s="2">
        <f t="shared" si="228"/>
        <v>0</v>
      </c>
      <c r="AJ220" s="2">
        <f t="shared" si="205"/>
        <v>0</v>
      </c>
      <c r="AK220" s="2">
        <v>8105.46</v>
      </c>
      <c r="AL220" s="2">
        <v>8105.46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97</v>
      </c>
      <c r="AU220" s="2">
        <v>51</v>
      </c>
      <c r="AV220" s="2">
        <v>1</v>
      </c>
      <c r="AW220" s="2">
        <v>1</v>
      </c>
      <c r="AX220" s="2"/>
      <c r="AY220" s="2"/>
      <c r="AZ220" s="2">
        <v>1</v>
      </c>
      <c r="BA220" s="2">
        <v>1</v>
      </c>
      <c r="BB220" s="2">
        <v>1</v>
      </c>
      <c r="BC220" s="2">
        <v>1.24</v>
      </c>
      <c r="BD220" s="2" t="s">
        <v>3</v>
      </c>
      <c r="BE220" s="2" t="s">
        <v>3</v>
      </c>
      <c r="BF220" s="2" t="s">
        <v>3</v>
      </c>
      <c r="BG220" s="2" t="s">
        <v>3</v>
      </c>
      <c r="BH220" s="2">
        <v>3</v>
      </c>
      <c r="BI220" s="2">
        <v>2</v>
      </c>
      <c r="BJ220" s="2" t="s">
        <v>389</v>
      </c>
      <c r="BK220" s="2"/>
      <c r="BL220" s="2"/>
      <c r="BM220" s="2">
        <v>108001</v>
      </c>
      <c r="BN220" s="2">
        <v>0</v>
      </c>
      <c r="BO220" s="2" t="s">
        <v>387</v>
      </c>
      <c r="BP220" s="2">
        <v>1</v>
      </c>
      <c r="BQ220" s="2">
        <v>3</v>
      </c>
      <c r="BR220" s="2">
        <v>0</v>
      </c>
      <c r="BS220" s="2">
        <v>1</v>
      </c>
      <c r="BT220" s="2">
        <v>1</v>
      </c>
      <c r="BU220" s="2">
        <v>1</v>
      </c>
      <c r="BV220" s="2">
        <v>1</v>
      </c>
      <c r="BW220" s="2">
        <v>1</v>
      </c>
      <c r="BX220" s="2">
        <v>1</v>
      </c>
      <c r="BY220" s="2" t="s">
        <v>3</v>
      </c>
      <c r="BZ220" s="2">
        <v>97</v>
      </c>
      <c r="CA220" s="2">
        <v>51</v>
      </c>
      <c r="CB220" s="2" t="s">
        <v>3</v>
      </c>
      <c r="CC220" s="2"/>
      <c r="CD220" s="2"/>
      <c r="CE220" s="2">
        <v>0</v>
      </c>
      <c r="CF220" s="2">
        <v>0</v>
      </c>
      <c r="CG220" s="2">
        <v>0</v>
      </c>
      <c r="CH220" s="2"/>
      <c r="CI220" s="2"/>
      <c r="CJ220" s="2"/>
      <c r="CK220" s="2"/>
      <c r="CL220" s="2"/>
      <c r="CM220" s="2">
        <v>0</v>
      </c>
      <c r="CN220" s="2" t="s">
        <v>3</v>
      </c>
      <c r="CO220" s="2">
        <v>0</v>
      </c>
      <c r="CP220" s="2">
        <f t="shared" si="214"/>
        <v>201.02</v>
      </c>
      <c r="CQ220" s="2">
        <f>ROUND(AL220*BC220,2)</f>
        <v>10050.77</v>
      </c>
      <c r="CR220" s="2">
        <f>ROUND(AM220*BB220,2)</f>
        <v>0</v>
      </c>
      <c r="CS220" s="2">
        <f>ROUND(AN220*BS220,2)</f>
        <v>0</v>
      </c>
      <c r="CT220" s="2">
        <f>ROUND(AO220*BA220,2)</f>
        <v>0</v>
      </c>
      <c r="CU220" s="2">
        <f t="shared" si="218"/>
        <v>0</v>
      </c>
      <c r="CV220" s="2">
        <f t="shared" si="229"/>
        <v>0</v>
      </c>
      <c r="CW220" s="2">
        <f t="shared" si="229"/>
        <v>0</v>
      </c>
      <c r="CX220" s="2">
        <f t="shared" si="219"/>
        <v>0</v>
      </c>
      <c r="CY220" s="2">
        <f t="shared" si="215"/>
        <v>0</v>
      </c>
      <c r="CZ220" s="2">
        <f t="shared" si="216"/>
        <v>0</v>
      </c>
      <c r="DA220" s="2"/>
      <c r="DB220" s="2"/>
      <c r="DC220" s="2" t="s">
        <v>3</v>
      </c>
      <c r="DD220" s="2" t="s">
        <v>3</v>
      </c>
      <c r="DE220" s="2" t="s">
        <v>3</v>
      </c>
      <c r="DF220" s="2" t="s">
        <v>3</v>
      </c>
      <c r="DG220" s="2" t="s">
        <v>3</v>
      </c>
      <c r="DH220" s="2" t="s">
        <v>3</v>
      </c>
      <c r="DI220" s="2" t="s">
        <v>3</v>
      </c>
      <c r="DJ220" s="2" t="s">
        <v>3</v>
      </c>
      <c r="DK220" s="2" t="s">
        <v>3</v>
      </c>
      <c r="DL220" s="2" t="s">
        <v>3</v>
      </c>
      <c r="DM220" s="2" t="s">
        <v>3</v>
      </c>
      <c r="DN220" s="2">
        <v>0</v>
      </c>
      <c r="DO220" s="2">
        <v>0</v>
      </c>
      <c r="DP220" s="2">
        <v>1</v>
      </c>
      <c r="DQ220" s="2">
        <v>1</v>
      </c>
      <c r="DR220" s="2"/>
      <c r="DS220" s="2"/>
      <c r="DT220" s="2"/>
      <c r="DU220" s="2">
        <v>1013</v>
      </c>
      <c r="DV220" s="2" t="s">
        <v>20</v>
      </c>
      <c r="DW220" s="2" t="s">
        <v>20</v>
      </c>
      <c r="DX220" s="2">
        <v>1</v>
      </c>
      <c r="DY220" s="2"/>
      <c r="DZ220" s="2" t="s">
        <v>3</v>
      </c>
      <c r="EA220" s="2" t="s">
        <v>3</v>
      </c>
      <c r="EB220" s="2" t="s">
        <v>3</v>
      </c>
      <c r="EC220" s="2" t="s">
        <v>3</v>
      </c>
      <c r="ED220" s="2"/>
      <c r="EE220" s="2">
        <v>84053775</v>
      </c>
      <c r="EF220" s="2">
        <v>3</v>
      </c>
      <c r="EG220" s="2" t="s">
        <v>48</v>
      </c>
      <c r="EH220" s="2">
        <v>0</v>
      </c>
      <c r="EI220" s="2" t="s">
        <v>3</v>
      </c>
      <c r="EJ220" s="2">
        <v>2</v>
      </c>
      <c r="EK220" s="2">
        <v>108001</v>
      </c>
      <c r="EL220" s="2" t="s">
        <v>49</v>
      </c>
      <c r="EM220" s="2" t="s">
        <v>50</v>
      </c>
      <c r="EN220" s="2"/>
      <c r="EO220" s="2" t="s">
        <v>3</v>
      </c>
      <c r="EP220" s="2"/>
      <c r="EQ220" s="2">
        <v>0</v>
      </c>
      <c r="ER220" s="2">
        <v>8105.46</v>
      </c>
      <c r="ES220" s="2">
        <v>8105.46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>
        <v>0</v>
      </c>
      <c r="FR220" s="2">
        <v>0</v>
      </c>
      <c r="FS220" s="2">
        <v>0</v>
      </c>
      <c r="FT220" s="2"/>
      <c r="FU220" s="2"/>
      <c r="FV220" s="2"/>
      <c r="FW220" s="2"/>
      <c r="FX220" s="2">
        <v>97</v>
      </c>
      <c r="FY220" s="2">
        <v>51</v>
      </c>
      <c r="FZ220" s="2"/>
      <c r="GA220" s="2" t="s">
        <v>3</v>
      </c>
      <c r="GB220" s="2"/>
      <c r="GC220" s="2"/>
      <c r="GD220" s="2">
        <v>1</v>
      </c>
      <c r="GE220" s="2"/>
      <c r="GF220" s="2">
        <v>-285804698</v>
      </c>
      <c r="GG220" s="2">
        <v>2</v>
      </c>
      <c r="GH220" s="2">
        <v>1</v>
      </c>
      <c r="GI220" s="2">
        <v>2</v>
      </c>
      <c r="GJ220" s="2">
        <v>0</v>
      </c>
      <c r="GK220" s="2">
        <v>0</v>
      </c>
      <c r="GL220" s="2">
        <f t="shared" si="206"/>
        <v>0</v>
      </c>
      <c r="GM220" s="2">
        <f t="shared" si="207"/>
        <v>201.02</v>
      </c>
      <c r="GN220" s="2">
        <f t="shared" si="208"/>
        <v>0</v>
      </c>
      <c r="GO220" s="2">
        <f t="shared" si="209"/>
        <v>201.02</v>
      </c>
      <c r="GP220" s="2">
        <f t="shared" si="210"/>
        <v>0</v>
      </c>
      <c r="GQ220" s="2"/>
      <c r="GR220" s="2">
        <v>0</v>
      </c>
      <c r="GS220" s="2">
        <v>3</v>
      </c>
      <c r="GT220" s="2">
        <v>0</v>
      </c>
      <c r="GU220" s="2" t="s">
        <v>3</v>
      </c>
      <c r="GV220" s="2">
        <f t="shared" si="211"/>
        <v>0</v>
      </c>
      <c r="GW220" s="2">
        <v>1</v>
      </c>
      <c r="GX220" s="2">
        <f t="shared" si="212"/>
        <v>0</v>
      </c>
      <c r="GY220" s="2"/>
      <c r="GZ220" s="2"/>
      <c r="HA220" s="2">
        <v>0</v>
      </c>
      <c r="HB220" s="2">
        <v>0</v>
      </c>
      <c r="HC220" s="2">
        <f t="shared" si="217"/>
        <v>0</v>
      </c>
      <c r="HD220" s="2"/>
      <c r="HE220" s="2" t="s">
        <v>3</v>
      </c>
      <c r="HF220" s="2" t="s">
        <v>3</v>
      </c>
      <c r="HG220" s="2"/>
      <c r="HH220" s="2"/>
      <c r="HI220" s="2"/>
      <c r="HJ220" s="2"/>
      <c r="HK220" s="2"/>
      <c r="HL220" s="2"/>
      <c r="HM220" s="2" t="s">
        <v>3</v>
      </c>
      <c r="HN220" s="2" t="s">
        <v>52</v>
      </c>
      <c r="HO220" s="2" t="s">
        <v>53</v>
      </c>
      <c r="HP220" s="2" t="s">
        <v>49</v>
      </c>
      <c r="HQ220" s="2" t="s">
        <v>49</v>
      </c>
      <c r="HR220" s="2"/>
      <c r="HS220" s="2">
        <v>0</v>
      </c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>
        <v>0</v>
      </c>
      <c r="IL220" s="2"/>
      <c r="IM220" s="2"/>
      <c r="IN220" s="2"/>
      <c r="IO220" s="2"/>
      <c r="IP220" s="2"/>
      <c r="IQ220" s="2"/>
      <c r="IR220" s="2"/>
      <c r="IS220" s="2"/>
      <c r="IT220" s="2"/>
      <c r="IU220" s="2"/>
    </row>
    <row r="221" spans="1:255" x14ac:dyDescent="0.2">
      <c r="A221" s="2">
        <v>18</v>
      </c>
      <c r="B221" s="2">
        <v>1</v>
      </c>
      <c r="C221" s="2">
        <v>181</v>
      </c>
      <c r="D221" s="2"/>
      <c r="E221" s="2" t="s">
        <v>390</v>
      </c>
      <c r="F221" s="2" t="s">
        <v>98</v>
      </c>
      <c r="G221" s="2" t="s">
        <v>99</v>
      </c>
      <c r="H221" s="2" t="s">
        <v>20</v>
      </c>
      <c r="I221" s="2">
        <f>I217*J221</f>
        <v>0.02</v>
      </c>
      <c r="J221" s="2">
        <v>0.13333333333333333</v>
      </c>
      <c r="K221" s="2">
        <v>0.13333329999999999</v>
      </c>
      <c r="L221" s="2"/>
      <c r="M221" s="2"/>
      <c r="N221" s="2"/>
      <c r="O221" s="2">
        <f t="shared" si="213"/>
        <v>1242.43</v>
      </c>
      <c r="P221" s="2">
        <f>ROUND(CQ221*I221,2)</f>
        <v>1242.43</v>
      </c>
      <c r="Q221" s="2">
        <f t="shared" si="220"/>
        <v>0</v>
      </c>
      <c r="R221" s="2">
        <f t="shared" si="221"/>
        <v>0</v>
      </c>
      <c r="S221" s="2">
        <f t="shared" si="222"/>
        <v>0</v>
      </c>
      <c r="T221" s="2">
        <f t="shared" si="199"/>
        <v>0</v>
      </c>
      <c r="U221" s="2">
        <f t="shared" si="223"/>
        <v>0</v>
      </c>
      <c r="V221" s="2">
        <f t="shared" si="224"/>
        <v>0</v>
      </c>
      <c r="W221" s="2">
        <f t="shared" si="200"/>
        <v>0</v>
      </c>
      <c r="X221" s="2">
        <f t="shared" si="201"/>
        <v>0</v>
      </c>
      <c r="Y221" s="2">
        <f t="shared" si="202"/>
        <v>0</v>
      </c>
      <c r="Z221" s="2"/>
      <c r="AA221" s="2">
        <v>85997836</v>
      </c>
      <c r="AB221" s="2">
        <f t="shared" si="203"/>
        <v>50097.78</v>
      </c>
      <c r="AC221" s="2">
        <f t="shared" si="225"/>
        <v>50097.78</v>
      </c>
      <c r="AD221" s="2">
        <f t="shared" si="226"/>
        <v>0</v>
      </c>
      <c r="AE221" s="2">
        <f t="shared" si="227"/>
        <v>0</v>
      </c>
      <c r="AF221" s="2">
        <f t="shared" si="227"/>
        <v>0</v>
      </c>
      <c r="AG221" s="2">
        <f t="shared" si="204"/>
        <v>0</v>
      </c>
      <c r="AH221" s="2">
        <f t="shared" si="228"/>
        <v>0</v>
      </c>
      <c r="AI221" s="2">
        <f t="shared" si="228"/>
        <v>0</v>
      </c>
      <c r="AJ221" s="2">
        <f t="shared" si="205"/>
        <v>0</v>
      </c>
      <c r="AK221" s="2">
        <v>50097.78</v>
      </c>
      <c r="AL221" s="2">
        <v>50097.78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97</v>
      </c>
      <c r="AU221" s="2">
        <v>51</v>
      </c>
      <c r="AV221" s="2">
        <v>1</v>
      </c>
      <c r="AW221" s="2">
        <v>1</v>
      </c>
      <c r="AX221" s="2"/>
      <c r="AY221" s="2"/>
      <c r="AZ221" s="2">
        <v>1</v>
      </c>
      <c r="BA221" s="2">
        <v>1</v>
      </c>
      <c r="BB221" s="2">
        <v>1</v>
      </c>
      <c r="BC221" s="2">
        <v>1.24</v>
      </c>
      <c r="BD221" s="2" t="s">
        <v>3</v>
      </c>
      <c r="BE221" s="2" t="s">
        <v>3</v>
      </c>
      <c r="BF221" s="2" t="s">
        <v>3</v>
      </c>
      <c r="BG221" s="2" t="s">
        <v>3</v>
      </c>
      <c r="BH221" s="2">
        <v>3</v>
      </c>
      <c r="BI221" s="2">
        <v>2</v>
      </c>
      <c r="BJ221" s="2" t="s">
        <v>100</v>
      </c>
      <c r="BK221" s="2"/>
      <c r="BL221" s="2"/>
      <c r="BM221" s="2">
        <v>108001</v>
      </c>
      <c r="BN221" s="2">
        <v>0</v>
      </c>
      <c r="BO221" s="2" t="s">
        <v>98</v>
      </c>
      <c r="BP221" s="2">
        <v>1</v>
      </c>
      <c r="BQ221" s="2">
        <v>3</v>
      </c>
      <c r="BR221" s="2">
        <v>0</v>
      </c>
      <c r="BS221" s="2">
        <v>1</v>
      </c>
      <c r="BT221" s="2">
        <v>1</v>
      </c>
      <c r="BU221" s="2">
        <v>1</v>
      </c>
      <c r="BV221" s="2">
        <v>1</v>
      </c>
      <c r="BW221" s="2">
        <v>1</v>
      </c>
      <c r="BX221" s="2">
        <v>1</v>
      </c>
      <c r="BY221" s="2" t="s">
        <v>3</v>
      </c>
      <c r="BZ221" s="2">
        <v>97</v>
      </c>
      <c r="CA221" s="2">
        <v>51</v>
      </c>
      <c r="CB221" s="2" t="s">
        <v>3</v>
      </c>
      <c r="CC221" s="2"/>
      <c r="CD221" s="2"/>
      <c r="CE221" s="2">
        <v>0</v>
      </c>
      <c r="CF221" s="2">
        <v>0</v>
      </c>
      <c r="CG221" s="2">
        <v>0</v>
      </c>
      <c r="CH221" s="2"/>
      <c r="CI221" s="2"/>
      <c r="CJ221" s="2"/>
      <c r="CK221" s="2"/>
      <c r="CL221" s="2"/>
      <c r="CM221" s="2">
        <v>0</v>
      </c>
      <c r="CN221" s="2" t="s">
        <v>3</v>
      </c>
      <c r="CO221" s="2">
        <v>0</v>
      </c>
      <c r="CP221" s="2">
        <f t="shared" si="214"/>
        <v>1242.43</v>
      </c>
      <c r="CQ221" s="2">
        <f>ROUND(AL221*BC221,2)</f>
        <v>62121.25</v>
      </c>
      <c r="CR221" s="2">
        <f>ROUND(AM221*BB221,2)</f>
        <v>0</v>
      </c>
      <c r="CS221" s="2">
        <f>ROUND(AN221*BS221,2)</f>
        <v>0</v>
      </c>
      <c r="CT221" s="2">
        <f>ROUND(AO221*BA221,2)</f>
        <v>0</v>
      </c>
      <c r="CU221" s="2">
        <f t="shared" si="218"/>
        <v>0</v>
      </c>
      <c r="CV221" s="2">
        <f t="shared" si="229"/>
        <v>0</v>
      </c>
      <c r="CW221" s="2">
        <f t="shared" si="229"/>
        <v>0</v>
      </c>
      <c r="CX221" s="2">
        <f t="shared" si="219"/>
        <v>0</v>
      </c>
      <c r="CY221" s="2">
        <f t="shared" si="215"/>
        <v>0</v>
      </c>
      <c r="CZ221" s="2">
        <f t="shared" si="216"/>
        <v>0</v>
      </c>
      <c r="DA221" s="2"/>
      <c r="DB221" s="2"/>
      <c r="DC221" s="2" t="s">
        <v>3</v>
      </c>
      <c r="DD221" s="2" t="s">
        <v>3</v>
      </c>
      <c r="DE221" s="2" t="s">
        <v>3</v>
      </c>
      <c r="DF221" s="2" t="s">
        <v>3</v>
      </c>
      <c r="DG221" s="2" t="s">
        <v>3</v>
      </c>
      <c r="DH221" s="2" t="s">
        <v>3</v>
      </c>
      <c r="DI221" s="2" t="s">
        <v>3</v>
      </c>
      <c r="DJ221" s="2" t="s">
        <v>3</v>
      </c>
      <c r="DK221" s="2" t="s">
        <v>3</v>
      </c>
      <c r="DL221" s="2" t="s">
        <v>3</v>
      </c>
      <c r="DM221" s="2" t="s">
        <v>3</v>
      </c>
      <c r="DN221" s="2">
        <v>0</v>
      </c>
      <c r="DO221" s="2">
        <v>0</v>
      </c>
      <c r="DP221" s="2">
        <v>1</v>
      </c>
      <c r="DQ221" s="2">
        <v>1</v>
      </c>
      <c r="DR221" s="2"/>
      <c r="DS221" s="2"/>
      <c r="DT221" s="2"/>
      <c r="DU221" s="2">
        <v>1013</v>
      </c>
      <c r="DV221" s="2" t="s">
        <v>20</v>
      </c>
      <c r="DW221" s="2" t="s">
        <v>20</v>
      </c>
      <c r="DX221" s="2">
        <v>1</v>
      </c>
      <c r="DY221" s="2"/>
      <c r="DZ221" s="2" t="s">
        <v>3</v>
      </c>
      <c r="EA221" s="2" t="s">
        <v>3</v>
      </c>
      <c r="EB221" s="2" t="s">
        <v>3</v>
      </c>
      <c r="EC221" s="2" t="s">
        <v>3</v>
      </c>
      <c r="ED221" s="2"/>
      <c r="EE221" s="2">
        <v>84053775</v>
      </c>
      <c r="EF221" s="2">
        <v>3</v>
      </c>
      <c r="EG221" s="2" t="s">
        <v>48</v>
      </c>
      <c r="EH221" s="2">
        <v>0</v>
      </c>
      <c r="EI221" s="2" t="s">
        <v>3</v>
      </c>
      <c r="EJ221" s="2">
        <v>2</v>
      </c>
      <c r="EK221" s="2">
        <v>108001</v>
      </c>
      <c r="EL221" s="2" t="s">
        <v>49</v>
      </c>
      <c r="EM221" s="2" t="s">
        <v>50</v>
      </c>
      <c r="EN221" s="2"/>
      <c r="EO221" s="2" t="s">
        <v>3</v>
      </c>
      <c r="EP221" s="2"/>
      <c r="EQ221" s="2">
        <v>0</v>
      </c>
      <c r="ER221" s="2">
        <v>50097.78</v>
      </c>
      <c r="ES221" s="2">
        <v>50097.78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>
        <v>0</v>
      </c>
      <c r="FR221" s="2">
        <v>0</v>
      </c>
      <c r="FS221" s="2">
        <v>0</v>
      </c>
      <c r="FT221" s="2"/>
      <c r="FU221" s="2"/>
      <c r="FV221" s="2"/>
      <c r="FW221" s="2"/>
      <c r="FX221" s="2">
        <v>97</v>
      </c>
      <c r="FY221" s="2">
        <v>51</v>
      </c>
      <c r="FZ221" s="2"/>
      <c r="GA221" s="2" t="s">
        <v>3</v>
      </c>
      <c r="GB221" s="2"/>
      <c r="GC221" s="2"/>
      <c r="GD221" s="2">
        <v>1</v>
      </c>
      <c r="GE221" s="2"/>
      <c r="GF221" s="2">
        <v>554754660</v>
      </c>
      <c r="GG221" s="2">
        <v>2</v>
      </c>
      <c r="GH221" s="2">
        <v>1</v>
      </c>
      <c r="GI221" s="2">
        <v>2</v>
      </c>
      <c r="GJ221" s="2">
        <v>0</v>
      </c>
      <c r="GK221" s="2">
        <v>0</v>
      </c>
      <c r="GL221" s="2">
        <f t="shared" si="206"/>
        <v>0</v>
      </c>
      <c r="GM221" s="2">
        <f t="shared" si="207"/>
        <v>1242.43</v>
      </c>
      <c r="GN221" s="2">
        <f t="shared" si="208"/>
        <v>0</v>
      </c>
      <c r="GO221" s="2">
        <f t="shared" si="209"/>
        <v>1242.43</v>
      </c>
      <c r="GP221" s="2">
        <f t="shared" si="210"/>
        <v>0</v>
      </c>
      <c r="GQ221" s="2"/>
      <c r="GR221" s="2">
        <v>0</v>
      </c>
      <c r="GS221" s="2">
        <v>3</v>
      </c>
      <c r="GT221" s="2">
        <v>0</v>
      </c>
      <c r="GU221" s="2" t="s">
        <v>3</v>
      </c>
      <c r="GV221" s="2">
        <f t="shared" si="211"/>
        <v>0</v>
      </c>
      <c r="GW221" s="2">
        <v>1</v>
      </c>
      <c r="GX221" s="2">
        <f t="shared" si="212"/>
        <v>0</v>
      </c>
      <c r="GY221" s="2"/>
      <c r="GZ221" s="2"/>
      <c r="HA221" s="2">
        <v>0</v>
      </c>
      <c r="HB221" s="2">
        <v>0</v>
      </c>
      <c r="HC221" s="2">
        <f t="shared" si="217"/>
        <v>0</v>
      </c>
      <c r="HD221" s="2"/>
      <c r="HE221" s="2" t="s">
        <v>3</v>
      </c>
      <c r="HF221" s="2" t="s">
        <v>3</v>
      </c>
      <c r="HG221" s="2"/>
      <c r="HH221" s="2"/>
      <c r="HI221" s="2"/>
      <c r="HJ221" s="2"/>
      <c r="HK221" s="2"/>
      <c r="HL221" s="2"/>
      <c r="HM221" s="2" t="s">
        <v>3</v>
      </c>
      <c r="HN221" s="2" t="s">
        <v>52</v>
      </c>
      <c r="HO221" s="2" t="s">
        <v>53</v>
      </c>
      <c r="HP221" s="2" t="s">
        <v>49</v>
      </c>
      <c r="HQ221" s="2" t="s">
        <v>49</v>
      </c>
      <c r="HR221" s="2"/>
      <c r="HS221" s="2">
        <v>0</v>
      </c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>
        <v>0</v>
      </c>
      <c r="IL221" s="2"/>
      <c r="IM221" s="2"/>
      <c r="IN221" s="2"/>
      <c r="IO221" s="2"/>
      <c r="IP221" s="2"/>
      <c r="IQ221" s="2"/>
      <c r="IR221" s="2"/>
      <c r="IS221" s="2"/>
      <c r="IT221" s="2"/>
      <c r="IU221" s="2"/>
    </row>
    <row r="222" spans="1:255" x14ac:dyDescent="0.2">
      <c r="A222" s="2">
        <v>18</v>
      </c>
      <c r="B222" s="2">
        <v>1</v>
      </c>
      <c r="C222" s="2">
        <v>182</v>
      </c>
      <c r="D222" s="2"/>
      <c r="E222" s="2" t="s">
        <v>391</v>
      </c>
      <c r="F222" s="2" t="s">
        <v>392</v>
      </c>
      <c r="G222" s="2" t="s">
        <v>393</v>
      </c>
      <c r="H222" s="2" t="s">
        <v>20</v>
      </c>
      <c r="I222" s="2">
        <f>I217*J222</f>
        <v>0.02</v>
      </c>
      <c r="J222" s="2">
        <v>0.13333333333333333</v>
      </c>
      <c r="K222" s="2">
        <v>0.13333329999999999</v>
      </c>
      <c r="L222" s="2"/>
      <c r="M222" s="2"/>
      <c r="N222" s="2"/>
      <c r="O222" s="2">
        <f t="shared" si="213"/>
        <v>962.38</v>
      </c>
      <c r="P222" s="2">
        <f>ROUND(CQ222*I222,2)</f>
        <v>962.38</v>
      </c>
      <c r="Q222" s="2">
        <f t="shared" si="220"/>
        <v>0</v>
      </c>
      <c r="R222" s="2">
        <f t="shared" si="221"/>
        <v>0</v>
      </c>
      <c r="S222" s="2">
        <f t="shared" si="222"/>
        <v>0</v>
      </c>
      <c r="T222" s="2">
        <f t="shared" si="199"/>
        <v>0</v>
      </c>
      <c r="U222" s="2">
        <f t="shared" si="223"/>
        <v>0</v>
      </c>
      <c r="V222" s="2">
        <f t="shared" si="224"/>
        <v>0</v>
      </c>
      <c r="W222" s="2">
        <f t="shared" si="200"/>
        <v>0</v>
      </c>
      <c r="X222" s="2">
        <f t="shared" si="201"/>
        <v>0</v>
      </c>
      <c r="Y222" s="2">
        <f t="shared" si="202"/>
        <v>0</v>
      </c>
      <c r="Z222" s="2"/>
      <c r="AA222" s="2">
        <v>85997836</v>
      </c>
      <c r="AB222" s="2">
        <f t="shared" si="203"/>
        <v>38805.71</v>
      </c>
      <c r="AC222" s="2">
        <f t="shared" si="225"/>
        <v>38805.71</v>
      </c>
      <c r="AD222" s="2">
        <f t="shared" si="226"/>
        <v>0</v>
      </c>
      <c r="AE222" s="2">
        <f t="shared" si="227"/>
        <v>0</v>
      </c>
      <c r="AF222" s="2">
        <f t="shared" si="227"/>
        <v>0</v>
      </c>
      <c r="AG222" s="2">
        <f t="shared" si="204"/>
        <v>0</v>
      </c>
      <c r="AH222" s="2">
        <f t="shared" si="228"/>
        <v>0</v>
      </c>
      <c r="AI222" s="2">
        <f t="shared" si="228"/>
        <v>0</v>
      </c>
      <c r="AJ222" s="2">
        <f t="shared" si="205"/>
        <v>0</v>
      </c>
      <c r="AK222" s="2">
        <v>38805.71</v>
      </c>
      <c r="AL222" s="2">
        <v>38805.71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97</v>
      </c>
      <c r="AU222" s="2">
        <v>51</v>
      </c>
      <c r="AV222" s="2">
        <v>1</v>
      </c>
      <c r="AW222" s="2">
        <v>1</v>
      </c>
      <c r="AX222" s="2"/>
      <c r="AY222" s="2"/>
      <c r="AZ222" s="2">
        <v>1</v>
      </c>
      <c r="BA222" s="2">
        <v>1</v>
      </c>
      <c r="BB222" s="2">
        <v>1</v>
      </c>
      <c r="BC222" s="2">
        <v>1.24</v>
      </c>
      <c r="BD222" s="2" t="s">
        <v>3</v>
      </c>
      <c r="BE222" s="2" t="s">
        <v>3</v>
      </c>
      <c r="BF222" s="2" t="s">
        <v>3</v>
      </c>
      <c r="BG222" s="2" t="s">
        <v>3</v>
      </c>
      <c r="BH222" s="2">
        <v>3</v>
      </c>
      <c r="BI222" s="2">
        <v>2</v>
      </c>
      <c r="BJ222" s="2" t="s">
        <v>394</v>
      </c>
      <c r="BK222" s="2"/>
      <c r="BL222" s="2"/>
      <c r="BM222" s="2">
        <v>108001</v>
      </c>
      <c r="BN222" s="2">
        <v>0</v>
      </c>
      <c r="BO222" s="2" t="s">
        <v>392</v>
      </c>
      <c r="BP222" s="2">
        <v>1</v>
      </c>
      <c r="BQ222" s="2">
        <v>3</v>
      </c>
      <c r="BR222" s="2">
        <v>0</v>
      </c>
      <c r="BS222" s="2">
        <v>1</v>
      </c>
      <c r="BT222" s="2">
        <v>1</v>
      </c>
      <c r="BU222" s="2">
        <v>1</v>
      </c>
      <c r="BV222" s="2">
        <v>1</v>
      </c>
      <c r="BW222" s="2">
        <v>1</v>
      </c>
      <c r="BX222" s="2">
        <v>1</v>
      </c>
      <c r="BY222" s="2" t="s">
        <v>3</v>
      </c>
      <c r="BZ222" s="2">
        <v>97</v>
      </c>
      <c r="CA222" s="2">
        <v>51</v>
      </c>
      <c r="CB222" s="2" t="s">
        <v>3</v>
      </c>
      <c r="CC222" s="2"/>
      <c r="CD222" s="2"/>
      <c r="CE222" s="2">
        <v>0</v>
      </c>
      <c r="CF222" s="2">
        <v>0</v>
      </c>
      <c r="CG222" s="2">
        <v>0</v>
      </c>
      <c r="CH222" s="2"/>
      <c r="CI222" s="2"/>
      <c r="CJ222" s="2"/>
      <c r="CK222" s="2"/>
      <c r="CL222" s="2"/>
      <c r="CM222" s="2">
        <v>0</v>
      </c>
      <c r="CN222" s="2" t="s">
        <v>3</v>
      </c>
      <c r="CO222" s="2">
        <v>0</v>
      </c>
      <c r="CP222" s="2">
        <f t="shared" si="214"/>
        <v>962.38</v>
      </c>
      <c r="CQ222" s="2">
        <f>ROUND(AL222*BC222,2)</f>
        <v>48119.08</v>
      </c>
      <c r="CR222" s="2">
        <f>ROUND(AM222*BB222,2)</f>
        <v>0</v>
      </c>
      <c r="CS222" s="2">
        <f>ROUND(AN222*BS222,2)</f>
        <v>0</v>
      </c>
      <c r="CT222" s="2">
        <f>ROUND(AO222*BA222,2)</f>
        <v>0</v>
      </c>
      <c r="CU222" s="2">
        <f t="shared" si="218"/>
        <v>0</v>
      </c>
      <c r="CV222" s="2">
        <f t="shared" si="229"/>
        <v>0</v>
      </c>
      <c r="CW222" s="2">
        <f t="shared" si="229"/>
        <v>0</v>
      </c>
      <c r="CX222" s="2">
        <f t="shared" si="219"/>
        <v>0</v>
      </c>
      <c r="CY222" s="2">
        <f t="shared" si="215"/>
        <v>0</v>
      </c>
      <c r="CZ222" s="2">
        <f t="shared" si="216"/>
        <v>0</v>
      </c>
      <c r="DA222" s="2"/>
      <c r="DB222" s="2"/>
      <c r="DC222" s="2" t="s">
        <v>3</v>
      </c>
      <c r="DD222" s="2" t="s">
        <v>3</v>
      </c>
      <c r="DE222" s="2" t="s">
        <v>3</v>
      </c>
      <c r="DF222" s="2" t="s">
        <v>3</v>
      </c>
      <c r="DG222" s="2" t="s">
        <v>3</v>
      </c>
      <c r="DH222" s="2" t="s">
        <v>3</v>
      </c>
      <c r="DI222" s="2" t="s">
        <v>3</v>
      </c>
      <c r="DJ222" s="2" t="s">
        <v>3</v>
      </c>
      <c r="DK222" s="2" t="s">
        <v>3</v>
      </c>
      <c r="DL222" s="2" t="s">
        <v>3</v>
      </c>
      <c r="DM222" s="2" t="s">
        <v>3</v>
      </c>
      <c r="DN222" s="2">
        <v>0</v>
      </c>
      <c r="DO222" s="2">
        <v>0</v>
      </c>
      <c r="DP222" s="2">
        <v>1</v>
      </c>
      <c r="DQ222" s="2">
        <v>1</v>
      </c>
      <c r="DR222" s="2"/>
      <c r="DS222" s="2"/>
      <c r="DT222" s="2"/>
      <c r="DU222" s="2">
        <v>1013</v>
      </c>
      <c r="DV222" s="2" t="s">
        <v>20</v>
      </c>
      <c r="DW222" s="2" t="s">
        <v>20</v>
      </c>
      <c r="DX222" s="2">
        <v>1</v>
      </c>
      <c r="DY222" s="2"/>
      <c r="DZ222" s="2" t="s">
        <v>3</v>
      </c>
      <c r="EA222" s="2" t="s">
        <v>3</v>
      </c>
      <c r="EB222" s="2" t="s">
        <v>3</v>
      </c>
      <c r="EC222" s="2" t="s">
        <v>3</v>
      </c>
      <c r="ED222" s="2"/>
      <c r="EE222" s="2">
        <v>84053775</v>
      </c>
      <c r="EF222" s="2">
        <v>3</v>
      </c>
      <c r="EG222" s="2" t="s">
        <v>48</v>
      </c>
      <c r="EH222" s="2">
        <v>0</v>
      </c>
      <c r="EI222" s="2" t="s">
        <v>3</v>
      </c>
      <c r="EJ222" s="2">
        <v>2</v>
      </c>
      <c r="EK222" s="2">
        <v>108001</v>
      </c>
      <c r="EL222" s="2" t="s">
        <v>49</v>
      </c>
      <c r="EM222" s="2" t="s">
        <v>50</v>
      </c>
      <c r="EN222" s="2"/>
      <c r="EO222" s="2" t="s">
        <v>3</v>
      </c>
      <c r="EP222" s="2"/>
      <c r="EQ222" s="2">
        <v>0</v>
      </c>
      <c r="ER222" s="2">
        <v>38805.71</v>
      </c>
      <c r="ES222" s="2">
        <v>38805.71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>
        <v>0</v>
      </c>
      <c r="FR222" s="2">
        <v>0</v>
      </c>
      <c r="FS222" s="2">
        <v>0</v>
      </c>
      <c r="FT222" s="2"/>
      <c r="FU222" s="2"/>
      <c r="FV222" s="2"/>
      <c r="FW222" s="2"/>
      <c r="FX222" s="2">
        <v>97</v>
      </c>
      <c r="FY222" s="2">
        <v>51</v>
      </c>
      <c r="FZ222" s="2"/>
      <c r="GA222" s="2" t="s">
        <v>3</v>
      </c>
      <c r="GB222" s="2"/>
      <c r="GC222" s="2"/>
      <c r="GD222" s="2">
        <v>1</v>
      </c>
      <c r="GE222" s="2"/>
      <c r="GF222" s="2">
        <v>384207786</v>
      </c>
      <c r="GG222" s="2">
        <v>2</v>
      </c>
      <c r="GH222" s="2">
        <v>1</v>
      </c>
      <c r="GI222" s="2">
        <v>2</v>
      </c>
      <c r="GJ222" s="2">
        <v>0</v>
      </c>
      <c r="GK222" s="2">
        <v>0</v>
      </c>
      <c r="GL222" s="2">
        <f t="shared" si="206"/>
        <v>0</v>
      </c>
      <c r="GM222" s="2">
        <f t="shared" si="207"/>
        <v>962.38</v>
      </c>
      <c r="GN222" s="2">
        <f t="shared" si="208"/>
        <v>0</v>
      </c>
      <c r="GO222" s="2">
        <f t="shared" si="209"/>
        <v>962.38</v>
      </c>
      <c r="GP222" s="2">
        <f t="shared" si="210"/>
        <v>0</v>
      </c>
      <c r="GQ222" s="2"/>
      <c r="GR222" s="2">
        <v>0</v>
      </c>
      <c r="GS222" s="2">
        <v>3</v>
      </c>
      <c r="GT222" s="2">
        <v>0</v>
      </c>
      <c r="GU222" s="2" t="s">
        <v>3</v>
      </c>
      <c r="GV222" s="2">
        <f t="shared" si="211"/>
        <v>0</v>
      </c>
      <c r="GW222" s="2">
        <v>1</v>
      </c>
      <c r="GX222" s="2">
        <f t="shared" si="212"/>
        <v>0</v>
      </c>
      <c r="GY222" s="2"/>
      <c r="GZ222" s="2"/>
      <c r="HA222" s="2">
        <v>0</v>
      </c>
      <c r="HB222" s="2">
        <v>0</v>
      </c>
      <c r="HC222" s="2">
        <f t="shared" si="217"/>
        <v>0</v>
      </c>
      <c r="HD222" s="2"/>
      <c r="HE222" s="2" t="s">
        <v>3</v>
      </c>
      <c r="HF222" s="2" t="s">
        <v>3</v>
      </c>
      <c r="HG222" s="2"/>
      <c r="HH222" s="2"/>
      <c r="HI222" s="2"/>
      <c r="HJ222" s="2"/>
      <c r="HK222" s="2"/>
      <c r="HL222" s="2"/>
      <c r="HM222" s="2" t="s">
        <v>3</v>
      </c>
      <c r="HN222" s="2" t="s">
        <v>52</v>
      </c>
      <c r="HO222" s="2" t="s">
        <v>53</v>
      </c>
      <c r="HP222" s="2" t="s">
        <v>49</v>
      </c>
      <c r="HQ222" s="2" t="s">
        <v>49</v>
      </c>
      <c r="HR222" s="2"/>
      <c r="HS222" s="2">
        <v>0</v>
      </c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>
        <v>0</v>
      </c>
      <c r="IL222" s="2"/>
      <c r="IM222" s="2"/>
      <c r="IN222" s="2"/>
      <c r="IO222" s="2"/>
      <c r="IP222" s="2"/>
      <c r="IQ222" s="2"/>
      <c r="IR222" s="2"/>
      <c r="IS222" s="2"/>
      <c r="IT222" s="2"/>
      <c r="IU222" s="2"/>
    </row>
    <row r="223" spans="1:255" x14ac:dyDescent="0.2">
      <c r="A223" s="2">
        <v>18</v>
      </c>
      <c r="B223" s="2">
        <v>1</v>
      </c>
      <c r="C223" s="2">
        <v>184</v>
      </c>
      <c r="D223" s="2"/>
      <c r="E223" s="2" t="s">
        <v>395</v>
      </c>
      <c r="F223" s="2" t="s">
        <v>55</v>
      </c>
      <c r="G223" s="2" t="s">
        <v>56</v>
      </c>
      <c r="H223" s="2" t="s">
        <v>57</v>
      </c>
      <c r="I223" s="2">
        <f>J223</f>
        <v>2</v>
      </c>
      <c r="J223" s="2">
        <v>2</v>
      </c>
      <c r="K223" s="2">
        <v>2</v>
      </c>
      <c r="L223" s="2"/>
      <c r="M223" s="2"/>
      <c r="N223" s="2"/>
      <c r="O223" s="2">
        <f>ROUND(P223,2)</f>
        <v>43.54</v>
      </c>
      <c r="P223" s="2">
        <f>ROUND(ROUND(ROUND(SUMIF(SmtRes!AQ173:'SmtRes'!AQ184,"=1",SmtRes!CU173:'SmtRes'!CU184),2),2)*I223/100,2)</f>
        <v>43.54</v>
      </c>
      <c r="Q223" s="2">
        <f t="shared" si="220"/>
        <v>0</v>
      </c>
      <c r="R223" s="2">
        <f t="shared" si="221"/>
        <v>0</v>
      </c>
      <c r="S223" s="2">
        <f t="shared" si="222"/>
        <v>0</v>
      </c>
      <c r="T223" s="2">
        <f t="shared" si="199"/>
        <v>0</v>
      </c>
      <c r="U223" s="2">
        <f t="shared" si="223"/>
        <v>0</v>
      </c>
      <c r="V223" s="2">
        <f t="shared" si="224"/>
        <v>0</v>
      </c>
      <c r="W223" s="2">
        <f t="shared" si="200"/>
        <v>0</v>
      </c>
      <c r="X223" s="2">
        <f t="shared" si="201"/>
        <v>0</v>
      </c>
      <c r="Y223" s="2">
        <f t="shared" si="202"/>
        <v>0</v>
      </c>
      <c r="Z223" s="2"/>
      <c r="AA223" s="2">
        <v>85997836</v>
      </c>
      <c r="AB223" s="2">
        <f t="shared" si="203"/>
        <v>0</v>
      </c>
      <c r="AC223" s="2">
        <f t="shared" si="225"/>
        <v>0</v>
      </c>
      <c r="AD223" s="2">
        <f t="shared" si="226"/>
        <v>0</v>
      </c>
      <c r="AE223" s="2">
        <f t="shared" si="227"/>
        <v>0</v>
      </c>
      <c r="AF223" s="2">
        <f t="shared" si="227"/>
        <v>0</v>
      </c>
      <c r="AG223" s="2">
        <f t="shared" si="204"/>
        <v>0</v>
      </c>
      <c r="AH223" s="2">
        <f t="shared" si="228"/>
        <v>0</v>
      </c>
      <c r="AI223" s="2">
        <f t="shared" si="228"/>
        <v>0</v>
      </c>
      <c r="AJ223" s="2">
        <f t="shared" si="205"/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97</v>
      </c>
      <c r="AU223" s="2">
        <v>51</v>
      </c>
      <c r="AV223" s="2">
        <v>1</v>
      </c>
      <c r="AW223" s="2">
        <v>1</v>
      </c>
      <c r="AX223" s="2"/>
      <c r="AY223" s="2"/>
      <c r="AZ223" s="2">
        <v>1</v>
      </c>
      <c r="BA223" s="2">
        <v>1</v>
      </c>
      <c r="BB223" s="2">
        <v>1</v>
      </c>
      <c r="BC223" s="2">
        <v>1</v>
      </c>
      <c r="BD223" s="2" t="s">
        <v>3</v>
      </c>
      <c r="BE223" s="2" t="s">
        <v>3</v>
      </c>
      <c r="BF223" s="2" t="s">
        <v>3</v>
      </c>
      <c r="BG223" s="2" t="s">
        <v>3</v>
      </c>
      <c r="BH223" s="2">
        <v>3</v>
      </c>
      <c r="BI223" s="2">
        <v>2</v>
      </c>
      <c r="BJ223" s="2" t="s">
        <v>3</v>
      </c>
      <c r="BK223" s="2"/>
      <c r="BL223" s="2"/>
      <c r="BM223" s="2">
        <v>108001</v>
      </c>
      <c r="BN223" s="2">
        <v>0</v>
      </c>
      <c r="BO223" s="2" t="s">
        <v>3</v>
      </c>
      <c r="BP223" s="2">
        <v>0</v>
      </c>
      <c r="BQ223" s="2">
        <v>3</v>
      </c>
      <c r="BR223" s="2">
        <v>0</v>
      </c>
      <c r="BS223" s="2">
        <v>1</v>
      </c>
      <c r="BT223" s="2">
        <v>1</v>
      </c>
      <c r="BU223" s="2">
        <v>1</v>
      </c>
      <c r="BV223" s="2">
        <v>1</v>
      </c>
      <c r="BW223" s="2">
        <v>1</v>
      </c>
      <c r="BX223" s="2">
        <v>1</v>
      </c>
      <c r="BY223" s="2" t="s">
        <v>3</v>
      </c>
      <c r="BZ223" s="2">
        <v>97</v>
      </c>
      <c r="CA223" s="2">
        <v>51</v>
      </c>
      <c r="CB223" s="2" t="s">
        <v>3</v>
      </c>
      <c r="CC223" s="2"/>
      <c r="CD223" s="2"/>
      <c r="CE223" s="2">
        <v>0</v>
      </c>
      <c r="CF223" s="2">
        <v>0</v>
      </c>
      <c r="CG223" s="2">
        <v>0</v>
      </c>
      <c r="CH223" s="2"/>
      <c r="CI223" s="2"/>
      <c r="CJ223" s="2"/>
      <c r="CK223" s="2"/>
      <c r="CL223" s="2"/>
      <c r="CM223" s="2">
        <v>0</v>
      </c>
      <c r="CN223" s="2" t="s">
        <v>3</v>
      </c>
      <c r="CO223" s="2">
        <v>0</v>
      </c>
      <c r="CP223" s="2">
        <f>0</f>
        <v>0</v>
      </c>
      <c r="CQ223" s="2">
        <f>0</f>
        <v>0</v>
      </c>
      <c r="CR223" s="2">
        <f>0</f>
        <v>0</v>
      </c>
      <c r="CS223" s="2">
        <f>0</f>
        <v>0</v>
      </c>
      <c r="CT223" s="2">
        <f>0</f>
        <v>0</v>
      </c>
      <c r="CU223" s="2">
        <f>0</f>
        <v>0</v>
      </c>
      <c r="CV223" s="2">
        <f>0</f>
        <v>0</v>
      </c>
      <c r="CW223" s="2">
        <f>0</f>
        <v>0</v>
      </c>
      <c r="CX223" s="2">
        <f>0</f>
        <v>0</v>
      </c>
      <c r="CY223" s="2">
        <f>0</f>
        <v>0</v>
      </c>
      <c r="CZ223" s="2">
        <f>0</f>
        <v>0</v>
      </c>
      <c r="DA223" s="2"/>
      <c r="DB223" s="2"/>
      <c r="DC223" s="2" t="s">
        <v>3</v>
      </c>
      <c r="DD223" s="2" t="s">
        <v>3</v>
      </c>
      <c r="DE223" s="2" t="s">
        <v>3</v>
      </c>
      <c r="DF223" s="2" t="s">
        <v>3</v>
      </c>
      <c r="DG223" s="2" t="s">
        <v>3</v>
      </c>
      <c r="DH223" s="2" t="s">
        <v>3</v>
      </c>
      <c r="DI223" s="2" t="s">
        <v>3</v>
      </c>
      <c r="DJ223" s="2" t="s">
        <v>3</v>
      </c>
      <c r="DK223" s="2" t="s">
        <v>3</v>
      </c>
      <c r="DL223" s="2" t="s">
        <v>3</v>
      </c>
      <c r="DM223" s="2" t="s">
        <v>3</v>
      </c>
      <c r="DN223" s="2">
        <v>0</v>
      </c>
      <c r="DO223" s="2">
        <v>0</v>
      </c>
      <c r="DP223" s="2">
        <v>1</v>
      </c>
      <c r="DQ223" s="2">
        <v>1</v>
      </c>
      <c r="DR223" s="2"/>
      <c r="DS223" s="2"/>
      <c r="DT223" s="2"/>
      <c r="DU223" s="2">
        <v>1013</v>
      </c>
      <c r="DV223" s="2" t="s">
        <v>57</v>
      </c>
      <c r="DW223" s="2" t="s">
        <v>57</v>
      </c>
      <c r="DX223" s="2">
        <v>1</v>
      </c>
      <c r="DY223" s="2"/>
      <c r="DZ223" s="2" t="s">
        <v>3</v>
      </c>
      <c r="EA223" s="2" t="s">
        <v>3</v>
      </c>
      <c r="EB223" s="2" t="s">
        <v>3</v>
      </c>
      <c r="EC223" s="2" t="s">
        <v>3</v>
      </c>
      <c r="ED223" s="2"/>
      <c r="EE223" s="2">
        <v>84053775</v>
      </c>
      <c r="EF223" s="2">
        <v>3</v>
      </c>
      <c r="EG223" s="2" t="s">
        <v>48</v>
      </c>
      <c r="EH223" s="2">
        <v>0</v>
      </c>
      <c r="EI223" s="2" t="s">
        <v>3</v>
      </c>
      <c r="EJ223" s="2">
        <v>2</v>
      </c>
      <c r="EK223" s="2">
        <v>108001</v>
      </c>
      <c r="EL223" s="2" t="s">
        <v>49</v>
      </c>
      <c r="EM223" s="2" t="s">
        <v>50</v>
      </c>
      <c r="EN223" s="2"/>
      <c r="EO223" s="2" t="s">
        <v>3</v>
      </c>
      <c r="EP223" s="2"/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>
        <v>0</v>
      </c>
      <c r="FR223" s="2">
        <v>0</v>
      </c>
      <c r="FS223" s="2">
        <v>0</v>
      </c>
      <c r="FT223" s="2"/>
      <c r="FU223" s="2"/>
      <c r="FV223" s="2"/>
      <c r="FW223" s="2"/>
      <c r="FX223" s="2">
        <v>97</v>
      </c>
      <c r="FY223" s="2">
        <v>51</v>
      </c>
      <c r="FZ223" s="2"/>
      <c r="GA223" s="2" t="s">
        <v>3</v>
      </c>
      <c r="GB223" s="2"/>
      <c r="GC223" s="2"/>
      <c r="GD223" s="2">
        <v>1</v>
      </c>
      <c r="GE223" s="2"/>
      <c r="GF223" s="2">
        <v>274903907</v>
      </c>
      <c r="GG223" s="2">
        <v>2</v>
      </c>
      <c r="GH223" s="2">
        <v>1</v>
      </c>
      <c r="GI223" s="2">
        <v>-2</v>
      </c>
      <c r="GJ223" s="2">
        <v>0</v>
      </c>
      <c r="GK223" s="2">
        <v>0</v>
      </c>
      <c r="GL223" s="2">
        <f t="shared" si="206"/>
        <v>0</v>
      </c>
      <c r="GM223" s="2">
        <f t="shared" si="207"/>
        <v>43.54</v>
      </c>
      <c r="GN223" s="2">
        <f t="shared" si="208"/>
        <v>0</v>
      </c>
      <c r="GO223" s="2">
        <f t="shared" si="209"/>
        <v>43.54</v>
      </c>
      <c r="GP223" s="2">
        <f t="shared" si="210"/>
        <v>0</v>
      </c>
      <c r="GQ223" s="2"/>
      <c r="GR223" s="2">
        <v>0</v>
      </c>
      <c r="GS223" s="2">
        <v>3</v>
      </c>
      <c r="GT223" s="2">
        <v>0</v>
      </c>
      <c r="GU223" s="2" t="s">
        <v>3</v>
      </c>
      <c r="GV223" s="2">
        <f t="shared" si="211"/>
        <v>0</v>
      </c>
      <c r="GW223" s="2">
        <v>1</v>
      </c>
      <c r="GX223" s="2">
        <f t="shared" si="212"/>
        <v>0</v>
      </c>
      <c r="GY223" s="2"/>
      <c r="GZ223" s="2"/>
      <c r="HA223" s="2">
        <v>0</v>
      </c>
      <c r="HB223" s="2">
        <v>0</v>
      </c>
      <c r="HC223" s="2">
        <f>0</f>
        <v>0</v>
      </c>
      <c r="HD223" s="2"/>
      <c r="HE223" s="2" t="s">
        <v>3</v>
      </c>
      <c r="HF223" s="2" t="s">
        <v>3</v>
      </c>
      <c r="HG223" s="2"/>
      <c r="HH223" s="2"/>
      <c r="HI223" s="2"/>
      <c r="HJ223" s="2"/>
      <c r="HK223" s="2"/>
      <c r="HL223" s="2"/>
      <c r="HM223" s="2" t="s">
        <v>3</v>
      </c>
      <c r="HN223" s="2" t="s">
        <v>52</v>
      </c>
      <c r="HO223" s="2" t="s">
        <v>53</v>
      </c>
      <c r="HP223" s="2" t="s">
        <v>49</v>
      </c>
      <c r="HQ223" s="2" t="s">
        <v>49</v>
      </c>
      <c r="HR223" s="2"/>
      <c r="HS223" s="2">
        <v>0</v>
      </c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>
        <v>0</v>
      </c>
      <c r="IL223" s="2"/>
      <c r="IM223" s="2"/>
      <c r="IN223" s="2"/>
      <c r="IO223" s="2"/>
      <c r="IP223" s="2"/>
      <c r="IQ223" s="2"/>
      <c r="IR223" s="2"/>
      <c r="IS223" s="2"/>
      <c r="IT223" s="2"/>
      <c r="IU223" s="2"/>
    </row>
    <row r="224" spans="1:255" x14ac:dyDescent="0.2">
      <c r="A224" s="2">
        <v>18</v>
      </c>
      <c r="B224" s="2">
        <v>1</v>
      </c>
      <c r="C224" s="2">
        <v>175</v>
      </c>
      <c r="D224" s="2"/>
      <c r="E224" s="2" t="s">
        <v>396</v>
      </c>
      <c r="F224" s="2" t="s">
        <v>27</v>
      </c>
      <c r="G224" s="2" t="s">
        <v>28</v>
      </c>
      <c r="H224" s="2" t="s">
        <v>29</v>
      </c>
      <c r="I224" s="2">
        <f>I217*J224</f>
        <v>-1.5E-3</v>
      </c>
      <c r="J224" s="2">
        <v>-0.01</v>
      </c>
      <c r="K224" s="2">
        <v>-0.01</v>
      </c>
      <c r="L224" s="2"/>
      <c r="M224" s="2"/>
      <c r="N224" s="2"/>
      <c r="O224" s="2">
        <f>ROUND(CP224,2)</f>
        <v>-1.05</v>
      </c>
      <c r="P224" s="2">
        <f>ROUND(CQ224*I224,2)</f>
        <v>0</v>
      </c>
      <c r="Q224" s="2">
        <f t="shared" si="220"/>
        <v>-0.09</v>
      </c>
      <c r="R224" s="2">
        <f t="shared" si="221"/>
        <v>-0.96</v>
      </c>
      <c r="S224" s="2">
        <f t="shared" si="222"/>
        <v>0</v>
      </c>
      <c r="T224" s="2">
        <f t="shared" si="199"/>
        <v>0</v>
      </c>
      <c r="U224" s="2">
        <f t="shared" si="223"/>
        <v>0</v>
      </c>
      <c r="V224" s="2">
        <f t="shared" si="224"/>
        <v>0</v>
      </c>
      <c r="W224" s="2">
        <f t="shared" si="200"/>
        <v>0</v>
      </c>
      <c r="X224" s="2">
        <f t="shared" si="201"/>
        <v>-0.93</v>
      </c>
      <c r="Y224" s="2">
        <f t="shared" si="202"/>
        <v>-0.49</v>
      </c>
      <c r="Z224" s="2"/>
      <c r="AA224" s="2">
        <v>85997836</v>
      </c>
      <c r="AB224" s="2">
        <f t="shared" si="203"/>
        <v>37.32</v>
      </c>
      <c r="AC224" s="2">
        <f t="shared" si="225"/>
        <v>0</v>
      </c>
      <c r="AD224" s="2">
        <f t="shared" si="226"/>
        <v>37.32</v>
      </c>
      <c r="AE224" s="2">
        <f t="shared" si="227"/>
        <v>641.22</v>
      </c>
      <c r="AF224" s="2">
        <f t="shared" si="227"/>
        <v>0</v>
      </c>
      <c r="AG224" s="2">
        <f t="shared" si="204"/>
        <v>0</v>
      </c>
      <c r="AH224" s="2">
        <f t="shared" si="228"/>
        <v>0</v>
      </c>
      <c r="AI224" s="2">
        <f t="shared" si="228"/>
        <v>0</v>
      </c>
      <c r="AJ224" s="2">
        <f t="shared" si="205"/>
        <v>0</v>
      </c>
      <c r="AK224" s="2">
        <v>37.32</v>
      </c>
      <c r="AL224" s="2">
        <v>0</v>
      </c>
      <c r="AM224" s="2">
        <v>37.32</v>
      </c>
      <c r="AN224" s="2">
        <v>641.22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97</v>
      </c>
      <c r="AU224" s="2">
        <v>51</v>
      </c>
      <c r="AV224" s="2">
        <v>1</v>
      </c>
      <c r="AW224" s="2">
        <v>1</v>
      </c>
      <c r="AX224" s="2"/>
      <c r="AY224" s="2"/>
      <c r="AZ224" s="2">
        <v>1</v>
      </c>
      <c r="BA224" s="2">
        <v>1</v>
      </c>
      <c r="BB224" s="2">
        <v>1.54</v>
      </c>
      <c r="BC224" s="2">
        <v>1</v>
      </c>
      <c r="BD224" s="2" t="s">
        <v>3</v>
      </c>
      <c r="BE224" s="2" t="s">
        <v>3</v>
      </c>
      <c r="BF224" s="2" t="s">
        <v>3</v>
      </c>
      <c r="BG224" s="2" t="s">
        <v>3</v>
      </c>
      <c r="BH224" s="2">
        <v>2</v>
      </c>
      <c r="BI224" s="2">
        <v>2</v>
      </c>
      <c r="BJ224" s="2" t="s">
        <v>30</v>
      </c>
      <c r="BK224" s="2"/>
      <c r="BL224" s="2"/>
      <c r="BM224" s="2">
        <v>108001</v>
      </c>
      <c r="BN224" s="2">
        <v>0</v>
      </c>
      <c r="BO224" s="2" t="s">
        <v>27</v>
      </c>
      <c r="BP224" s="2">
        <v>1</v>
      </c>
      <c r="BQ224" s="2">
        <v>3</v>
      </c>
      <c r="BR224" s="2">
        <v>0</v>
      </c>
      <c r="BS224" s="2">
        <v>1</v>
      </c>
      <c r="BT224" s="2">
        <v>1</v>
      </c>
      <c r="BU224" s="2">
        <v>1</v>
      </c>
      <c r="BV224" s="2">
        <v>1</v>
      </c>
      <c r="BW224" s="2">
        <v>1</v>
      </c>
      <c r="BX224" s="2">
        <v>1</v>
      </c>
      <c r="BY224" s="2" t="s">
        <v>3</v>
      </c>
      <c r="BZ224" s="2">
        <v>97</v>
      </c>
      <c r="CA224" s="2">
        <v>51</v>
      </c>
      <c r="CB224" s="2" t="s">
        <v>3</v>
      </c>
      <c r="CC224" s="2"/>
      <c r="CD224" s="2"/>
      <c r="CE224" s="2">
        <v>0</v>
      </c>
      <c r="CF224" s="2">
        <v>0</v>
      </c>
      <c r="CG224" s="2">
        <v>0</v>
      </c>
      <c r="CH224" s="2"/>
      <c r="CI224" s="2"/>
      <c r="CJ224" s="2"/>
      <c r="CK224" s="2"/>
      <c r="CL224" s="2"/>
      <c r="CM224" s="2">
        <v>0</v>
      </c>
      <c r="CN224" s="2" t="s">
        <v>3</v>
      </c>
      <c r="CO224" s="2">
        <v>0</v>
      </c>
      <c r="CP224" s="2">
        <f>(P224+Q224+S224+R224)</f>
        <v>-1.05</v>
      </c>
      <c r="CQ224" s="2">
        <f>ROUND(AL224*BC224,2)</f>
        <v>0</v>
      </c>
      <c r="CR224" s="2">
        <f>ROUND(AM224*BB224,2)</f>
        <v>57.47</v>
      </c>
      <c r="CS224" s="2">
        <f>ROUND(AN224*BS224,2)</f>
        <v>641.22</v>
      </c>
      <c r="CT224" s="2">
        <f>ROUND(AO224*BA224,2)</f>
        <v>0</v>
      </c>
      <c r="CU224" s="2">
        <f>AG224</f>
        <v>0</v>
      </c>
      <c r="CV224" s="2">
        <f>AH224</f>
        <v>0</v>
      </c>
      <c r="CW224" s="2">
        <f>AI224</f>
        <v>0</v>
      </c>
      <c r="CX224" s="2">
        <f>AJ224</f>
        <v>0</v>
      </c>
      <c r="CY224" s="2">
        <f>(((S224+R224)*AT224)/100)</f>
        <v>-0.93119999999999992</v>
      </c>
      <c r="CZ224" s="2">
        <f>(((S224+R224)*AU224)/100)</f>
        <v>-0.48960000000000004</v>
      </c>
      <c r="DA224" s="2"/>
      <c r="DB224" s="2"/>
      <c r="DC224" s="2" t="s">
        <v>3</v>
      </c>
      <c r="DD224" s="2" t="s">
        <v>3</v>
      </c>
      <c r="DE224" s="2" t="s">
        <v>3</v>
      </c>
      <c r="DF224" s="2" t="s">
        <v>3</v>
      </c>
      <c r="DG224" s="2" t="s">
        <v>3</v>
      </c>
      <c r="DH224" s="2" t="s">
        <v>3</v>
      </c>
      <c r="DI224" s="2" t="s">
        <v>3</v>
      </c>
      <c r="DJ224" s="2" t="s">
        <v>3</v>
      </c>
      <c r="DK224" s="2" t="s">
        <v>3</v>
      </c>
      <c r="DL224" s="2" t="s">
        <v>3</v>
      </c>
      <c r="DM224" s="2" t="s">
        <v>3</v>
      </c>
      <c r="DN224" s="2">
        <v>0</v>
      </c>
      <c r="DO224" s="2">
        <v>0</v>
      </c>
      <c r="DP224" s="2">
        <v>1</v>
      </c>
      <c r="DQ224" s="2">
        <v>1</v>
      </c>
      <c r="DR224" s="2"/>
      <c r="DS224" s="2"/>
      <c r="DT224" s="2"/>
      <c r="DU224" s="2">
        <v>1011</v>
      </c>
      <c r="DV224" s="2" t="s">
        <v>29</v>
      </c>
      <c r="DW224" s="2" t="s">
        <v>29</v>
      </c>
      <c r="DX224" s="2">
        <v>1</v>
      </c>
      <c r="DY224" s="2"/>
      <c r="DZ224" s="2" t="s">
        <v>3</v>
      </c>
      <c r="EA224" s="2" t="s">
        <v>3</v>
      </c>
      <c r="EB224" s="2" t="s">
        <v>3</v>
      </c>
      <c r="EC224" s="2" t="s">
        <v>3</v>
      </c>
      <c r="ED224" s="2"/>
      <c r="EE224" s="2">
        <v>84053775</v>
      </c>
      <c r="EF224" s="2">
        <v>3</v>
      </c>
      <c r="EG224" s="2" t="s">
        <v>48</v>
      </c>
      <c r="EH224" s="2">
        <v>0</v>
      </c>
      <c r="EI224" s="2" t="s">
        <v>3</v>
      </c>
      <c r="EJ224" s="2">
        <v>2</v>
      </c>
      <c r="EK224" s="2">
        <v>108001</v>
      </c>
      <c r="EL224" s="2" t="s">
        <v>49</v>
      </c>
      <c r="EM224" s="2" t="s">
        <v>50</v>
      </c>
      <c r="EN224" s="2"/>
      <c r="EO224" s="2" t="s">
        <v>3</v>
      </c>
      <c r="EP224" s="2"/>
      <c r="EQ224" s="2">
        <v>0</v>
      </c>
      <c r="ER224" s="2">
        <v>37.32</v>
      </c>
      <c r="ES224" s="2">
        <v>0</v>
      </c>
      <c r="ET224" s="2">
        <v>37.32</v>
      </c>
      <c r="EU224" s="2">
        <v>641.22</v>
      </c>
      <c r="EV224" s="2">
        <v>0</v>
      </c>
      <c r="EW224" s="2">
        <v>0</v>
      </c>
      <c r="EX224" s="2">
        <v>0</v>
      </c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>
        <v>0</v>
      </c>
      <c r="FR224" s="2">
        <v>0</v>
      </c>
      <c r="FS224" s="2">
        <v>1</v>
      </c>
      <c r="FT224" s="2"/>
      <c r="FU224" s="2"/>
      <c r="FV224" s="2"/>
      <c r="FW224" s="2"/>
      <c r="FX224" s="2">
        <v>97</v>
      </c>
      <c r="FY224" s="2">
        <v>51</v>
      </c>
      <c r="FZ224" s="2"/>
      <c r="GA224" s="2" t="s">
        <v>3</v>
      </c>
      <c r="GB224" s="2"/>
      <c r="GC224" s="2"/>
      <c r="GD224" s="2">
        <v>1</v>
      </c>
      <c r="GE224" s="2"/>
      <c r="GF224" s="2">
        <v>945201097</v>
      </c>
      <c r="GG224" s="2">
        <v>2</v>
      </c>
      <c r="GH224" s="2">
        <v>1</v>
      </c>
      <c r="GI224" s="2">
        <v>2</v>
      </c>
      <c r="GJ224" s="2">
        <v>0</v>
      </c>
      <c r="GK224" s="2">
        <v>0</v>
      </c>
      <c r="GL224" s="2">
        <f t="shared" si="206"/>
        <v>0</v>
      </c>
      <c r="GM224" s="2">
        <f t="shared" si="207"/>
        <v>-2.4700000000000002</v>
      </c>
      <c r="GN224" s="2">
        <f t="shared" si="208"/>
        <v>0</v>
      </c>
      <c r="GO224" s="2">
        <f t="shared" si="209"/>
        <v>-2.4700000000000002</v>
      </c>
      <c r="GP224" s="2">
        <f t="shared" si="210"/>
        <v>0</v>
      </c>
      <c r="GQ224" s="2"/>
      <c r="GR224" s="2">
        <v>0</v>
      </c>
      <c r="GS224" s="2">
        <v>7</v>
      </c>
      <c r="GT224" s="2">
        <v>0</v>
      </c>
      <c r="GU224" s="2" t="s">
        <v>3</v>
      </c>
      <c r="GV224" s="2">
        <f t="shared" si="211"/>
        <v>0</v>
      </c>
      <c r="GW224" s="2">
        <v>1</v>
      </c>
      <c r="GX224" s="2">
        <f t="shared" si="212"/>
        <v>0</v>
      </c>
      <c r="GY224" s="2"/>
      <c r="GZ224" s="2"/>
      <c r="HA224" s="2">
        <v>0</v>
      </c>
      <c r="HB224" s="2">
        <v>0</v>
      </c>
      <c r="HC224" s="2">
        <f>GV224*GW224</f>
        <v>0</v>
      </c>
      <c r="HD224" s="2"/>
      <c r="HE224" s="2" t="s">
        <v>3</v>
      </c>
      <c r="HF224" s="2" t="s">
        <v>3</v>
      </c>
      <c r="HG224" s="2"/>
      <c r="HH224" s="2"/>
      <c r="HI224" s="2"/>
      <c r="HJ224" s="2"/>
      <c r="HK224" s="2"/>
      <c r="HL224" s="2"/>
      <c r="HM224" s="2" t="s">
        <v>3</v>
      </c>
      <c r="HN224" s="2" t="s">
        <v>52</v>
      </c>
      <c r="HO224" s="2" t="s">
        <v>53</v>
      </c>
      <c r="HP224" s="2" t="s">
        <v>49</v>
      </c>
      <c r="HQ224" s="2" t="s">
        <v>49</v>
      </c>
      <c r="HR224" s="2"/>
      <c r="HS224" s="2">
        <v>0</v>
      </c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>
        <v>0</v>
      </c>
      <c r="IL224" s="2"/>
      <c r="IM224" s="2"/>
      <c r="IN224" s="2"/>
      <c r="IO224" s="2"/>
      <c r="IP224" s="2"/>
      <c r="IQ224" s="2"/>
      <c r="IR224" s="2"/>
      <c r="IS224" s="2"/>
      <c r="IT224" s="2"/>
      <c r="IU224" s="2"/>
    </row>
    <row r="225" spans="1:255" ht="409.5" x14ac:dyDescent="0.2">
      <c r="A225" s="2">
        <v>17</v>
      </c>
      <c r="B225" s="2">
        <v>1</v>
      </c>
      <c r="C225" s="2">
        <f>ROW(SmtRes!A193)</f>
        <v>193</v>
      </c>
      <c r="D225" s="2">
        <f>ROW(EtalonRes!A174)</f>
        <v>174</v>
      </c>
      <c r="E225" s="2" t="s">
        <v>397</v>
      </c>
      <c r="F225" s="2" t="s">
        <v>108</v>
      </c>
      <c r="G225" s="2" t="s">
        <v>109</v>
      </c>
      <c r="H225" s="2" t="s">
        <v>61</v>
      </c>
      <c r="I225" s="2">
        <f>ROUND((20)/100,7)</f>
        <v>0.2</v>
      </c>
      <c r="J225" s="2">
        <v>0</v>
      </c>
      <c r="K225" s="2">
        <f>ROUND((20)/100,7)</f>
        <v>0.2</v>
      </c>
      <c r="L225" s="2"/>
      <c r="M225" s="2"/>
      <c r="N225" s="2"/>
      <c r="O225" s="2">
        <f>ROUND(CP225,2)</f>
        <v>498.41</v>
      </c>
      <c r="P225" s="2">
        <f>SUMIF(SmtRes!AQ185:'SmtRes'!AQ193,"=1",SmtRes!DF185:'SmtRes'!DF193)</f>
        <v>20.669999999999998</v>
      </c>
      <c r="Q225" s="2">
        <f>SUMIF(SmtRes!AQ185:'SmtRes'!AQ193,"=1",SmtRes!DG185:'SmtRes'!DG193)</f>
        <v>0</v>
      </c>
      <c r="R225" s="2">
        <f>SUMIF(SmtRes!AQ185:'SmtRes'!AQ193,"=1",SmtRes!DH185:'SmtRes'!DH193)</f>
        <v>0</v>
      </c>
      <c r="S225" s="2">
        <f>SUMIF(SmtRes!AQ185:'SmtRes'!AQ193,"=1",SmtRes!DI185:'SmtRes'!DI193)</f>
        <v>477.74</v>
      </c>
      <c r="T225" s="2">
        <f t="shared" si="199"/>
        <v>0</v>
      </c>
      <c r="U225" s="2">
        <f>SUMIF(SmtRes!AQ185:'SmtRes'!AQ193,"=1",SmtRes!CV185:'SmtRes'!CV193)</f>
        <v>0.67679999999999996</v>
      </c>
      <c r="V225" s="2">
        <f>SUMIF(SmtRes!AQ185:'SmtRes'!AQ193,"=1",SmtRes!CW185:'SmtRes'!CW193)</f>
        <v>0</v>
      </c>
      <c r="W225" s="2">
        <f t="shared" si="200"/>
        <v>0</v>
      </c>
      <c r="X225" s="2">
        <f t="shared" si="201"/>
        <v>463.41</v>
      </c>
      <c r="Y225" s="2">
        <f t="shared" si="202"/>
        <v>243.65</v>
      </c>
      <c r="Z225" s="2"/>
      <c r="AA225" s="2">
        <v>85997836</v>
      </c>
      <c r="AB225" s="2">
        <f t="shared" si="203"/>
        <v>2489.7940199999998</v>
      </c>
      <c r="AC225" s="2">
        <f>ROUND((SUM(SmtRes!BQ185:'SmtRes'!BQ193)),6)</f>
        <v>101.09610000000001</v>
      </c>
      <c r="AD225" s="2">
        <f>ROUND((((0)-(0))+AE225),6)</f>
        <v>0</v>
      </c>
      <c r="AE225" s="2">
        <f>ROUND((0),6)</f>
        <v>0</v>
      </c>
      <c r="AF225" s="2">
        <f>ROUND((SUM(SmtRes!BT185:'SmtRes'!BT193)),6)</f>
        <v>2388.6979200000001</v>
      </c>
      <c r="AG225" s="2">
        <f t="shared" si="204"/>
        <v>0</v>
      </c>
      <c r="AH225" s="2">
        <f>(SUM(SmtRes!BU185:'SmtRes'!BU193))</f>
        <v>3.3839999999999999</v>
      </c>
      <c r="AI225" s="2">
        <f>(0)</f>
        <v>0</v>
      </c>
      <c r="AJ225" s="2">
        <f t="shared" si="205"/>
        <v>0</v>
      </c>
      <c r="AK225" s="2">
        <v>2091.6777000000002</v>
      </c>
      <c r="AL225" s="2">
        <v>101.09610000000001</v>
      </c>
      <c r="AM225" s="2">
        <v>0</v>
      </c>
      <c r="AN225" s="2">
        <v>0</v>
      </c>
      <c r="AO225" s="2">
        <v>1990.5816</v>
      </c>
      <c r="AP225" s="2">
        <v>0</v>
      </c>
      <c r="AQ225" s="2">
        <v>2.82</v>
      </c>
      <c r="AR225" s="2">
        <v>0.02</v>
      </c>
      <c r="AS225" s="2">
        <v>0</v>
      </c>
      <c r="AT225" s="2">
        <v>97</v>
      </c>
      <c r="AU225" s="2">
        <v>51</v>
      </c>
      <c r="AV225" s="2">
        <v>1</v>
      </c>
      <c r="AW225" s="2">
        <v>1</v>
      </c>
      <c r="AX225" s="2"/>
      <c r="AY225" s="2"/>
      <c r="AZ225" s="2">
        <v>1</v>
      </c>
      <c r="BA225" s="2">
        <v>1</v>
      </c>
      <c r="BB225" s="2">
        <v>1</v>
      </c>
      <c r="BC225" s="2">
        <v>1</v>
      </c>
      <c r="BD225" s="2" t="s">
        <v>3</v>
      </c>
      <c r="BE225" s="2" t="s">
        <v>3</v>
      </c>
      <c r="BF225" s="2" t="s">
        <v>3</v>
      </c>
      <c r="BG225" s="2" t="s">
        <v>3</v>
      </c>
      <c r="BH225" s="2">
        <v>0</v>
      </c>
      <c r="BI225" s="2">
        <v>2</v>
      </c>
      <c r="BJ225" s="2" t="s">
        <v>110</v>
      </c>
      <c r="BK225" s="2"/>
      <c r="BL225" s="2"/>
      <c r="BM225" s="2">
        <v>108001</v>
      </c>
      <c r="BN225" s="2">
        <v>0</v>
      </c>
      <c r="BO225" s="2" t="s">
        <v>3</v>
      </c>
      <c r="BP225" s="2">
        <v>0</v>
      </c>
      <c r="BQ225" s="2">
        <v>3</v>
      </c>
      <c r="BR225" s="2">
        <v>0</v>
      </c>
      <c r="BS225" s="2">
        <v>1</v>
      </c>
      <c r="BT225" s="2">
        <v>1</v>
      </c>
      <c r="BU225" s="2">
        <v>1</v>
      </c>
      <c r="BV225" s="2">
        <v>1</v>
      </c>
      <c r="BW225" s="2">
        <v>1</v>
      </c>
      <c r="BX225" s="2">
        <v>1</v>
      </c>
      <c r="BY225" s="2" t="s">
        <v>3</v>
      </c>
      <c r="BZ225" s="2">
        <v>97</v>
      </c>
      <c r="CA225" s="2">
        <v>51</v>
      </c>
      <c r="CB225" s="2" t="s">
        <v>3</v>
      </c>
      <c r="CC225" s="2"/>
      <c r="CD225" s="2"/>
      <c r="CE225" s="2">
        <v>0</v>
      </c>
      <c r="CF225" s="2">
        <v>0</v>
      </c>
      <c r="CG225" s="2">
        <v>0</v>
      </c>
      <c r="CH225" s="2"/>
      <c r="CI225" s="2"/>
      <c r="CJ225" s="2"/>
      <c r="CK225" s="2"/>
      <c r="CL225" s="2"/>
      <c r="CM225" s="2">
        <v>0</v>
      </c>
      <c r="CN225" s="7" t="s">
        <v>738</v>
      </c>
      <c r="CO225" s="2">
        <v>0</v>
      </c>
      <c r="CP225" s="2">
        <f>(P225+Q225+S225+R225)</f>
        <v>498.41</v>
      </c>
      <c r="CQ225" s="2">
        <f>SUMIF(SmtRes!AQ185:'SmtRes'!AQ193,"=1",SmtRes!AA185:'SmtRes'!AA193)</f>
        <v>174.7</v>
      </c>
      <c r="CR225" s="2">
        <f>SUMIF(SmtRes!AQ185:'SmtRes'!AQ193,"=1",SmtRes!AB185:'SmtRes'!AB193)</f>
        <v>0</v>
      </c>
      <c r="CS225" s="2">
        <f>SUMIF(SmtRes!AQ185:'SmtRes'!AQ193,"=1",SmtRes!AC185:'SmtRes'!AC193)</f>
        <v>0</v>
      </c>
      <c r="CT225" s="2">
        <f>SUMIF(SmtRes!AQ185:'SmtRes'!AQ193,"=1",SmtRes!AD185:'SmtRes'!AD193)</f>
        <v>705.88</v>
      </c>
      <c r="CU225" s="2">
        <f>AG225</f>
        <v>0</v>
      </c>
      <c r="CV225" s="2">
        <f>SUMIF(SmtRes!AQ185:'SmtRes'!AQ193,"=1",SmtRes!BU185:'SmtRes'!BU193)</f>
        <v>3.3839999999999999</v>
      </c>
      <c r="CW225" s="2">
        <f>SUMIF(SmtRes!AQ185:'SmtRes'!AQ193,"=1",SmtRes!BV185:'SmtRes'!BV193)</f>
        <v>0</v>
      </c>
      <c r="CX225" s="2">
        <f>AJ225</f>
        <v>0</v>
      </c>
      <c r="CY225" s="2">
        <f>(((S225+R225)*AT225)/100)</f>
        <v>463.40780000000001</v>
      </c>
      <c r="CZ225" s="2">
        <f>(((S225+R225)*AU225)/100)</f>
        <v>243.6474</v>
      </c>
      <c r="DA225" s="2"/>
      <c r="DB225" s="2"/>
      <c r="DC225" s="2" t="s">
        <v>3</v>
      </c>
      <c r="DD225" s="2" t="s">
        <v>3</v>
      </c>
      <c r="DE225" s="2" t="s">
        <v>398</v>
      </c>
      <c r="DF225" s="2" t="s">
        <v>398</v>
      </c>
      <c r="DG225" s="2" t="s">
        <v>398</v>
      </c>
      <c r="DH225" s="2" t="s">
        <v>3</v>
      </c>
      <c r="DI225" s="2" t="s">
        <v>398</v>
      </c>
      <c r="DJ225" s="2" t="s">
        <v>398</v>
      </c>
      <c r="DK225" s="2" t="s">
        <v>3</v>
      </c>
      <c r="DL225" s="2" t="s">
        <v>3</v>
      </c>
      <c r="DM225" s="2" t="s">
        <v>3</v>
      </c>
      <c r="DN225" s="2">
        <v>0</v>
      </c>
      <c r="DO225" s="2">
        <v>0</v>
      </c>
      <c r="DP225" s="2">
        <v>1</v>
      </c>
      <c r="DQ225" s="2">
        <v>1</v>
      </c>
      <c r="DR225" s="2"/>
      <c r="DS225" s="2"/>
      <c r="DT225" s="2"/>
      <c r="DU225" s="2">
        <v>1003</v>
      </c>
      <c r="DV225" s="2" t="s">
        <v>61</v>
      </c>
      <c r="DW225" s="2" t="s">
        <v>61</v>
      </c>
      <c r="DX225" s="2">
        <v>100</v>
      </c>
      <c r="DY225" s="2"/>
      <c r="DZ225" s="2" t="s">
        <v>3</v>
      </c>
      <c r="EA225" s="2" t="s">
        <v>3</v>
      </c>
      <c r="EB225" s="2" t="s">
        <v>3</v>
      </c>
      <c r="EC225" s="2" t="s">
        <v>3</v>
      </c>
      <c r="ED225" s="2"/>
      <c r="EE225" s="2">
        <v>84053775</v>
      </c>
      <c r="EF225" s="2">
        <v>3</v>
      </c>
      <c r="EG225" s="2" t="s">
        <v>48</v>
      </c>
      <c r="EH225" s="2">
        <v>0</v>
      </c>
      <c r="EI225" s="2" t="s">
        <v>3</v>
      </c>
      <c r="EJ225" s="2">
        <v>2</v>
      </c>
      <c r="EK225" s="2">
        <v>108001</v>
      </c>
      <c r="EL225" s="2" t="s">
        <v>49</v>
      </c>
      <c r="EM225" s="2" t="s">
        <v>50</v>
      </c>
      <c r="EN225" s="2"/>
      <c r="EO225" s="2" t="s">
        <v>399</v>
      </c>
      <c r="EP225" s="2"/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2.82</v>
      </c>
      <c r="EX225" s="2">
        <v>0.02</v>
      </c>
      <c r="EY225" s="2">
        <v>0</v>
      </c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>
        <v>0</v>
      </c>
      <c r="FR225" s="2">
        <v>0</v>
      </c>
      <c r="FS225" s="2">
        <v>0</v>
      </c>
      <c r="FT225" s="2"/>
      <c r="FU225" s="2"/>
      <c r="FV225" s="2"/>
      <c r="FW225" s="2"/>
      <c r="FX225" s="2">
        <v>97</v>
      </c>
      <c r="FY225" s="2">
        <v>51</v>
      </c>
      <c r="FZ225" s="2"/>
      <c r="GA225" s="2" t="s">
        <v>3</v>
      </c>
      <c r="GB225" s="2"/>
      <c r="GC225" s="2"/>
      <c r="GD225" s="2">
        <v>1</v>
      </c>
      <c r="GE225" s="2"/>
      <c r="GF225" s="2">
        <v>-140651320</v>
      </c>
      <c r="GG225" s="2">
        <v>2</v>
      </c>
      <c r="GH225" s="2">
        <v>1</v>
      </c>
      <c r="GI225" s="2">
        <v>-2</v>
      </c>
      <c r="GJ225" s="2">
        <v>0</v>
      </c>
      <c r="GK225" s="2">
        <v>0</v>
      </c>
      <c r="GL225" s="2">
        <f t="shared" si="206"/>
        <v>0</v>
      </c>
      <c r="GM225" s="2">
        <f t="shared" si="207"/>
        <v>1205.47</v>
      </c>
      <c r="GN225" s="2">
        <f t="shared" si="208"/>
        <v>0</v>
      </c>
      <c r="GO225" s="2">
        <f t="shared" si="209"/>
        <v>1205.47</v>
      </c>
      <c r="GP225" s="2">
        <f t="shared" si="210"/>
        <v>0</v>
      </c>
      <c r="GQ225" s="2"/>
      <c r="GR225" s="2">
        <v>0</v>
      </c>
      <c r="GS225" s="2">
        <v>3</v>
      </c>
      <c r="GT225" s="2">
        <v>0</v>
      </c>
      <c r="GU225" s="2" t="s">
        <v>3</v>
      </c>
      <c r="GV225" s="2">
        <f t="shared" si="211"/>
        <v>0</v>
      </c>
      <c r="GW225" s="2">
        <v>1</v>
      </c>
      <c r="GX225" s="2">
        <f t="shared" si="212"/>
        <v>0</v>
      </c>
      <c r="GY225" s="2"/>
      <c r="GZ225" s="2"/>
      <c r="HA225" s="2">
        <v>0</v>
      </c>
      <c r="HB225" s="2">
        <v>0</v>
      </c>
      <c r="HC225" s="2">
        <f>GV225*GW225</f>
        <v>0</v>
      </c>
      <c r="HD225" s="2"/>
      <c r="HE225" s="2" t="s">
        <v>3</v>
      </c>
      <c r="HF225" s="2" t="s">
        <v>3</v>
      </c>
      <c r="HG225" s="2"/>
      <c r="HH225" s="2"/>
      <c r="HI225" s="2"/>
      <c r="HJ225" s="2"/>
      <c r="HK225" s="2"/>
      <c r="HL225" s="2"/>
      <c r="HM225" s="2" t="s">
        <v>3</v>
      </c>
      <c r="HN225" s="2" t="s">
        <v>52</v>
      </c>
      <c r="HO225" s="2" t="s">
        <v>53</v>
      </c>
      <c r="HP225" s="2" t="s">
        <v>49</v>
      </c>
      <c r="HQ225" s="2" t="s">
        <v>49</v>
      </c>
      <c r="HR225" s="2"/>
      <c r="HS225" s="2">
        <v>0</v>
      </c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>
        <v>0</v>
      </c>
      <c r="IL225" s="2"/>
      <c r="IM225" s="2"/>
      <c r="IN225" s="2"/>
      <c r="IO225" s="2"/>
      <c r="IP225" s="2"/>
      <c r="IQ225" s="2"/>
      <c r="IR225" s="2"/>
      <c r="IS225" s="2"/>
      <c r="IT225" s="2"/>
      <c r="IU225" s="2"/>
    </row>
    <row r="226" spans="1:255" x14ac:dyDescent="0.2">
      <c r="A226" s="2">
        <v>18</v>
      </c>
      <c r="B226" s="2">
        <v>1</v>
      </c>
      <c r="C226" s="2">
        <v>192</v>
      </c>
      <c r="D226" s="2"/>
      <c r="E226" s="2" t="s">
        <v>400</v>
      </c>
      <c r="F226" s="2" t="s">
        <v>118</v>
      </c>
      <c r="G226" s="2" t="s">
        <v>119</v>
      </c>
      <c r="H226" s="2" t="s">
        <v>114</v>
      </c>
      <c r="I226" s="2">
        <f>I225*J226</f>
        <v>0.02</v>
      </c>
      <c r="J226" s="2">
        <v>9.9999999999999992E-2</v>
      </c>
      <c r="K226" s="2">
        <v>0.1</v>
      </c>
      <c r="L226" s="2"/>
      <c r="M226" s="2"/>
      <c r="N226" s="2"/>
      <c r="O226" s="2">
        <f>ROUND(CP226,2)</f>
        <v>1409</v>
      </c>
      <c r="P226" s="2">
        <f>ROUND(CQ226*I226,2)</f>
        <v>1409</v>
      </c>
      <c r="Q226" s="2">
        <f>ROUND(CR226*I226,2)</f>
        <v>0</v>
      </c>
      <c r="R226" s="2">
        <f>ROUND(CS226*I226,2)</f>
        <v>0</v>
      </c>
      <c r="S226" s="2">
        <f>ROUND(CT226*I226,2)</f>
        <v>0</v>
      </c>
      <c r="T226" s="2">
        <f t="shared" si="199"/>
        <v>0</v>
      </c>
      <c r="U226" s="2">
        <f>ROUND(CV226*I226,7)</f>
        <v>0</v>
      </c>
      <c r="V226" s="2">
        <f>ROUND(CW226*I226,7)</f>
        <v>0</v>
      </c>
      <c r="W226" s="2">
        <f t="shared" si="200"/>
        <v>0</v>
      </c>
      <c r="X226" s="2">
        <f t="shared" si="201"/>
        <v>0</v>
      </c>
      <c r="Y226" s="2">
        <f t="shared" si="202"/>
        <v>0</v>
      </c>
      <c r="Z226" s="2"/>
      <c r="AA226" s="2">
        <v>85997836</v>
      </c>
      <c r="AB226" s="2">
        <f t="shared" si="203"/>
        <v>70449.91</v>
      </c>
      <c r="AC226" s="2">
        <f>ROUND((ES226),6)</f>
        <v>70449.91</v>
      </c>
      <c r="AD226" s="2">
        <f>ROUND((((ET226)-(EU226))+AE226),6)</f>
        <v>0</v>
      </c>
      <c r="AE226" s="2">
        <f t="shared" ref="AE226:AF229" si="230">ROUND((EU226),6)</f>
        <v>0</v>
      </c>
      <c r="AF226" s="2">
        <f t="shared" si="230"/>
        <v>0</v>
      </c>
      <c r="AG226" s="2">
        <f t="shared" si="204"/>
        <v>0</v>
      </c>
      <c r="AH226" s="2">
        <f t="shared" ref="AH226:AI229" si="231">(EW226)</f>
        <v>0</v>
      </c>
      <c r="AI226" s="2">
        <f t="shared" si="231"/>
        <v>0</v>
      </c>
      <c r="AJ226" s="2">
        <f t="shared" si="205"/>
        <v>0</v>
      </c>
      <c r="AK226" s="2">
        <v>70449.91</v>
      </c>
      <c r="AL226" s="2">
        <v>70449.91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97</v>
      </c>
      <c r="AU226" s="2">
        <v>51</v>
      </c>
      <c r="AV226" s="2">
        <v>1</v>
      </c>
      <c r="AW226" s="2">
        <v>1</v>
      </c>
      <c r="AX226" s="2"/>
      <c r="AY226" s="2"/>
      <c r="AZ226" s="2">
        <v>1</v>
      </c>
      <c r="BA226" s="2">
        <v>1</v>
      </c>
      <c r="BB226" s="2">
        <v>1</v>
      </c>
      <c r="BC226" s="2">
        <v>1</v>
      </c>
      <c r="BD226" s="2" t="s">
        <v>3</v>
      </c>
      <c r="BE226" s="2" t="s">
        <v>3</v>
      </c>
      <c r="BF226" s="2" t="s">
        <v>3</v>
      </c>
      <c r="BG226" s="2" t="s">
        <v>3</v>
      </c>
      <c r="BH226" s="2">
        <v>3</v>
      </c>
      <c r="BI226" s="2">
        <v>2</v>
      </c>
      <c r="BJ226" s="2" t="s">
        <v>120</v>
      </c>
      <c r="BK226" s="2"/>
      <c r="BL226" s="2"/>
      <c r="BM226" s="2">
        <v>108001</v>
      </c>
      <c r="BN226" s="2">
        <v>0</v>
      </c>
      <c r="BO226" s="2" t="s">
        <v>3</v>
      </c>
      <c r="BP226" s="2">
        <v>0</v>
      </c>
      <c r="BQ226" s="2">
        <v>3</v>
      </c>
      <c r="BR226" s="2">
        <v>0</v>
      </c>
      <c r="BS226" s="2">
        <v>1</v>
      </c>
      <c r="BT226" s="2">
        <v>1</v>
      </c>
      <c r="BU226" s="2">
        <v>1</v>
      </c>
      <c r="BV226" s="2">
        <v>1</v>
      </c>
      <c r="BW226" s="2">
        <v>1</v>
      </c>
      <c r="BX226" s="2">
        <v>1</v>
      </c>
      <c r="BY226" s="2" t="s">
        <v>3</v>
      </c>
      <c r="BZ226" s="2">
        <v>97</v>
      </c>
      <c r="CA226" s="2">
        <v>51</v>
      </c>
      <c r="CB226" s="2" t="s">
        <v>3</v>
      </c>
      <c r="CC226" s="2"/>
      <c r="CD226" s="2"/>
      <c r="CE226" s="2">
        <v>0</v>
      </c>
      <c r="CF226" s="2">
        <v>0</v>
      </c>
      <c r="CG226" s="2">
        <v>0</v>
      </c>
      <c r="CH226" s="2"/>
      <c r="CI226" s="2"/>
      <c r="CJ226" s="2"/>
      <c r="CK226" s="2"/>
      <c r="CL226" s="2"/>
      <c r="CM226" s="2">
        <v>0</v>
      </c>
      <c r="CN226" s="2" t="s">
        <v>3</v>
      </c>
      <c r="CO226" s="2">
        <v>0</v>
      </c>
      <c r="CP226" s="2">
        <f>(P226+Q226+S226+R226)</f>
        <v>1409</v>
      </c>
      <c r="CQ226" s="2">
        <f>ROUND(AL226*BC226,2)</f>
        <v>70449.91</v>
      </c>
      <c r="CR226" s="2">
        <f>ROUND(AM226*BB226,2)</f>
        <v>0</v>
      </c>
      <c r="CS226" s="2">
        <f>ROUND(AN226*BS226,2)</f>
        <v>0</v>
      </c>
      <c r="CT226" s="2">
        <f>ROUND(AO226*BA226,2)</f>
        <v>0</v>
      </c>
      <c r="CU226" s="2">
        <f>AG226</f>
        <v>0</v>
      </c>
      <c r="CV226" s="2">
        <f>AH226</f>
        <v>0</v>
      </c>
      <c r="CW226" s="2">
        <f>AI226</f>
        <v>0</v>
      </c>
      <c r="CX226" s="2">
        <f>AJ226</f>
        <v>0</v>
      </c>
      <c r="CY226" s="2">
        <f>(((S226+R226)*AT226)/100)</f>
        <v>0</v>
      </c>
      <c r="CZ226" s="2">
        <f>(((S226+R226)*AU226)/100)</f>
        <v>0</v>
      </c>
      <c r="DA226" s="2"/>
      <c r="DB226" s="2"/>
      <c r="DC226" s="2" t="s">
        <v>3</v>
      </c>
      <c r="DD226" s="2" t="s">
        <v>3</v>
      </c>
      <c r="DE226" s="2" t="s">
        <v>3</v>
      </c>
      <c r="DF226" s="2" t="s">
        <v>3</v>
      </c>
      <c r="DG226" s="2" t="s">
        <v>3</v>
      </c>
      <c r="DH226" s="2" t="s">
        <v>3</v>
      </c>
      <c r="DI226" s="2" t="s">
        <v>3</v>
      </c>
      <c r="DJ226" s="2" t="s">
        <v>3</v>
      </c>
      <c r="DK226" s="2" t="s">
        <v>3</v>
      </c>
      <c r="DL226" s="2" t="s">
        <v>3</v>
      </c>
      <c r="DM226" s="2" t="s">
        <v>3</v>
      </c>
      <c r="DN226" s="2">
        <v>0</v>
      </c>
      <c r="DO226" s="2">
        <v>0</v>
      </c>
      <c r="DP226" s="2">
        <v>1</v>
      </c>
      <c r="DQ226" s="2">
        <v>1</v>
      </c>
      <c r="DR226" s="2"/>
      <c r="DS226" s="2"/>
      <c r="DT226" s="2"/>
      <c r="DU226" s="2">
        <v>1013</v>
      </c>
      <c r="DV226" s="2" t="s">
        <v>114</v>
      </c>
      <c r="DW226" s="2" t="s">
        <v>116</v>
      </c>
      <c r="DX226" s="2">
        <v>1</v>
      </c>
      <c r="DY226" s="2"/>
      <c r="DZ226" s="2" t="s">
        <v>3</v>
      </c>
      <c r="EA226" s="2" t="s">
        <v>3</v>
      </c>
      <c r="EB226" s="2" t="s">
        <v>3</v>
      </c>
      <c r="EC226" s="2" t="s">
        <v>3</v>
      </c>
      <c r="ED226" s="2"/>
      <c r="EE226" s="2">
        <v>84053775</v>
      </c>
      <c r="EF226" s="2">
        <v>3</v>
      </c>
      <c r="EG226" s="2" t="s">
        <v>48</v>
      </c>
      <c r="EH226" s="2">
        <v>0</v>
      </c>
      <c r="EI226" s="2" t="s">
        <v>3</v>
      </c>
      <c r="EJ226" s="2">
        <v>2</v>
      </c>
      <c r="EK226" s="2">
        <v>108001</v>
      </c>
      <c r="EL226" s="2" t="s">
        <v>49</v>
      </c>
      <c r="EM226" s="2" t="s">
        <v>50</v>
      </c>
      <c r="EN226" s="2"/>
      <c r="EO226" s="2" t="s">
        <v>3</v>
      </c>
      <c r="EP226" s="2"/>
      <c r="EQ226" s="2">
        <v>0</v>
      </c>
      <c r="ER226" s="2">
        <v>70449.91</v>
      </c>
      <c r="ES226" s="2">
        <v>70449.91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>
        <v>0</v>
      </c>
      <c r="FR226" s="2">
        <v>0</v>
      </c>
      <c r="FS226" s="2">
        <v>0</v>
      </c>
      <c r="FT226" s="2"/>
      <c r="FU226" s="2"/>
      <c r="FV226" s="2"/>
      <c r="FW226" s="2"/>
      <c r="FX226" s="2">
        <v>97</v>
      </c>
      <c r="FY226" s="2">
        <v>51</v>
      </c>
      <c r="FZ226" s="2"/>
      <c r="GA226" s="2" t="s">
        <v>3</v>
      </c>
      <c r="GB226" s="2"/>
      <c r="GC226" s="2"/>
      <c r="GD226" s="2">
        <v>1</v>
      </c>
      <c r="GE226" s="2">
        <v>72551.44</v>
      </c>
      <c r="GF226" s="2">
        <v>1901007357</v>
      </c>
      <c r="GG226" s="2">
        <v>2</v>
      </c>
      <c r="GH226" s="2">
        <v>1</v>
      </c>
      <c r="GI226" s="2">
        <v>-2</v>
      </c>
      <c r="GJ226" s="2">
        <v>0</v>
      </c>
      <c r="GK226" s="2">
        <v>0</v>
      </c>
      <c r="GL226" s="2">
        <f t="shared" si="206"/>
        <v>0</v>
      </c>
      <c r="GM226" s="2">
        <f t="shared" si="207"/>
        <v>1409</v>
      </c>
      <c r="GN226" s="2">
        <f t="shared" si="208"/>
        <v>0</v>
      </c>
      <c r="GO226" s="2">
        <f t="shared" si="209"/>
        <v>1409</v>
      </c>
      <c r="GP226" s="2">
        <f t="shared" si="210"/>
        <v>0</v>
      </c>
      <c r="GQ226" s="2"/>
      <c r="GR226" s="2">
        <v>3</v>
      </c>
      <c r="GS226" s="2">
        <v>3</v>
      </c>
      <c r="GT226" s="2">
        <v>0</v>
      </c>
      <c r="GU226" s="2" t="s">
        <v>3</v>
      </c>
      <c r="GV226" s="2">
        <f t="shared" si="211"/>
        <v>0</v>
      </c>
      <c r="GW226" s="2">
        <v>1</v>
      </c>
      <c r="GX226" s="2">
        <f t="shared" si="212"/>
        <v>0</v>
      </c>
      <c r="GY226" s="2"/>
      <c r="GZ226" s="2"/>
      <c r="HA226" s="2">
        <v>0</v>
      </c>
      <c r="HB226" s="2">
        <v>0</v>
      </c>
      <c r="HC226" s="2">
        <f>GV226*GW226</f>
        <v>0</v>
      </c>
      <c r="HD226" s="2"/>
      <c r="HE226" s="2" t="s">
        <v>3</v>
      </c>
      <c r="HF226" s="2" t="s">
        <v>3</v>
      </c>
      <c r="HG226" s="2"/>
      <c r="HH226" s="2"/>
      <c r="HI226" s="2"/>
      <c r="HJ226" s="2"/>
      <c r="HK226" s="2"/>
      <c r="HL226" s="2"/>
      <c r="HM226" s="2" t="s">
        <v>3</v>
      </c>
      <c r="HN226" s="2" t="s">
        <v>52</v>
      </c>
      <c r="HO226" s="2" t="s">
        <v>53</v>
      </c>
      <c r="HP226" s="2" t="s">
        <v>49</v>
      </c>
      <c r="HQ226" s="2" t="s">
        <v>49</v>
      </c>
      <c r="HR226" s="2"/>
      <c r="HS226" s="2">
        <v>0</v>
      </c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>
        <v>0</v>
      </c>
      <c r="IL226" s="2"/>
      <c r="IM226" s="2"/>
      <c r="IN226" s="2"/>
      <c r="IO226" s="2"/>
      <c r="IP226" s="2"/>
      <c r="IQ226" s="2"/>
      <c r="IR226" s="2"/>
      <c r="IS226" s="2"/>
      <c r="IT226" s="2"/>
      <c r="IU226" s="2"/>
    </row>
    <row r="227" spans="1:255" x14ac:dyDescent="0.2">
      <c r="A227" s="2">
        <v>18</v>
      </c>
      <c r="B227" s="2">
        <v>1</v>
      </c>
      <c r="C227" s="2">
        <v>193</v>
      </c>
      <c r="D227" s="2"/>
      <c r="E227" s="2" t="s">
        <v>401</v>
      </c>
      <c r="F227" s="2" t="s">
        <v>55</v>
      </c>
      <c r="G227" s="2" t="s">
        <v>56</v>
      </c>
      <c r="H227" s="2" t="s">
        <v>57</v>
      </c>
      <c r="I227" s="2">
        <f>J227</f>
        <v>2</v>
      </c>
      <c r="J227" s="2">
        <v>2</v>
      </c>
      <c r="K227" s="2">
        <v>2</v>
      </c>
      <c r="L227" s="2"/>
      <c r="M227" s="2"/>
      <c r="N227" s="2"/>
      <c r="O227" s="2">
        <f>ROUND(P227,2)</f>
        <v>7.96</v>
      </c>
      <c r="P227" s="2">
        <f>ROUND(ROUND(ROUND(SUMIF(SmtRes!AQ185:'SmtRes'!AQ193,"=1",SmtRes!CU185:'SmtRes'!CU193),2),2)*I227/100,2)</f>
        <v>7.96</v>
      </c>
      <c r="Q227" s="2">
        <f>ROUND(CR227*I227,2)</f>
        <v>0</v>
      </c>
      <c r="R227" s="2">
        <f>ROUND(CS227*I227,2)</f>
        <v>0</v>
      </c>
      <c r="S227" s="2">
        <f>ROUND(CT227*I227,2)</f>
        <v>0</v>
      </c>
      <c r="T227" s="2">
        <f t="shared" si="199"/>
        <v>0</v>
      </c>
      <c r="U227" s="2">
        <f>ROUND(CV227*I227,7)</f>
        <v>0</v>
      </c>
      <c r="V227" s="2">
        <f>ROUND(CW227*I227,7)</f>
        <v>0</v>
      </c>
      <c r="W227" s="2">
        <f t="shared" si="200"/>
        <v>0</v>
      </c>
      <c r="X227" s="2">
        <f t="shared" si="201"/>
        <v>0</v>
      </c>
      <c r="Y227" s="2">
        <f t="shared" si="202"/>
        <v>0</v>
      </c>
      <c r="Z227" s="2"/>
      <c r="AA227" s="2">
        <v>85997836</v>
      </c>
      <c r="AB227" s="2">
        <f t="shared" si="203"/>
        <v>0</v>
      </c>
      <c r="AC227" s="2">
        <f>ROUND((ES227),6)</f>
        <v>0</v>
      </c>
      <c r="AD227" s="2">
        <f>ROUND((((ET227)-(EU227))+AE227),6)</f>
        <v>0</v>
      </c>
      <c r="AE227" s="2">
        <f t="shared" si="230"/>
        <v>0</v>
      </c>
      <c r="AF227" s="2">
        <f t="shared" si="230"/>
        <v>0</v>
      </c>
      <c r="AG227" s="2">
        <f t="shared" si="204"/>
        <v>0</v>
      </c>
      <c r="AH227" s="2">
        <f t="shared" si="231"/>
        <v>0</v>
      </c>
      <c r="AI227" s="2">
        <f t="shared" si="231"/>
        <v>0</v>
      </c>
      <c r="AJ227" s="2">
        <f t="shared" si="205"/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97</v>
      </c>
      <c r="AU227" s="2">
        <v>51</v>
      </c>
      <c r="AV227" s="2">
        <v>1</v>
      </c>
      <c r="AW227" s="2">
        <v>1</v>
      </c>
      <c r="AX227" s="2"/>
      <c r="AY227" s="2"/>
      <c r="AZ227" s="2">
        <v>1</v>
      </c>
      <c r="BA227" s="2">
        <v>1</v>
      </c>
      <c r="BB227" s="2">
        <v>1</v>
      </c>
      <c r="BC227" s="2">
        <v>1</v>
      </c>
      <c r="BD227" s="2" t="s">
        <v>3</v>
      </c>
      <c r="BE227" s="2" t="s">
        <v>3</v>
      </c>
      <c r="BF227" s="2" t="s">
        <v>3</v>
      </c>
      <c r="BG227" s="2" t="s">
        <v>3</v>
      </c>
      <c r="BH227" s="2">
        <v>3</v>
      </c>
      <c r="BI227" s="2">
        <v>2</v>
      </c>
      <c r="BJ227" s="2" t="s">
        <v>3</v>
      </c>
      <c r="BK227" s="2"/>
      <c r="BL227" s="2"/>
      <c r="BM227" s="2">
        <v>108001</v>
      </c>
      <c r="BN227" s="2">
        <v>0</v>
      </c>
      <c r="BO227" s="2" t="s">
        <v>3</v>
      </c>
      <c r="BP227" s="2">
        <v>0</v>
      </c>
      <c r="BQ227" s="2">
        <v>3</v>
      </c>
      <c r="BR227" s="2">
        <v>0</v>
      </c>
      <c r="BS227" s="2">
        <v>1</v>
      </c>
      <c r="BT227" s="2">
        <v>1</v>
      </c>
      <c r="BU227" s="2">
        <v>1</v>
      </c>
      <c r="BV227" s="2">
        <v>1</v>
      </c>
      <c r="BW227" s="2">
        <v>1</v>
      </c>
      <c r="BX227" s="2">
        <v>1</v>
      </c>
      <c r="BY227" s="2" t="s">
        <v>3</v>
      </c>
      <c r="BZ227" s="2">
        <v>97</v>
      </c>
      <c r="CA227" s="2">
        <v>51</v>
      </c>
      <c r="CB227" s="2" t="s">
        <v>3</v>
      </c>
      <c r="CC227" s="2"/>
      <c r="CD227" s="2"/>
      <c r="CE227" s="2">
        <v>0</v>
      </c>
      <c r="CF227" s="2">
        <v>0</v>
      </c>
      <c r="CG227" s="2">
        <v>0</v>
      </c>
      <c r="CH227" s="2"/>
      <c r="CI227" s="2"/>
      <c r="CJ227" s="2"/>
      <c r="CK227" s="2"/>
      <c r="CL227" s="2"/>
      <c r="CM227" s="2">
        <v>0</v>
      </c>
      <c r="CN227" s="2" t="s">
        <v>3</v>
      </c>
      <c r="CO227" s="2">
        <v>0</v>
      </c>
      <c r="CP227" s="2">
        <f>0</f>
        <v>0</v>
      </c>
      <c r="CQ227" s="2">
        <f>0</f>
        <v>0</v>
      </c>
      <c r="CR227" s="2">
        <f>0</f>
        <v>0</v>
      </c>
      <c r="CS227" s="2">
        <f>0</f>
        <v>0</v>
      </c>
      <c r="CT227" s="2">
        <f>0</f>
        <v>0</v>
      </c>
      <c r="CU227" s="2">
        <f>0</f>
        <v>0</v>
      </c>
      <c r="CV227" s="2">
        <f>0</f>
        <v>0</v>
      </c>
      <c r="CW227" s="2">
        <f>0</f>
        <v>0</v>
      </c>
      <c r="CX227" s="2">
        <f>0</f>
        <v>0</v>
      </c>
      <c r="CY227" s="2">
        <f>0</f>
        <v>0</v>
      </c>
      <c r="CZ227" s="2">
        <f>0</f>
        <v>0</v>
      </c>
      <c r="DA227" s="2"/>
      <c r="DB227" s="2"/>
      <c r="DC227" s="2" t="s">
        <v>3</v>
      </c>
      <c r="DD227" s="2" t="s">
        <v>3</v>
      </c>
      <c r="DE227" s="2" t="s">
        <v>3</v>
      </c>
      <c r="DF227" s="2" t="s">
        <v>3</v>
      </c>
      <c r="DG227" s="2" t="s">
        <v>3</v>
      </c>
      <c r="DH227" s="2" t="s">
        <v>3</v>
      </c>
      <c r="DI227" s="2" t="s">
        <v>3</v>
      </c>
      <c r="DJ227" s="2" t="s">
        <v>3</v>
      </c>
      <c r="DK227" s="2" t="s">
        <v>3</v>
      </c>
      <c r="DL227" s="2" t="s">
        <v>3</v>
      </c>
      <c r="DM227" s="2" t="s">
        <v>3</v>
      </c>
      <c r="DN227" s="2">
        <v>0</v>
      </c>
      <c r="DO227" s="2">
        <v>0</v>
      </c>
      <c r="DP227" s="2">
        <v>1</v>
      </c>
      <c r="DQ227" s="2">
        <v>1</v>
      </c>
      <c r="DR227" s="2"/>
      <c r="DS227" s="2"/>
      <c r="DT227" s="2"/>
      <c r="DU227" s="2">
        <v>1013</v>
      </c>
      <c r="DV227" s="2" t="s">
        <v>57</v>
      </c>
      <c r="DW227" s="2" t="s">
        <v>57</v>
      </c>
      <c r="DX227" s="2">
        <v>1</v>
      </c>
      <c r="DY227" s="2"/>
      <c r="DZ227" s="2" t="s">
        <v>3</v>
      </c>
      <c r="EA227" s="2" t="s">
        <v>3</v>
      </c>
      <c r="EB227" s="2" t="s">
        <v>3</v>
      </c>
      <c r="EC227" s="2" t="s">
        <v>3</v>
      </c>
      <c r="ED227" s="2"/>
      <c r="EE227" s="2">
        <v>84053775</v>
      </c>
      <c r="EF227" s="2">
        <v>3</v>
      </c>
      <c r="EG227" s="2" t="s">
        <v>48</v>
      </c>
      <c r="EH227" s="2">
        <v>0</v>
      </c>
      <c r="EI227" s="2" t="s">
        <v>3</v>
      </c>
      <c r="EJ227" s="2">
        <v>2</v>
      </c>
      <c r="EK227" s="2">
        <v>108001</v>
      </c>
      <c r="EL227" s="2" t="s">
        <v>49</v>
      </c>
      <c r="EM227" s="2" t="s">
        <v>50</v>
      </c>
      <c r="EN227" s="2"/>
      <c r="EO227" s="2" t="s">
        <v>3</v>
      </c>
      <c r="EP227" s="2"/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>
        <v>0</v>
      </c>
      <c r="FR227" s="2">
        <v>0</v>
      </c>
      <c r="FS227" s="2">
        <v>0</v>
      </c>
      <c r="FT227" s="2"/>
      <c r="FU227" s="2"/>
      <c r="FV227" s="2"/>
      <c r="FW227" s="2"/>
      <c r="FX227" s="2">
        <v>97</v>
      </c>
      <c r="FY227" s="2">
        <v>51</v>
      </c>
      <c r="FZ227" s="2"/>
      <c r="GA227" s="2" t="s">
        <v>3</v>
      </c>
      <c r="GB227" s="2"/>
      <c r="GC227" s="2"/>
      <c r="GD227" s="2">
        <v>1</v>
      </c>
      <c r="GE227" s="2"/>
      <c r="GF227" s="2">
        <v>274903907</v>
      </c>
      <c r="GG227" s="2">
        <v>2</v>
      </c>
      <c r="GH227" s="2">
        <v>1</v>
      </c>
      <c r="GI227" s="2">
        <v>-2</v>
      </c>
      <c r="GJ227" s="2">
        <v>0</v>
      </c>
      <c r="GK227" s="2">
        <v>0</v>
      </c>
      <c r="GL227" s="2">
        <f t="shared" si="206"/>
        <v>0</v>
      </c>
      <c r="GM227" s="2">
        <f t="shared" si="207"/>
        <v>7.96</v>
      </c>
      <c r="GN227" s="2">
        <f t="shared" si="208"/>
        <v>0</v>
      </c>
      <c r="GO227" s="2">
        <f t="shared" si="209"/>
        <v>7.96</v>
      </c>
      <c r="GP227" s="2">
        <f t="shared" si="210"/>
        <v>0</v>
      </c>
      <c r="GQ227" s="2"/>
      <c r="GR227" s="2">
        <v>0</v>
      </c>
      <c r="GS227" s="2">
        <v>3</v>
      </c>
      <c r="GT227" s="2">
        <v>0</v>
      </c>
      <c r="GU227" s="2" t="s">
        <v>3</v>
      </c>
      <c r="GV227" s="2">
        <f t="shared" si="211"/>
        <v>0</v>
      </c>
      <c r="GW227" s="2">
        <v>1</v>
      </c>
      <c r="GX227" s="2">
        <f t="shared" si="212"/>
        <v>0</v>
      </c>
      <c r="GY227" s="2"/>
      <c r="GZ227" s="2"/>
      <c r="HA227" s="2">
        <v>0</v>
      </c>
      <c r="HB227" s="2">
        <v>0</v>
      </c>
      <c r="HC227" s="2">
        <f>0</f>
        <v>0</v>
      </c>
      <c r="HD227" s="2"/>
      <c r="HE227" s="2" t="s">
        <v>3</v>
      </c>
      <c r="HF227" s="2" t="s">
        <v>3</v>
      </c>
      <c r="HG227" s="2"/>
      <c r="HH227" s="2"/>
      <c r="HI227" s="2"/>
      <c r="HJ227" s="2"/>
      <c r="HK227" s="2"/>
      <c r="HL227" s="2"/>
      <c r="HM227" s="2" t="s">
        <v>3</v>
      </c>
      <c r="HN227" s="2" t="s">
        <v>52</v>
      </c>
      <c r="HO227" s="2" t="s">
        <v>53</v>
      </c>
      <c r="HP227" s="2" t="s">
        <v>49</v>
      </c>
      <c r="HQ227" s="2" t="s">
        <v>49</v>
      </c>
      <c r="HR227" s="2"/>
      <c r="HS227" s="2">
        <v>0</v>
      </c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>
        <v>0</v>
      </c>
      <c r="IL227" s="2"/>
      <c r="IM227" s="2"/>
      <c r="IN227" s="2"/>
      <c r="IO227" s="2"/>
      <c r="IP227" s="2"/>
      <c r="IQ227" s="2"/>
      <c r="IR227" s="2"/>
      <c r="IS227" s="2"/>
      <c r="IT227" s="2"/>
      <c r="IU227" s="2"/>
    </row>
    <row r="228" spans="1:255" ht="409.5" x14ac:dyDescent="0.2">
      <c r="A228" s="2">
        <v>18</v>
      </c>
      <c r="B228" s="2">
        <v>1</v>
      </c>
      <c r="C228" s="2">
        <v>187</v>
      </c>
      <c r="D228" s="2"/>
      <c r="E228" s="2" t="s">
        <v>402</v>
      </c>
      <c r="F228" s="2" t="s">
        <v>123</v>
      </c>
      <c r="G228" s="2" t="s">
        <v>124</v>
      </c>
      <c r="H228" s="2" t="s">
        <v>29</v>
      </c>
      <c r="I228" s="2">
        <f>I225*J228</f>
        <v>-2.8800000000000002E-3</v>
      </c>
      <c r="J228" s="2">
        <v>-1.44E-2</v>
      </c>
      <c r="K228" s="2">
        <v>-1.2E-2</v>
      </c>
      <c r="L228" s="2"/>
      <c r="M228" s="2"/>
      <c r="N228" s="2"/>
      <c r="O228" s="2">
        <f>ROUND(CP228,2)</f>
        <v>-7.48</v>
      </c>
      <c r="P228" s="2">
        <f>ROUND(CQ228*I228,2)</f>
        <v>0</v>
      </c>
      <c r="Q228" s="2">
        <f>ROUND(CR228*I228,2)</f>
        <v>-4.6900000000000004</v>
      </c>
      <c r="R228" s="2">
        <f>ROUND(CS228*I228,2)</f>
        <v>-2.79</v>
      </c>
      <c r="S228" s="2">
        <f>ROUND(CT228*I228,2)</f>
        <v>0</v>
      </c>
      <c r="T228" s="2">
        <f t="shared" si="199"/>
        <v>0</v>
      </c>
      <c r="U228" s="2">
        <f>ROUND(CV228*I228,7)</f>
        <v>0</v>
      </c>
      <c r="V228" s="2">
        <f>ROUND(CW228*I228,7)</f>
        <v>0</v>
      </c>
      <c r="W228" s="2">
        <f t="shared" si="200"/>
        <v>0</v>
      </c>
      <c r="X228" s="2">
        <f t="shared" si="201"/>
        <v>-2.71</v>
      </c>
      <c r="Y228" s="2">
        <f t="shared" si="202"/>
        <v>-1.42</v>
      </c>
      <c r="Z228" s="2"/>
      <c r="AA228" s="2">
        <v>85997836</v>
      </c>
      <c r="AB228" s="2">
        <f t="shared" si="203"/>
        <v>1629.55</v>
      </c>
      <c r="AC228" s="2">
        <f>ROUND((ES228),6)</f>
        <v>0</v>
      </c>
      <c r="AD228" s="2">
        <f>ROUND((((ET228)-(EU228))+AE228),6)</f>
        <v>1629.55</v>
      </c>
      <c r="AE228" s="2">
        <f t="shared" si="230"/>
        <v>969.91</v>
      </c>
      <c r="AF228" s="2">
        <f t="shared" si="230"/>
        <v>0</v>
      </c>
      <c r="AG228" s="2">
        <f t="shared" si="204"/>
        <v>0</v>
      </c>
      <c r="AH228" s="2">
        <f t="shared" si="231"/>
        <v>0</v>
      </c>
      <c r="AI228" s="2">
        <f t="shared" si="231"/>
        <v>0</v>
      </c>
      <c r="AJ228" s="2">
        <f t="shared" si="205"/>
        <v>0</v>
      </c>
      <c r="AK228" s="2">
        <v>1629.55</v>
      </c>
      <c r="AL228" s="2">
        <v>0</v>
      </c>
      <c r="AM228" s="2">
        <v>1629.55</v>
      </c>
      <c r="AN228" s="2">
        <v>969.91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97</v>
      </c>
      <c r="AU228" s="2">
        <v>51</v>
      </c>
      <c r="AV228" s="2">
        <v>1</v>
      </c>
      <c r="AW228" s="2">
        <v>1</v>
      </c>
      <c r="AX228" s="2"/>
      <c r="AY228" s="2"/>
      <c r="AZ228" s="2">
        <v>1</v>
      </c>
      <c r="BA228" s="2">
        <v>1</v>
      </c>
      <c r="BB228" s="2">
        <v>1</v>
      </c>
      <c r="BC228" s="2">
        <v>1</v>
      </c>
      <c r="BD228" s="2" t="s">
        <v>3</v>
      </c>
      <c r="BE228" s="2" t="s">
        <v>3</v>
      </c>
      <c r="BF228" s="2" t="s">
        <v>3</v>
      </c>
      <c r="BG228" s="2" t="s">
        <v>3</v>
      </c>
      <c r="BH228" s="2">
        <v>2</v>
      </c>
      <c r="BI228" s="2">
        <v>2</v>
      </c>
      <c r="BJ228" s="2" t="s">
        <v>125</v>
      </c>
      <c r="BK228" s="2"/>
      <c r="BL228" s="2"/>
      <c r="BM228" s="2">
        <v>108001</v>
      </c>
      <c r="BN228" s="2">
        <v>0</v>
      </c>
      <c r="BO228" s="2" t="s">
        <v>3</v>
      </c>
      <c r="BP228" s="2">
        <v>0</v>
      </c>
      <c r="BQ228" s="2">
        <v>3</v>
      </c>
      <c r="BR228" s="2">
        <v>0</v>
      </c>
      <c r="BS228" s="2">
        <v>1</v>
      </c>
      <c r="BT228" s="2">
        <v>1</v>
      </c>
      <c r="BU228" s="2">
        <v>1</v>
      </c>
      <c r="BV228" s="2">
        <v>1</v>
      </c>
      <c r="BW228" s="2">
        <v>1</v>
      </c>
      <c r="BX228" s="2">
        <v>1</v>
      </c>
      <c r="BY228" s="2" t="s">
        <v>3</v>
      </c>
      <c r="BZ228" s="2">
        <v>97</v>
      </c>
      <c r="CA228" s="2">
        <v>51</v>
      </c>
      <c r="CB228" s="2" t="s">
        <v>3</v>
      </c>
      <c r="CC228" s="2"/>
      <c r="CD228" s="2"/>
      <c r="CE228" s="2">
        <v>0</v>
      </c>
      <c r="CF228" s="2">
        <v>0</v>
      </c>
      <c r="CG228" s="2">
        <v>0</v>
      </c>
      <c r="CH228" s="2"/>
      <c r="CI228" s="2"/>
      <c r="CJ228" s="2"/>
      <c r="CK228" s="2"/>
      <c r="CL228" s="2"/>
      <c r="CM228" s="2">
        <v>0</v>
      </c>
      <c r="CN228" s="7" t="s">
        <v>738</v>
      </c>
      <c r="CO228" s="2">
        <v>0</v>
      </c>
      <c r="CP228" s="2">
        <f>(P228+Q228+S228+R228)</f>
        <v>-7.48</v>
      </c>
      <c r="CQ228" s="2">
        <f>ROUND(AL228*BC228,2)</f>
        <v>0</v>
      </c>
      <c r="CR228" s="2">
        <f>ROUND(AM228*BB228,2)</f>
        <v>1629.55</v>
      </c>
      <c r="CS228" s="2">
        <f>ROUND(AN228*BS228,2)</f>
        <v>969.91</v>
      </c>
      <c r="CT228" s="2">
        <f>ROUND(AO228*BA228,2)</f>
        <v>0</v>
      </c>
      <c r="CU228" s="2">
        <f t="shared" ref="CU228:CX229" si="232">AG228</f>
        <v>0</v>
      </c>
      <c r="CV228" s="2">
        <f t="shared" si="232"/>
        <v>0</v>
      </c>
      <c r="CW228" s="2">
        <f t="shared" si="232"/>
        <v>0</v>
      </c>
      <c r="CX228" s="2">
        <f t="shared" si="232"/>
        <v>0</v>
      </c>
      <c r="CY228" s="2">
        <f>(((S228+R228)*AT228)/100)</f>
        <v>-2.7063000000000001</v>
      </c>
      <c r="CZ228" s="2">
        <f>(((S228+R228)*AU228)/100)</f>
        <v>-1.4228999999999998</v>
      </c>
      <c r="DA228" s="2"/>
      <c r="DB228" s="2"/>
      <c r="DC228" s="2" t="s">
        <v>3</v>
      </c>
      <c r="DD228" s="2" t="s">
        <v>3</v>
      </c>
      <c r="DE228" s="2" t="s">
        <v>3</v>
      </c>
      <c r="DF228" s="2" t="s">
        <v>3</v>
      </c>
      <c r="DG228" s="2" t="s">
        <v>3</v>
      </c>
      <c r="DH228" s="2" t="s">
        <v>3</v>
      </c>
      <c r="DI228" s="2" t="s">
        <v>3</v>
      </c>
      <c r="DJ228" s="2" t="s">
        <v>3</v>
      </c>
      <c r="DK228" s="2" t="s">
        <v>3</v>
      </c>
      <c r="DL228" s="2" t="s">
        <v>3</v>
      </c>
      <c r="DM228" s="2" t="s">
        <v>3</v>
      </c>
      <c r="DN228" s="2">
        <v>0</v>
      </c>
      <c r="DO228" s="2">
        <v>0</v>
      </c>
      <c r="DP228" s="2">
        <v>1</v>
      </c>
      <c r="DQ228" s="2">
        <v>1</v>
      </c>
      <c r="DR228" s="2"/>
      <c r="DS228" s="2"/>
      <c r="DT228" s="2"/>
      <c r="DU228" s="2">
        <v>1011</v>
      </c>
      <c r="DV228" s="2" t="s">
        <v>29</v>
      </c>
      <c r="DW228" s="2" t="s">
        <v>29</v>
      </c>
      <c r="DX228" s="2">
        <v>1</v>
      </c>
      <c r="DY228" s="2"/>
      <c r="DZ228" s="2" t="s">
        <v>3</v>
      </c>
      <c r="EA228" s="2" t="s">
        <v>3</v>
      </c>
      <c r="EB228" s="2" t="s">
        <v>3</v>
      </c>
      <c r="EC228" s="2" t="s">
        <v>3</v>
      </c>
      <c r="ED228" s="2"/>
      <c r="EE228" s="2">
        <v>84053775</v>
      </c>
      <c r="EF228" s="2">
        <v>3</v>
      </c>
      <c r="EG228" s="2" t="s">
        <v>48</v>
      </c>
      <c r="EH228" s="2">
        <v>0</v>
      </c>
      <c r="EI228" s="2" t="s">
        <v>3</v>
      </c>
      <c r="EJ228" s="2">
        <v>2</v>
      </c>
      <c r="EK228" s="2">
        <v>108001</v>
      </c>
      <c r="EL228" s="2" t="s">
        <v>49</v>
      </c>
      <c r="EM228" s="2" t="s">
        <v>50</v>
      </c>
      <c r="EN228" s="2"/>
      <c r="EO228" s="2" t="s">
        <v>399</v>
      </c>
      <c r="EP228" s="2"/>
      <c r="EQ228" s="2">
        <v>0</v>
      </c>
      <c r="ER228" s="2">
        <v>1629.55</v>
      </c>
      <c r="ES228" s="2">
        <v>0</v>
      </c>
      <c r="ET228" s="2">
        <v>1629.55</v>
      </c>
      <c r="EU228" s="2">
        <v>969.91</v>
      </c>
      <c r="EV228" s="2">
        <v>0</v>
      </c>
      <c r="EW228" s="2">
        <v>0</v>
      </c>
      <c r="EX228" s="2">
        <v>0</v>
      </c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>
        <v>0</v>
      </c>
      <c r="FR228" s="2">
        <v>0</v>
      </c>
      <c r="FS228" s="2">
        <v>1</v>
      </c>
      <c r="FT228" s="2"/>
      <c r="FU228" s="2"/>
      <c r="FV228" s="2"/>
      <c r="FW228" s="2"/>
      <c r="FX228" s="2">
        <v>97</v>
      </c>
      <c r="FY228" s="2">
        <v>51</v>
      </c>
      <c r="FZ228" s="2"/>
      <c r="GA228" s="2" t="s">
        <v>3</v>
      </c>
      <c r="GB228" s="2"/>
      <c r="GC228" s="2"/>
      <c r="GD228" s="2">
        <v>1</v>
      </c>
      <c r="GE228" s="2"/>
      <c r="GF228" s="2">
        <v>639918019</v>
      </c>
      <c r="GG228" s="2">
        <v>2</v>
      </c>
      <c r="GH228" s="2">
        <v>1</v>
      </c>
      <c r="GI228" s="2">
        <v>-2</v>
      </c>
      <c r="GJ228" s="2">
        <v>0</v>
      </c>
      <c r="GK228" s="2">
        <v>0</v>
      </c>
      <c r="GL228" s="2">
        <f t="shared" si="206"/>
        <v>0</v>
      </c>
      <c r="GM228" s="2">
        <f t="shared" si="207"/>
        <v>-11.61</v>
      </c>
      <c r="GN228" s="2">
        <f t="shared" si="208"/>
        <v>0</v>
      </c>
      <c r="GO228" s="2">
        <f t="shared" si="209"/>
        <v>-11.61</v>
      </c>
      <c r="GP228" s="2">
        <f t="shared" si="210"/>
        <v>0</v>
      </c>
      <c r="GQ228" s="2"/>
      <c r="GR228" s="2">
        <v>0</v>
      </c>
      <c r="GS228" s="2">
        <v>7</v>
      </c>
      <c r="GT228" s="2">
        <v>0</v>
      </c>
      <c r="GU228" s="2" t="s">
        <v>3</v>
      </c>
      <c r="GV228" s="2">
        <f t="shared" si="211"/>
        <v>0</v>
      </c>
      <c r="GW228" s="2">
        <v>1</v>
      </c>
      <c r="GX228" s="2">
        <f t="shared" si="212"/>
        <v>0</v>
      </c>
      <c r="GY228" s="2"/>
      <c r="GZ228" s="2"/>
      <c r="HA228" s="2">
        <v>0</v>
      </c>
      <c r="HB228" s="2">
        <v>0</v>
      </c>
      <c r="HC228" s="2">
        <f>GV228*GW228</f>
        <v>0</v>
      </c>
      <c r="HD228" s="2"/>
      <c r="HE228" s="2" t="s">
        <v>3</v>
      </c>
      <c r="HF228" s="2" t="s">
        <v>3</v>
      </c>
      <c r="HG228" s="2"/>
      <c r="HH228" s="2"/>
      <c r="HI228" s="2"/>
      <c r="HJ228" s="2"/>
      <c r="HK228" s="2"/>
      <c r="HL228" s="2"/>
      <c r="HM228" s="2" t="s">
        <v>398</v>
      </c>
      <c r="HN228" s="2" t="s">
        <v>52</v>
      </c>
      <c r="HO228" s="2" t="s">
        <v>53</v>
      </c>
      <c r="HP228" s="2" t="s">
        <v>49</v>
      </c>
      <c r="HQ228" s="2" t="s">
        <v>49</v>
      </c>
      <c r="HR228" s="2"/>
      <c r="HS228" s="2">
        <v>0</v>
      </c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>
        <v>0</v>
      </c>
      <c r="IL228" s="2"/>
      <c r="IM228" s="2"/>
      <c r="IN228" s="2"/>
      <c r="IO228" s="2"/>
      <c r="IP228" s="2"/>
      <c r="IQ228" s="2"/>
      <c r="IR228" s="2"/>
      <c r="IS228" s="2"/>
      <c r="IT228" s="2"/>
      <c r="IU228" s="2"/>
    </row>
    <row r="229" spans="1:255" ht="409.5" x14ac:dyDescent="0.2">
      <c r="A229" s="2">
        <v>18</v>
      </c>
      <c r="B229" s="2">
        <v>1</v>
      </c>
      <c r="C229" s="2">
        <v>188</v>
      </c>
      <c r="D229" s="2"/>
      <c r="E229" s="2" t="s">
        <v>403</v>
      </c>
      <c r="F229" s="2" t="s">
        <v>127</v>
      </c>
      <c r="G229" s="2" t="s">
        <v>128</v>
      </c>
      <c r="H229" s="2" t="s">
        <v>29</v>
      </c>
      <c r="I229" s="2">
        <f>I225*J229</f>
        <v>-2.8800000000000002E-3</v>
      </c>
      <c r="J229" s="2">
        <v>-1.44E-2</v>
      </c>
      <c r="K229" s="2">
        <v>-1.2E-2</v>
      </c>
      <c r="L229" s="2"/>
      <c r="M229" s="2"/>
      <c r="N229" s="2"/>
      <c r="O229" s="2">
        <f>ROUND(CP229,2)</f>
        <v>-3.93</v>
      </c>
      <c r="P229" s="2">
        <f>ROUND(CQ229*I229,2)</f>
        <v>0</v>
      </c>
      <c r="Q229" s="2">
        <f>ROUND(CR229*I229,2)</f>
        <v>-1.85</v>
      </c>
      <c r="R229" s="2">
        <f>ROUND(CS229*I229,2)</f>
        <v>-2.08</v>
      </c>
      <c r="S229" s="2">
        <f>ROUND(CT229*I229,2)</f>
        <v>0</v>
      </c>
      <c r="T229" s="2">
        <f t="shared" si="199"/>
        <v>0</v>
      </c>
      <c r="U229" s="2">
        <f>ROUND(CV229*I229,7)</f>
        <v>0</v>
      </c>
      <c r="V229" s="2">
        <f>ROUND(CW229*I229,7)</f>
        <v>0</v>
      </c>
      <c r="W229" s="2">
        <f t="shared" si="200"/>
        <v>0</v>
      </c>
      <c r="X229" s="2">
        <f t="shared" si="201"/>
        <v>-2.02</v>
      </c>
      <c r="Y229" s="2">
        <f t="shared" si="202"/>
        <v>-1.06</v>
      </c>
      <c r="Z229" s="2"/>
      <c r="AA229" s="2">
        <v>85997836</v>
      </c>
      <c r="AB229" s="2">
        <f t="shared" si="203"/>
        <v>643.29</v>
      </c>
      <c r="AC229" s="2">
        <f>ROUND((ES229),6)</f>
        <v>0</v>
      </c>
      <c r="AD229" s="2">
        <f>ROUND((((ET229)-(EU229))+AE229),6)</f>
        <v>643.29</v>
      </c>
      <c r="AE229" s="2">
        <f t="shared" si="230"/>
        <v>722.05</v>
      </c>
      <c r="AF229" s="2">
        <f t="shared" si="230"/>
        <v>0</v>
      </c>
      <c r="AG229" s="2">
        <f t="shared" si="204"/>
        <v>0</v>
      </c>
      <c r="AH229" s="2">
        <f t="shared" si="231"/>
        <v>0</v>
      </c>
      <c r="AI229" s="2">
        <f t="shared" si="231"/>
        <v>0</v>
      </c>
      <c r="AJ229" s="2">
        <f t="shared" si="205"/>
        <v>0</v>
      </c>
      <c r="AK229" s="2">
        <v>643.29</v>
      </c>
      <c r="AL229" s="2">
        <v>0</v>
      </c>
      <c r="AM229" s="2">
        <v>643.29</v>
      </c>
      <c r="AN229" s="2">
        <v>722.05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97</v>
      </c>
      <c r="AU229" s="2">
        <v>51</v>
      </c>
      <c r="AV229" s="2">
        <v>1</v>
      </c>
      <c r="AW229" s="2">
        <v>1</v>
      </c>
      <c r="AX229" s="2"/>
      <c r="AY229" s="2"/>
      <c r="AZ229" s="2">
        <v>1</v>
      </c>
      <c r="BA229" s="2">
        <v>1</v>
      </c>
      <c r="BB229" s="2">
        <v>1</v>
      </c>
      <c r="BC229" s="2">
        <v>1</v>
      </c>
      <c r="BD229" s="2" t="s">
        <v>3</v>
      </c>
      <c r="BE229" s="2" t="s">
        <v>3</v>
      </c>
      <c r="BF229" s="2" t="s">
        <v>3</v>
      </c>
      <c r="BG229" s="2" t="s">
        <v>3</v>
      </c>
      <c r="BH229" s="2">
        <v>2</v>
      </c>
      <c r="BI229" s="2">
        <v>2</v>
      </c>
      <c r="BJ229" s="2" t="s">
        <v>129</v>
      </c>
      <c r="BK229" s="2"/>
      <c r="BL229" s="2"/>
      <c r="BM229" s="2">
        <v>108001</v>
      </c>
      <c r="BN229" s="2">
        <v>0</v>
      </c>
      <c r="BO229" s="2" t="s">
        <v>3</v>
      </c>
      <c r="BP229" s="2">
        <v>0</v>
      </c>
      <c r="BQ229" s="2">
        <v>3</v>
      </c>
      <c r="BR229" s="2">
        <v>0</v>
      </c>
      <c r="BS229" s="2">
        <v>1</v>
      </c>
      <c r="BT229" s="2">
        <v>1</v>
      </c>
      <c r="BU229" s="2">
        <v>1</v>
      </c>
      <c r="BV229" s="2">
        <v>1</v>
      </c>
      <c r="BW229" s="2">
        <v>1</v>
      </c>
      <c r="BX229" s="2">
        <v>1</v>
      </c>
      <c r="BY229" s="2" t="s">
        <v>3</v>
      </c>
      <c r="BZ229" s="2">
        <v>97</v>
      </c>
      <c r="CA229" s="2">
        <v>51</v>
      </c>
      <c r="CB229" s="2" t="s">
        <v>3</v>
      </c>
      <c r="CC229" s="2"/>
      <c r="CD229" s="2"/>
      <c r="CE229" s="2">
        <v>0</v>
      </c>
      <c r="CF229" s="2">
        <v>0</v>
      </c>
      <c r="CG229" s="2">
        <v>0</v>
      </c>
      <c r="CH229" s="2"/>
      <c r="CI229" s="2"/>
      <c r="CJ229" s="2"/>
      <c r="CK229" s="2"/>
      <c r="CL229" s="2"/>
      <c r="CM229" s="2">
        <v>0</v>
      </c>
      <c r="CN229" s="7" t="s">
        <v>738</v>
      </c>
      <c r="CO229" s="2">
        <v>0</v>
      </c>
      <c r="CP229" s="2">
        <f>(P229+Q229+S229+R229)</f>
        <v>-3.93</v>
      </c>
      <c r="CQ229" s="2">
        <f>ROUND(AL229*BC229,2)</f>
        <v>0</v>
      </c>
      <c r="CR229" s="2">
        <f>ROUND(AM229*BB229,2)</f>
        <v>643.29</v>
      </c>
      <c r="CS229" s="2">
        <f>ROUND(AN229*BS229,2)</f>
        <v>722.05</v>
      </c>
      <c r="CT229" s="2">
        <f>ROUND(AO229*BA229,2)</f>
        <v>0</v>
      </c>
      <c r="CU229" s="2">
        <f t="shared" si="232"/>
        <v>0</v>
      </c>
      <c r="CV229" s="2">
        <f t="shared" si="232"/>
        <v>0</v>
      </c>
      <c r="CW229" s="2">
        <f t="shared" si="232"/>
        <v>0</v>
      </c>
      <c r="CX229" s="2">
        <f t="shared" si="232"/>
        <v>0</v>
      </c>
      <c r="CY229" s="2">
        <f>(((S229+R229)*AT229)/100)</f>
        <v>-2.0176000000000003</v>
      </c>
      <c r="CZ229" s="2">
        <f>(((S229+R229)*AU229)/100)</f>
        <v>-1.0608</v>
      </c>
      <c r="DA229" s="2"/>
      <c r="DB229" s="2"/>
      <c r="DC229" s="2" t="s">
        <v>3</v>
      </c>
      <c r="DD229" s="2" t="s">
        <v>3</v>
      </c>
      <c r="DE229" s="2" t="s">
        <v>3</v>
      </c>
      <c r="DF229" s="2" t="s">
        <v>3</v>
      </c>
      <c r="DG229" s="2" t="s">
        <v>3</v>
      </c>
      <c r="DH229" s="2" t="s">
        <v>3</v>
      </c>
      <c r="DI229" s="2" t="s">
        <v>3</v>
      </c>
      <c r="DJ229" s="2" t="s">
        <v>3</v>
      </c>
      <c r="DK229" s="2" t="s">
        <v>3</v>
      </c>
      <c r="DL229" s="2" t="s">
        <v>3</v>
      </c>
      <c r="DM229" s="2" t="s">
        <v>3</v>
      </c>
      <c r="DN229" s="2">
        <v>0</v>
      </c>
      <c r="DO229" s="2">
        <v>0</v>
      </c>
      <c r="DP229" s="2">
        <v>1</v>
      </c>
      <c r="DQ229" s="2">
        <v>1</v>
      </c>
      <c r="DR229" s="2"/>
      <c r="DS229" s="2"/>
      <c r="DT229" s="2"/>
      <c r="DU229" s="2">
        <v>1011</v>
      </c>
      <c r="DV229" s="2" t="s">
        <v>29</v>
      </c>
      <c r="DW229" s="2" t="s">
        <v>29</v>
      </c>
      <c r="DX229" s="2">
        <v>1</v>
      </c>
      <c r="DY229" s="2"/>
      <c r="DZ229" s="2" t="s">
        <v>3</v>
      </c>
      <c r="EA229" s="2" t="s">
        <v>3</v>
      </c>
      <c r="EB229" s="2" t="s">
        <v>3</v>
      </c>
      <c r="EC229" s="2" t="s">
        <v>3</v>
      </c>
      <c r="ED229" s="2"/>
      <c r="EE229" s="2">
        <v>84053775</v>
      </c>
      <c r="EF229" s="2">
        <v>3</v>
      </c>
      <c r="EG229" s="2" t="s">
        <v>48</v>
      </c>
      <c r="EH229" s="2">
        <v>0</v>
      </c>
      <c r="EI229" s="2" t="s">
        <v>3</v>
      </c>
      <c r="EJ229" s="2">
        <v>2</v>
      </c>
      <c r="EK229" s="2">
        <v>108001</v>
      </c>
      <c r="EL229" s="2" t="s">
        <v>49</v>
      </c>
      <c r="EM229" s="2" t="s">
        <v>50</v>
      </c>
      <c r="EN229" s="2"/>
      <c r="EO229" s="2" t="s">
        <v>399</v>
      </c>
      <c r="EP229" s="2"/>
      <c r="EQ229" s="2">
        <v>0</v>
      </c>
      <c r="ER229" s="2">
        <v>643.29</v>
      </c>
      <c r="ES229" s="2">
        <v>0</v>
      </c>
      <c r="ET229" s="2">
        <v>643.29</v>
      </c>
      <c r="EU229" s="2">
        <v>722.05</v>
      </c>
      <c r="EV229" s="2">
        <v>0</v>
      </c>
      <c r="EW229" s="2">
        <v>0</v>
      </c>
      <c r="EX229" s="2">
        <v>0</v>
      </c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>
        <v>0</v>
      </c>
      <c r="FR229" s="2">
        <v>0</v>
      </c>
      <c r="FS229" s="2">
        <v>1</v>
      </c>
      <c r="FT229" s="2"/>
      <c r="FU229" s="2"/>
      <c r="FV229" s="2"/>
      <c r="FW229" s="2"/>
      <c r="FX229" s="2">
        <v>97</v>
      </c>
      <c r="FY229" s="2">
        <v>51</v>
      </c>
      <c r="FZ229" s="2"/>
      <c r="GA229" s="2" t="s">
        <v>3</v>
      </c>
      <c r="GB229" s="2"/>
      <c r="GC229" s="2"/>
      <c r="GD229" s="2">
        <v>1</v>
      </c>
      <c r="GE229" s="2"/>
      <c r="GF229" s="2">
        <v>-849950259</v>
      </c>
      <c r="GG229" s="2">
        <v>2</v>
      </c>
      <c r="GH229" s="2">
        <v>1</v>
      </c>
      <c r="GI229" s="2">
        <v>-2</v>
      </c>
      <c r="GJ229" s="2">
        <v>0</v>
      </c>
      <c r="GK229" s="2">
        <v>0</v>
      </c>
      <c r="GL229" s="2">
        <f t="shared" si="206"/>
        <v>0</v>
      </c>
      <c r="GM229" s="2">
        <f t="shared" si="207"/>
        <v>-7.01</v>
      </c>
      <c r="GN229" s="2">
        <f t="shared" si="208"/>
        <v>0</v>
      </c>
      <c r="GO229" s="2">
        <f t="shared" si="209"/>
        <v>-7.01</v>
      </c>
      <c r="GP229" s="2">
        <f t="shared" si="210"/>
        <v>0</v>
      </c>
      <c r="GQ229" s="2"/>
      <c r="GR229" s="2">
        <v>0</v>
      </c>
      <c r="GS229" s="2">
        <v>7</v>
      </c>
      <c r="GT229" s="2">
        <v>0</v>
      </c>
      <c r="GU229" s="2" t="s">
        <v>3</v>
      </c>
      <c r="GV229" s="2">
        <f t="shared" si="211"/>
        <v>0</v>
      </c>
      <c r="GW229" s="2">
        <v>1</v>
      </c>
      <c r="GX229" s="2">
        <f t="shared" si="212"/>
        <v>0</v>
      </c>
      <c r="GY229" s="2"/>
      <c r="GZ229" s="2"/>
      <c r="HA229" s="2">
        <v>0</v>
      </c>
      <c r="HB229" s="2">
        <v>0</v>
      </c>
      <c r="HC229" s="2">
        <f>GV229*GW229</f>
        <v>0</v>
      </c>
      <c r="HD229" s="2"/>
      <c r="HE229" s="2" t="s">
        <v>3</v>
      </c>
      <c r="HF229" s="2" t="s">
        <v>3</v>
      </c>
      <c r="HG229" s="2"/>
      <c r="HH229" s="2"/>
      <c r="HI229" s="2"/>
      <c r="HJ229" s="2"/>
      <c r="HK229" s="2"/>
      <c r="HL229" s="2"/>
      <c r="HM229" s="2" t="s">
        <v>398</v>
      </c>
      <c r="HN229" s="2" t="s">
        <v>52</v>
      </c>
      <c r="HO229" s="2" t="s">
        <v>53</v>
      </c>
      <c r="HP229" s="2" t="s">
        <v>49</v>
      </c>
      <c r="HQ229" s="2" t="s">
        <v>49</v>
      </c>
      <c r="HR229" s="2"/>
      <c r="HS229" s="2">
        <v>0</v>
      </c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>
        <v>0</v>
      </c>
      <c r="IL229" s="2"/>
      <c r="IM229" s="2"/>
      <c r="IN229" s="2"/>
      <c r="IO229" s="2"/>
      <c r="IP229" s="2"/>
      <c r="IQ229" s="2"/>
      <c r="IR229" s="2"/>
      <c r="IS229" s="2"/>
      <c r="IT229" s="2"/>
      <c r="IU229" s="2"/>
    </row>
    <row r="230" spans="1:255" ht="409.5" x14ac:dyDescent="0.2">
      <c r="A230" s="2">
        <v>17</v>
      </c>
      <c r="B230" s="2">
        <v>1</v>
      </c>
      <c r="C230" s="2">
        <f>ROW(SmtRes!A203)</f>
        <v>203</v>
      </c>
      <c r="D230" s="2">
        <f>ROW(EtalonRes!A183)</f>
        <v>183</v>
      </c>
      <c r="E230" s="2" t="s">
        <v>404</v>
      </c>
      <c r="F230" s="2" t="s">
        <v>131</v>
      </c>
      <c r="G230" s="2" t="s">
        <v>132</v>
      </c>
      <c r="H230" s="2" t="s">
        <v>20</v>
      </c>
      <c r="I230" s="2">
        <f>ROUND((15)/100,7)</f>
        <v>0.15</v>
      </c>
      <c r="J230" s="2">
        <v>0</v>
      </c>
      <c r="K230" s="2">
        <f>ROUND((15)/100,7)</f>
        <v>0.15</v>
      </c>
      <c r="L230" s="2"/>
      <c r="M230" s="2"/>
      <c r="N230" s="2"/>
      <c r="O230" s="2">
        <f>ROUND(CP230,2)</f>
        <v>4229.8500000000004</v>
      </c>
      <c r="P230" s="2">
        <f>SUMIF(SmtRes!AQ194:'SmtRes'!AQ203,"=1",SmtRes!DF194:'SmtRes'!DF203)</f>
        <v>150.16</v>
      </c>
      <c r="Q230" s="2">
        <f>SUMIF(SmtRes!AQ194:'SmtRes'!AQ203,"=1",SmtRes!DG194:'SmtRes'!DG203)</f>
        <v>0</v>
      </c>
      <c r="R230" s="2">
        <f>SUMIF(SmtRes!AQ194:'SmtRes'!AQ203,"=1",SmtRes!DH194:'SmtRes'!DH203)</f>
        <v>0</v>
      </c>
      <c r="S230" s="2">
        <f>SUMIF(SmtRes!AQ194:'SmtRes'!AQ203,"=1",SmtRes!DI194:'SmtRes'!DI203)</f>
        <v>4079.69</v>
      </c>
      <c r="T230" s="2">
        <f t="shared" si="199"/>
        <v>0</v>
      </c>
      <c r="U230" s="2">
        <f>SUMIF(SmtRes!AQ194:'SmtRes'!AQ203,"=1",SmtRes!CV194:'SmtRes'!CV203)</f>
        <v>5.4863999999999997</v>
      </c>
      <c r="V230" s="2">
        <f>SUMIF(SmtRes!AQ194:'SmtRes'!AQ203,"=1",SmtRes!CW194:'SmtRes'!CW203)</f>
        <v>0</v>
      </c>
      <c r="W230" s="2">
        <f t="shared" si="200"/>
        <v>0</v>
      </c>
      <c r="X230" s="2">
        <f t="shared" si="201"/>
        <v>3957.3</v>
      </c>
      <c r="Y230" s="2">
        <f t="shared" si="202"/>
        <v>2080.64</v>
      </c>
      <c r="Z230" s="2"/>
      <c r="AA230" s="2">
        <v>85997836</v>
      </c>
      <c r="AB230" s="2">
        <f t="shared" si="203"/>
        <v>28052.636030999998</v>
      </c>
      <c r="AC230" s="2">
        <f>ROUND((SUM(SmtRes!BQ194:'SmtRes'!BQ203)),6)</f>
        <v>854.72243100000003</v>
      </c>
      <c r="AD230" s="2">
        <f>ROUND((((0)-(0))+AE230),6)</f>
        <v>0</v>
      </c>
      <c r="AE230" s="2">
        <f>ROUND((0),6)</f>
        <v>0</v>
      </c>
      <c r="AF230" s="2">
        <f>ROUND((SUM(SmtRes!BT194:'SmtRes'!BT203)),6)</f>
        <v>27197.9136</v>
      </c>
      <c r="AG230" s="2">
        <f t="shared" si="204"/>
        <v>0</v>
      </c>
      <c r="AH230" s="2">
        <f>(SUM(SmtRes!BU194:'SmtRes'!BU203))</f>
        <v>36.576000000000001</v>
      </c>
      <c r="AI230" s="2">
        <f>(0)</f>
        <v>0</v>
      </c>
      <c r="AJ230" s="2">
        <f t="shared" si="205"/>
        <v>0</v>
      </c>
      <c r="AK230" s="2">
        <v>23519.650430499998</v>
      </c>
      <c r="AL230" s="2">
        <v>854.72243049999997</v>
      </c>
      <c r="AM230" s="2">
        <v>0</v>
      </c>
      <c r="AN230" s="2">
        <v>0</v>
      </c>
      <c r="AO230" s="2">
        <v>22664.928</v>
      </c>
      <c r="AP230" s="2">
        <v>0</v>
      </c>
      <c r="AQ230" s="2">
        <v>30.48</v>
      </c>
      <c r="AR230" s="2">
        <v>0.05</v>
      </c>
      <c r="AS230" s="2">
        <v>0</v>
      </c>
      <c r="AT230" s="2">
        <v>97</v>
      </c>
      <c r="AU230" s="2">
        <v>51</v>
      </c>
      <c r="AV230" s="2">
        <v>1</v>
      </c>
      <c r="AW230" s="2">
        <v>1</v>
      </c>
      <c r="AX230" s="2"/>
      <c r="AY230" s="2"/>
      <c r="AZ230" s="2">
        <v>1</v>
      </c>
      <c r="BA230" s="2">
        <v>1</v>
      </c>
      <c r="BB230" s="2">
        <v>1</v>
      </c>
      <c r="BC230" s="2">
        <v>1</v>
      </c>
      <c r="BD230" s="2" t="s">
        <v>3</v>
      </c>
      <c r="BE230" s="2" t="s">
        <v>3</v>
      </c>
      <c r="BF230" s="2" t="s">
        <v>3</v>
      </c>
      <c r="BG230" s="2" t="s">
        <v>3</v>
      </c>
      <c r="BH230" s="2">
        <v>0</v>
      </c>
      <c r="BI230" s="2">
        <v>2</v>
      </c>
      <c r="BJ230" s="2" t="s">
        <v>133</v>
      </c>
      <c r="BK230" s="2"/>
      <c r="BL230" s="2"/>
      <c r="BM230" s="2">
        <v>108001</v>
      </c>
      <c r="BN230" s="2">
        <v>0</v>
      </c>
      <c r="BO230" s="2" t="s">
        <v>3</v>
      </c>
      <c r="BP230" s="2">
        <v>0</v>
      </c>
      <c r="BQ230" s="2">
        <v>3</v>
      </c>
      <c r="BR230" s="2">
        <v>0</v>
      </c>
      <c r="BS230" s="2">
        <v>1</v>
      </c>
      <c r="BT230" s="2">
        <v>1</v>
      </c>
      <c r="BU230" s="2">
        <v>1</v>
      </c>
      <c r="BV230" s="2">
        <v>1</v>
      </c>
      <c r="BW230" s="2">
        <v>1</v>
      </c>
      <c r="BX230" s="2">
        <v>1</v>
      </c>
      <c r="BY230" s="2" t="s">
        <v>3</v>
      </c>
      <c r="BZ230" s="2">
        <v>97</v>
      </c>
      <c r="CA230" s="2">
        <v>51</v>
      </c>
      <c r="CB230" s="2" t="s">
        <v>3</v>
      </c>
      <c r="CC230" s="2"/>
      <c r="CD230" s="2"/>
      <c r="CE230" s="2">
        <v>0</v>
      </c>
      <c r="CF230" s="2">
        <v>0</v>
      </c>
      <c r="CG230" s="2">
        <v>0</v>
      </c>
      <c r="CH230" s="2"/>
      <c r="CI230" s="2"/>
      <c r="CJ230" s="2"/>
      <c r="CK230" s="2"/>
      <c r="CL230" s="2"/>
      <c r="CM230" s="2">
        <v>0</v>
      </c>
      <c r="CN230" s="7" t="s">
        <v>738</v>
      </c>
      <c r="CO230" s="2">
        <v>0</v>
      </c>
      <c r="CP230" s="2">
        <f>(P230+Q230+S230+R230)</f>
        <v>4229.8500000000004</v>
      </c>
      <c r="CQ230" s="2">
        <f>SUMIF(SmtRes!AQ194:'SmtRes'!AQ203,"=1",SmtRes!AA194:'SmtRes'!AA203)</f>
        <v>11318.76</v>
      </c>
      <c r="CR230" s="2">
        <f>SUMIF(SmtRes!AQ194:'SmtRes'!AQ203,"=1",SmtRes!AB194:'SmtRes'!AB203)</f>
        <v>0</v>
      </c>
      <c r="CS230" s="2">
        <f>SUMIF(SmtRes!AQ194:'SmtRes'!AQ203,"=1",SmtRes!AC194:'SmtRes'!AC203)</f>
        <v>0</v>
      </c>
      <c r="CT230" s="2">
        <f>SUMIF(SmtRes!AQ194:'SmtRes'!AQ203,"=1",SmtRes!AD194:'SmtRes'!AD203)</f>
        <v>743.6</v>
      </c>
      <c r="CU230" s="2">
        <f>AG230</f>
        <v>0</v>
      </c>
      <c r="CV230" s="2">
        <f>SUMIF(SmtRes!AQ194:'SmtRes'!AQ203,"=1",SmtRes!BU194:'SmtRes'!BU203)</f>
        <v>36.576000000000001</v>
      </c>
      <c r="CW230" s="2">
        <f>SUMIF(SmtRes!AQ194:'SmtRes'!AQ203,"=1",SmtRes!BV194:'SmtRes'!BV203)</f>
        <v>0</v>
      </c>
      <c r="CX230" s="2">
        <f>AJ230</f>
        <v>0</v>
      </c>
      <c r="CY230" s="2">
        <f>(((S230+R230)*AT230)/100)</f>
        <v>3957.2993000000001</v>
      </c>
      <c r="CZ230" s="2">
        <f>(((S230+R230)*AU230)/100)</f>
        <v>2080.6419000000001</v>
      </c>
      <c r="DA230" s="2"/>
      <c r="DB230" s="2"/>
      <c r="DC230" s="2" t="s">
        <v>3</v>
      </c>
      <c r="DD230" s="2" t="s">
        <v>3</v>
      </c>
      <c r="DE230" s="2" t="s">
        <v>398</v>
      </c>
      <c r="DF230" s="2" t="s">
        <v>398</v>
      </c>
      <c r="DG230" s="2" t="s">
        <v>398</v>
      </c>
      <c r="DH230" s="2" t="s">
        <v>3</v>
      </c>
      <c r="DI230" s="2" t="s">
        <v>398</v>
      </c>
      <c r="DJ230" s="2" t="s">
        <v>398</v>
      </c>
      <c r="DK230" s="2" t="s">
        <v>3</v>
      </c>
      <c r="DL230" s="2" t="s">
        <v>3</v>
      </c>
      <c r="DM230" s="2" t="s">
        <v>3</v>
      </c>
      <c r="DN230" s="2">
        <v>0</v>
      </c>
      <c r="DO230" s="2">
        <v>0</v>
      </c>
      <c r="DP230" s="2">
        <v>1</v>
      </c>
      <c r="DQ230" s="2">
        <v>1</v>
      </c>
      <c r="DR230" s="2"/>
      <c r="DS230" s="2"/>
      <c r="DT230" s="2"/>
      <c r="DU230" s="2">
        <v>1013</v>
      </c>
      <c r="DV230" s="2" t="s">
        <v>20</v>
      </c>
      <c r="DW230" s="2" t="s">
        <v>20</v>
      </c>
      <c r="DX230" s="2">
        <v>1</v>
      </c>
      <c r="DY230" s="2"/>
      <c r="DZ230" s="2" t="s">
        <v>3</v>
      </c>
      <c r="EA230" s="2" t="s">
        <v>3</v>
      </c>
      <c r="EB230" s="2" t="s">
        <v>3</v>
      </c>
      <c r="EC230" s="2" t="s">
        <v>3</v>
      </c>
      <c r="ED230" s="2"/>
      <c r="EE230" s="2">
        <v>84053775</v>
      </c>
      <c r="EF230" s="2">
        <v>3</v>
      </c>
      <c r="EG230" s="2" t="s">
        <v>48</v>
      </c>
      <c r="EH230" s="2">
        <v>0</v>
      </c>
      <c r="EI230" s="2" t="s">
        <v>3</v>
      </c>
      <c r="EJ230" s="2">
        <v>2</v>
      </c>
      <c r="EK230" s="2">
        <v>108001</v>
      </c>
      <c r="EL230" s="2" t="s">
        <v>49</v>
      </c>
      <c r="EM230" s="2" t="s">
        <v>50</v>
      </c>
      <c r="EN230" s="2"/>
      <c r="EO230" s="2" t="s">
        <v>399</v>
      </c>
      <c r="EP230" s="2"/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30.48</v>
      </c>
      <c r="EX230" s="2">
        <v>0.05</v>
      </c>
      <c r="EY230" s="2">
        <v>0</v>
      </c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>
        <v>0</v>
      </c>
      <c r="FR230" s="2">
        <v>0</v>
      </c>
      <c r="FS230" s="2">
        <v>0</v>
      </c>
      <c r="FT230" s="2"/>
      <c r="FU230" s="2"/>
      <c r="FV230" s="2"/>
      <c r="FW230" s="2"/>
      <c r="FX230" s="2">
        <v>97</v>
      </c>
      <c r="FY230" s="2">
        <v>51</v>
      </c>
      <c r="FZ230" s="2"/>
      <c r="GA230" s="2" t="s">
        <v>3</v>
      </c>
      <c r="GB230" s="2"/>
      <c r="GC230" s="2"/>
      <c r="GD230" s="2">
        <v>1</v>
      </c>
      <c r="GE230" s="2"/>
      <c r="GF230" s="2">
        <v>-1543817102</v>
      </c>
      <c r="GG230" s="2">
        <v>2</v>
      </c>
      <c r="GH230" s="2">
        <v>1</v>
      </c>
      <c r="GI230" s="2">
        <v>-2</v>
      </c>
      <c r="GJ230" s="2">
        <v>0</v>
      </c>
      <c r="GK230" s="2">
        <v>0</v>
      </c>
      <c r="GL230" s="2">
        <f t="shared" si="206"/>
        <v>0</v>
      </c>
      <c r="GM230" s="2">
        <f t="shared" si="207"/>
        <v>10267.790000000001</v>
      </c>
      <c r="GN230" s="2">
        <f t="shared" si="208"/>
        <v>0</v>
      </c>
      <c r="GO230" s="2">
        <f t="shared" si="209"/>
        <v>10267.790000000001</v>
      </c>
      <c r="GP230" s="2">
        <f t="shared" si="210"/>
        <v>0</v>
      </c>
      <c r="GQ230" s="2"/>
      <c r="GR230" s="2">
        <v>0</v>
      </c>
      <c r="GS230" s="2">
        <v>3</v>
      </c>
      <c r="GT230" s="2">
        <v>0</v>
      </c>
      <c r="GU230" s="2" t="s">
        <v>3</v>
      </c>
      <c r="GV230" s="2">
        <f t="shared" si="211"/>
        <v>0</v>
      </c>
      <c r="GW230" s="2">
        <v>1</v>
      </c>
      <c r="GX230" s="2">
        <f t="shared" si="212"/>
        <v>0</v>
      </c>
      <c r="GY230" s="2"/>
      <c r="GZ230" s="2"/>
      <c r="HA230" s="2">
        <v>0</v>
      </c>
      <c r="HB230" s="2">
        <v>0</v>
      </c>
      <c r="HC230" s="2">
        <f>GV230*GW230</f>
        <v>0</v>
      </c>
      <c r="HD230" s="2"/>
      <c r="HE230" s="2" t="s">
        <v>3</v>
      </c>
      <c r="HF230" s="2" t="s">
        <v>3</v>
      </c>
      <c r="HG230" s="2"/>
      <c r="HH230" s="2"/>
      <c r="HI230" s="2"/>
      <c r="HJ230" s="2"/>
      <c r="HK230" s="2"/>
      <c r="HL230" s="2"/>
      <c r="HM230" s="2" t="s">
        <v>3</v>
      </c>
      <c r="HN230" s="2" t="s">
        <v>52</v>
      </c>
      <c r="HO230" s="2" t="s">
        <v>53</v>
      </c>
      <c r="HP230" s="2" t="s">
        <v>49</v>
      </c>
      <c r="HQ230" s="2" t="s">
        <v>49</v>
      </c>
      <c r="HR230" s="2"/>
      <c r="HS230" s="2">
        <v>0</v>
      </c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>
        <v>0</v>
      </c>
      <c r="IL230" s="2"/>
      <c r="IM230" s="2"/>
      <c r="IN230" s="2"/>
      <c r="IO230" s="2"/>
      <c r="IP230" s="2"/>
      <c r="IQ230" s="2"/>
      <c r="IR230" s="2"/>
      <c r="IS230" s="2"/>
      <c r="IT230" s="2"/>
      <c r="IU230" s="2"/>
    </row>
    <row r="231" spans="1:255" x14ac:dyDescent="0.2">
      <c r="A231" s="2">
        <v>18</v>
      </c>
      <c r="B231" s="2">
        <v>1</v>
      </c>
      <c r="C231" s="2">
        <v>202</v>
      </c>
      <c r="D231" s="2"/>
      <c r="E231" s="2" t="s">
        <v>405</v>
      </c>
      <c r="F231" s="2" t="s">
        <v>135</v>
      </c>
      <c r="G231" s="2" t="s">
        <v>406</v>
      </c>
      <c r="H231" s="2" t="s">
        <v>43</v>
      </c>
      <c r="I231" s="2">
        <f>I230*J231</f>
        <v>15</v>
      </c>
      <c r="J231" s="2">
        <v>100</v>
      </c>
      <c r="K231" s="2">
        <v>100</v>
      </c>
      <c r="L231" s="2"/>
      <c r="M231" s="2"/>
      <c r="N231" s="2"/>
      <c r="O231" s="2">
        <f>ROUND(CP231,2)</f>
        <v>1023</v>
      </c>
      <c r="P231" s="2">
        <f>ROUND(CQ231*I231,2)</f>
        <v>1023</v>
      </c>
      <c r="Q231" s="2">
        <f>ROUND(CR231*I231,2)</f>
        <v>0</v>
      </c>
      <c r="R231" s="2">
        <f>ROUND(CS231*I231,2)</f>
        <v>0</v>
      </c>
      <c r="S231" s="2">
        <f>ROUND(CT231*I231,2)</f>
        <v>0</v>
      </c>
      <c r="T231" s="2">
        <f t="shared" si="199"/>
        <v>0</v>
      </c>
      <c r="U231" s="2">
        <f>ROUND(CV231*I231,7)</f>
        <v>0</v>
      </c>
      <c r="V231" s="2">
        <f>ROUND(CW231*I231,7)</f>
        <v>0</v>
      </c>
      <c r="W231" s="2">
        <f t="shared" si="200"/>
        <v>0</v>
      </c>
      <c r="X231" s="2">
        <f t="shared" si="201"/>
        <v>0</v>
      </c>
      <c r="Y231" s="2">
        <f t="shared" si="202"/>
        <v>0</v>
      </c>
      <c r="Z231" s="2"/>
      <c r="AA231" s="2">
        <v>85997836</v>
      </c>
      <c r="AB231" s="2">
        <f t="shared" si="203"/>
        <v>74.94</v>
      </c>
      <c r="AC231" s="2">
        <f>ROUND((ES231),6)</f>
        <v>74.94</v>
      </c>
      <c r="AD231" s="2">
        <f>ROUND((((ET231)-(EU231))+AE231),6)</f>
        <v>0</v>
      </c>
      <c r="AE231" s="2">
        <f>ROUND((EU231),6)</f>
        <v>0</v>
      </c>
      <c r="AF231" s="2">
        <f>ROUND((EV231),6)</f>
        <v>0</v>
      </c>
      <c r="AG231" s="2">
        <f t="shared" si="204"/>
        <v>0</v>
      </c>
      <c r="AH231" s="2">
        <f t="shared" ref="AH231:AI234" si="233">(EW231)</f>
        <v>0</v>
      </c>
      <c r="AI231" s="2">
        <f t="shared" si="233"/>
        <v>0</v>
      </c>
      <c r="AJ231" s="2">
        <f t="shared" si="205"/>
        <v>0</v>
      </c>
      <c r="AK231" s="2">
        <v>74.94</v>
      </c>
      <c r="AL231" s="2">
        <v>74.94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97</v>
      </c>
      <c r="AU231" s="2">
        <v>51</v>
      </c>
      <c r="AV231" s="2">
        <v>1</v>
      </c>
      <c r="AW231" s="2">
        <v>1</v>
      </c>
      <c r="AX231" s="2"/>
      <c r="AY231" s="2"/>
      <c r="AZ231" s="2">
        <v>1</v>
      </c>
      <c r="BA231" s="2">
        <v>1</v>
      </c>
      <c r="BB231" s="2">
        <v>1</v>
      </c>
      <c r="BC231" s="2">
        <v>0.91</v>
      </c>
      <c r="BD231" s="2" t="s">
        <v>3</v>
      </c>
      <c r="BE231" s="2" t="s">
        <v>3</v>
      </c>
      <c r="BF231" s="2" t="s">
        <v>3</v>
      </c>
      <c r="BG231" s="2" t="s">
        <v>3</v>
      </c>
      <c r="BH231" s="2">
        <v>3</v>
      </c>
      <c r="BI231" s="2">
        <v>2</v>
      </c>
      <c r="BJ231" s="2" t="s">
        <v>137</v>
      </c>
      <c r="BK231" s="2"/>
      <c r="BL231" s="2"/>
      <c r="BM231" s="2">
        <v>108001</v>
      </c>
      <c r="BN231" s="2">
        <v>0</v>
      </c>
      <c r="BO231" s="2" t="s">
        <v>135</v>
      </c>
      <c r="BP231" s="2">
        <v>1</v>
      </c>
      <c r="BQ231" s="2">
        <v>3</v>
      </c>
      <c r="BR231" s="2">
        <v>0</v>
      </c>
      <c r="BS231" s="2">
        <v>1</v>
      </c>
      <c r="BT231" s="2">
        <v>1</v>
      </c>
      <c r="BU231" s="2">
        <v>1</v>
      </c>
      <c r="BV231" s="2">
        <v>1</v>
      </c>
      <c r="BW231" s="2">
        <v>1</v>
      </c>
      <c r="BX231" s="2">
        <v>1</v>
      </c>
      <c r="BY231" s="2" t="s">
        <v>3</v>
      </c>
      <c r="BZ231" s="2">
        <v>97</v>
      </c>
      <c r="CA231" s="2">
        <v>51</v>
      </c>
      <c r="CB231" s="2" t="s">
        <v>3</v>
      </c>
      <c r="CC231" s="2"/>
      <c r="CD231" s="2"/>
      <c r="CE231" s="2">
        <v>0</v>
      </c>
      <c r="CF231" s="2">
        <v>0</v>
      </c>
      <c r="CG231" s="2">
        <v>0</v>
      </c>
      <c r="CH231" s="2"/>
      <c r="CI231" s="2"/>
      <c r="CJ231" s="2"/>
      <c r="CK231" s="2"/>
      <c r="CL231" s="2"/>
      <c r="CM231" s="2">
        <v>0</v>
      </c>
      <c r="CN231" s="2" t="s">
        <v>3</v>
      </c>
      <c r="CO231" s="2">
        <v>0</v>
      </c>
      <c r="CP231" s="2">
        <f>(P231+Q231+S231+R231)</f>
        <v>1023</v>
      </c>
      <c r="CQ231" s="2">
        <f>ROUND(AL231*BC231,2)</f>
        <v>68.2</v>
      </c>
      <c r="CR231" s="2">
        <f>ROUND(AM231*BB231,2)</f>
        <v>0</v>
      </c>
      <c r="CS231" s="2">
        <f>ROUND(AN231*BS231,2)</f>
        <v>0</v>
      </c>
      <c r="CT231" s="2">
        <f>ROUND(AO231*BA231,2)</f>
        <v>0</v>
      </c>
      <c r="CU231" s="2">
        <f>AG231</f>
        <v>0</v>
      </c>
      <c r="CV231" s="2">
        <f>AH231</f>
        <v>0</v>
      </c>
      <c r="CW231" s="2">
        <f>AI231</f>
        <v>0</v>
      </c>
      <c r="CX231" s="2">
        <f>AJ231</f>
        <v>0</v>
      </c>
      <c r="CY231" s="2">
        <f>(((S231+R231)*AT231)/100)</f>
        <v>0</v>
      </c>
      <c r="CZ231" s="2">
        <f>(((S231+R231)*AU231)/100)</f>
        <v>0</v>
      </c>
      <c r="DA231" s="2"/>
      <c r="DB231" s="2"/>
      <c r="DC231" s="2" t="s">
        <v>3</v>
      </c>
      <c r="DD231" s="2" t="s">
        <v>3</v>
      </c>
      <c r="DE231" s="2" t="s">
        <v>3</v>
      </c>
      <c r="DF231" s="2" t="s">
        <v>3</v>
      </c>
      <c r="DG231" s="2" t="s">
        <v>3</v>
      </c>
      <c r="DH231" s="2" t="s">
        <v>3</v>
      </c>
      <c r="DI231" s="2" t="s">
        <v>3</v>
      </c>
      <c r="DJ231" s="2" t="s">
        <v>3</v>
      </c>
      <c r="DK231" s="2" t="s">
        <v>3</v>
      </c>
      <c r="DL231" s="2" t="s">
        <v>3</v>
      </c>
      <c r="DM231" s="2" t="s">
        <v>3</v>
      </c>
      <c r="DN231" s="2">
        <v>0</v>
      </c>
      <c r="DO231" s="2">
        <v>0</v>
      </c>
      <c r="DP231" s="2">
        <v>1</v>
      </c>
      <c r="DQ231" s="2">
        <v>1</v>
      </c>
      <c r="DR231" s="2"/>
      <c r="DS231" s="2"/>
      <c r="DT231" s="2"/>
      <c r="DU231" s="2">
        <v>1013</v>
      </c>
      <c r="DV231" s="2" t="s">
        <v>43</v>
      </c>
      <c r="DW231" s="2" t="s">
        <v>43</v>
      </c>
      <c r="DX231" s="2">
        <v>1</v>
      </c>
      <c r="DY231" s="2"/>
      <c r="DZ231" s="2" t="s">
        <v>3</v>
      </c>
      <c r="EA231" s="2" t="s">
        <v>3</v>
      </c>
      <c r="EB231" s="2" t="s">
        <v>3</v>
      </c>
      <c r="EC231" s="2" t="s">
        <v>3</v>
      </c>
      <c r="ED231" s="2"/>
      <c r="EE231" s="2">
        <v>84053775</v>
      </c>
      <c r="EF231" s="2">
        <v>3</v>
      </c>
      <c r="EG231" s="2" t="s">
        <v>48</v>
      </c>
      <c r="EH231" s="2">
        <v>0</v>
      </c>
      <c r="EI231" s="2" t="s">
        <v>3</v>
      </c>
      <c r="EJ231" s="2">
        <v>2</v>
      </c>
      <c r="EK231" s="2">
        <v>108001</v>
      </c>
      <c r="EL231" s="2" t="s">
        <v>49</v>
      </c>
      <c r="EM231" s="2" t="s">
        <v>50</v>
      </c>
      <c r="EN231" s="2"/>
      <c r="EO231" s="2" t="s">
        <v>3</v>
      </c>
      <c r="EP231" s="2"/>
      <c r="EQ231" s="2">
        <v>0</v>
      </c>
      <c r="ER231" s="2">
        <v>74.94</v>
      </c>
      <c r="ES231" s="2">
        <v>74.94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>
        <v>0</v>
      </c>
      <c r="FR231" s="2">
        <v>0</v>
      </c>
      <c r="FS231" s="2">
        <v>0</v>
      </c>
      <c r="FT231" s="2"/>
      <c r="FU231" s="2"/>
      <c r="FV231" s="2"/>
      <c r="FW231" s="2"/>
      <c r="FX231" s="2">
        <v>97</v>
      </c>
      <c r="FY231" s="2">
        <v>51</v>
      </c>
      <c r="FZ231" s="2"/>
      <c r="GA231" s="2" t="s">
        <v>3</v>
      </c>
      <c r="GB231" s="2"/>
      <c r="GC231" s="2"/>
      <c r="GD231" s="2">
        <v>1</v>
      </c>
      <c r="GE231" s="2"/>
      <c r="GF231" s="2">
        <v>-2138475771</v>
      </c>
      <c r="GG231" s="2">
        <v>2</v>
      </c>
      <c r="GH231" s="2">
        <v>1</v>
      </c>
      <c r="GI231" s="2">
        <v>2</v>
      </c>
      <c r="GJ231" s="2">
        <v>0</v>
      </c>
      <c r="GK231" s="2">
        <v>0</v>
      </c>
      <c r="GL231" s="2">
        <f t="shared" si="206"/>
        <v>0</v>
      </c>
      <c r="GM231" s="2">
        <f t="shared" si="207"/>
        <v>1023</v>
      </c>
      <c r="GN231" s="2">
        <f t="shared" si="208"/>
        <v>0</v>
      </c>
      <c r="GO231" s="2">
        <f t="shared" si="209"/>
        <v>1023</v>
      </c>
      <c r="GP231" s="2">
        <f t="shared" si="210"/>
        <v>0</v>
      </c>
      <c r="GQ231" s="2"/>
      <c r="GR231" s="2">
        <v>0</v>
      </c>
      <c r="GS231" s="2">
        <v>3</v>
      </c>
      <c r="GT231" s="2">
        <v>0</v>
      </c>
      <c r="GU231" s="2" t="s">
        <v>3</v>
      </c>
      <c r="GV231" s="2">
        <f t="shared" si="211"/>
        <v>0</v>
      </c>
      <c r="GW231" s="2">
        <v>1</v>
      </c>
      <c r="GX231" s="2">
        <f t="shared" si="212"/>
        <v>0</v>
      </c>
      <c r="GY231" s="2"/>
      <c r="GZ231" s="2"/>
      <c r="HA231" s="2">
        <v>0</v>
      </c>
      <c r="HB231" s="2">
        <v>0</v>
      </c>
      <c r="HC231" s="2">
        <f>GV231*GW231</f>
        <v>0</v>
      </c>
      <c r="HD231" s="2"/>
      <c r="HE231" s="2" t="s">
        <v>3</v>
      </c>
      <c r="HF231" s="2" t="s">
        <v>3</v>
      </c>
      <c r="HG231" s="2"/>
      <c r="HH231" s="2"/>
      <c r="HI231" s="2"/>
      <c r="HJ231" s="2"/>
      <c r="HK231" s="2"/>
      <c r="HL231" s="2"/>
      <c r="HM231" s="2" t="s">
        <v>3</v>
      </c>
      <c r="HN231" s="2" t="s">
        <v>52</v>
      </c>
      <c r="HO231" s="2" t="s">
        <v>53</v>
      </c>
      <c r="HP231" s="2" t="s">
        <v>49</v>
      </c>
      <c r="HQ231" s="2" t="s">
        <v>49</v>
      </c>
      <c r="HR231" s="2"/>
      <c r="HS231" s="2">
        <v>0</v>
      </c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>
        <v>0</v>
      </c>
      <c r="IL231" s="2"/>
      <c r="IM231" s="2"/>
      <c r="IN231" s="2"/>
      <c r="IO231" s="2"/>
      <c r="IP231" s="2"/>
      <c r="IQ231" s="2"/>
      <c r="IR231" s="2"/>
      <c r="IS231" s="2"/>
      <c r="IT231" s="2"/>
      <c r="IU231" s="2"/>
    </row>
    <row r="232" spans="1:255" x14ac:dyDescent="0.2">
      <c r="A232" s="2">
        <v>18</v>
      </c>
      <c r="B232" s="2">
        <v>1</v>
      </c>
      <c r="C232" s="2">
        <v>203</v>
      </c>
      <c r="D232" s="2"/>
      <c r="E232" s="2" t="s">
        <v>407</v>
      </c>
      <c r="F232" s="2" t="s">
        <v>55</v>
      </c>
      <c r="G232" s="2" t="s">
        <v>56</v>
      </c>
      <c r="H232" s="2" t="s">
        <v>57</v>
      </c>
      <c r="I232" s="2">
        <f>J232</f>
        <v>2</v>
      </c>
      <c r="J232" s="2">
        <v>2</v>
      </c>
      <c r="K232" s="2">
        <v>2</v>
      </c>
      <c r="L232" s="2"/>
      <c r="M232" s="2"/>
      <c r="N232" s="2"/>
      <c r="O232" s="2">
        <f>ROUND(P232,2)</f>
        <v>67.989999999999995</v>
      </c>
      <c r="P232" s="2">
        <f>ROUND(ROUND(ROUND(SUMIF(SmtRes!AQ194:'SmtRes'!AQ203,"=1",SmtRes!CU194:'SmtRes'!CU203),2),2)*I232/100,2)</f>
        <v>67.989999999999995</v>
      </c>
      <c r="Q232" s="2">
        <f>ROUND(CR232*I232,2)</f>
        <v>0</v>
      </c>
      <c r="R232" s="2">
        <f>ROUND(CS232*I232,2)</f>
        <v>0</v>
      </c>
      <c r="S232" s="2">
        <f>ROUND(CT232*I232,2)</f>
        <v>0</v>
      </c>
      <c r="T232" s="2">
        <f t="shared" si="199"/>
        <v>0</v>
      </c>
      <c r="U232" s="2">
        <f>ROUND(CV232*I232,7)</f>
        <v>0</v>
      </c>
      <c r="V232" s="2">
        <f>ROUND(CW232*I232,7)</f>
        <v>0</v>
      </c>
      <c r="W232" s="2">
        <f t="shared" si="200"/>
        <v>0</v>
      </c>
      <c r="X232" s="2">
        <f t="shared" si="201"/>
        <v>0</v>
      </c>
      <c r="Y232" s="2">
        <f t="shared" si="202"/>
        <v>0</v>
      </c>
      <c r="Z232" s="2"/>
      <c r="AA232" s="2">
        <v>85997836</v>
      </c>
      <c r="AB232" s="2">
        <f t="shared" si="203"/>
        <v>0</v>
      </c>
      <c r="AC232" s="2">
        <f>ROUND((ES232),6)</f>
        <v>0</v>
      </c>
      <c r="AD232" s="2">
        <f>ROUND((((ET232)-(EU232))+AE232),6)</f>
        <v>0</v>
      </c>
      <c r="AE232" s="2">
        <f>ROUND((EU232),6)</f>
        <v>0</v>
      </c>
      <c r="AF232" s="2">
        <f>ROUND((EV232),6)</f>
        <v>0</v>
      </c>
      <c r="AG232" s="2">
        <f t="shared" si="204"/>
        <v>0</v>
      </c>
      <c r="AH232" s="2">
        <f t="shared" si="233"/>
        <v>0</v>
      </c>
      <c r="AI232" s="2">
        <f t="shared" si="233"/>
        <v>0</v>
      </c>
      <c r="AJ232" s="2">
        <f t="shared" si="205"/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97</v>
      </c>
      <c r="AU232" s="2">
        <v>51</v>
      </c>
      <c r="AV232" s="2">
        <v>1</v>
      </c>
      <c r="AW232" s="2">
        <v>1</v>
      </c>
      <c r="AX232" s="2"/>
      <c r="AY232" s="2"/>
      <c r="AZ232" s="2">
        <v>1</v>
      </c>
      <c r="BA232" s="2">
        <v>1</v>
      </c>
      <c r="BB232" s="2">
        <v>1</v>
      </c>
      <c r="BC232" s="2">
        <v>1</v>
      </c>
      <c r="BD232" s="2" t="s">
        <v>3</v>
      </c>
      <c r="BE232" s="2" t="s">
        <v>3</v>
      </c>
      <c r="BF232" s="2" t="s">
        <v>3</v>
      </c>
      <c r="BG232" s="2" t="s">
        <v>3</v>
      </c>
      <c r="BH232" s="2">
        <v>3</v>
      </c>
      <c r="BI232" s="2">
        <v>2</v>
      </c>
      <c r="BJ232" s="2" t="s">
        <v>3</v>
      </c>
      <c r="BK232" s="2"/>
      <c r="BL232" s="2"/>
      <c r="BM232" s="2">
        <v>108001</v>
      </c>
      <c r="BN232" s="2">
        <v>0</v>
      </c>
      <c r="BO232" s="2" t="s">
        <v>3</v>
      </c>
      <c r="BP232" s="2">
        <v>0</v>
      </c>
      <c r="BQ232" s="2">
        <v>3</v>
      </c>
      <c r="BR232" s="2">
        <v>0</v>
      </c>
      <c r="BS232" s="2">
        <v>1</v>
      </c>
      <c r="BT232" s="2">
        <v>1</v>
      </c>
      <c r="BU232" s="2">
        <v>1</v>
      </c>
      <c r="BV232" s="2">
        <v>1</v>
      </c>
      <c r="BW232" s="2">
        <v>1</v>
      </c>
      <c r="BX232" s="2">
        <v>1</v>
      </c>
      <c r="BY232" s="2" t="s">
        <v>3</v>
      </c>
      <c r="BZ232" s="2">
        <v>97</v>
      </c>
      <c r="CA232" s="2">
        <v>51</v>
      </c>
      <c r="CB232" s="2" t="s">
        <v>3</v>
      </c>
      <c r="CC232" s="2"/>
      <c r="CD232" s="2"/>
      <c r="CE232" s="2">
        <v>0</v>
      </c>
      <c r="CF232" s="2">
        <v>0</v>
      </c>
      <c r="CG232" s="2">
        <v>0</v>
      </c>
      <c r="CH232" s="2"/>
      <c r="CI232" s="2"/>
      <c r="CJ232" s="2"/>
      <c r="CK232" s="2"/>
      <c r="CL232" s="2"/>
      <c r="CM232" s="2">
        <v>0</v>
      </c>
      <c r="CN232" s="2" t="s">
        <v>3</v>
      </c>
      <c r="CO232" s="2">
        <v>0</v>
      </c>
      <c r="CP232" s="2">
        <f>0</f>
        <v>0</v>
      </c>
      <c r="CQ232" s="2">
        <f>0</f>
        <v>0</v>
      </c>
      <c r="CR232" s="2">
        <f>0</f>
        <v>0</v>
      </c>
      <c r="CS232" s="2">
        <f>0</f>
        <v>0</v>
      </c>
      <c r="CT232" s="2">
        <f>0</f>
        <v>0</v>
      </c>
      <c r="CU232" s="2">
        <f>0</f>
        <v>0</v>
      </c>
      <c r="CV232" s="2">
        <f>0</f>
        <v>0</v>
      </c>
      <c r="CW232" s="2">
        <f>0</f>
        <v>0</v>
      </c>
      <c r="CX232" s="2">
        <f>0</f>
        <v>0</v>
      </c>
      <c r="CY232" s="2">
        <f>0</f>
        <v>0</v>
      </c>
      <c r="CZ232" s="2">
        <f>0</f>
        <v>0</v>
      </c>
      <c r="DA232" s="2"/>
      <c r="DB232" s="2"/>
      <c r="DC232" s="2" t="s">
        <v>3</v>
      </c>
      <c r="DD232" s="2" t="s">
        <v>3</v>
      </c>
      <c r="DE232" s="2" t="s">
        <v>3</v>
      </c>
      <c r="DF232" s="2" t="s">
        <v>3</v>
      </c>
      <c r="DG232" s="2" t="s">
        <v>3</v>
      </c>
      <c r="DH232" s="2" t="s">
        <v>3</v>
      </c>
      <c r="DI232" s="2" t="s">
        <v>3</v>
      </c>
      <c r="DJ232" s="2" t="s">
        <v>3</v>
      </c>
      <c r="DK232" s="2" t="s">
        <v>3</v>
      </c>
      <c r="DL232" s="2" t="s">
        <v>3</v>
      </c>
      <c r="DM232" s="2" t="s">
        <v>3</v>
      </c>
      <c r="DN232" s="2">
        <v>0</v>
      </c>
      <c r="DO232" s="2">
        <v>0</v>
      </c>
      <c r="DP232" s="2">
        <v>1</v>
      </c>
      <c r="DQ232" s="2">
        <v>1</v>
      </c>
      <c r="DR232" s="2"/>
      <c r="DS232" s="2"/>
      <c r="DT232" s="2"/>
      <c r="DU232" s="2">
        <v>1013</v>
      </c>
      <c r="DV232" s="2" t="s">
        <v>57</v>
      </c>
      <c r="DW232" s="2" t="s">
        <v>57</v>
      </c>
      <c r="DX232" s="2">
        <v>1</v>
      </c>
      <c r="DY232" s="2"/>
      <c r="DZ232" s="2" t="s">
        <v>3</v>
      </c>
      <c r="EA232" s="2" t="s">
        <v>3</v>
      </c>
      <c r="EB232" s="2" t="s">
        <v>3</v>
      </c>
      <c r="EC232" s="2" t="s">
        <v>3</v>
      </c>
      <c r="ED232" s="2"/>
      <c r="EE232" s="2">
        <v>84053775</v>
      </c>
      <c r="EF232" s="2">
        <v>3</v>
      </c>
      <c r="EG232" s="2" t="s">
        <v>48</v>
      </c>
      <c r="EH232" s="2">
        <v>0</v>
      </c>
      <c r="EI232" s="2" t="s">
        <v>3</v>
      </c>
      <c r="EJ232" s="2">
        <v>2</v>
      </c>
      <c r="EK232" s="2">
        <v>108001</v>
      </c>
      <c r="EL232" s="2" t="s">
        <v>49</v>
      </c>
      <c r="EM232" s="2" t="s">
        <v>50</v>
      </c>
      <c r="EN232" s="2"/>
      <c r="EO232" s="2" t="s">
        <v>3</v>
      </c>
      <c r="EP232" s="2"/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>
        <v>0</v>
      </c>
      <c r="FR232" s="2">
        <v>0</v>
      </c>
      <c r="FS232" s="2">
        <v>0</v>
      </c>
      <c r="FT232" s="2"/>
      <c r="FU232" s="2"/>
      <c r="FV232" s="2"/>
      <c r="FW232" s="2"/>
      <c r="FX232" s="2">
        <v>97</v>
      </c>
      <c r="FY232" s="2">
        <v>51</v>
      </c>
      <c r="FZ232" s="2"/>
      <c r="GA232" s="2" t="s">
        <v>3</v>
      </c>
      <c r="GB232" s="2"/>
      <c r="GC232" s="2"/>
      <c r="GD232" s="2">
        <v>1</v>
      </c>
      <c r="GE232" s="2"/>
      <c r="GF232" s="2">
        <v>274903907</v>
      </c>
      <c r="GG232" s="2">
        <v>2</v>
      </c>
      <c r="GH232" s="2">
        <v>1</v>
      </c>
      <c r="GI232" s="2">
        <v>-2</v>
      </c>
      <c r="GJ232" s="2">
        <v>0</v>
      </c>
      <c r="GK232" s="2">
        <v>0</v>
      </c>
      <c r="GL232" s="2">
        <f t="shared" si="206"/>
        <v>0</v>
      </c>
      <c r="GM232" s="2">
        <f t="shared" si="207"/>
        <v>67.989999999999995</v>
      </c>
      <c r="GN232" s="2">
        <f t="shared" si="208"/>
        <v>0</v>
      </c>
      <c r="GO232" s="2">
        <f t="shared" si="209"/>
        <v>67.989999999999995</v>
      </c>
      <c r="GP232" s="2">
        <f t="shared" si="210"/>
        <v>0</v>
      </c>
      <c r="GQ232" s="2"/>
      <c r="GR232" s="2">
        <v>0</v>
      </c>
      <c r="GS232" s="2">
        <v>3</v>
      </c>
      <c r="GT232" s="2">
        <v>0</v>
      </c>
      <c r="GU232" s="2" t="s">
        <v>3</v>
      </c>
      <c r="GV232" s="2">
        <f t="shared" si="211"/>
        <v>0</v>
      </c>
      <c r="GW232" s="2">
        <v>1</v>
      </c>
      <c r="GX232" s="2">
        <f t="shared" si="212"/>
        <v>0</v>
      </c>
      <c r="GY232" s="2"/>
      <c r="GZ232" s="2"/>
      <c r="HA232" s="2">
        <v>0</v>
      </c>
      <c r="HB232" s="2">
        <v>0</v>
      </c>
      <c r="HC232" s="2">
        <f>0</f>
        <v>0</v>
      </c>
      <c r="HD232" s="2"/>
      <c r="HE232" s="2" t="s">
        <v>3</v>
      </c>
      <c r="HF232" s="2" t="s">
        <v>3</v>
      </c>
      <c r="HG232" s="2"/>
      <c r="HH232" s="2"/>
      <c r="HI232" s="2"/>
      <c r="HJ232" s="2"/>
      <c r="HK232" s="2"/>
      <c r="HL232" s="2"/>
      <c r="HM232" s="2" t="s">
        <v>3</v>
      </c>
      <c r="HN232" s="2" t="s">
        <v>52</v>
      </c>
      <c r="HO232" s="2" t="s">
        <v>53</v>
      </c>
      <c r="HP232" s="2" t="s">
        <v>49</v>
      </c>
      <c r="HQ232" s="2" t="s">
        <v>49</v>
      </c>
      <c r="HR232" s="2"/>
      <c r="HS232" s="2">
        <v>0</v>
      </c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>
        <v>0</v>
      </c>
      <c r="IL232" s="2"/>
      <c r="IM232" s="2"/>
      <c r="IN232" s="2"/>
      <c r="IO232" s="2"/>
      <c r="IP232" s="2"/>
      <c r="IQ232" s="2"/>
      <c r="IR232" s="2"/>
      <c r="IS232" s="2"/>
      <c r="IT232" s="2"/>
      <c r="IU232" s="2"/>
    </row>
    <row r="233" spans="1:255" ht="409.5" x14ac:dyDescent="0.2">
      <c r="A233" s="2">
        <v>18</v>
      </c>
      <c r="B233" s="2">
        <v>1</v>
      </c>
      <c r="C233" s="2">
        <v>196</v>
      </c>
      <c r="D233" s="2"/>
      <c r="E233" s="2" t="s">
        <v>408</v>
      </c>
      <c r="F233" s="2" t="s">
        <v>123</v>
      </c>
      <c r="G233" s="2" t="s">
        <v>124</v>
      </c>
      <c r="H233" s="2" t="s">
        <v>29</v>
      </c>
      <c r="I233" s="2">
        <f>I230*J233</f>
        <v>-6.4800000000000005E-3</v>
      </c>
      <c r="J233" s="2">
        <v>-4.3200000000000002E-2</v>
      </c>
      <c r="K233" s="2">
        <v>-3.5999999999999997E-2</v>
      </c>
      <c r="L233" s="2"/>
      <c r="M233" s="2"/>
      <c r="N233" s="2"/>
      <c r="O233" s="2">
        <f>ROUND(CP233,2)</f>
        <v>-10.56</v>
      </c>
      <c r="P233" s="2">
        <f>ROUND(CQ233*I233,2)</f>
        <v>0</v>
      </c>
      <c r="Q233" s="2">
        <f>ROUND(CR233*I233,2)</f>
        <v>-10.56</v>
      </c>
      <c r="R233" s="2">
        <f>ROUND(CS233*I233,2)</f>
        <v>0</v>
      </c>
      <c r="S233" s="2">
        <f>ROUND(CT233*I233,2)</f>
        <v>0</v>
      </c>
      <c r="T233" s="2">
        <f t="shared" si="199"/>
        <v>0</v>
      </c>
      <c r="U233" s="2">
        <f>ROUND(CV233*I233,7)</f>
        <v>0</v>
      </c>
      <c r="V233" s="2">
        <f>ROUND(CW233*I233,7)</f>
        <v>0</v>
      </c>
      <c r="W233" s="2">
        <f t="shared" si="200"/>
        <v>0</v>
      </c>
      <c r="X233" s="2">
        <f t="shared" si="201"/>
        <v>0</v>
      </c>
      <c r="Y233" s="2">
        <f t="shared" si="202"/>
        <v>0</v>
      </c>
      <c r="Z233" s="2"/>
      <c r="AA233" s="2">
        <v>85997836</v>
      </c>
      <c r="AB233" s="2">
        <f t="shared" si="203"/>
        <v>659.64</v>
      </c>
      <c r="AC233" s="2">
        <f>ROUND((ES233),6)</f>
        <v>0</v>
      </c>
      <c r="AD233" s="2">
        <f>ROUND((((ET233)-(EU233))+AE233),6)</f>
        <v>659.64</v>
      </c>
      <c r="AE233" s="2">
        <f>ROUND(((EU233*ROUND(0,7))),6)</f>
        <v>0</v>
      </c>
      <c r="AF233" s="2">
        <f>ROUND((EV233),6)</f>
        <v>0</v>
      </c>
      <c r="AG233" s="2">
        <f t="shared" si="204"/>
        <v>0</v>
      </c>
      <c r="AH233" s="2">
        <f t="shared" si="233"/>
        <v>0</v>
      </c>
      <c r="AI233" s="2">
        <f t="shared" si="233"/>
        <v>0</v>
      </c>
      <c r="AJ233" s="2">
        <f t="shared" si="205"/>
        <v>0</v>
      </c>
      <c r="AK233" s="2">
        <v>1629.55</v>
      </c>
      <c r="AL233" s="2">
        <v>0</v>
      </c>
      <c r="AM233" s="2">
        <v>1629.55</v>
      </c>
      <c r="AN233" s="2">
        <v>969.91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97</v>
      </c>
      <c r="AU233" s="2">
        <v>51</v>
      </c>
      <c r="AV233" s="2">
        <v>1</v>
      </c>
      <c r="AW233" s="2">
        <v>1</v>
      </c>
      <c r="AX233" s="2"/>
      <c r="AY233" s="2"/>
      <c r="AZ233" s="2">
        <v>1</v>
      </c>
      <c r="BA233" s="2">
        <v>1</v>
      </c>
      <c r="BB233" s="2">
        <v>1</v>
      </c>
      <c r="BC233" s="2">
        <v>1</v>
      </c>
      <c r="BD233" s="2" t="s">
        <v>3</v>
      </c>
      <c r="BE233" s="2" t="s">
        <v>3</v>
      </c>
      <c r="BF233" s="2" t="s">
        <v>3</v>
      </c>
      <c r="BG233" s="2" t="s">
        <v>3</v>
      </c>
      <c r="BH233" s="2">
        <v>2</v>
      </c>
      <c r="BI233" s="2">
        <v>2</v>
      </c>
      <c r="BJ233" s="2" t="s">
        <v>125</v>
      </c>
      <c r="BK233" s="2"/>
      <c r="BL233" s="2"/>
      <c r="BM233" s="2">
        <v>108001</v>
      </c>
      <c r="BN233" s="2">
        <v>0</v>
      </c>
      <c r="BO233" s="2" t="s">
        <v>3</v>
      </c>
      <c r="BP233" s="2">
        <v>0</v>
      </c>
      <c r="BQ233" s="2">
        <v>3</v>
      </c>
      <c r="BR233" s="2">
        <v>0</v>
      </c>
      <c r="BS233" s="2">
        <v>1</v>
      </c>
      <c r="BT233" s="2">
        <v>1</v>
      </c>
      <c r="BU233" s="2">
        <v>1</v>
      </c>
      <c r="BV233" s="2">
        <v>1</v>
      </c>
      <c r="BW233" s="2">
        <v>1</v>
      </c>
      <c r="BX233" s="2">
        <v>1</v>
      </c>
      <c r="BY233" s="2" t="s">
        <v>3</v>
      </c>
      <c r="BZ233" s="2">
        <v>97</v>
      </c>
      <c r="CA233" s="2">
        <v>51</v>
      </c>
      <c r="CB233" s="2" t="s">
        <v>3</v>
      </c>
      <c r="CC233" s="2"/>
      <c r="CD233" s="2"/>
      <c r="CE233" s="2">
        <v>0</v>
      </c>
      <c r="CF233" s="2">
        <v>0</v>
      </c>
      <c r="CG233" s="2">
        <v>0</v>
      </c>
      <c r="CH233" s="2"/>
      <c r="CI233" s="2"/>
      <c r="CJ233" s="2"/>
      <c r="CK233" s="2"/>
      <c r="CL233" s="2"/>
      <c r="CM233" s="2">
        <v>0</v>
      </c>
      <c r="CN233" s="7" t="s">
        <v>738</v>
      </c>
      <c r="CO233" s="2">
        <v>0</v>
      </c>
      <c r="CP233" s="2">
        <f>(P233+Q233+S233+R233)</f>
        <v>-10.56</v>
      </c>
      <c r="CQ233" s="2">
        <f>ROUND(AL233*BC233,2)</f>
        <v>0</v>
      </c>
      <c r="CR233" s="2">
        <f>ROUND(AM233*BB233,2)</f>
        <v>1629.55</v>
      </c>
      <c r="CS233" s="2">
        <f>(ROUND(AN233*BS233,2)*ROUND(0,7))</f>
        <v>0</v>
      </c>
      <c r="CT233" s="2">
        <f>ROUND(AO233*BA233,2)</f>
        <v>0</v>
      </c>
      <c r="CU233" s="2">
        <f t="shared" ref="CU233:CX234" si="234">AG233</f>
        <v>0</v>
      </c>
      <c r="CV233" s="2">
        <f t="shared" si="234"/>
        <v>0</v>
      </c>
      <c r="CW233" s="2">
        <f t="shared" si="234"/>
        <v>0</v>
      </c>
      <c r="CX233" s="2">
        <f t="shared" si="234"/>
        <v>0</v>
      </c>
      <c r="CY233" s="2">
        <f>(((S233+R233)*AT233)/100)</f>
        <v>0</v>
      </c>
      <c r="CZ233" s="2">
        <f>(((S233+R233)*AU233)/100)</f>
        <v>0</v>
      </c>
      <c r="DA233" s="2"/>
      <c r="DB233" s="2"/>
      <c r="DC233" s="2" t="s">
        <v>3</v>
      </c>
      <c r="DD233" s="2" t="s">
        <v>3</v>
      </c>
      <c r="DE233" s="2" t="s">
        <v>3</v>
      </c>
      <c r="DF233" s="2" t="s">
        <v>46</v>
      </c>
      <c r="DG233" s="2" t="s">
        <v>3</v>
      </c>
      <c r="DH233" s="2" t="s">
        <v>3</v>
      </c>
      <c r="DI233" s="2" t="s">
        <v>3</v>
      </c>
      <c r="DJ233" s="2" t="s">
        <v>3</v>
      </c>
      <c r="DK233" s="2" t="s">
        <v>3</v>
      </c>
      <c r="DL233" s="2" t="s">
        <v>3</v>
      </c>
      <c r="DM233" s="2" t="s">
        <v>3</v>
      </c>
      <c r="DN233" s="2">
        <v>0</v>
      </c>
      <c r="DO233" s="2">
        <v>0</v>
      </c>
      <c r="DP233" s="2">
        <v>1</v>
      </c>
      <c r="DQ233" s="2">
        <v>1</v>
      </c>
      <c r="DR233" s="2"/>
      <c r="DS233" s="2"/>
      <c r="DT233" s="2"/>
      <c r="DU233" s="2">
        <v>1011</v>
      </c>
      <c r="DV233" s="2" t="s">
        <v>29</v>
      </c>
      <c r="DW233" s="2" t="s">
        <v>29</v>
      </c>
      <c r="DX233" s="2">
        <v>1</v>
      </c>
      <c r="DY233" s="2"/>
      <c r="DZ233" s="2" t="s">
        <v>3</v>
      </c>
      <c r="EA233" s="2" t="s">
        <v>3</v>
      </c>
      <c r="EB233" s="2" t="s">
        <v>3</v>
      </c>
      <c r="EC233" s="2" t="s">
        <v>3</v>
      </c>
      <c r="ED233" s="2"/>
      <c r="EE233" s="2">
        <v>84053775</v>
      </c>
      <c r="EF233" s="2">
        <v>3</v>
      </c>
      <c r="EG233" s="2" t="s">
        <v>48</v>
      </c>
      <c r="EH233" s="2">
        <v>0</v>
      </c>
      <c r="EI233" s="2" t="s">
        <v>3</v>
      </c>
      <c r="EJ233" s="2">
        <v>2</v>
      </c>
      <c r="EK233" s="2">
        <v>108001</v>
      </c>
      <c r="EL233" s="2" t="s">
        <v>49</v>
      </c>
      <c r="EM233" s="2" t="s">
        <v>50</v>
      </c>
      <c r="EN233" s="2"/>
      <c r="EO233" s="2" t="s">
        <v>399</v>
      </c>
      <c r="EP233" s="2"/>
      <c r="EQ233" s="2">
        <v>0</v>
      </c>
      <c r="ER233" s="2">
        <v>1629.55</v>
      </c>
      <c r="ES233" s="2">
        <v>0</v>
      </c>
      <c r="ET233" s="2">
        <v>1629.55</v>
      </c>
      <c r="EU233" s="2">
        <v>969.91</v>
      </c>
      <c r="EV233" s="2">
        <v>0</v>
      </c>
      <c r="EW233" s="2">
        <v>0</v>
      </c>
      <c r="EX233" s="2">
        <v>0</v>
      </c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>
        <v>0</v>
      </c>
      <c r="FR233" s="2">
        <v>0</v>
      </c>
      <c r="FS233" s="2">
        <v>1</v>
      </c>
      <c r="FT233" s="2"/>
      <c r="FU233" s="2"/>
      <c r="FV233" s="2"/>
      <c r="FW233" s="2"/>
      <c r="FX233" s="2">
        <v>97</v>
      </c>
      <c r="FY233" s="2">
        <v>51</v>
      </c>
      <c r="FZ233" s="2"/>
      <c r="GA233" s="2" t="s">
        <v>3</v>
      </c>
      <c r="GB233" s="2"/>
      <c r="GC233" s="2"/>
      <c r="GD233" s="2">
        <v>1</v>
      </c>
      <c r="GE233" s="2"/>
      <c r="GF233" s="2">
        <v>639918019</v>
      </c>
      <c r="GG233" s="2">
        <v>2</v>
      </c>
      <c r="GH233" s="2">
        <v>1</v>
      </c>
      <c r="GI233" s="2">
        <v>-2</v>
      </c>
      <c r="GJ233" s="2">
        <v>0</v>
      </c>
      <c r="GK233" s="2">
        <v>0</v>
      </c>
      <c r="GL233" s="2">
        <f t="shared" si="206"/>
        <v>0</v>
      </c>
      <c r="GM233" s="2">
        <f t="shared" si="207"/>
        <v>-10.56</v>
      </c>
      <c r="GN233" s="2">
        <f t="shared" si="208"/>
        <v>0</v>
      </c>
      <c r="GO233" s="2">
        <f t="shared" si="209"/>
        <v>-10.56</v>
      </c>
      <c r="GP233" s="2">
        <f t="shared" si="210"/>
        <v>0</v>
      </c>
      <c r="GQ233" s="2"/>
      <c r="GR233" s="2">
        <v>0</v>
      </c>
      <c r="GS233" s="2">
        <v>7</v>
      </c>
      <c r="GT233" s="2">
        <v>0</v>
      </c>
      <c r="GU233" s="2" t="s">
        <v>3</v>
      </c>
      <c r="GV233" s="2">
        <f t="shared" si="211"/>
        <v>0</v>
      </c>
      <c r="GW233" s="2">
        <v>1</v>
      </c>
      <c r="GX233" s="2">
        <f t="shared" si="212"/>
        <v>0</v>
      </c>
      <c r="GY233" s="2"/>
      <c r="GZ233" s="2"/>
      <c r="HA233" s="2">
        <v>0</v>
      </c>
      <c r="HB233" s="2">
        <v>0</v>
      </c>
      <c r="HC233" s="2">
        <f>GV233*GW233</f>
        <v>0</v>
      </c>
      <c r="HD233" s="2"/>
      <c r="HE233" s="2" t="s">
        <v>3</v>
      </c>
      <c r="HF233" s="2" t="s">
        <v>3</v>
      </c>
      <c r="HG233" s="2"/>
      <c r="HH233" s="2"/>
      <c r="HI233" s="2"/>
      <c r="HJ233" s="2"/>
      <c r="HK233" s="2"/>
      <c r="HL233" s="2"/>
      <c r="HM233" s="2" t="s">
        <v>398</v>
      </c>
      <c r="HN233" s="2" t="s">
        <v>52</v>
      </c>
      <c r="HO233" s="2" t="s">
        <v>53</v>
      </c>
      <c r="HP233" s="2" t="s">
        <v>49</v>
      </c>
      <c r="HQ233" s="2" t="s">
        <v>49</v>
      </c>
      <c r="HR233" s="2"/>
      <c r="HS233" s="2">
        <v>0</v>
      </c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>
        <v>0</v>
      </c>
      <c r="IL233" s="2"/>
      <c r="IM233" s="2"/>
      <c r="IN233" s="2"/>
      <c r="IO233" s="2"/>
      <c r="IP233" s="2"/>
      <c r="IQ233" s="2"/>
      <c r="IR233" s="2"/>
      <c r="IS233" s="2"/>
      <c r="IT233" s="2"/>
      <c r="IU233" s="2"/>
    </row>
    <row r="234" spans="1:255" ht="409.5" x14ac:dyDescent="0.2">
      <c r="A234" s="2">
        <v>18</v>
      </c>
      <c r="B234" s="2">
        <v>1</v>
      </c>
      <c r="C234" s="2">
        <v>197</v>
      </c>
      <c r="D234" s="2"/>
      <c r="E234" s="2" t="s">
        <v>409</v>
      </c>
      <c r="F234" s="2" t="s">
        <v>127</v>
      </c>
      <c r="G234" s="2" t="s">
        <v>128</v>
      </c>
      <c r="H234" s="2" t="s">
        <v>29</v>
      </c>
      <c r="I234" s="2">
        <f>I230*J234</f>
        <v>-4.3200000000000001E-3</v>
      </c>
      <c r="J234" s="2">
        <v>-2.8800000000000003E-2</v>
      </c>
      <c r="K234" s="2">
        <v>-2.4E-2</v>
      </c>
      <c r="L234" s="2"/>
      <c r="M234" s="2"/>
      <c r="N234" s="2"/>
      <c r="O234" s="2">
        <f>ROUND(CP234,2)</f>
        <v>-2.78</v>
      </c>
      <c r="P234" s="2">
        <f>ROUND(CQ234*I234,2)</f>
        <v>0</v>
      </c>
      <c r="Q234" s="2">
        <f>ROUND(CR234*I234,2)</f>
        <v>-2.78</v>
      </c>
      <c r="R234" s="2">
        <f>ROUND(CS234*I234,2)</f>
        <v>0</v>
      </c>
      <c r="S234" s="2">
        <f>ROUND(CT234*I234,2)</f>
        <v>0</v>
      </c>
      <c r="T234" s="2">
        <f t="shared" si="199"/>
        <v>0</v>
      </c>
      <c r="U234" s="2">
        <f>ROUND(CV234*I234,7)</f>
        <v>0</v>
      </c>
      <c r="V234" s="2">
        <f>ROUND(CW234*I234,7)</f>
        <v>0</v>
      </c>
      <c r="W234" s="2">
        <f t="shared" si="200"/>
        <v>0</v>
      </c>
      <c r="X234" s="2">
        <f t="shared" si="201"/>
        <v>0</v>
      </c>
      <c r="Y234" s="2">
        <f t="shared" si="202"/>
        <v>0</v>
      </c>
      <c r="Z234" s="2"/>
      <c r="AA234" s="2">
        <v>85997836</v>
      </c>
      <c r="AB234" s="2">
        <f t="shared" si="203"/>
        <v>-78.760000000000005</v>
      </c>
      <c r="AC234" s="2">
        <f>ROUND((ES234),6)</f>
        <v>0</v>
      </c>
      <c r="AD234" s="2">
        <f>ROUND((((ET234)-(EU234))+AE234),6)</f>
        <v>-78.760000000000005</v>
      </c>
      <c r="AE234" s="2">
        <f>ROUND(((EU234*ROUND(0,7))),6)</f>
        <v>0</v>
      </c>
      <c r="AF234" s="2">
        <f>ROUND((EV234),6)</f>
        <v>0</v>
      </c>
      <c r="AG234" s="2">
        <f t="shared" si="204"/>
        <v>0</v>
      </c>
      <c r="AH234" s="2">
        <f t="shared" si="233"/>
        <v>0</v>
      </c>
      <c r="AI234" s="2">
        <f t="shared" si="233"/>
        <v>0</v>
      </c>
      <c r="AJ234" s="2">
        <f t="shared" si="205"/>
        <v>0</v>
      </c>
      <c r="AK234" s="2">
        <v>643.29</v>
      </c>
      <c r="AL234" s="2">
        <v>0</v>
      </c>
      <c r="AM234" s="2">
        <v>643.29</v>
      </c>
      <c r="AN234" s="2">
        <v>722.05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97</v>
      </c>
      <c r="AU234" s="2">
        <v>51</v>
      </c>
      <c r="AV234" s="2">
        <v>1</v>
      </c>
      <c r="AW234" s="2">
        <v>1</v>
      </c>
      <c r="AX234" s="2"/>
      <c r="AY234" s="2"/>
      <c r="AZ234" s="2">
        <v>1</v>
      </c>
      <c r="BA234" s="2">
        <v>1</v>
      </c>
      <c r="BB234" s="2">
        <v>1</v>
      </c>
      <c r="BC234" s="2">
        <v>1</v>
      </c>
      <c r="BD234" s="2" t="s">
        <v>3</v>
      </c>
      <c r="BE234" s="2" t="s">
        <v>3</v>
      </c>
      <c r="BF234" s="2" t="s">
        <v>3</v>
      </c>
      <c r="BG234" s="2" t="s">
        <v>3</v>
      </c>
      <c r="BH234" s="2">
        <v>2</v>
      </c>
      <c r="BI234" s="2">
        <v>2</v>
      </c>
      <c r="BJ234" s="2" t="s">
        <v>129</v>
      </c>
      <c r="BK234" s="2"/>
      <c r="BL234" s="2"/>
      <c r="BM234" s="2">
        <v>108001</v>
      </c>
      <c r="BN234" s="2">
        <v>0</v>
      </c>
      <c r="BO234" s="2" t="s">
        <v>3</v>
      </c>
      <c r="BP234" s="2">
        <v>0</v>
      </c>
      <c r="BQ234" s="2">
        <v>3</v>
      </c>
      <c r="BR234" s="2">
        <v>0</v>
      </c>
      <c r="BS234" s="2">
        <v>1</v>
      </c>
      <c r="BT234" s="2">
        <v>1</v>
      </c>
      <c r="BU234" s="2">
        <v>1</v>
      </c>
      <c r="BV234" s="2">
        <v>1</v>
      </c>
      <c r="BW234" s="2">
        <v>1</v>
      </c>
      <c r="BX234" s="2">
        <v>1</v>
      </c>
      <c r="BY234" s="2" t="s">
        <v>3</v>
      </c>
      <c r="BZ234" s="2">
        <v>97</v>
      </c>
      <c r="CA234" s="2">
        <v>51</v>
      </c>
      <c r="CB234" s="2" t="s">
        <v>3</v>
      </c>
      <c r="CC234" s="2"/>
      <c r="CD234" s="2"/>
      <c r="CE234" s="2">
        <v>0</v>
      </c>
      <c r="CF234" s="2">
        <v>0</v>
      </c>
      <c r="CG234" s="2">
        <v>0</v>
      </c>
      <c r="CH234" s="2"/>
      <c r="CI234" s="2"/>
      <c r="CJ234" s="2"/>
      <c r="CK234" s="2"/>
      <c r="CL234" s="2"/>
      <c r="CM234" s="2">
        <v>0</v>
      </c>
      <c r="CN234" s="7" t="s">
        <v>738</v>
      </c>
      <c r="CO234" s="2">
        <v>0</v>
      </c>
      <c r="CP234" s="2">
        <f>(P234+Q234+S234+R234)</f>
        <v>-2.78</v>
      </c>
      <c r="CQ234" s="2">
        <f>ROUND(AL234*BC234,2)</f>
        <v>0</v>
      </c>
      <c r="CR234" s="2">
        <f>ROUND(AM234*BB234,2)</f>
        <v>643.29</v>
      </c>
      <c r="CS234" s="2">
        <f>(ROUND(AN234*BS234,2)*ROUND(0,7))</f>
        <v>0</v>
      </c>
      <c r="CT234" s="2">
        <f>ROUND(AO234*BA234,2)</f>
        <v>0</v>
      </c>
      <c r="CU234" s="2">
        <f t="shared" si="234"/>
        <v>0</v>
      </c>
      <c r="CV234" s="2">
        <f t="shared" si="234"/>
        <v>0</v>
      </c>
      <c r="CW234" s="2">
        <f t="shared" si="234"/>
        <v>0</v>
      </c>
      <c r="CX234" s="2">
        <f t="shared" si="234"/>
        <v>0</v>
      </c>
      <c r="CY234" s="2">
        <f>(((S234+R234)*AT234)/100)</f>
        <v>0</v>
      </c>
      <c r="CZ234" s="2">
        <f>(((S234+R234)*AU234)/100)</f>
        <v>0</v>
      </c>
      <c r="DA234" s="2"/>
      <c r="DB234" s="2"/>
      <c r="DC234" s="2" t="s">
        <v>3</v>
      </c>
      <c r="DD234" s="2" t="s">
        <v>3</v>
      </c>
      <c r="DE234" s="2" t="s">
        <v>3</v>
      </c>
      <c r="DF234" s="2" t="s">
        <v>46</v>
      </c>
      <c r="DG234" s="2" t="s">
        <v>3</v>
      </c>
      <c r="DH234" s="2" t="s">
        <v>3</v>
      </c>
      <c r="DI234" s="2" t="s">
        <v>3</v>
      </c>
      <c r="DJ234" s="2" t="s">
        <v>3</v>
      </c>
      <c r="DK234" s="2" t="s">
        <v>3</v>
      </c>
      <c r="DL234" s="2" t="s">
        <v>3</v>
      </c>
      <c r="DM234" s="2" t="s">
        <v>3</v>
      </c>
      <c r="DN234" s="2">
        <v>0</v>
      </c>
      <c r="DO234" s="2">
        <v>0</v>
      </c>
      <c r="DP234" s="2">
        <v>1</v>
      </c>
      <c r="DQ234" s="2">
        <v>1</v>
      </c>
      <c r="DR234" s="2"/>
      <c r="DS234" s="2"/>
      <c r="DT234" s="2"/>
      <c r="DU234" s="2">
        <v>1011</v>
      </c>
      <c r="DV234" s="2" t="s">
        <v>29</v>
      </c>
      <c r="DW234" s="2" t="s">
        <v>29</v>
      </c>
      <c r="DX234" s="2">
        <v>1</v>
      </c>
      <c r="DY234" s="2"/>
      <c r="DZ234" s="2" t="s">
        <v>3</v>
      </c>
      <c r="EA234" s="2" t="s">
        <v>3</v>
      </c>
      <c r="EB234" s="2" t="s">
        <v>3</v>
      </c>
      <c r="EC234" s="2" t="s">
        <v>3</v>
      </c>
      <c r="ED234" s="2"/>
      <c r="EE234" s="2">
        <v>84053775</v>
      </c>
      <c r="EF234" s="2">
        <v>3</v>
      </c>
      <c r="EG234" s="2" t="s">
        <v>48</v>
      </c>
      <c r="EH234" s="2">
        <v>0</v>
      </c>
      <c r="EI234" s="2" t="s">
        <v>3</v>
      </c>
      <c r="EJ234" s="2">
        <v>2</v>
      </c>
      <c r="EK234" s="2">
        <v>108001</v>
      </c>
      <c r="EL234" s="2" t="s">
        <v>49</v>
      </c>
      <c r="EM234" s="2" t="s">
        <v>50</v>
      </c>
      <c r="EN234" s="2"/>
      <c r="EO234" s="2" t="s">
        <v>399</v>
      </c>
      <c r="EP234" s="2"/>
      <c r="EQ234" s="2">
        <v>0</v>
      </c>
      <c r="ER234" s="2">
        <v>643.29</v>
      </c>
      <c r="ES234" s="2">
        <v>0</v>
      </c>
      <c r="ET234" s="2">
        <v>643.29</v>
      </c>
      <c r="EU234" s="2">
        <v>722.05</v>
      </c>
      <c r="EV234" s="2">
        <v>0</v>
      </c>
      <c r="EW234" s="2">
        <v>0</v>
      </c>
      <c r="EX234" s="2">
        <v>0</v>
      </c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>
        <v>0</v>
      </c>
      <c r="FR234" s="2">
        <v>0</v>
      </c>
      <c r="FS234" s="2">
        <v>1</v>
      </c>
      <c r="FT234" s="2"/>
      <c r="FU234" s="2"/>
      <c r="FV234" s="2"/>
      <c r="FW234" s="2"/>
      <c r="FX234" s="2">
        <v>97</v>
      </c>
      <c r="FY234" s="2">
        <v>51</v>
      </c>
      <c r="FZ234" s="2"/>
      <c r="GA234" s="2" t="s">
        <v>3</v>
      </c>
      <c r="GB234" s="2"/>
      <c r="GC234" s="2"/>
      <c r="GD234" s="2">
        <v>1</v>
      </c>
      <c r="GE234" s="2"/>
      <c r="GF234" s="2">
        <v>-849950259</v>
      </c>
      <c r="GG234" s="2">
        <v>2</v>
      </c>
      <c r="GH234" s="2">
        <v>1</v>
      </c>
      <c r="GI234" s="2">
        <v>-2</v>
      </c>
      <c r="GJ234" s="2">
        <v>0</v>
      </c>
      <c r="GK234" s="2">
        <v>0</v>
      </c>
      <c r="GL234" s="2">
        <f t="shared" si="206"/>
        <v>0</v>
      </c>
      <c r="GM234" s="2">
        <f t="shared" si="207"/>
        <v>-2.78</v>
      </c>
      <c r="GN234" s="2">
        <f t="shared" si="208"/>
        <v>0</v>
      </c>
      <c r="GO234" s="2">
        <f t="shared" si="209"/>
        <v>-2.78</v>
      </c>
      <c r="GP234" s="2">
        <f t="shared" si="210"/>
        <v>0</v>
      </c>
      <c r="GQ234" s="2"/>
      <c r="GR234" s="2">
        <v>0</v>
      </c>
      <c r="GS234" s="2">
        <v>7</v>
      </c>
      <c r="GT234" s="2">
        <v>0</v>
      </c>
      <c r="GU234" s="2" t="s">
        <v>3</v>
      </c>
      <c r="GV234" s="2">
        <f t="shared" si="211"/>
        <v>0</v>
      </c>
      <c r="GW234" s="2">
        <v>1</v>
      </c>
      <c r="GX234" s="2">
        <f t="shared" si="212"/>
        <v>0</v>
      </c>
      <c r="GY234" s="2"/>
      <c r="GZ234" s="2"/>
      <c r="HA234" s="2">
        <v>0</v>
      </c>
      <c r="HB234" s="2">
        <v>0</v>
      </c>
      <c r="HC234" s="2">
        <f>GV234*GW234</f>
        <v>0</v>
      </c>
      <c r="HD234" s="2"/>
      <c r="HE234" s="2" t="s">
        <v>3</v>
      </c>
      <c r="HF234" s="2" t="s">
        <v>3</v>
      </c>
      <c r="HG234" s="2"/>
      <c r="HH234" s="2"/>
      <c r="HI234" s="2"/>
      <c r="HJ234" s="2"/>
      <c r="HK234" s="2"/>
      <c r="HL234" s="2"/>
      <c r="HM234" s="2" t="s">
        <v>398</v>
      </c>
      <c r="HN234" s="2" t="s">
        <v>52</v>
      </c>
      <c r="HO234" s="2" t="s">
        <v>53</v>
      </c>
      <c r="HP234" s="2" t="s">
        <v>49</v>
      </c>
      <c r="HQ234" s="2" t="s">
        <v>49</v>
      </c>
      <c r="HR234" s="2"/>
      <c r="HS234" s="2">
        <v>0</v>
      </c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>
        <v>0</v>
      </c>
      <c r="IL234" s="2"/>
      <c r="IM234" s="2"/>
      <c r="IN234" s="2"/>
      <c r="IO234" s="2"/>
      <c r="IP234" s="2"/>
      <c r="IQ234" s="2"/>
      <c r="IR234" s="2"/>
      <c r="IS234" s="2"/>
      <c r="IT234" s="2"/>
      <c r="IU234" s="2"/>
    </row>
    <row r="235" spans="1:255" ht="409.5" x14ac:dyDescent="0.2">
      <c r="A235" s="2">
        <v>17</v>
      </c>
      <c r="B235" s="2">
        <v>1</v>
      </c>
      <c r="C235" s="2">
        <f>ROW(SmtRes!A211)</f>
        <v>211</v>
      </c>
      <c r="D235" s="2">
        <f>ROW(EtalonRes!A190)</f>
        <v>190</v>
      </c>
      <c r="E235" s="2" t="s">
        <v>410</v>
      </c>
      <c r="F235" s="2" t="s">
        <v>177</v>
      </c>
      <c r="G235" s="2" t="s">
        <v>178</v>
      </c>
      <c r="H235" s="2" t="s">
        <v>20</v>
      </c>
      <c r="I235" s="2">
        <f>ROUND((1)/100,7)</f>
        <v>0.01</v>
      </c>
      <c r="J235" s="2">
        <v>0</v>
      </c>
      <c r="K235" s="2">
        <f>ROUND((1)/100,7)</f>
        <v>0.01</v>
      </c>
      <c r="L235" s="2"/>
      <c r="M235" s="2"/>
      <c r="N235" s="2"/>
      <c r="O235" s="2">
        <f>ROUND(CP235,2)</f>
        <v>235.2</v>
      </c>
      <c r="P235" s="2">
        <f>SUMIF(SmtRes!AQ204:'SmtRes'!AQ211,"=1",SmtRes!DF204:'SmtRes'!DF211)</f>
        <v>5.3400000000000007</v>
      </c>
      <c r="Q235" s="2">
        <f>SUMIF(SmtRes!AQ204:'SmtRes'!AQ211,"=1",SmtRes!DG204:'SmtRes'!DG211)</f>
        <v>0</v>
      </c>
      <c r="R235" s="2">
        <f>SUMIF(SmtRes!AQ204:'SmtRes'!AQ211,"=1",SmtRes!DH204:'SmtRes'!DH211)</f>
        <v>0</v>
      </c>
      <c r="S235" s="2">
        <f>SUMIF(SmtRes!AQ204:'SmtRes'!AQ211,"=1",SmtRes!DI204:'SmtRes'!DI211)</f>
        <v>229.86</v>
      </c>
      <c r="T235" s="2">
        <f t="shared" si="199"/>
        <v>0</v>
      </c>
      <c r="U235" s="2">
        <f>SUMIF(SmtRes!AQ204:'SmtRes'!AQ211,"=1",SmtRes!CV204:'SmtRes'!CV211)</f>
        <v>0.30912000000000001</v>
      </c>
      <c r="V235" s="2">
        <f>SUMIF(SmtRes!AQ204:'SmtRes'!AQ211,"=1",SmtRes!CW204:'SmtRes'!CW211)</f>
        <v>0</v>
      </c>
      <c r="W235" s="2">
        <f t="shared" si="200"/>
        <v>0</v>
      </c>
      <c r="X235" s="2">
        <f t="shared" si="201"/>
        <v>222.96</v>
      </c>
      <c r="Y235" s="2">
        <f t="shared" si="202"/>
        <v>117.23</v>
      </c>
      <c r="Z235" s="2"/>
      <c r="AA235" s="2">
        <v>85997836</v>
      </c>
      <c r="AB235" s="2">
        <f t="shared" si="203"/>
        <v>23373.040631</v>
      </c>
      <c r="AC235" s="2">
        <f>ROUND((SUM(SmtRes!BQ204:'SmtRes'!BQ211)),6)</f>
        <v>386.877431</v>
      </c>
      <c r="AD235" s="2">
        <f>ROUND((((0)-(0))+AE235),6)</f>
        <v>0</v>
      </c>
      <c r="AE235" s="2">
        <f>ROUND((0),6)</f>
        <v>0</v>
      </c>
      <c r="AF235" s="2">
        <f>ROUND((SUM(SmtRes!BT204:'SmtRes'!BT211)),6)</f>
        <v>22986.163199999999</v>
      </c>
      <c r="AG235" s="2">
        <f t="shared" si="204"/>
        <v>0</v>
      </c>
      <c r="AH235" s="2">
        <f>(SUM(SmtRes!BU204:'SmtRes'!BU211))</f>
        <v>30.911999999999999</v>
      </c>
      <c r="AI235" s="2">
        <f>(0)</f>
        <v>0</v>
      </c>
      <c r="AJ235" s="2">
        <f t="shared" si="205"/>
        <v>0</v>
      </c>
      <c r="AK235" s="2">
        <v>19542.013430500003</v>
      </c>
      <c r="AL235" s="2">
        <v>386.8774305</v>
      </c>
      <c r="AM235" s="2">
        <v>0</v>
      </c>
      <c r="AN235" s="2">
        <v>0</v>
      </c>
      <c r="AO235" s="2">
        <v>19155.136000000002</v>
      </c>
      <c r="AP235" s="2">
        <v>0</v>
      </c>
      <c r="AQ235" s="2">
        <v>25.76</v>
      </c>
      <c r="AR235" s="2">
        <v>0.05</v>
      </c>
      <c r="AS235" s="2">
        <v>0</v>
      </c>
      <c r="AT235" s="2">
        <v>97</v>
      </c>
      <c r="AU235" s="2">
        <v>51</v>
      </c>
      <c r="AV235" s="2">
        <v>1</v>
      </c>
      <c r="AW235" s="2">
        <v>1</v>
      </c>
      <c r="AX235" s="2"/>
      <c r="AY235" s="2"/>
      <c r="AZ235" s="2">
        <v>1</v>
      </c>
      <c r="BA235" s="2">
        <v>1</v>
      </c>
      <c r="BB235" s="2">
        <v>1</v>
      </c>
      <c r="BC235" s="2">
        <v>1</v>
      </c>
      <c r="BD235" s="2" t="s">
        <v>3</v>
      </c>
      <c r="BE235" s="2" t="s">
        <v>3</v>
      </c>
      <c r="BF235" s="2" t="s">
        <v>3</v>
      </c>
      <c r="BG235" s="2" t="s">
        <v>3</v>
      </c>
      <c r="BH235" s="2">
        <v>0</v>
      </c>
      <c r="BI235" s="2">
        <v>2</v>
      </c>
      <c r="BJ235" s="2" t="s">
        <v>179</v>
      </c>
      <c r="BK235" s="2"/>
      <c r="BL235" s="2"/>
      <c r="BM235" s="2">
        <v>108001</v>
      </c>
      <c r="BN235" s="2">
        <v>0</v>
      </c>
      <c r="BO235" s="2" t="s">
        <v>3</v>
      </c>
      <c r="BP235" s="2">
        <v>0</v>
      </c>
      <c r="BQ235" s="2">
        <v>3</v>
      </c>
      <c r="BR235" s="2">
        <v>0</v>
      </c>
      <c r="BS235" s="2">
        <v>1</v>
      </c>
      <c r="BT235" s="2">
        <v>1</v>
      </c>
      <c r="BU235" s="2">
        <v>1</v>
      </c>
      <c r="BV235" s="2">
        <v>1</v>
      </c>
      <c r="BW235" s="2">
        <v>1</v>
      </c>
      <c r="BX235" s="2">
        <v>1</v>
      </c>
      <c r="BY235" s="2" t="s">
        <v>3</v>
      </c>
      <c r="BZ235" s="2">
        <v>97</v>
      </c>
      <c r="CA235" s="2">
        <v>51</v>
      </c>
      <c r="CB235" s="2" t="s">
        <v>3</v>
      </c>
      <c r="CC235" s="2"/>
      <c r="CD235" s="2"/>
      <c r="CE235" s="2">
        <v>0</v>
      </c>
      <c r="CF235" s="2">
        <v>0</v>
      </c>
      <c r="CG235" s="2">
        <v>0</v>
      </c>
      <c r="CH235" s="2"/>
      <c r="CI235" s="2"/>
      <c r="CJ235" s="2"/>
      <c r="CK235" s="2"/>
      <c r="CL235" s="2"/>
      <c r="CM235" s="2">
        <v>0</v>
      </c>
      <c r="CN235" s="7" t="s">
        <v>738</v>
      </c>
      <c r="CO235" s="2">
        <v>0</v>
      </c>
      <c r="CP235" s="2">
        <f>(P235+Q235+S235+R235)</f>
        <v>235.20000000000002</v>
      </c>
      <c r="CQ235" s="2">
        <f>SUMIF(SmtRes!AQ204:'SmtRes'!AQ211,"=1",SmtRes!AA204:'SmtRes'!AA211)</f>
        <v>11122.92</v>
      </c>
      <c r="CR235" s="2">
        <f>SUMIF(SmtRes!AQ204:'SmtRes'!AQ211,"=1",SmtRes!AB204:'SmtRes'!AB211)</f>
        <v>0</v>
      </c>
      <c r="CS235" s="2">
        <f>SUMIF(SmtRes!AQ204:'SmtRes'!AQ211,"=1",SmtRes!AC204:'SmtRes'!AC211)</f>
        <v>0</v>
      </c>
      <c r="CT235" s="2">
        <f>SUMIF(SmtRes!AQ204:'SmtRes'!AQ211,"=1",SmtRes!AD204:'SmtRes'!AD211)</f>
        <v>743.6</v>
      </c>
      <c r="CU235" s="2">
        <f>AG235</f>
        <v>0</v>
      </c>
      <c r="CV235" s="2">
        <f>SUMIF(SmtRes!AQ204:'SmtRes'!AQ211,"=1",SmtRes!BU204:'SmtRes'!BU211)</f>
        <v>30.911999999999999</v>
      </c>
      <c r="CW235" s="2">
        <f>SUMIF(SmtRes!AQ204:'SmtRes'!AQ211,"=1",SmtRes!BV204:'SmtRes'!BV211)</f>
        <v>0</v>
      </c>
      <c r="CX235" s="2">
        <f>AJ235</f>
        <v>0</v>
      </c>
      <c r="CY235" s="2">
        <f>(((S235+R235)*AT235)/100)</f>
        <v>222.96420000000001</v>
      </c>
      <c r="CZ235" s="2">
        <f>(((S235+R235)*AU235)/100)</f>
        <v>117.2286</v>
      </c>
      <c r="DA235" s="2"/>
      <c r="DB235" s="2"/>
      <c r="DC235" s="2" t="s">
        <v>3</v>
      </c>
      <c r="DD235" s="2" t="s">
        <v>3</v>
      </c>
      <c r="DE235" s="2" t="s">
        <v>398</v>
      </c>
      <c r="DF235" s="2" t="s">
        <v>398</v>
      </c>
      <c r="DG235" s="2" t="s">
        <v>398</v>
      </c>
      <c r="DH235" s="2" t="s">
        <v>3</v>
      </c>
      <c r="DI235" s="2" t="s">
        <v>398</v>
      </c>
      <c r="DJ235" s="2" t="s">
        <v>398</v>
      </c>
      <c r="DK235" s="2" t="s">
        <v>3</v>
      </c>
      <c r="DL235" s="2" t="s">
        <v>3</v>
      </c>
      <c r="DM235" s="2" t="s">
        <v>3</v>
      </c>
      <c r="DN235" s="2">
        <v>0</v>
      </c>
      <c r="DO235" s="2">
        <v>0</v>
      </c>
      <c r="DP235" s="2">
        <v>1</v>
      </c>
      <c r="DQ235" s="2">
        <v>1</v>
      </c>
      <c r="DR235" s="2"/>
      <c r="DS235" s="2"/>
      <c r="DT235" s="2"/>
      <c r="DU235" s="2">
        <v>1013</v>
      </c>
      <c r="DV235" s="2" t="s">
        <v>20</v>
      </c>
      <c r="DW235" s="2" t="s">
        <v>20</v>
      </c>
      <c r="DX235" s="2">
        <v>1</v>
      </c>
      <c r="DY235" s="2"/>
      <c r="DZ235" s="2" t="s">
        <v>3</v>
      </c>
      <c r="EA235" s="2" t="s">
        <v>3</v>
      </c>
      <c r="EB235" s="2" t="s">
        <v>3</v>
      </c>
      <c r="EC235" s="2" t="s">
        <v>3</v>
      </c>
      <c r="ED235" s="2"/>
      <c r="EE235" s="2">
        <v>84053775</v>
      </c>
      <c r="EF235" s="2">
        <v>3</v>
      </c>
      <c r="EG235" s="2" t="s">
        <v>48</v>
      </c>
      <c r="EH235" s="2">
        <v>0</v>
      </c>
      <c r="EI235" s="2" t="s">
        <v>3</v>
      </c>
      <c r="EJ235" s="2">
        <v>2</v>
      </c>
      <c r="EK235" s="2">
        <v>108001</v>
      </c>
      <c r="EL235" s="2" t="s">
        <v>49</v>
      </c>
      <c r="EM235" s="2" t="s">
        <v>50</v>
      </c>
      <c r="EN235" s="2"/>
      <c r="EO235" s="2" t="s">
        <v>399</v>
      </c>
      <c r="EP235" s="2"/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25.76</v>
      </c>
      <c r="EX235" s="2">
        <v>0.05</v>
      </c>
      <c r="EY235" s="2">
        <v>0</v>
      </c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>
        <v>0</v>
      </c>
      <c r="FR235" s="2">
        <v>0</v>
      </c>
      <c r="FS235" s="2">
        <v>0</v>
      </c>
      <c r="FT235" s="2"/>
      <c r="FU235" s="2"/>
      <c r="FV235" s="2"/>
      <c r="FW235" s="2"/>
      <c r="FX235" s="2">
        <v>97</v>
      </c>
      <c r="FY235" s="2">
        <v>51</v>
      </c>
      <c r="FZ235" s="2"/>
      <c r="GA235" s="2" t="s">
        <v>3</v>
      </c>
      <c r="GB235" s="2"/>
      <c r="GC235" s="2"/>
      <c r="GD235" s="2">
        <v>1</v>
      </c>
      <c r="GE235" s="2"/>
      <c r="GF235" s="2">
        <v>1752263991</v>
      </c>
      <c r="GG235" s="2">
        <v>2</v>
      </c>
      <c r="GH235" s="2">
        <v>1</v>
      </c>
      <c r="GI235" s="2">
        <v>-2</v>
      </c>
      <c r="GJ235" s="2">
        <v>0</v>
      </c>
      <c r="GK235" s="2">
        <v>0</v>
      </c>
      <c r="GL235" s="2">
        <f t="shared" si="206"/>
        <v>0</v>
      </c>
      <c r="GM235" s="2">
        <f t="shared" si="207"/>
        <v>575.39</v>
      </c>
      <c r="GN235" s="2">
        <f t="shared" si="208"/>
        <v>0</v>
      </c>
      <c r="GO235" s="2">
        <f t="shared" si="209"/>
        <v>575.39</v>
      </c>
      <c r="GP235" s="2">
        <f t="shared" si="210"/>
        <v>0</v>
      </c>
      <c r="GQ235" s="2"/>
      <c r="GR235" s="2">
        <v>0</v>
      </c>
      <c r="GS235" s="2">
        <v>3</v>
      </c>
      <c r="GT235" s="2">
        <v>0</v>
      </c>
      <c r="GU235" s="2" t="s">
        <v>3</v>
      </c>
      <c r="GV235" s="2">
        <f t="shared" si="211"/>
        <v>0</v>
      </c>
      <c r="GW235" s="2">
        <v>1</v>
      </c>
      <c r="GX235" s="2">
        <f t="shared" si="212"/>
        <v>0</v>
      </c>
      <c r="GY235" s="2"/>
      <c r="GZ235" s="2"/>
      <c r="HA235" s="2">
        <v>0</v>
      </c>
      <c r="HB235" s="2">
        <v>0</v>
      </c>
      <c r="HC235" s="2">
        <f>GV235*GW235</f>
        <v>0</v>
      </c>
      <c r="HD235" s="2"/>
      <c r="HE235" s="2" t="s">
        <v>3</v>
      </c>
      <c r="HF235" s="2" t="s">
        <v>3</v>
      </c>
      <c r="HG235" s="2"/>
      <c r="HH235" s="2"/>
      <c r="HI235" s="2"/>
      <c r="HJ235" s="2"/>
      <c r="HK235" s="2"/>
      <c r="HL235" s="2"/>
      <c r="HM235" s="2" t="s">
        <v>3</v>
      </c>
      <c r="HN235" s="2" t="s">
        <v>52</v>
      </c>
      <c r="HO235" s="2" t="s">
        <v>53</v>
      </c>
      <c r="HP235" s="2" t="s">
        <v>49</v>
      </c>
      <c r="HQ235" s="2" t="s">
        <v>49</v>
      </c>
      <c r="HR235" s="2"/>
      <c r="HS235" s="2">
        <v>0</v>
      </c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>
        <v>0</v>
      </c>
      <c r="IL235" s="2"/>
      <c r="IM235" s="2"/>
      <c r="IN235" s="2"/>
      <c r="IO235" s="2"/>
      <c r="IP235" s="2"/>
      <c r="IQ235" s="2"/>
      <c r="IR235" s="2"/>
      <c r="IS235" s="2"/>
      <c r="IT235" s="2"/>
      <c r="IU235" s="2"/>
    </row>
    <row r="236" spans="1:255" x14ac:dyDescent="0.2">
      <c r="A236" s="2">
        <v>18</v>
      </c>
      <c r="B236" s="2">
        <v>1</v>
      </c>
      <c r="C236" s="2">
        <v>211</v>
      </c>
      <c r="D236" s="2"/>
      <c r="E236" s="2" t="s">
        <v>411</v>
      </c>
      <c r="F236" s="2" t="s">
        <v>55</v>
      </c>
      <c r="G236" s="2" t="s">
        <v>56</v>
      </c>
      <c r="H236" s="2" t="s">
        <v>57</v>
      </c>
      <c r="I236" s="2">
        <f>J236</f>
        <v>2</v>
      </c>
      <c r="J236" s="2">
        <v>2</v>
      </c>
      <c r="K236" s="2">
        <v>2</v>
      </c>
      <c r="L236" s="2"/>
      <c r="M236" s="2"/>
      <c r="N236" s="2"/>
      <c r="O236" s="2">
        <f>ROUND(P236,2)</f>
        <v>3.83</v>
      </c>
      <c r="P236" s="2">
        <f>ROUND(ROUND(ROUND(SUMIF(SmtRes!AQ204:'SmtRes'!AQ211,"=1",SmtRes!CU204:'SmtRes'!CU211),2),2)*I236/100,2)</f>
        <v>3.83</v>
      </c>
      <c r="Q236" s="2">
        <f>ROUND(CR236*I236,2)</f>
        <v>0</v>
      </c>
      <c r="R236" s="2">
        <f>ROUND(CS236*I236,2)</f>
        <v>0</v>
      </c>
      <c r="S236" s="2">
        <f>ROUND(CT236*I236,2)</f>
        <v>0</v>
      </c>
      <c r="T236" s="2">
        <f t="shared" si="199"/>
        <v>0</v>
      </c>
      <c r="U236" s="2">
        <f>ROUND(CV236*I236,7)</f>
        <v>0</v>
      </c>
      <c r="V236" s="2">
        <f>ROUND(CW236*I236,7)</f>
        <v>0</v>
      </c>
      <c r="W236" s="2">
        <f t="shared" si="200"/>
        <v>0</v>
      </c>
      <c r="X236" s="2">
        <f t="shared" si="201"/>
        <v>0</v>
      </c>
      <c r="Y236" s="2">
        <f t="shared" si="202"/>
        <v>0</v>
      </c>
      <c r="Z236" s="2"/>
      <c r="AA236" s="2">
        <v>85997836</v>
      </c>
      <c r="AB236" s="2">
        <f t="shared" si="203"/>
        <v>0</v>
      </c>
      <c r="AC236" s="2">
        <f>ROUND((ES236),6)</f>
        <v>0</v>
      </c>
      <c r="AD236" s="2">
        <f>ROUND((((ET236)-(EU236))+AE236),6)</f>
        <v>0</v>
      </c>
      <c r="AE236" s="2">
        <f t="shared" ref="AE236:AF239" si="235">ROUND((EU236),6)</f>
        <v>0</v>
      </c>
      <c r="AF236" s="2">
        <f t="shared" si="235"/>
        <v>0</v>
      </c>
      <c r="AG236" s="2">
        <f t="shared" si="204"/>
        <v>0</v>
      </c>
      <c r="AH236" s="2">
        <f t="shared" ref="AH236:AI239" si="236">(EW236)</f>
        <v>0</v>
      </c>
      <c r="AI236" s="2">
        <f t="shared" si="236"/>
        <v>0</v>
      </c>
      <c r="AJ236" s="2">
        <f t="shared" si="205"/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97</v>
      </c>
      <c r="AU236" s="2">
        <v>51</v>
      </c>
      <c r="AV236" s="2">
        <v>1</v>
      </c>
      <c r="AW236" s="2">
        <v>1</v>
      </c>
      <c r="AX236" s="2"/>
      <c r="AY236" s="2"/>
      <c r="AZ236" s="2">
        <v>1</v>
      </c>
      <c r="BA236" s="2">
        <v>1</v>
      </c>
      <c r="BB236" s="2">
        <v>1</v>
      </c>
      <c r="BC236" s="2">
        <v>1</v>
      </c>
      <c r="BD236" s="2" t="s">
        <v>3</v>
      </c>
      <c r="BE236" s="2" t="s">
        <v>3</v>
      </c>
      <c r="BF236" s="2" t="s">
        <v>3</v>
      </c>
      <c r="BG236" s="2" t="s">
        <v>3</v>
      </c>
      <c r="BH236" s="2">
        <v>3</v>
      </c>
      <c r="BI236" s="2">
        <v>2</v>
      </c>
      <c r="BJ236" s="2" t="s">
        <v>3</v>
      </c>
      <c r="BK236" s="2"/>
      <c r="BL236" s="2"/>
      <c r="BM236" s="2">
        <v>108001</v>
      </c>
      <c r="BN236" s="2">
        <v>0</v>
      </c>
      <c r="BO236" s="2" t="s">
        <v>3</v>
      </c>
      <c r="BP236" s="2">
        <v>0</v>
      </c>
      <c r="BQ236" s="2">
        <v>3</v>
      </c>
      <c r="BR236" s="2">
        <v>0</v>
      </c>
      <c r="BS236" s="2">
        <v>1</v>
      </c>
      <c r="BT236" s="2">
        <v>1</v>
      </c>
      <c r="BU236" s="2">
        <v>1</v>
      </c>
      <c r="BV236" s="2">
        <v>1</v>
      </c>
      <c r="BW236" s="2">
        <v>1</v>
      </c>
      <c r="BX236" s="2">
        <v>1</v>
      </c>
      <c r="BY236" s="2" t="s">
        <v>3</v>
      </c>
      <c r="BZ236" s="2">
        <v>97</v>
      </c>
      <c r="CA236" s="2">
        <v>51</v>
      </c>
      <c r="CB236" s="2" t="s">
        <v>3</v>
      </c>
      <c r="CC236" s="2"/>
      <c r="CD236" s="2"/>
      <c r="CE236" s="2">
        <v>0</v>
      </c>
      <c r="CF236" s="2">
        <v>0</v>
      </c>
      <c r="CG236" s="2">
        <v>0</v>
      </c>
      <c r="CH236" s="2"/>
      <c r="CI236" s="2"/>
      <c r="CJ236" s="2"/>
      <c r="CK236" s="2"/>
      <c r="CL236" s="2"/>
      <c r="CM236" s="2">
        <v>0</v>
      </c>
      <c r="CN236" s="2" t="s">
        <v>3</v>
      </c>
      <c r="CO236" s="2">
        <v>0</v>
      </c>
      <c r="CP236" s="2">
        <f>0</f>
        <v>0</v>
      </c>
      <c r="CQ236" s="2">
        <f>0</f>
        <v>0</v>
      </c>
      <c r="CR236" s="2">
        <f>0</f>
        <v>0</v>
      </c>
      <c r="CS236" s="2">
        <f>0</f>
        <v>0</v>
      </c>
      <c r="CT236" s="2">
        <f>0</f>
        <v>0</v>
      </c>
      <c r="CU236" s="2">
        <f>0</f>
        <v>0</v>
      </c>
      <c r="CV236" s="2">
        <f>0</f>
        <v>0</v>
      </c>
      <c r="CW236" s="2">
        <f>0</f>
        <v>0</v>
      </c>
      <c r="CX236" s="2">
        <f>0</f>
        <v>0</v>
      </c>
      <c r="CY236" s="2">
        <f>0</f>
        <v>0</v>
      </c>
      <c r="CZ236" s="2">
        <f>0</f>
        <v>0</v>
      </c>
      <c r="DA236" s="2"/>
      <c r="DB236" s="2"/>
      <c r="DC236" s="2" t="s">
        <v>3</v>
      </c>
      <c r="DD236" s="2" t="s">
        <v>3</v>
      </c>
      <c r="DE236" s="2" t="s">
        <v>3</v>
      </c>
      <c r="DF236" s="2" t="s">
        <v>3</v>
      </c>
      <c r="DG236" s="2" t="s">
        <v>3</v>
      </c>
      <c r="DH236" s="2" t="s">
        <v>3</v>
      </c>
      <c r="DI236" s="2" t="s">
        <v>3</v>
      </c>
      <c r="DJ236" s="2" t="s">
        <v>3</v>
      </c>
      <c r="DK236" s="2" t="s">
        <v>3</v>
      </c>
      <c r="DL236" s="2" t="s">
        <v>3</v>
      </c>
      <c r="DM236" s="2" t="s">
        <v>3</v>
      </c>
      <c r="DN236" s="2">
        <v>0</v>
      </c>
      <c r="DO236" s="2">
        <v>0</v>
      </c>
      <c r="DP236" s="2">
        <v>1</v>
      </c>
      <c r="DQ236" s="2">
        <v>1</v>
      </c>
      <c r="DR236" s="2"/>
      <c r="DS236" s="2"/>
      <c r="DT236" s="2"/>
      <c r="DU236" s="2">
        <v>1013</v>
      </c>
      <c r="DV236" s="2" t="s">
        <v>57</v>
      </c>
      <c r="DW236" s="2" t="s">
        <v>57</v>
      </c>
      <c r="DX236" s="2">
        <v>1</v>
      </c>
      <c r="DY236" s="2"/>
      <c r="DZ236" s="2" t="s">
        <v>3</v>
      </c>
      <c r="EA236" s="2" t="s">
        <v>3</v>
      </c>
      <c r="EB236" s="2" t="s">
        <v>3</v>
      </c>
      <c r="EC236" s="2" t="s">
        <v>3</v>
      </c>
      <c r="ED236" s="2"/>
      <c r="EE236" s="2">
        <v>84053775</v>
      </c>
      <c r="EF236" s="2">
        <v>3</v>
      </c>
      <c r="EG236" s="2" t="s">
        <v>48</v>
      </c>
      <c r="EH236" s="2">
        <v>0</v>
      </c>
      <c r="EI236" s="2" t="s">
        <v>3</v>
      </c>
      <c r="EJ236" s="2">
        <v>2</v>
      </c>
      <c r="EK236" s="2">
        <v>108001</v>
      </c>
      <c r="EL236" s="2" t="s">
        <v>49</v>
      </c>
      <c r="EM236" s="2" t="s">
        <v>50</v>
      </c>
      <c r="EN236" s="2"/>
      <c r="EO236" s="2" t="s">
        <v>3</v>
      </c>
      <c r="EP236" s="2"/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>
        <v>0</v>
      </c>
      <c r="FR236" s="2">
        <v>0</v>
      </c>
      <c r="FS236" s="2">
        <v>0</v>
      </c>
      <c r="FT236" s="2"/>
      <c r="FU236" s="2"/>
      <c r="FV236" s="2"/>
      <c r="FW236" s="2"/>
      <c r="FX236" s="2">
        <v>97</v>
      </c>
      <c r="FY236" s="2">
        <v>51</v>
      </c>
      <c r="FZ236" s="2"/>
      <c r="GA236" s="2" t="s">
        <v>3</v>
      </c>
      <c r="GB236" s="2"/>
      <c r="GC236" s="2"/>
      <c r="GD236" s="2">
        <v>1</v>
      </c>
      <c r="GE236" s="2"/>
      <c r="GF236" s="2">
        <v>274903907</v>
      </c>
      <c r="GG236" s="2">
        <v>2</v>
      </c>
      <c r="GH236" s="2">
        <v>1</v>
      </c>
      <c r="GI236" s="2">
        <v>-2</v>
      </c>
      <c r="GJ236" s="2">
        <v>0</v>
      </c>
      <c r="GK236" s="2">
        <v>0</v>
      </c>
      <c r="GL236" s="2">
        <f t="shared" si="206"/>
        <v>0</v>
      </c>
      <c r="GM236" s="2">
        <f t="shared" si="207"/>
        <v>3.83</v>
      </c>
      <c r="GN236" s="2">
        <f t="shared" si="208"/>
        <v>0</v>
      </c>
      <c r="GO236" s="2">
        <f t="shared" si="209"/>
        <v>3.83</v>
      </c>
      <c r="GP236" s="2">
        <f t="shared" si="210"/>
        <v>0</v>
      </c>
      <c r="GQ236" s="2"/>
      <c r="GR236" s="2">
        <v>0</v>
      </c>
      <c r="GS236" s="2">
        <v>3</v>
      </c>
      <c r="GT236" s="2">
        <v>0</v>
      </c>
      <c r="GU236" s="2" t="s">
        <v>3</v>
      </c>
      <c r="GV236" s="2">
        <f t="shared" si="211"/>
        <v>0</v>
      </c>
      <c r="GW236" s="2">
        <v>1</v>
      </c>
      <c r="GX236" s="2">
        <f t="shared" si="212"/>
        <v>0</v>
      </c>
      <c r="GY236" s="2"/>
      <c r="GZ236" s="2"/>
      <c r="HA236" s="2">
        <v>0</v>
      </c>
      <c r="HB236" s="2">
        <v>0</v>
      </c>
      <c r="HC236" s="2">
        <f>0</f>
        <v>0</v>
      </c>
      <c r="HD236" s="2"/>
      <c r="HE236" s="2" t="s">
        <v>3</v>
      </c>
      <c r="HF236" s="2" t="s">
        <v>3</v>
      </c>
      <c r="HG236" s="2"/>
      <c r="HH236" s="2"/>
      <c r="HI236" s="2"/>
      <c r="HJ236" s="2"/>
      <c r="HK236" s="2"/>
      <c r="HL236" s="2"/>
      <c r="HM236" s="2" t="s">
        <v>3</v>
      </c>
      <c r="HN236" s="2" t="s">
        <v>52</v>
      </c>
      <c r="HO236" s="2" t="s">
        <v>53</v>
      </c>
      <c r="HP236" s="2" t="s">
        <v>49</v>
      </c>
      <c r="HQ236" s="2" t="s">
        <v>49</v>
      </c>
      <c r="HR236" s="2"/>
      <c r="HS236" s="2">
        <v>0</v>
      </c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>
        <v>0</v>
      </c>
      <c r="IL236" s="2"/>
      <c r="IM236" s="2"/>
      <c r="IN236" s="2"/>
      <c r="IO236" s="2"/>
      <c r="IP236" s="2"/>
      <c r="IQ236" s="2"/>
      <c r="IR236" s="2"/>
      <c r="IS236" s="2"/>
      <c r="IT236" s="2"/>
      <c r="IU236" s="2"/>
    </row>
    <row r="237" spans="1:255" x14ac:dyDescent="0.2">
      <c r="A237" s="2">
        <v>18</v>
      </c>
      <c r="B237" s="2">
        <v>1</v>
      </c>
      <c r="C237" s="2">
        <v>210</v>
      </c>
      <c r="D237" s="2"/>
      <c r="E237" s="2" t="s">
        <v>412</v>
      </c>
      <c r="F237" s="2" t="s">
        <v>181</v>
      </c>
      <c r="G237" s="2" t="s">
        <v>182</v>
      </c>
      <c r="H237" s="2" t="s">
        <v>43</v>
      </c>
      <c r="I237" s="2">
        <f>I235*J237</f>
        <v>1</v>
      </c>
      <c r="J237" s="2">
        <v>100</v>
      </c>
      <c r="K237" s="2">
        <v>100</v>
      </c>
      <c r="L237" s="2"/>
      <c r="M237" s="2"/>
      <c r="N237" s="2"/>
      <c r="O237" s="2">
        <f t="shared" ref="O237:O254" si="237">ROUND(CP237,2)</f>
        <v>53.22</v>
      </c>
      <c r="P237" s="2">
        <f>ROUND(CQ237*I237,2)</f>
        <v>53.22</v>
      </c>
      <c r="Q237" s="2">
        <f>ROUND(CR237*I237,2)</f>
        <v>0</v>
      </c>
      <c r="R237" s="2">
        <f>ROUND(CS237*I237,2)</f>
        <v>0</v>
      </c>
      <c r="S237" s="2">
        <f>ROUND(CT237*I237,2)</f>
        <v>0</v>
      </c>
      <c r="T237" s="2">
        <f t="shared" si="199"/>
        <v>0</v>
      </c>
      <c r="U237" s="2">
        <f>ROUND(CV237*I237,7)</f>
        <v>0</v>
      </c>
      <c r="V237" s="2">
        <f>ROUND(CW237*I237,7)</f>
        <v>0</v>
      </c>
      <c r="W237" s="2">
        <f t="shared" si="200"/>
        <v>0</v>
      </c>
      <c r="X237" s="2">
        <f t="shared" si="201"/>
        <v>0</v>
      </c>
      <c r="Y237" s="2">
        <f t="shared" si="202"/>
        <v>0</v>
      </c>
      <c r="Z237" s="2"/>
      <c r="AA237" s="2">
        <v>85997836</v>
      </c>
      <c r="AB237" s="2">
        <f t="shared" si="203"/>
        <v>53.22</v>
      </c>
      <c r="AC237" s="2">
        <f>ROUND((ES237),6)</f>
        <v>53.22</v>
      </c>
      <c r="AD237" s="2">
        <f>ROUND((((ET237)-(EU237))+AE237),6)</f>
        <v>0</v>
      </c>
      <c r="AE237" s="2">
        <f t="shared" si="235"/>
        <v>0</v>
      </c>
      <c r="AF237" s="2">
        <f t="shared" si="235"/>
        <v>0</v>
      </c>
      <c r="AG237" s="2">
        <f t="shared" si="204"/>
        <v>0</v>
      </c>
      <c r="AH237" s="2">
        <f t="shared" si="236"/>
        <v>0</v>
      </c>
      <c r="AI237" s="2">
        <f t="shared" si="236"/>
        <v>0</v>
      </c>
      <c r="AJ237" s="2">
        <f t="shared" si="205"/>
        <v>0</v>
      </c>
      <c r="AK237" s="2">
        <v>53.22</v>
      </c>
      <c r="AL237" s="2">
        <v>53.22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97</v>
      </c>
      <c r="AU237" s="2">
        <v>51</v>
      </c>
      <c r="AV237" s="2">
        <v>1</v>
      </c>
      <c r="AW237" s="2">
        <v>1</v>
      </c>
      <c r="AX237" s="2"/>
      <c r="AY237" s="2"/>
      <c r="AZ237" s="2">
        <v>1</v>
      </c>
      <c r="BA237" s="2">
        <v>1</v>
      </c>
      <c r="BB237" s="2">
        <v>1</v>
      </c>
      <c r="BC237" s="2">
        <v>1</v>
      </c>
      <c r="BD237" s="2" t="s">
        <v>3</v>
      </c>
      <c r="BE237" s="2" t="s">
        <v>3</v>
      </c>
      <c r="BF237" s="2" t="s">
        <v>3</v>
      </c>
      <c r="BG237" s="2" t="s">
        <v>3</v>
      </c>
      <c r="BH237" s="2">
        <v>3</v>
      </c>
      <c r="BI237" s="2">
        <v>2</v>
      </c>
      <c r="BJ237" s="2" t="s">
        <v>183</v>
      </c>
      <c r="BK237" s="2"/>
      <c r="BL237" s="2"/>
      <c r="BM237" s="2">
        <v>108001</v>
      </c>
      <c r="BN237" s="2">
        <v>0</v>
      </c>
      <c r="BO237" s="2" t="s">
        <v>3</v>
      </c>
      <c r="BP237" s="2">
        <v>0</v>
      </c>
      <c r="BQ237" s="2">
        <v>3</v>
      </c>
      <c r="BR237" s="2">
        <v>0</v>
      </c>
      <c r="BS237" s="2">
        <v>1</v>
      </c>
      <c r="BT237" s="2">
        <v>1</v>
      </c>
      <c r="BU237" s="2">
        <v>1</v>
      </c>
      <c r="BV237" s="2">
        <v>1</v>
      </c>
      <c r="BW237" s="2">
        <v>1</v>
      </c>
      <c r="BX237" s="2">
        <v>1</v>
      </c>
      <c r="BY237" s="2" t="s">
        <v>3</v>
      </c>
      <c r="BZ237" s="2">
        <v>97</v>
      </c>
      <c r="CA237" s="2">
        <v>51</v>
      </c>
      <c r="CB237" s="2" t="s">
        <v>3</v>
      </c>
      <c r="CC237" s="2"/>
      <c r="CD237" s="2"/>
      <c r="CE237" s="2">
        <v>0</v>
      </c>
      <c r="CF237" s="2">
        <v>0</v>
      </c>
      <c r="CG237" s="2">
        <v>0</v>
      </c>
      <c r="CH237" s="2"/>
      <c r="CI237" s="2"/>
      <c r="CJ237" s="2"/>
      <c r="CK237" s="2"/>
      <c r="CL237" s="2"/>
      <c r="CM237" s="2">
        <v>0</v>
      </c>
      <c r="CN237" s="2" t="s">
        <v>3</v>
      </c>
      <c r="CO237" s="2">
        <v>0</v>
      </c>
      <c r="CP237" s="2">
        <f t="shared" ref="CP237:CP254" si="238">(P237+Q237+S237+R237)</f>
        <v>53.22</v>
      </c>
      <c r="CQ237" s="2">
        <f>ROUND(AL237*BC237,2)</f>
        <v>53.22</v>
      </c>
      <c r="CR237" s="2">
        <f>ROUND(AM237*BB237,2)</f>
        <v>0</v>
      </c>
      <c r="CS237" s="2">
        <f>ROUND(AN237*BS237,2)</f>
        <v>0</v>
      </c>
      <c r="CT237" s="2">
        <f>ROUND(AO237*BA237,2)</f>
        <v>0</v>
      </c>
      <c r="CU237" s="2">
        <f t="shared" ref="CU237:CX239" si="239">AG237</f>
        <v>0</v>
      </c>
      <c r="CV237" s="2">
        <f t="shared" si="239"/>
        <v>0</v>
      </c>
      <c r="CW237" s="2">
        <f t="shared" si="239"/>
        <v>0</v>
      </c>
      <c r="CX237" s="2">
        <f t="shared" si="239"/>
        <v>0</v>
      </c>
      <c r="CY237" s="2">
        <f t="shared" ref="CY237:CY254" si="240">(((S237+R237)*AT237)/100)</f>
        <v>0</v>
      </c>
      <c r="CZ237" s="2">
        <f t="shared" ref="CZ237:CZ254" si="241">(((S237+R237)*AU237)/100)</f>
        <v>0</v>
      </c>
      <c r="DA237" s="2"/>
      <c r="DB237" s="2"/>
      <c r="DC237" s="2" t="s">
        <v>3</v>
      </c>
      <c r="DD237" s="2" t="s">
        <v>3</v>
      </c>
      <c r="DE237" s="2" t="s">
        <v>3</v>
      </c>
      <c r="DF237" s="2" t="s">
        <v>3</v>
      </c>
      <c r="DG237" s="2" t="s">
        <v>3</v>
      </c>
      <c r="DH237" s="2" t="s">
        <v>3</v>
      </c>
      <c r="DI237" s="2" t="s">
        <v>3</v>
      </c>
      <c r="DJ237" s="2" t="s">
        <v>3</v>
      </c>
      <c r="DK237" s="2" t="s">
        <v>3</v>
      </c>
      <c r="DL237" s="2" t="s">
        <v>3</v>
      </c>
      <c r="DM237" s="2" t="s">
        <v>3</v>
      </c>
      <c r="DN237" s="2">
        <v>0</v>
      </c>
      <c r="DO237" s="2">
        <v>0</v>
      </c>
      <c r="DP237" s="2">
        <v>1</v>
      </c>
      <c r="DQ237" s="2">
        <v>1</v>
      </c>
      <c r="DR237" s="2"/>
      <c r="DS237" s="2"/>
      <c r="DT237" s="2"/>
      <c r="DU237" s="2">
        <v>1013</v>
      </c>
      <c r="DV237" s="2" t="s">
        <v>43</v>
      </c>
      <c r="DW237" s="2" t="s">
        <v>43</v>
      </c>
      <c r="DX237" s="2">
        <v>1</v>
      </c>
      <c r="DY237" s="2"/>
      <c r="DZ237" s="2" t="s">
        <v>3</v>
      </c>
      <c r="EA237" s="2" t="s">
        <v>3</v>
      </c>
      <c r="EB237" s="2" t="s">
        <v>3</v>
      </c>
      <c r="EC237" s="2" t="s">
        <v>3</v>
      </c>
      <c r="ED237" s="2"/>
      <c r="EE237" s="2">
        <v>84053775</v>
      </c>
      <c r="EF237" s="2">
        <v>3</v>
      </c>
      <c r="EG237" s="2" t="s">
        <v>48</v>
      </c>
      <c r="EH237" s="2">
        <v>0</v>
      </c>
      <c r="EI237" s="2" t="s">
        <v>3</v>
      </c>
      <c r="EJ237" s="2">
        <v>2</v>
      </c>
      <c r="EK237" s="2">
        <v>108001</v>
      </c>
      <c r="EL237" s="2" t="s">
        <v>49</v>
      </c>
      <c r="EM237" s="2" t="s">
        <v>50</v>
      </c>
      <c r="EN237" s="2"/>
      <c r="EO237" s="2" t="s">
        <v>3</v>
      </c>
      <c r="EP237" s="2"/>
      <c r="EQ237" s="2">
        <v>0</v>
      </c>
      <c r="ER237" s="2">
        <v>53.22</v>
      </c>
      <c r="ES237" s="2">
        <v>53.22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>
        <v>0</v>
      </c>
      <c r="FR237" s="2">
        <v>0</v>
      </c>
      <c r="FS237" s="2">
        <v>0</v>
      </c>
      <c r="FT237" s="2"/>
      <c r="FU237" s="2"/>
      <c r="FV237" s="2"/>
      <c r="FW237" s="2"/>
      <c r="FX237" s="2">
        <v>97</v>
      </c>
      <c r="FY237" s="2">
        <v>51</v>
      </c>
      <c r="FZ237" s="2"/>
      <c r="GA237" s="2" t="s">
        <v>3</v>
      </c>
      <c r="GB237" s="2"/>
      <c r="GC237" s="2"/>
      <c r="GD237" s="2">
        <v>1</v>
      </c>
      <c r="GE237" s="2">
        <v>42.54</v>
      </c>
      <c r="GF237" s="2">
        <v>910537666</v>
      </c>
      <c r="GG237" s="2">
        <v>2</v>
      </c>
      <c r="GH237" s="2">
        <v>1</v>
      </c>
      <c r="GI237" s="2">
        <v>-2</v>
      </c>
      <c r="GJ237" s="2">
        <v>0</v>
      </c>
      <c r="GK237" s="2">
        <v>0</v>
      </c>
      <c r="GL237" s="2">
        <f t="shared" si="206"/>
        <v>0</v>
      </c>
      <c r="GM237" s="2">
        <f t="shared" si="207"/>
        <v>53.22</v>
      </c>
      <c r="GN237" s="2">
        <f t="shared" si="208"/>
        <v>0</v>
      </c>
      <c r="GO237" s="2">
        <f t="shared" si="209"/>
        <v>53.22</v>
      </c>
      <c r="GP237" s="2">
        <f t="shared" si="210"/>
        <v>0</v>
      </c>
      <c r="GQ237" s="2"/>
      <c r="GR237" s="2">
        <v>3</v>
      </c>
      <c r="GS237" s="2">
        <v>3</v>
      </c>
      <c r="GT237" s="2">
        <v>0</v>
      </c>
      <c r="GU237" s="2" t="s">
        <v>3</v>
      </c>
      <c r="GV237" s="2">
        <f t="shared" si="211"/>
        <v>0</v>
      </c>
      <c r="GW237" s="2">
        <v>1</v>
      </c>
      <c r="GX237" s="2">
        <f t="shared" si="212"/>
        <v>0</v>
      </c>
      <c r="GY237" s="2"/>
      <c r="GZ237" s="2"/>
      <c r="HA237" s="2">
        <v>0</v>
      </c>
      <c r="HB237" s="2">
        <v>0</v>
      </c>
      <c r="HC237" s="2">
        <f t="shared" ref="HC237:HC254" si="242">GV237*GW237</f>
        <v>0</v>
      </c>
      <c r="HD237" s="2"/>
      <c r="HE237" s="2" t="s">
        <v>3</v>
      </c>
      <c r="HF237" s="2" t="s">
        <v>3</v>
      </c>
      <c r="HG237" s="2"/>
      <c r="HH237" s="2"/>
      <c r="HI237" s="2"/>
      <c r="HJ237" s="2"/>
      <c r="HK237" s="2"/>
      <c r="HL237" s="2"/>
      <c r="HM237" s="2" t="s">
        <v>3</v>
      </c>
      <c r="HN237" s="2" t="s">
        <v>52</v>
      </c>
      <c r="HO237" s="2" t="s">
        <v>53</v>
      </c>
      <c r="HP237" s="2" t="s">
        <v>49</v>
      </c>
      <c r="HQ237" s="2" t="s">
        <v>49</v>
      </c>
      <c r="HR237" s="2"/>
      <c r="HS237" s="2">
        <v>0</v>
      </c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>
        <v>0</v>
      </c>
      <c r="IL237" s="2"/>
      <c r="IM237" s="2"/>
      <c r="IN237" s="2"/>
      <c r="IO237" s="2"/>
      <c r="IP237" s="2"/>
      <c r="IQ237" s="2"/>
      <c r="IR237" s="2"/>
      <c r="IS237" s="2"/>
      <c r="IT237" s="2"/>
      <c r="IU237" s="2"/>
    </row>
    <row r="238" spans="1:255" ht="409.5" x14ac:dyDescent="0.2">
      <c r="A238" s="2">
        <v>18</v>
      </c>
      <c r="B238" s="2">
        <v>1</v>
      </c>
      <c r="C238" s="2">
        <v>206</v>
      </c>
      <c r="D238" s="2"/>
      <c r="E238" s="2" t="s">
        <v>413</v>
      </c>
      <c r="F238" s="2" t="s">
        <v>123</v>
      </c>
      <c r="G238" s="2" t="s">
        <v>124</v>
      </c>
      <c r="H238" s="2" t="s">
        <v>29</v>
      </c>
      <c r="I238" s="2">
        <f>I235*J238</f>
        <v>-4.3199999999999998E-4</v>
      </c>
      <c r="J238" s="2">
        <v>-4.3199999999999995E-2</v>
      </c>
      <c r="K238" s="2">
        <v>-3.5999999999999997E-2</v>
      </c>
      <c r="L238" s="2"/>
      <c r="M238" s="2"/>
      <c r="N238" s="2"/>
      <c r="O238" s="2">
        <f t="shared" si="237"/>
        <v>-1.1200000000000001</v>
      </c>
      <c r="P238" s="2">
        <f>ROUND(CQ238*I238,2)</f>
        <v>0</v>
      </c>
      <c r="Q238" s="2">
        <f>ROUND(CR238*I238,2)</f>
        <v>-0.7</v>
      </c>
      <c r="R238" s="2">
        <f>ROUND(CS238*I238,2)</f>
        <v>-0.42</v>
      </c>
      <c r="S238" s="2">
        <f>ROUND(CT238*I238,2)</f>
        <v>0</v>
      </c>
      <c r="T238" s="2">
        <f t="shared" si="199"/>
        <v>0</v>
      </c>
      <c r="U238" s="2">
        <f>ROUND(CV238*I238,7)</f>
        <v>0</v>
      </c>
      <c r="V238" s="2">
        <f>ROUND(CW238*I238,7)</f>
        <v>0</v>
      </c>
      <c r="W238" s="2">
        <f t="shared" si="200"/>
        <v>0</v>
      </c>
      <c r="X238" s="2">
        <f t="shared" si="201"/>
        <v>-0.41</v>
      </c>
      <c r="Y238" s="2">
        <f t="shared" si="202"/>
        <v>-0.21</v>
      </c>
      <c r="Z238" s="2"/>
      <c r="AA238" s="2">
        <v>85997836</v>
      </c>
      <c r="AB238" s="2">
        <f t="shared" si="203"/>
        <v>1629.55</v>
      </c>
      <c r="AC238" s="2">
        <f>ROUND((ES238),6)</f>
        <v>0</v>
      </c>
      <c r="AD238" s="2">
        <f>ROUND((((ET238)-(EU238))+AE238),6)</f>
        <v>1629.55</v>
      </c>
      <c r="AE238" s="2">
        <f t="shared" si="235"/>
        <v>969.91</v>
      </c>
      <c r="AF238" s="2">
        <f t="shared" si="235"/>
        <v>0</v>
      </c>
      <c r="AG238" s="2">
        <f t="shared" si="204"/>
        <v>0</v>
      </c>
      <c r="AH238" s="2">
        <f t="shared" si="236"/>
        <v>0</v>
      </c>
      <c r="AI238" s="2">
        <f t="shared" si="236"/>
        <v>0</v>
      </c>
      <c r="AJ238" s="2">
        <f t="shared" si="205"/>
        <v>0</v>
      </c>
      <c r="AK238" s="2">
        <v>1629.55</v>
      </c>
      <c r="AL238" s="2">
        <v>0</v>
      </c>
      <c r="AM238" s="2">
        <v>1629.55</v>
      </c>
      <c r="AN238" s="2">
        <v>969.91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97</v>
      </c>
      <c r="AU238" s="2">
        <v>51</v>
      </c>
      <c r="AV238" s="2">
        <v>1</v>
      </c>
      <c r="AW238" s="2">
        <v>1</v>
      </c>
      <c r="AX238" s="2"/>
      <c r="AY238" s="2"/>
      <c r="AZ238" s="2">
        <v>1</v>
      </c>
      <c r="BA238" s="2">
        <v>1</v>
      </c>
      <c r="BB238" s="2">
        <v>1</v>
      </c>
      <c r="BC238" s="2">
        <v>1</v>
      </c>
      <c r="BD238" s="2" t="s">
        <v>3</v>
      </c>
      <c r="BE238" s="2" t="s">
        <v>3</v>
      </c>
      <c r="BF238" s="2" t="s">
        <v>3</v>
      </c>
      <c r="BG238" s="2" t="s">
        <v>3</v>
      </c>
      <c r="BH238" s="2">
        <v>2</v>
      </c>
      <c r="BI238" s="2">
        <v>2</v>
      </c>
      <c r="BJ238" s="2" t="s">
        <v>125</v>
      </c>
      <c r="BK238" s="2"/>
      <c r="BL238" s="2"/>
      <c r="BM238" s="2">
        <v>108001</v>
      </c>
      <c r="BN238" s="2">
        <v>0</v>
      </c>
      <c r="BO238" s="2" t="s">
        <v>3</v>
      </c>
      <c r="BP238" s="2">
        <v>0</v>
      </c>
      <c r="BQ238" s="2">
        <v>3</v>
      </c>
      <c r="BR238" s="2">
        <v>0</v>
      </c>
      <c r="BS238" s="2">
        <v>1</v>
      </c>
      <c r="BT238" s="2">
        <v>1</v>
      </c>
      <c r="BU238" s="2">
        <v>1</v>
      </c>
      <c r="BV238" s="2">
        <v>1</v>
      </c>
      <c r="BW238" s="2">
        <v>1</v>
      </c>
      <c r="BX238" s="2">
        <v>1</v>
      </c>
      <c r="BY238" s="2" t="s">
        <v>3</v>
      </c>
      <c r="BZ238" s="2">
        <v>97</v>
      </c>
      <c r="CA238" s="2">
        <v>51</v>
      </c>
      <c r="CB238" s="2" t="s">
        <v>3</v>
      </c>
      <c r="CC238" s="2"/>
      <c r="CD238" s="2"/>
      <c r="CE238" s="2">
        <v>0</v>
      </c>
      <c r="CF238" s="2">
        <v>0</v>
      </c>
      <c r="CG238" s="2">
        <v>0</v>
      </c>
      <c r="CH238" s="2"/>
      <c r="CI238" s="2"/>
      <c r="CJ238" s="2"/>
      <c r="CK238" s="2"/>
      <c r="CL238" s="2"/>
      <c r="CM238" s="2">
        <v>0</v>
      </c>
      <c r="CN238" s="7" t="s">
        <v>738</v>
      </c>
      <c r="CO238" s="2">
        <v>0</v>
      </c>
      <c r="CP238" s="2">
        <f t="shared" si="238"/>
        <v>-1.1199999999999999</v>
      </c>
      <c r="CQ238" s="2">
        <f>ROUND(AL238*BC238,2)</f>
        <v>0</v>
      </c>
      <c r="CR238" s="2">
        <f>ROUND(AM238*BB238,2)</f>
        <v>1629.55</v>
      </c>
      <c r="CS238" s="2">
        <f>ROUND(AN238*BS238,2)</f>
        <v>969.91</v>
      </c>
      <c r="CT238" s="2">
        <f>ROUND(AO238*BA238,2)</f>
        <v>0</v>
      </c>
      <c r="CU238" s="2">
        <f t="shared" si="239"/>
        <v>0</v>
      </c>
      <c r="CV238" s="2">
        <f t="shared" si="239"/>
        <v>0</v>
      </c>
      <c r="CW238" s="2">
        <f t="shared" si="239"/>
        <v>0</v>
      </c>
      <c r="CX238" s="2">
        <f t="shared" si="239"/>
        <v>0</v>
      </c>
      <c r="CY238" s="2">
        <f t="shared" si="240"/>
        <v>-0.40740000000000004</v>
      </c>
      <c r="CZ238" s="2">
        <f t="shared" si="241"/>
        <v>-0.21419999999999997</v>
      </c>
      <c r="DA238" s="2"/>
      <c r="DB238" s="2"/>
      <c r="DC238" s="2" t="s">
        <v>3</v>
      </c>
      <c r="DD238" s="2" t="s">
        <v>3</v>
      </c>
      <c r="DE238" s="2" t="s">
        <v>3</v>
      </c>
      <c r="DF238" s="2" t="s">
        <v>3</v>
      </c>
      <c r="DG238" s="2" t="s">
        <v>3</v>
      </c>
      <c r="DH238" s="2" t="s">
        <v>3</v>
      </c>
      <c r="DI238" s="2" t="s">
        <v>3</v>
      </c>
      <c r="DJ238" s="2" t="s">
        <v>3</v>
      </c>
      <c r="DK238" s="2" t="s">
        <v>3</v>
      </c>
      <c r="DL238" s="2" t="s">
        <v>3</v>
      </c>
      <c r="DM238" s="2" t="s">
        <v>3</v>
      </c>
      <c r="DN238" s="2">
        <v>0</v>
      </c>
      <c r="DO238" s="2">
        <v>0</v>
      </c>
      <c r="DP238" s="2">
        <v>1</v>
      </c>
      <c r="DQ238" s="2">
        <v>1</v>
      </c>
      <c r="DR238" s="2"/>
      <c r="DS238" s="2"/>
      <c r="DT238" s="2"/>
      <c r="DU238" s="2">
        <v>1011</v>
      </c>
      <c r="DV238" s="2" t="s">
        <v>29</v>
      </c>
      <c r="DW238" s="2" t="s">
        <v>29</v>
      </c>
      <c r="DX238" s="2">
        <v>1</v>
      </c>
      <c r="DY238" s="2"/>
      <c r="DZ238" s="2" t="s">
        <v>3</v>
      </c>
      <c r="EA238" s="2" t="s">
        <v>3</v>
      </c>
      <c r="EB238" s="2" t="s">
        <v>3</v>
      </c>
      <c r="EC238" s="2" t="s">
        <v>3</v>
      </c>
      <c r="ED238" s="2"/>
      <c r="EE238" s="2">
        <v>84053775</v>
      </c>
      <c r="EF238" s="2">
        <v>3</v>
      </c>
      <c r="EG238" s="2" t="s">
        <v>48</v>
      </c>
      <c r="EH238" s="2">
        <v>0</v>
      </c>
      <c r="EI238" s="2" t="s">
        <v>3</v>
      </c>
      <c r="EJ238" s="2">
        <v>2</v>
      </c>
      <c r="EK238" s="2">
        <v>108001</v>
      </c>
      <c r="EL238" s="2" t="s">
        <v>49</v>
      </c>
      <c r="EM238" s="2" t="s">
        <v>50</v>
      </c>
      <c r="EN238" s="2"/>
      <c r="EO238" s="2" t="s">
        <v>399</v>
      </c>
      <c r="EP238" s="2"/>
      <c r="EQ238" s="2">
        <v>0</v>
      </c>
      <c r="ER238" s="2">
        <v>1629.55</v>
      </c>
      <c r="ES238" s="2">
        <v>0</v>
      </c>
      <c r="ET238" s="2">
        <v>1629.55</v>
      </c>
      <c r="EU238" s="2">
        <v>969.91</v>
      </c>
      <c r="EV238" s="2">
        <v>0</v>
      </c>
      <c r="EW238" s="2">
        <v>0</v>
      </c>
      <c r="EX238" s="2">
        <v>0</v>
      </c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>
        <v>0</v>
      </c>
      <c r="FR238" s="2">
        <v>0</v>
      </c>
      <c r="FS238" s="2">
        <v>1</v>
      </c>
      <c r="FT238" s="2"/>
      <c r="FU238" s="2"/>
      <c r="FV238" s="2"/>
      <c r="FW238" s="2"/>
      <c r="FX238" s="2">
        <v>97</v>
      </c>
      <c r="FY238" s="2">
        <v>51</v>
      </c>
      <c r="FZ238" s="2"/>
      <c r="GA238" s="2" t="s">
        <v>3</v>
      </c>
      <c r="GB238" s="2"/>
      <c r="GC238" s="2"/>
      <c r="GD238" s="2">
        <v>1</v>
      </c>
      <c r="GE238" s="2"/>
      <c r="GF238" s="2">
        <v>639918019</v>
      </c>
      <c r="GG238" s="2">
        <v>2</v>
      </c>
      <c r="GH238" s="2">
        <v>1</v>
      </c>
      <c r="GI238" s="2">
        <v>-2</v>
      </c>
      <c r="GJ238" s="2">
        <v>0</v>
      </c>
      <c r="GK238" s="2">
        <v>0</v>
      </c>
      <c r="GL238" s="2">
        <f t="shared" si="206"/>
        <v>0</v>
      </c>
      <c r="GM238" s="2">
        <f t="shared" si="207"/>
        <v>-1.74</v>
      </c>
      <c r="GN238" s="2">
        <f t="shared" si="208"/>
        <v>0</v>
      </c>
      <c r="GO238" s="2">
        <f t="shared" si="209"/>
        <v>-1.74</v>
      </c>
      <c r="GP238" s="2">
        <f t="shared" si="210"/>
        <v>0</v>
      </c>
      <c r="GQ238" s="2"/>
      <c r="GR238" s="2">
        <v>0</v>
      </c>
      <c r="GS238" s="2">
        <v>7</v>
      </c>
      <c r="GT238" s="2">
        <v>0</v>
      </c>
      <c r="GU238" s="2" t="s">
        <v>3</v>
      </c>
      <c r="GV238" s="2">
        <f t="shared" si="211"/>
        <v>0</v>
      </c>
      <c r="GW238" s="2">
        <v>1</v>
      </c>
      <c r="GX238" s="2">
        <f t="shared" si="212"/>
        <v>0</v>
      </c>
      <c r="GY238" s="2"/>
      <c r="GZ238" s="2"/>
      <c r="HA238" s="2">
        <v>0</v>
      </c>
      <c r="HB238" s="2">
        <v>0</v>
      </c>
      <c r="HC238" s="2">
        <f t="shared" si="242"/>
        <v>0</v>
      </c>
      <c r="HD238" s="2"/>
      <c r="HE238" s="2" t="s">
        <v>3</v>
      </c>
      <c r="HF238" s="2" t="s">
        <v>3</v>
      </c>
      <c r="HG238" s="2"/>
      <c r="HH238" s="2"/>
      <c r="HI238" s="2"/>
      <c r="HJ238" s="2"/>
      <c r="HK238" s="2"/>
      <c r="HL238" s="2"/>
      <c r="HM238" s="2" t="s">
        <v>398</v>
      </c>
      <c r="HN238" s="2" t="s">
        <v>52</v>
      </c>
      <c r="HO238" s="2" t="s">
        <v>53</v>
      </c>
      <c r="HP238" s="2" t="s">
        <v>49</v>
      </c>
      <c r="HQ238" s="2" t="s">
        <v>49</v>
      </c>
      <c r="HR238" s="2"/>
      <c r="HS238" s="2">
        <v>0</v>
      </c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>
        <v>0</v>
      </c>
      <c r="IL238" s="2"/>
      <c r="IM238" s="2"/>
      <c r="IN238" s="2"/>
      <c r="IO238" s="2"/>
      <c r="IP238" s="2"/>
      <c r="IQ238" s="2"/>
      <c r="IR238" s="2"/>
      <c r="IS238" s="2"/>
      <c r="IT238" s="2"/>
      <c r="IU238" s="2"/>
    </row>
    <row r="239" spans="1:255" ht="409.5" x14ac:dyDescent="0.2">
      <c r="A239" s="2">
        <v>18</v>
      </c>
      <c r="B239" s="2">
        <v>1</v>
      </c>
      <c r="C239" s="2">
        <v>207</v>
      </c>
      <c r="D239" s="2"/>
      <c r="E239" s="2" t="s">
        <v>414</v>
      </c>
      <c r="F239" s="2" t="s">
        <v>127</v>
      </c>
      <c r="G239" s="2" t="s">
        <v>128</v>
      </c>
      <c r="H239" s="2" t="s">
        <v>29</v>
      </c>
      <c r="I239" s="2">
        <f>I235*J239</f>
        <v>-2.8800000000000001E-4</v>
      </c>
      <c r="J239" s="2">
        <v>-2.8799999999999999E-2</v>
      </c>
      <c r="K239" s="2">
        <v>-2.4E-2</v>
      </c>
      <c r="L239" s="2"/>
      <c r="M239" s="2"/>
      <c r="N239" s="2"/>
      <c r="O239" s="2">
        <f t="shared" si="237"/>
        <v>-0.4</v>
      </c>
      <c r="P239" s="2">
        <f>ROUND(CQ239*I239,2)</f>
        <v>0</v>
      </c>
      <c r="Q239" s="2">
        <f>ROUND(CR239*I239,2)</f>
        <v>-0.19</v>
      </c>
      <c r="R239" s="2">
        <f>ROUND(CS239*I239,2)</f>
        <v>-0.21</v>
      </c>
      <c r="S239" s="2">
        <f>ROUND(CT239*I239,2)</f>
        <v>0</v>
      </c>
      <c r="T239" s="2">
        <f t="shared" si="199"/>
        <v>0</v>
      </c>
      <c r="U239" s="2">
        <f>ROUND(CV239*I239,7)</f>
        <v>0</v>
      </c>
      <c r="V239" s="2">
        <f>ROUND(CW239*I239,7)</f>
        <v>0</v>
      </c>
      <c r="W239" s="2">
        <f t="shared" si="200"/>
        <v>0</v>
      </c>
      <c r="X239" s="2">
        <f t="shared" si="201"/>
        <v>-0.2</v>
      </c>
      <c r="Y239" s="2">
        <f t="shared" si="202"/>
        <v>-0.11</v>
      </c>
      <c r="Z239" s="2"/>
      <c r="AA239" s="2">
        <v>85997836</v>
      </c>
      <c r="AB239" s="2">
        <f t="shared" si="203"/>
        <v>643.29</v>
      </c>
      <c r="AC239" s="2">
        <f>ROUND((ES239),6)</f>
        <v>0</v>
      </c>
      <c r="AD239" s="2">
        <f>ROUND((((ET239)-(EU239))+AE239),6)</f>
        <v>643.29</v>
      </c>
      <c r="AE239" s="2">
        <f t="shared" si="235"/>
        <v>722.05</v>
      </c>
      <c r="AF239" s="2">
        <f t="shared" si="235"/>
        <v>0</v>
      </c>
      <c r="AG239" s="2">
        <f t="shared" si="204"/>
        <v>0</v>
      </c>
      <c r="AH239" s="2">
        <f t="shared" si="236"/>
        <v>0</v>
      </c>
      <c r="AI239" s="2">
        <f t="shared" si="236"/>
        <v>0</v>
      </c>
      <c r="AJ239" s="2">
        <f t="shared" si="205"/>
        <v>0</v>
      </c>
      <c r="AK239" s="2">
        <v>643.29</v>
      </c>
      <c r="AL239" s="2">
        <v>0</v>
      </c>
      <c r="AM239" s="2">
        <v>643.29</v>
      </c>
      <c r="AN239" s="2">
        <v>722.05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97</v>
      </c>
      <c r="AU239" s="2">
        <v>51</v>
      </c>
      <c r="AV239" s="2">
        <v>1</v>
      </c>
      <c r="AW239" s="2">
        <v>1</v>
      </c>
      <c r="AX239" s="2"/>
      <c r="AY239" s="2"/>
      <c r="AZ239" s="2">
        <v>1</v>
      </c>
      <c r="BA239" s="2">
        <v>1</v>
      </c>
      <c r="BB239" s="2">
        <v>1</v>
      </c>
      <c r="BC239" s="2">
        <v>1</v>
      </c>
      <c r="BD239" s="2" t="s">
        <v>3</v>
      </c>
      <c r="BE239" s="2" t="s">
        <v>3</v>
      </c>
      <c r="BF239" s="2" t="s">
        <v>3</v>
      </c>
      <c r="BG239" s="2" t="s">
        <v>3</v>
      </c>
      <c r="BH239" s="2">
        <v>2</v>
      </c>
      <c r="BI239" s="2">
        <v>2</v>
      </c>
      <c r="BJ239" s="2" t="s">
        <v>129</v>
      </c>
      <c r="BK239" s="2"/>
      <c r="BL239" s="2"/>
      <c r="BM239" s="2">
        <v>108001</v>
      </c>
      <c r="BN239" s="2">
        <v>0</v>
      </c>
      <c r="BO239" s="2" t="s">
        <v>3</v>
      </c>
      <c r="BP239" s="2">
        <v>0</v>
      </c>
      <c r="BQ239" s="2">
        <v>3</v>
      </c>
      <c r="BR239" s="2">
        <v>0</v>
      </c>
      <c r="BS239" s="2">
        <v>1</v>
      </c>
      <c r="BT239" s="2">
        <v>1</v>
      </c>
      <c r="BU239" s="2">
        <v>1</v>
      </c>
      <c r="BV239" s="2">
        <v>1</v>
      </c>
      <c r="BW239" s="2">
        <v>1</v>
      </c>
      <c r="BX239" s="2">
        <v>1</v>
      </c>
      <c r="BY239" s="2" t="s">
        <v>3</v>
      </c>
      <c r="BZ239" s="2">
        <v>97</v>
      </c>
      <c r="CA239" s="2">
        <v>51</v>
      </c>
      <c r="CB239" s="2" t="s">
        <v>3</v>
      </c>
      <c r="CC239" s="2"/>
      <c r="CD239" s="2"/>
      <c r="CE239" s="2">
        <v>0</v>
      </c>
      <c r="CF239" s="2">
        <v>0</v>
      </c>
      <c r="CG239" s="2">
        <v>0</v>
      </c>
      <c r="CH239" s="2"/>
      <c r="CI239" s="2"/>
      <c r="CJ239" s="2"/>
      <c r="CK239" s="2"/>
      <c r="CL239" s="2"/>
      <c r="CM239" s="2">
        <v>0</v>
      </c>
      <c r="CN239" s="7" t="s">
        <v>738</v>
      </c>
      <c r="CO239" s="2">
        <v>0</v>
      </c>
      <c r="CP239" s="2">
        <f t="shared" si="238"/>
        <v>-0.4</v>
      </c>
      <c r="CQ239" s="2">
        <f>ROUND(AL239*BC239,2)</f>
        <v>0</v>
      </c>
      <c r="CR239" s="2">
        <f>ROUND(AM239*BB239,2)</f>
        <v>643.29</v>
      </c>
      <c r="CS239" s="2">
        <f>ROUND(AN239*BS239,2)</f>
        <v>722.05</v>
      </c>
      <c r="CT239" s="2">
        <f>ROUND(AO239*BA239,2)</f>
        <v>0</v>
      </c>
      <c r="CU239" s="2">
        <f t="shared" si="239"/>
        <v>0</v>
      </c>
      <c r="CV239" s="2">
        <f t="shared" si="239"/>
        <v>0</v>
      </c>
      <c r="CW239" s="2">
        <f t="shared" si="239"/>
        <v>0</v>
      </c>
      <c r="CX239" s="2">
        <f t="shared" si="239"/>
        <v>0</v>
      </c>
      <c r="CY239" s="2">
        <f t="shared" si="240"/>
        <v>-0.20370000000000002</v>
      </c>
      <c r="CZ239" s="2">
        <f t="shared" si="241"/>
        <v>-0.10709999999999999</v>
      </c>
      <c r="DA239" s="2"/>
      <c r="DB239" s="2"/>
      <c r="DC239" s="2" t="s">
        <v>3</v>
      </c>
      <c r="DD239" s="2" t="s">
        <v>3</v>
      </c>
      <c r="DE239" s="2" t="s">
        <v>3</v>
      </c>
      <c r="DF239" s="2" t="s">
        <v>3</v>
      </c>
      <c r="DG239" s="2" t="s">
        <v>3</v>
      </c>
      <c r="DH239" s="2" t="s">
        <v>3</v>
      </c>
      <c r="DI239" s="2" t="s">
        <v>3</v>
      </c>
      <c r="DJ239" s="2" t="s">
        <v>3</v>
      </c>
      <c r="DK239" s="2" t="s">
        <v>3</v>
      </c>
      <c r="DL239" s="2" t="s">
        <v>3</v>
      </c>
      <c r="DM239" s="2" t="s">
        <v>3</v>
      </c>
      <c r="DN239" s="2">
        <v>0</v>
      </c>
      <c r="DO239" s="2">
        <v>0</v>
      </c>
      <c r="DP239" s="2">
        <v>1</v>
      </c>
      <c r="DQ239" s="2">
        <v>1</v>
      </c>
      <c r="DR239" s="2"/>
      <c r="DS239" s="2"/>
      <c r="DT239" s="2"/>
      <c r="DU239" s="2">
        <v>1011</v>
      </c>
      <c r="DV239" s="2" t="s">
        <v>29</v>
      </c>
      <c r="DW239" s="2" t="s">
        <v>29</v>
      </c>
      <c r="DX239" s="2">
        <v>1</v>
      </c>
      <c r="DY239" s="2"/>
      <c r="DZ239" s="2" t="s">
        <v>3</v>
      </c>
      <c r="EA239" s="2" t="s">
        <v>3</v>
      </c>
      <c r="EB239" s="2" t="s">
        <v>3</v>
      </c>
      <c r="EC239" s="2" t="s">
        <v>3</v>
      </c>
      <c r="ED239" s="2"/>
      <c r="EE239" s="2">
        <v>84053775</v>
      </c>
      <c r="EF239" s="2">
        <v>3</v>
      </c>
      <c r="EG239" s="2" t="s">
        <v>48</v>
      </c>
      <c r="EH239" s="2">
        <v>0</v>
      </c>
      <c r="EI239" s="2" t="s">
        <v>3</v>
      </c>
      <c r="EJ239" s="2">
        <v>2</v>
      </c>
      <c r="EK239" s="2">
        <v>108001</v>
      </c>
      <c r="EL239" s="2" t="s">
        <v>49</v>
      </c>
      <c r="EM239" s="2" t="s">
        <v>50</v>
      </c>
      <c r="EN239" s="2"/>
      <c r="EO239" s="2" t="s">
        <v>399</v>
      </c>
      <c r="EP239" s="2"/>
      <c r="EQ239" s="2">
        <v>0</v>
      </c>
      <c r="ER239" s="2">
        <v>643.29</v>
      </c>
      <c r="ES239" s="2">
        <v>0</v>
      </c>
      <c r="ET239" s="2">
        <v>643.29</v>
      </c>
      <c r="EU239" s="2">
        <v>722.05</v>
      </c>
      <c r="EV239" s="2">
        <v>0</v>
      </c>
      <c r="EW239" s="2">
        <v>0</v>
      </c>
      <c r="EX239" s="2">
        <v>0</v>
      </c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>
        <v>0</v>
      </c>
      <c r="FR239" s="2">
        <v>0</v>
      </c>
      <c r="FS239" s="2">
        <v>1</v>
      </c>
      <c r="FT239" s="2"/>
      <c r="FU239" s="2"/>
      <c r="FV239" s="2"/>
      <c r="FW239" s="2"/>
      <c r="FX239" s="2">
        <v>97</v>
      </c>
      <c r="FY239" s="2">
        <v>51</v>
      </c>
      <c r="FZ239" s="2"/>
      <c r="GA239" s="2" t="s">
        <v>3</v>
      </c>
      <c r="GB239" s="2"/>
      <c r="GC239" s="2"/>
      <c r="GD239" s="2">
        <v>1</v>
      </c>
      <c r="GE239" s="2"/>
      <c r="GF239" s="2">
        <v>-849950259</v>
      </c>
      <c r="GG239" s="2">
        <v>2</v>
      </c>
      <c r="GH239" s="2">
        <v>1</v>
      </c>
      <c r="GI239" s="2">
        <v>-2</v>
      </c>
      <c r="GJ239" s="2">
        <v>0</v>
      </c>
      <c r="GK239" s="2">
        <v>0</v>
      </c>
      <c r="GL239" s="2">
        <f t="shared" si="206"/>
        <v>0</v>
      </c>
      <c r="GM239" s="2">
        <f t="shared" si="207"/>
        <v>-0.71</v>
      </c>
      <c r="GN239" s="2">
        <f t="shared" si="208"/>
        <v>0</v>
      </c>
      <c r="GO239" s="2">
        <f t="shared" si="209"/>
        <v>-0.71</v>
      </c>
      <c r="GP239" s="2">
        <f t="shared" si="210"/>
        <v>0</v>
      </c>
      <c r="GQ239" s="2"/>
      <c r="GR239" s="2">
        <v>0</v>
      </c>
      <c r="GS239" s="2">
        <v>7</v>
      </c>
      <c r="GT239" s="2">
        <v>0</v>
      </c>
      <c r="GU239" s="2" t="s">
        <v>3</v>
      </c>
      <c r="GV239" s="2">
        <f t="shared" si="211"/>
        <v>0</v>
      </c>
      <c r="GW239" s="2">
        <v>1</v>
      </c>
      <c r="GX239" s="2">
        <f t="shared" si="212"/>
        <v>0</v>
      </c>
      <c r="GY239" s="2"/>
      <c r="GZ239" s="2"/>
      <c r="HA239" s="2">
        <v>0</v>
      </c>
      <c r="HB239" s="2">
        <v>0</v>
      </c>
      <c r="HC239" s="2">
        <f t="shared" si="242"/>
        <v>0</v>
      </c>
      <c r="HD239" s="2"/>
      <c r="HE239" s="2" t="s">
        <v>3</v>
      </c>
      <c r="HF239" s="2" t="s">
        <v>3</v>
      </c>
      <c r="HG239" s="2"/>
      <c r="HH239" s="2"/>
      <c r="HI239" s="2"/>
      <c r="HJ239" s="2"/>
      <c r="HK239" s="2"/>
      <c r="HL239" s="2"/>
      <c r="HM239" s="2" t="s">
        <v>398</v>
      </c>
      <c r="HN239" s="2" t="s">
        <v>52</v>
      </c>
      <c r="HO239" s="2" t="s">
        <v>53</v>
      </c>
      <c r="HP239" s="2" t="s">
        <v>49</v>
      </c>
      <c r="HQ239" s="2" t="s">
        <v>49</v>
      </c>
      <c r="HR239" s="2"/>
      <c r="HS239" s="2">
        <v>0</v>
      </c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>
        <v>0</v>
      </c>
      <c r="IL239" s="2"/>
      <c r="IM239" s="2"/>
      <c r="IN239" s="2"/>
      <c r="IO239" s="2"/>
      <c r="IP239" s="2"/>
      <c r="IQ239" s="2"/>
      <c r="IR239" s="2"/>
      <c r="IS239" s="2"/>
      <c r="IT239" s="2"/>
      <c r="IU239" s="2"/>
    </row>
    <row r="240" spans="1:255" ht="409.5" x14ac:dyDescent="0.2">
      <c r="A240" s="2">
        <v>17</v>
      </c>
      <c r="B240" s="2">
        <v>1</v>
      </c>
      <c r="C240" s="2">
        <f>ROW(SmtRes!A217)</f>
        <v>217</v>
      </c>
      <c r="D240" s="2">
        <f>ROW(EtalonRes!A196)</f>
        <v>196</v>
      </c>
      <c r="E240" s="2" t="s">
        <v>415</v>
      </c>
      <c r="F240" s="2" t="s">
        <v>416</v>
      </c>
      <c r="G240" s="2" t="s">
        <v>417</v>
      </c>
      <c r="H240" s="2" t="s">
        <v>311</v>
      </c>
      <c r="I240" s="2">
        <f>ROUND(((0.04+0.12+0.04)*30)/100,7)</f>
        <v>0.06</v>
      </c>
      <c r="J240" s="2">
        <v>0</v>
      </c>
      <c r="K240" s="2">
        <f>ROUND(((0.04+0.12+0.04)*30)/100,7)</f>
        <v>0.06</v>
      </c>
      <c r="L240" s="2"/>
      <c r="M240" s="2"/>
      <c r="N240" s="2"/>
      <c r="O240" s="2">
        <f t="shared" si="237"/>
        <v>979.83</v>
      </c>
      <c r="P240" s="2">
        <f>SUMIF(SmtRes!AQ212:'SmtRes'!AQ217,"=1",SmtRes!DF212:'SmtRes'!DF217)</f>
        <v>1.04</v>
      </c>
      <c r="Q240" s="2">
        <f>SUMIF(SmtRes!AQ212:'SmtRes'!AQ217,"=1",SmtRes!DG212:'SmtRes'!DG217)</f>
        <v>1.21</v>
      </c>
      <c r="R240" s="2">
        <f>SUMIF(SmtRes!AQ212:'SmtRes'!AQ217,"=1",SmtRes!DH212:'SmtRes'!DH217)</f>
        <v>1.88</v>
      </c>
      <c r="S240" s="2">
        <f>SUMIF(SmtRes!AQ212:'SmtRes'!AQ217,"=1",SmtRes!DI212:'SmtRes'!DI217)</f>
        <v>975.7</v>
      </c>
      <c r="T240" s="2">
        <f t="shared" si="199"/>
        <v>0</v>
      </c>
      <c r="U240" s="2">
        <f>SUMIF(SmtRes!AQ212:'SmtRes'!AQ217,"=1",SmtRes!CV212:'SmtRes'!CV217)</f>
        <v>1.3512960000000001</v>
      </c>
      <c r="V240" s="2">
        <f>SUMIF(SmtRes!AQ212:'SmtRes'!AQ217,"=1",SmtRes!CW212:'SmtRes'!CW217)</f>
        <v>2.7000000000000001E-3</v>
      </c>
      <c r="W240" s="2">
        <f t="shared" si="200"/>
        <v>0</v>
      </c>
      <c r="X240" s="2">
        <f t="shared" si="201"/>
        <v>977.58</v>
      </c>
      <c r="Y240" s="2">
        <f t="shared" si="202"/>
        <v>407.16</v>
      </c>
      <c r="Z240" s="2"/>
      <c r="AA240" s="2">
        <v>85997836</v>
      </c>
      <c r="AB240" s="2">
        <f t="shared" si="203"/>
        <v>16292.80178</v>
      </c>
      <c r="AC240" s="2">
        <f>ROUND((SUM(SmtRes!BQ212:'SmtRes'!BQ217)),6)</f>
        <v>11.222</v>
      </c>
      <c r="AD240" s="2">
        <f>ROUND((((SUM(SmtRes!BR212:'SmtRes'!BR217))-(SUM(SmtRes!BS212:'SmtRes'!BS217)))+AE240),6)</f>
        <v>19.858499999999999</v>
      </c>
      <c r="AE240" s="2">
        <f>ROUND((SUM(SmtRes!BS212:'SmtRes'!BS217)),6)</f>
        <v>31.279800000000002</v>
      </c>
      <c r="AF240" s="2">
        <f>ROUND((SUM(SmtRes!BT212:'SmtRes'!BT217)),6)</f>
        <v>16261.72128</v>
      </c>
      <c r="AG240" s="2">
        <f t="shared" si="204"/>
        <v>0</v>
      </c>
      <c r="AH240" s="2">
        <f>(SUM(SmtRes!BU212:'SmtRes'!BU217))</f>
        <v>22.521599999999999</v>
      </c>
      <c r="AI240" s="2">
        <f>(SUM(SmtRes!BV212:'SmtRes'!BV217))</f>
        <v>4.4999999999999998E-2</v>
      </c>
      <c r="AJ240" s="2">
        <f t="shared" si="205"/>
        <v>0</v>
      </c>
      <c r="AK240" s="2">
        <v>11829.170199999999</v>
      </c>
      <c r="AL240" s="2">
        <v>11.222000000000001</v>
      </c>
      <c r="AM240" s="2">
        <v>13.239000000000001</v>
      </c>
      <c r="AN240" s="2">
        <v>20.853200000000001</v>
      </c>
      <c r="AO240" s="2">
        <v>11783.856</v>
      </c>
      <c r="AP240" s="2">
        <v>0</v>
      </c>
      <c r="AQ240" s="2">
        <v>16.32</v>
      </c>
      <c r="AR240" s="2">
        <v>0.03</v>
      </c>
      <c r="AS240" s="2">
        <v>0</v>
      </c>
      <c r="AT240" s="2">
        <v>100</v>
      </c>
      <c r="AU240" s="2">
        <v>41.65</v>
      </c>
      <c r="AV240" s="2">
        <v>1</v>
      </c>
      <c r="AW240" s="2">
        <v>1</v>
      </c>
      <c r="AX240" s="2"/>
      <c r="AY240" s="2"/>
      <c r="AZ240" s="2">
        <v>1</v>
      </c>
      <c r="BA240" s="2">
        <v>1</v>
      </c>
      <c r="BB240" s="2">
        <v>1</v>
      </c>
      <c r="BC240" s="2">
        <v>1</v>
      </c>
      <c r="BD240" s="2" t="s">
        <v>3</v>
      </c>
      <c r="BE240" s="2" t="s">
        <v>3</v>
      </c>
      <c r="BF240" s="2" t="s">
        <v>3</v>
      </c>
      <c r="BG240" s="2" t="s">
        <v>3</v>
      </c>
      <c r="BH240" s="2">
        <v>0</v>
      </c>
      <c r="BI240" s="2">
        <v>1</v>
      </c>
      <c r="BJ240" s="2" t="s">
        <v>418</v>
      </c>
      <c r="BK240" s="2"/>
      <c r="BL240" s="2"/>
      <c r="BM240" s="2">
        <v>15001</v>
      </c>
      <c r="BN240" s="2">
        <v>0</v>
      </c>
      <c r="BO240" s="2" t="s">
        <v>3</v>
      </c>
      <c r="BP240" s="2">
        <v>0</v>
      </c>
      <c r="BQ240" s="2">
        <v>2</v>
      </c>
      <c r="BR240" s="2">
        <v>0</v>
      </c>
      <c r="BS240" s="2">
        <v>1</v>
      </c>
      <c r="BT240" s="2">
        <v>1</v>
      </c>
      <c r="BU240" s="2">
        <v>1</v>
      </c>
      <c r="BV240" s="2">
        <v>1</v>
      </c>
      <c r="BW240" s="2">
        <v>1</v>
      </c>
      <c r="BX240" s="2">
        <v>1</v>
      </c>
      <c r="BY240" s="2" t="s">
        <v>3</v>
      </c>
      <c r="BZ240" s="2">
        <v>100</v>
      </c>
      <c r="CA240" s="2">
        <v>49</v>
      </c>
      <c r="CB240" s="2" t="s">
        <v>3</v>
      </c>
      <c r="CC240" s="2"/>
      <c r="CD240" s="2"/>
      <c r="CE240" s="2">
        <v>0</v>
      </c>
      <c r="CF240" s="2">
        <v>0</v>
      </c>
      <c r="CG240" s="2">
        <v>0</v>
      </c>
      <c r="CH240" s="2"/>
      <c r="CI240" s="2"/>
      <c r="CJ240" s="2"/>
      <c r="CK240" s="2"/>
      <c r="CL240" s="2"/>
      <c r="CM240" s="2">
        <v>0</v>
      </c>
      <c r="CN240" s="7" t="s">
        <v>737</v>
      </c>
      <c r="CO240" s="2">
        <v>0</v>
      </c>
      <c r="CP240" s="2">
        <f t="shared" si="238"/>
        <v>979.83</v>
      </c>
      <c r="CQ240" s="2">
        <f>SUMIF(SmtRes!AQ212:'SmtRes'!AQ217,"=1",SmtRes!AA212:'SmtRes'!AA217)</f>
        <v>86.41</v>
      </c>
      <c r="CR240" s="2">
        <f>SUMIF(SmtRes!AQ212:'SmtRes'!AQ217,"=1",SmtRes!AB212:'SmtRes'!AB217)</f>
        <v>700.76</v>
      </c>
      <c r="CS240" s="2">
        <f>SUMIF(SmtRes!AQ212:'SmtRes'!AQ217,"=1",SmtRes!AC212:'SmtRes'!AC217)</f>
        <v>1363.27</v>
      </c>
      <c r="CT240" s="2">
        <f>SUMIF(SmtRes!AQ212:'SmtRes'!AQ217,"=1",SmtRes!AD212:'SmtRes'!AD217)</f>
        <v>722.05</v>
      </c>
      <c r="CU240" s="2">
        <f t="shared" ref="CU240:CU254" si="243">AG240</f>
        <v>0</v>
      </c>
      <c r="CV240" s="2">
        <f>SUMIF(SmtRes!AQ212:'SmtRes'!AQ217,"=1",SmtRes!BU212:'SmtRes'!BU217)</f>
        <v>22.521599999999999</v>
      </c>
      <c r="CW240" s="2">
        <f>SUMIF(SmtRes!AQ212:'SmtRes'!AQ217,"=1",SmtRes!BV212:'SmtRes'!BV217)</f>
        <v>4.4999999999999998E-2</v>
      </c>
      <c r="CX240" s="2">
        <f t="shared" ref="CX240:CX254" si="244">AJ240</f>
        <v>0</v>
      </c>
      <c r="CY240" s="2">
        <f t="shared" si="240"/>
        <v>977.58</v>
      </c>
      <c r="CZ240" s="2">
        <f t="shared" si="241"/>
        <v>407.16207000000003</v>
      </c>
      <c r="DA240" s="2"/>
      <c r="DB240" s="2">
        <v>2</v>
      </c>
      <c r="DC240" s="2" t="s">
        <v>3</v>
      </c>
      <c r="DD240" s="2" t="s">
        <v>3</v>
      </c>
      <c r="DE240" s="2" t="s">
        <v>329</v>
      </c>
      <c r="DF240" s="2" t="s">
        <v>329</v>
      </c>
      <c r="DG240" s="2" t="s">
        <v>330</v>
      </c>
      <c r="DH240" s="2" t="s">
        <v>3</v>
      </c>
      <c r="DI240" s="2" t="s">
        <v>330</v>
      </c>
      <c r="DJ240" s="2" t="s">
        <v>329</v>
      </c>
      <c r="DK240" s="2" t="s">
        <v>3</v>
      </c>
      <c r="DL240" s="2" t="s">
        <v>3</v>
      </c>
      <c r="DM240" s="2" t="s">
        <v>269</v>
      </c>
      <c r="DN240" s="2">
        <v>0</v>
      </c>
      <c r="DO240" s="2">
        <v>0</v>
      </c>
      <c r="DP240" s="2">
        <v>1</v>
      </c>
      <c r="DQ240" s="2">
        <v>1</v>
      </c>
      <c r="DR240" s="2"/>
      <c r="DS240" s="2"/>
      <c r="DT240" s="2"/>
      <c r="DU240" s="2">
        <v>1005</v>
      </c>
      <c r="DV240" s="2" t="s">
        <v>311</v>
      </c>
      <c r="DW240" s="2" t="s">
        <v>311</v>
      </c>
      <c r="DX240" s="2">
        <v>100</v>
      </c>
      <c r="DY240" s="2"/>
      <c r="DZ240" s="2" t="s">
        <v>3</v>
      </c>
      <c r="EA240" s="2" t="s">
        <v>3</v>
      </c>
      <c r="EB240" s="2" t="s">
        <v>3</v>
      </c>
      <c r="EC240" s="2" t="s">
        <v>3</v>
      </c>
      <c r="ED240" s="2"/>
      <c r="EE240" s="2">
        <v>84053924</v>
      </c>
      <c r="EF240" s="2">
        <v>2</v>
      </c>
      <c r="EG240" s="2" t="s">
        <v>270</v>
      </c>
      <c r="EH240" s="2">
        <v>15</v>
      </c>
      <c r="EI240" s="2" t="s">
        <v>419</v>
      </c>
      <c r="EJ240" s="2">
        <v>1</v>
      </c>
      <c r="EK240" s="2">
        <v>15001</v>
      </c>
      <c r="EL240" s="2" t="s">
        <v>419</v>
      </c>
      <c r="EM240" s="2" t="s">
        <v>420</v>
      </c>
      <c r="EN240" s="2"/>
      <c r="EO240" s="2" t="s">
        <v>333</v>
      </c>
      <c r="EP240" s="2"/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16.32</v>
      </c>
      <c r="EX240" s="2">
        <v>0.03</v>
      </c>
      <c r="EY240" s="2">
        <v>0</v>
      </c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>
        <v>0</v>
      </c>
      <c r="FR240" s="2">
        <v>0</v>
      </c>
      <c r="FS240" s="2">
        <v>0</v>
      </c>
      <c r="FT240" s="2"/>
      <c r="FU240" s="2"/>
      <c r="FV240" s="2"/>
      <c r="FW240" s="2"/>
      <c r="FX240" s="2">
        <v>100</v>
      </c>
      <c r="FY240" s="2">
        <v>41.65</v>
      </c>
      <c r="FZ240" s="2"/>
      <c r="GA240" s="2" t="s">
        <v>3</v>
      </c>
      <c r="GB240" s="2"/>
      <c r="GC240" s="2"/>
      <c r="GD240" s="2">
        <v>1</v>
      </c>
      <c r="GE240" s="2"/>
      <c r="GF240" s="2">
        <v>-407858546</v>
      </c>
      <c r="GG240" s="2">
        <v>2</v>
      </c>
      <c r="GH240" s="2">
        <v>1</v>
      </c>
      <c r="GI240" s="2">
        <v>-2</v>
      </c>
      <c r="GJ240" s="2">
        <v>0</v>
      </c>
      <c r="GK240" s="2">
        <v>0</v>
      </c>
      <c r="GL240" s="2">
        <f t="shared" si="206"/>
        <v>0</v>
      </c>
      <c r="GM240" s="2">
        <f t="shared" si="207"/>
        <v>2364.5700000000002</v>
      </c>
      <c r="GN240" s="2">
        <f t="shared" si="208"/>
        <v>2364.5700000000002</v>
      </c>
      <c r="GO240" s="2">
        <f t="shared" si="209"/>
        <v>0</v>
      </c>
      <c r="GP240" s="2">
        <f t="shared" si="210"/>
        <v>0</v>
      </c>
      <c r="GQ240" s="2"/>
      <c r="GR240" s="2">
        <v>0</v>
      </c>
      <c r="GS240" s="2">
        <v>3</v>
      </c>
      <c r="GT240" s="2">
        <v>0</v>
      </c>
      <c r="GU240" s="2" t="s">
        <v>3</v>
      </c>
      <c r="GV240" s="2">
        <f t="shared" si="211"/>
        <v>0</v>
      </c>
      <c r="GW240" s="2">
        <v>1</v>
      </c>
      <c r="GX240" s="2">
        <f t="shared" si="212"/>
        <v>0</v>
      </c>
      <c r="GY240" s="2"/>
      <c r="GZ240" s="2"/>
      <c r="HA240" s="2">
        <v>0</v>
      </c>
      <c r="HB240" s="2">
        <v>0</v>
      </c>
      <c r="HC240" s="2">
        <f t="shared" si="242"/>
        <v>0</v>
      </c>
      <c r="HD240" s="2"/>
      <c r="HE240" s="2" t="s">
        <v>3</v>
      </c>
      <c r="HF240" s="2" t="s">
        <v>3</v>
      </c>
      <c r="HG240" s="2"/>
      <c r="HH240" s="2"/>
      <c r="HI240" s="2"/>
      <c r="HJ240" s="2"/>
      <c r="HK240" s="2"/>
      <c r="HL240" s="2"/>
      <c r="HM240" s="2" t="s">
        <v>3</v>
      </c>
      <c r="HN240" s="2" t="s">
        <v>421</v>
      </c>
      <c r="HO240" s="2" t="s">
        <v>422</v>
      </c>
      <c r="HP240" s="2" t="s">
        <v>419</v>
      </c>
      <c r="HQ240" s="2" t="s">
        <v>419</v>
      </c>
      <c r="HR240" s="2"/>
      <c r="HS240" s="2">
        <v>0</v>
      </c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>
        <v>0</v>
      </c>
      <c r="IL240" s="2"/>
      <c r="IM240" s="2"/>
      <c r="IN240" s="2"/>
      <c r="IO240" s="2"/>
      <c r="IP240" s="2"/>
      <c r="IQ240" s="2"/>
      <c r="IR240" s="2"/>
      <c r="IS240" s="2"/>
      <c r="IT240" s="2"/>
      <c r="IU240" s="2"/>
    </row>
    <row r="241" spans="1:255" x14ac:dyDescent="0.2">
      <c r="A241" s="2">
        <v>18</v>
      </c>
      <c r="B241" s="2">
        <v>1</v>
      </c>
      <c r="C241" s="2">
        <v>217</v>
      </c>
      <c r="D241" s="2"/>
      <c r="E241" s="2" t="s">
        <v>423</v>
      </c>
      <c r="F241" s="2" t="s">
        <v>424</v>
      </c>
      <c r="G241" s="2" t="s">
        <v>425</v>
      </c>
      <c r="H241" s="2" t="s">
        <v>170</v>
      </c>
      <c r="I241" s="2">
        <f>I240*J241</f>
        <v>1.2</v>
      </c>
      <c r="J241" s="2">
        <v>20</v>
      </c>
      <c r="K241" s="2">
        <v>20</v>
      </c>
      <c r="L241" s="2"/>
      <c r="M241" s="2"/>
      <c r="N241" s="2"/>
      <c r="O241" s="2">
        <f t="shared" si="237"/>
        <v>216.18</v>
      </c>
      <c r="P241" s="2">
        <f>ROUND(CQ241*I241,2)</f>
        <v>216.18</v>
      </c>
      <c r="Q241" s="2">
        <f>ROUND(CR241*I241,2)</f>
        <v>0</v>
      </c>
      <c r="R241" s="2">
        <f>ROUND(CS241*I241,2)</f>
        <v>0</v>
      </c>
      <c r="S241" s="2">
        <f>ROUND(CT241*I241,2)</f>
        <v>0</v>
      </c>
      <c r="T241" s="2">
        <f t="shared" si="199"/>
        <v>0</v>
      </c>
      <c r="U241" s="2">
        <f>ROUND(CV241*I241,7)</f>
        <v>0</v>
      </c>
      <c r="V241" s="2">
        <f>ROUND(CW241*I241,7)</f>
        <v>0</v>
      </c>
      <c r="W241" s="2">
        <f t="shared" si="200"/>
        <v>0</v>
      </c>
      <c r="X241" s="2">
        <f t="shared" si="201"/>
        <v>0</v>
      </c>
      <c r="Y241" s="2">
        <f t="shared" si="202"/>
        <v>0</v>
      </c>
      <c r="Z241" s="2"/>
      <c r="AA241" s="2">
        <v>85997836</v>
      </c>
      <c r="AB241" s="2">
        <f t="shared" si="203"/>
        <v>144.12</v>
      </c>
      <c r="AC241" s="2">
        <f>ROUND((ES241),6)</f>
        <v>144.12</v>
      </c>
      <c r="AD241" s="2">
        <f>ROUND((((ET241)-(EU241))+AE241),6)</f>
        <v>0</v>
      </c>
      <c r="AE241" s="2">
        <f>ROUND((EU241),6)</f>
        <v>0</v>
      </c>
      <c r="AF241" s="2">
        <f>ROUND((EV241),6)</f>
        <v>0</v>
      </c>
      <c r="AG241" s="2">
        <f t="shared" si="204"/>
        <v>0</v>
      </c>
      <c r="AH241" s="2">
        <f>(EW241)</f>
        <v>0</v>
      </c>
      <c r="AI241" s="2">
        <f>(EX241)</f>
        <v>0</v>
      </c>
      <c r="AJ241" s="2">
        <f t="shared" si="205"/>
        <v>0</v>
      </c>
      <c r="AK241" s="2">
        <v>144.12</v>
      </c>
      <c r="AL241" s="2">
        <v>144.12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100</v>
      </c>
      <c r="AU241" s="2">
        <v>49</v>
      </c>
      <c r="AV241" s="2">
        <v>1</v>
      </c>
      <c r="AW241" s="2">
        <v>1</v>
      </c>
      <c r="AX241" s="2"/>
      <c r="AY241" s="2"/>
      <c r="AZ241" s="2">
        <v>1</v>
      </c>
      <c r="BA241" s="2">
        <v>1</v>
      </c>
      <c r="BB241" s="2">
        <v>1</v>
      </c>
      <c r="BC241" s="2">
        <v>1.25</v>
      </c>
      <c r="BD241" s="2" t="s">
        <v>3</v>
      </c>
      <c r="BE241" s="2" t="s">
        <v>3</v>
      </c>
      <c r="BF241" s="2" t="s">
        <v>3</v>
      </c>
      <c r="BG241" s="2" t="s">
        <v>3</v>
      </c>
      <c r="BH241" s="2">
        <v>3</v>
      </c>
      <c r="BI241" s="2">
        <v>1</v>
      </c>
      <c r="BJ241" s="2" t="s">
        <v>426</v>
      </c>
      <c r="BK241" s="2"/>
      <c r="BL241" s="2"/>
      <c r="BM241" s="2">
        <v>15001</v>
      </c>
      <c r="BN241" s="2">
        <v>0</v>
      </c>
      <c r="BO241" s="2" t="s">
        <v>424</v>
      </c>
      <c r="BP241" s="2">
        <v>1</v>
      </c>
      <c r="BQ241" s="2">
        <v>2</v>
      </c>
      <c r="BR241" s="2">
        <v>0</v>
      </c>
      <c r="BS241" s="2">
        <v>1</v>
      </c>
      <c r="BT241" s="2">
        <v>1</v>
      </c>
      <c r="BU241" s="2">
        <v>1</v>
      </c>
      <c r="BV241" s="2">
        <v>1</v>
      </c>
      <c r="BW241" s="2">
        <v>1</v>
      </c>
      <c r="BX241" s="2">
        <v>1</v>
      </c>
      <c r="BY241" s="2" t="s">
        <v>3</v>
      </c>
      <c r="BZ241" s="2">
        <v>100</v>
      </c>
      <c r="CA241" s="2">
        <v>49</v>
      </c>
      <c r="CB241" s="2" t="s">
        <v>3</v>
      </c>
      <c r="CC241" s="2"/>
      <c r="CD241" s="2"/>
      <c r="CE241" s="2">
        <v>0</v>
      </c>
      <c r="CF241" s="2">
        <v>0</v>
      </c>
      <c r="CG241" s="2">
        <v>0</v>
      </c>
      <c r="CH241" s="2"/>
      <c r="CI241" s="2"/>
      <c r="CJ241" s="2"/>
      <c r="CK241" s="2"/>
      <c r="CL241" s="2"/>
      <c r="CM241" s="2">
        <v>0</v>
      </c>
      <c r="CN241" s="2" t="s">
        <v>3</v>
      </c>
      <c r="CO241" s="2">
        <v>0</v>
      </c>
      <c r="CP241" s="2">
        <f t="shared" si="238"/>
        <v>216.18</v>
      </c>
      <c r="CQ241" s="2">
        <f>ROUND(AL241*BC241,2)</f>
        <v>180.15</v>
      </c>
      <c r="CR241" s="2">
        <f>ROUND(AM241*BB241,2)</f>
        <v>0</v>
      </c>
      <c r="CS241" s="2">
        <f>ROUND(AN241*BS241,2)</f>
        <v>0</v>
      </c>
      <c r="CT241" s="2">
        <f>ROUND(AO241*BA241,2)</f>
        <v>0</v>
      </c>
      <c r="CU241" s="2">
        <f t="shared" si="243"/>
        <v>0</v>
      </c>
      <c r="CV241" s="2">
        <f>AH241</f>
        <v>0</v>
      </c>
      <c r="CW241" s="2">
        <f>AI241</f>
        <v>0</v>
      </c>
      <c r="CX241" s="2">
        <f t="shared" si="244"/>
        <v>0</v>
      </c>
      <c r="CY241" s="2">
        <f t="shared" si="240"/>
        <v>0</v>
      </c>
      <c r="CZ241" s="2">
        <f t="shared" si="241"/>
        <v>0</v>
      </c>
      <c r="DA241" s="2"/>
      <c r="DB241" s="2"/>
      <c r="DC241" s="2" t="s">
        <v>3</v>
      </c>
      <c r="DD241" s="2" t="s">
        <v>3</v>
      </c>
      <c r="DE241" s="2" t="s">
        <v>3</v>
      </c>
      <c r="DF241" s="2" t="s">
        <v>3</v>
      </c>
      <c r="DG241" s="2" t="s">
        <v>3</v>
      </c>
      <c r="DH241" s="2" t="s">
        <v>3</v>
      </c>
      <c r="DI241" s="2" t="s">
        <v>3</v>
      </c>
      <c r="DJ241" s="2" t="s">
        <v>3</v>
      </c>
      <c r="DK241" s="2" t="s">
        <v>3</v>
      </c>
      <c r="DL241" s="2" t="s">
        <v>3</v>
      </c>
      <c r="DM241" s="2" t="s">
        <v>3</v>
      </c>
      <c r="DN241" s="2">
        <v>0</v>
      </c>
      <c r="DO241" s="2">
        <v>0</v>
      </c>
      <c r="DP241" s="2">
        <v>1</v>
      </c>
      <c r="DQ241" s="2">
        <v>1</v>
      </c>
      <c r="DR241" s="2"/>
      <c r="DS241" s="2"/>
      <c r="DT241" s="2"/>
      <c r="DU241" s="2">
        <v>1009</v>
      </c>
      <c r="DV241" s="2" t="s">
        <v>170</v>
      </c>
      <c r="DW241" s="2" t="s">
        <v>170</v>
      </c>
      <c r="DX241" s="2">
        <v>1</v>
      </c>
      <c r="DY241" s="2"/>
      <c r="DZ241" s="2" t="s">
        <v>3</v>
      </c>
      <c r="EA241" s="2" t="s">
        <v>3</v>
      </c>
      <c r="EB241" s="2" t="s">
        <v>3</v>
      </c>
      <c r="EC241" s="2" t="s">
        <v>3</v>
      </c>
      <c r="ED241" s="2"/>
      <c r="EE241" s="2">
        <v>84053924</v>
      </c>
      <c r="EF241" s="2">
        <v>2</v>
      </c>
      <c r="EG241" s="2" t="s">
        <v>270</v>
      </c>
      <c r="EH241" s="2">
        <v>15</v>
      </c>
      <c r="EI241" s="2" t="s">
        <v>419</v>
      </c>
      <c r="EJ241" s="2">
        <v>1</v>
      </c>
      <c r="EK241" s="2">
        <v>15001</v>
      </c>
      <c r="EL241" s="2" t="s">
        <v>419</v>
      </c>
      <c r="EM241" s="2" t="s">
        <v>420</v>
      </c>
      <c r="EN241" s="2"/>
      <c r="EO241" s="2" t="s">
        <v>3</v>
      </c>
      <c r="EP241" s="2"/>
      <c r="EQ241" s="2">
        <v>0</v>
      </c>
      <c r="ER241" s="2">
        <v>144.12</v>
      </c>
      <c r="ES241" s="2">
        <v>144.12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>
        <v>0</v>
      </c>
      <c r="FR241" s="2">
        <v>0</v>
      </c>
      <c r="FS241" s="2">
        <v>0</v>
      </c>
      <c r="FT241" s="2"/>
      <c r="FU241" s="2"/>
      <c r="FV241" s="2"/>
      <c r="FW241" s="2"/>
      <c r="FX241" s="2">
        <v>100</v>
      </c>
      <c r="FY241" s="2">
        <v>49</v>
      </c>
      <c r="FZ241" s="2"/>
      <c r="GA241" s="2" t="s">
        <v>3</v>
      </c>
      <c r="GB241" s="2"/>
      <c r="GC241" s="2"/>
      <c r="GD241" s="2">
        <v>1</v>
      </c>
      <c r="GE241" s="2"/>
      <c r="GF241" s="2">
        <v>519827231</v>
      </c>
      <c r="GG241" s="2">
        <v>2</v>
      </c>
      <c r="GH241" s="2">
        <v>1</v>
      </c>
      <c r="GI241" s="2">
        <v>2</v>
      </c>
      <c r="GJ241" s="2">
        <v>0</v>
      </c>
      <c r="GK241" s="2">
        <v>0</v>
      </c>
      <c r="GL241" s="2">
        <f t="shared" si="206"/>
        <v>0</v>
      </c>
      <c r="GM241" s="2">
        <f t="shared" si="207"/>
        <v>216.18</v>
      </c>
      <c r="GN241" s="2">
        <f t="shared" si="208"/>
        <v>216.18</v>
      </c>
      <c r="GO241" s="2">
        <f t="shared" si="209"/>
        <v>0</v>
      </c>
      <c r="GP241" s="2">
        <f t="shared" si="210"/>
        <v>0</v>
      </c>
      <c r="GQ241" s="2"/>
      <c r="GR241" s="2">
        <v>0</v>
      </c>
      <c r="GS241" s="2">
        <v>3</v>
      </c>
      <c r="GT241" s="2">
        <v>0</v>
      </c>
      <c r="GU241" s="2" t="s">
        <v>3</v>
      </c>
      <c r="GV241" s="2">
        <f t="shared" si="211"/>
        <v>0</v>
      </c>
      <c r="GW241" s="2">
        <v>1</v>
      </c>
      <c r="GX241" s="2">
        <f t="shared" si="212"/>
        <v>0</v>
      </c>
      <c r="GY241" s="2"/>
      <c r="GZ241" s="2"/>
      <c r="HA241" s="2">
        <v>0</v>
      </c>
      <c r="HB241" s="2">
        <v>0</v>
      </c>
      <c r="HC241" s="2">
        <f t="shared" si="242"/>
        <v>0</v>
      </c>
      <c r="HD241" s="2"/>
      <c r="HE241" s="2" t="s">
        <v>3</v>
      </c>
      <c r="HF241" s="2" t="s">
        <v>3</v>
      </c>
      <c r="HG241" s="2"/>
      <c r="HH241" s="2"/>
      <c r="HI241" s="2"/>
      <c r="HJ241" s="2"/>
      <c r="HK241" s="2"/>
      <c r="HL241" s="2"/>
      <c r="HM241" s="2" t="s">
        <v>3</v>
      </c>
      <c r="HN241" s="2" t="s">
        <v>421</v>
      </c>
      <c r="HO241" s="2" t="s">
        <v>422</v>
      </c>
      <c r="HP241" s="2" t="s">
        <v>419</v>
      </c>
      <c r="HQ241" s="2" t="s">
        <v>419</v>
      </c>
      <c r="HR241" s="2"/>
      <c r="HS241" s="2">
        <v>0</v>
      </c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>
        <v>0</v>
      </c>
      <c r="IL241" s="2"/>
      <c r="IM241" s="2"/>
      <c r="IN241" s="2"/>
      <c r="IO241" s="2"/>
      <c r="IP241" s="2"/>
      <c r="IQ241" s="2"/>
      <c r="IR241" s="2"/>
      <c r="IS241" s="2"/>
      <c r="IT241" s="2"/>
      <c r="IU241" s="2"/>
    </row>
    <row r="242" spans="1:255" ht="409.5" x14ac:dyDescent="0.2">
      <c r="A242" s="2">
        <v>17</v>
      </c>
      <c r="B242" s="2">
        <v>1</v>
      </c>
      <c r="C242" s="2">
        <f>ROW(SmtRes!A225)</f>
        <v>225</v>
      </c>
      <c r="D242" s="2">
        <f>ROW(EtalonRes!A204)</f>
        <v>204</v>
      </c>
      <c r="E242" s="2" t="s">
        <v>427</v>
      </c>
      <c r="F242" s="2" t="s">
        <v>428</v>
      </c>
      <c r="G242" s="2" t="s">
        <v>429</v>
      </c>
      <c r="H242" s="2" t="s">
        <v>311</v>
      </c>
      <c r="I242" s="2">
        <f>ROUND(((0.04+0.12+0.04)*30)/100,7)</f>
        <v>0.06</v>
      </c>
      <c r="J242" s="2">
        <v>0</v>
      </c>
      <c r="K242" s="2">
        <f>ROUND(((0.04+0.12+0.04)*30)/100,7)</f>
        <v>0.06</v>
      </c>
      <c r="L242" s="2"/>
      <c r="M242" s="2"/>
      <c r="N242" s="2"/>
      <c r="O242" s="2">
        <f t="shared" si="237"/>
        <v>1336.57</v>
      </c>
      <c r="P242" s="2">
        <f>SUMIF(SmtRes!AQ218:'SmtRes'!AQ225,"=1",SmtRes!DF218:'SmtRes'!DF225)</f>
        <v>48.28</v>
      </c>
      <c r="Q242" s="2">
        <f>SUMIF(SmtRes!AQ218:'SmtRes'!AQ225,"=1",SmtRes!DG218:'SmtRes'!DG225)</f>
        <v>0</v>
      </c>
      <c r="R242" s="2">
        <f>SUMIF(SmtRes!AQ218:'SmtRes'!AQ225,"=1",SmtRes!DH218:'SmtRes'!DH225)</f>
        <v>0</v>
      </c>
      <c r="S242" s="2">
        <f>SUMIF(SmtRes!AQ218:'SmtRes'!AQ225,"=1",SmtRes!DI218:'SmtRes'!DI225)</f>
        <v>1288.29</v>
      </c>
      <c r="T242" s="2">
        <f t="shared" si="199"/>
        <v>0</v>
      </c>
      <c r="U242" s="2">
        <f>SUMIF(SmtRes!AQ218:'SmtRes'!AQ225,"=1",SmtRes!CV218:'SmtRes'!CV225)</f>
        <v>1.9126799999999999</v>
      </c>
      <c r="V242" s="2">
        <f>SUMIF(SmtRes!AQ218:'SmtRes'!AQ225,"=1",SmtRes!CW218:'SmtRes'!CW225)</f>
        <v>0</v>
      </c>
      <c r="W242" s="2">
        <f t="shared" si="200"/>
        <v>0</v>
      </c>
      <c r="X242" s="2">
        <f t="shared" si="201"/>
        <v>1288.29</v>
      </c>
      <c r="Y242" s="2">
        <f t="shared" si="202"/>
        <v>536.57000000000005</v>
      </c>
      <c r="Z242" s="2"/>
      <c r="AA242" s="2">
        <v>85997836</v>
      </c>
      <c r="AB242" s="2">
        <f t="shared" si="203"/>
        <v>22061.420300000002</v>
      </c>
      <c r="AC242" s="2">
        <f>ROUND((SUM(SmtRes!BQ218:'SmtRes'!BQ225)),6)</f>
        <v>589.99339999999995</v>
      </c>
      <c r="AD242" s="2">
        <f>ROUND((((0)-(0))+AE242),6)</f>
        <v>0</v>
      </c>
      <c r="AE242" s="2">
        <f>ROUND((0),6)</f>
        <v>0</v>
      </c>
      <c r="AF242" s="2">
        <f>ROUND((SUM(SmtRes!BT218:'SmtRes'!BT225)),6)</f>
        <v>21471.426899999999</v>
      </c>
      <c r="AG242" s="2">
        <f t="shared" si="204"/>
        <v>0</v>
      </c>
      <c r="AH242" s="2">
        <f>(SUM(SmtRes!BU218:'SmtRes'!BU225))</f>
        <v>31.878</v>
      </c>
      <c r="AI242" s="2">
        <f>(0)</f>
        <v>0</v>
      </c>
      <c r="AJ242" s="2">
        <f t="shared" si="205"/>
        <v>0</v>
      </c>
      <c r="AK242" s="2">
        <v>16148.998399999999</v>
      </c>
      <c r="AL242" s="2">
        <v>589.99339999999995</v>
      </c>
      <c r="AM242" s="2">
        <v>0</v>
      </c>
      <c r="AN242" s="2">
        <v>0</v>
      </c>
      <c r="AO242" s="2">
        <v>15559.004999999999</v>
      </c>
      <c r="AP242" s="2">
        <v>0</v>
      </c>
      <c r="AQ242" s="2">
        <v>23.1</v>
      </c>
      <c r="AR242" s="2">
        <v>0.11</v>
      </c>
      <c r="AS242" s="2">
        <v>0</v>
      </c>
      <c r="AT242" s="2">
        <v>100</v>
      </c>
      <c r="AU242" s="2">
        <v>41.65</v>
      </c>
      <c r="AV242" s="2">
        <v>1</v>
      </c>
      <c r="AW242" s="2">
        <v>1</v>
      </c>
      <c r="AX242" s="2"/>
      <c r="AY242" s="2"/>
      <c r="AZ242" s="2">
        <v>1</v>
      </c>
      <c r="BA242" s="2">
        <v>1</v>
      </c>
      <c r="BB242" s="2">
        <v>1</v>
      </c>
      <c r="BC242" s="2">
        <v>1</v>
      </c>
      <c r="BD242" s="2" t="s">
        <v>3</v>
      </c>
      <c r="BE242" s="2" t="s">
        <v>3</v>
      </c>
      <c r="BF242" s="2" t="s">
        <v>3</v>
      </c>
      <c r="BG242" s="2" t="s">
        <v>3</v>
      </c>
      <c r="BH242" s="2">
        <v>0</v>
      </c>
      <c r="BI242" s="2">
        <v>1</v>
      </c>
      <c r="BJ242" s="2" t="s">
        <v>430</v>
      </c>
      <c r="BK242" s="2"/>
      <c r="BL242" s="2"/>
      <c r="BM242" s="2">
        <v>15001</v>
      </c>
      <c r="BN242" s="2">
        <v>0</v>
      </c>
      <c r="BO242" s="2" t="s">
        <v>3</v>
      </c>
      <c r="BP242" s="2">
        <v>0</v>
      </c>
      <c r="BQ242" s="2">
        <v>2</v>
      </c>
      <c r="BR242" s="2">
        <v>0</v>
      </c>
      <c r="BS242" s="2">
        <v>1</v>
      </c>
      <c r="BT242" s="2">
        <v>1</v>
      </c>
      <c r="BU242" s="2">
        <v>1</v>
      </c>
      <c r="BV242" s="2">
        <v>1</v>
      </c>
      <c r="BW242" s="2">
        <v>1</v>
      </c>
      <c r="BX242" s="2">
        <v>1</v>
      </c>
      <c r="BY242" s="2" t="s">
        <v>3</v>
      </c>
      <c r="BZ242" s="2">
        <v>100</v>
      </c>
      <c r="CA242" s="2">
        <v>49</v>
      </c>
      <c r="CB242" s="2" t="s">
        <v>3</v>
      </c>
      <c r="CC242" s="2"/>
      <c r="CD242" s="2"/>
      <c r="CE242" s="2">
        <v>0</v>
      </c>
      <c r="CF242" s="2">
        <v>0</v>
      </c>
      <c r="CG242" s="2">
        <v>0</v>
      </c>
      <c r="CH242" s="2"/>
      <c r="CI242" s="2"/>
      <c r="CJ242" s="2"/>
      <c r="CK242" s="2"/>
      <c r="CL242" s="2"/>
      <c r="CM242" s="2">
        <v>0</v>
      </c>
      <c r="CN242" s="7" t="s">
        <v>737</v>
      </c>
      <c r="CO242" s="2">
        <v>0</v>
      </c>
      <c r="CP242" s="2">
        <f t="shared" si="238"/>
        <v>1336.57</v>
      </c>
      <c r="CQ242" s="2">
        <f>SUMIF(SmtRes!AQ218:'SmtRes'!AQ225,"=1",SmtRes!AA218:'SmtRes'!AA225)</f>
        <v>37640.620000000003</v>
      </c>
      <c r="CR242" s="2">
        <f>SUMIF(SmtRes!AQ218:'SmtRes'!AQ225,"=1",SmtRes!AB218:'SmtRes'!AB225)</f>
        <v>0</v>
      </c>
      <c r="CS242" s="2">
        <f>SUMIF(SmtRes!AQ218:'SmtRes'!AQ225,"=1",SmtRes!AC218:'SmtRes'!AC225)</f>
        <v>0</v>
      </c>
      <c r="CT242" s="2">
        <f>SUMIF(SmtRes!AQ218:'SmtRes'!AQ225,"=1",SmtRes!AD218:'SmtRes'!AD225)</f>
        <v>673.55</v>
      </c>
      <c r="CU242" s="2">
        <f t="shared" si="243"/>
        <v>0</v>
      </c>
      <c r="CV242" s="2">
        <f>SUMIF(SmtRes!AQ218:'SmtRes'!AQ225,"=1",SmtRes!BU218:'SmtRes'!BU225)</f>
        <v>31.878</v>
      </c>
      <c r="CW242" s="2">
        <f>SUMIF(SmtRes!AQ218:'SmtRes'!AQ225,"=1",SmtRes!BV218:'SmtRes'!BV225)</f>
        <v>0</v>
      </c>
      <c r="CX242" s="2">
        <f t="shared" si="244"/>
        <v>0</v>
      </c>
      <c r="CY242" s="2">
        <f t="shared" si="240"/>
        <v>1288.29</v>
      </c>
      <c r="CZ242" s="2">
        <f t="shared" si="241"/>
        <v>536.57278499999995</v>
      </c>
      <c r="DA242" s="2"/>
      <c r="DB242" s="2"/>
      <c r="DC242" s="2" t="s">
        <v>3</v>
      </c>
      <c r="DD242" s="2" t="s">
        <v>3</v>
      </c>
      <c r="DE242" s="2" t="s">
        <v>329</v>
      </c>
      <c r="DF242" s="2" t="s">
        <v>329</v>
      </c>
      <c r="DG242" s="2" t="s">
        <v>330</v>
      </c>
      <c r="DH242" s="2" t="s">
        <v>3</v>
      </c>
      <c r="DI242" s="2" t="s">
        <v>330</v>
      </c>
      <c r="DJ242" s="2" t="s">
        <v>329</v>
      </c>
      <c r="DK242" s="2" t="s">
        <v>3</v>
      </c>
      <c r="DL242" s="2" t="s">
        <v>3</v>
      </c>
      <c r="DM242" s="2" t="s">
        <v>269</v>
      </c>
      <c r="DN242" s="2">
        <v>0</v>
      </c>
      <c r="DO242" s="2">
        <v>0</v>
      </c>
      <c r="DP242" s="2">
        <v>1</v>
      </c>
      <c r="DQ242" s="2">
        <v>1</v>
      </c>
      <c r="DR242" s="2"/>
      <c r="DS242" s="2"/>
      <c r="DT242" s="2"/>
      <c r="DU242" s="2">
        <v>1005</v>
      </c>
      <c r="DV242" s="2" t="s">
        <v>311</v>
      </c>
      <c r="DW242" s="2" t="s">
        <v>311</v>
      </c>
      <c r="DX242" s="2">
        <v>100</v>
      </c>
      <c r="DY242" s="2"/>
      <c r="DZ242" s="2" t="s">
        <v>3</v>
      </c>
      <c r="EA242" s="2" t="s">
        <v>3</v>
      </c>
      <c r="EB242" s="2" t="s">
        <v>3</v>
      </c>
      <c r="EC242" s="2" t="s">
        <v>3</v>
      </c>
      <c r="ED242" s="2"/>
      <c r="EE242" s="2">
        <v>84053924</v>
      </c>
      <c r="EF242" s="2">
        <v>2</v>
      </c>
      <c r="EG242" s="2" t="s">
        <v>270</v>
      </c>
      <c r="EH242" s="2">
        <v>15</v>
      </c>
      <c r="EI242" s="2" t="s">
        <v>419</v>
      </c>
      <c r="EJ242" s="2">
        <v>1</v>
      </c>
      <c r="EK242" s="2">
        <v>15001</v>
      </c>
      <c r="EL242" s="2" t="s">
        <v>419</v>
      </c>
      <c r="EM242" s="2" t="s">
        <v>420</v>
      </c>
      <c r="EN242" s="2"/>
      <c r="EO242" s="2" t="s">
        <v>333</v>
      </c>
      <c r="EP242" s="2"/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23.1</v>
      </c>
      <c r="EX242" s="2">
        <v>0.11</v>
      </c>
      <c r="EY242" s="2">
        <v>0</v>
      </c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>
        <v>0</v>
      </c>
      <c r="FR242" s="2">
        <v>0</v>
      </c>
      <c r="FS242" s="2">
        <v>0</v>
      </c>
      <c r="FT242" s="2"/>
      <c r="FU242" s="2"/>
      <c r="FV242" s="2"/>
      <c r="FW242" s="2"/>
      <c r="FX242" s="2">
        <v>100</v>
      </c>
      <c r="FY242" s="2">
        <v>41.65</v>
      </c>
      <c r="FZ242" s="2"/>
      <c r="GA242" s="2" t="s">
        <v>3</v>
      </c>
      <c r="GB242" s="2"/>
      <c r="GC242" s="2"/>
      <c r="GD242" s="2">
        <v>1</v>
      </c>
      <c r="GE242" s="2"/>
      <c r="GF242" s="2">
        <v>926064104</v>
      </c>
      <c r="GG242" s="2">
        <v>2</v>
      </c>
      <c r="GH242" s="2">
        <v>1</v>
      </c>
      <c r="GI242" s="2">
        <v>-2</v>
      </c>
      <c r="GJ242" s="2">
        <v>0</v>
      </c>
      <c r="GK242" s="2">
        <v>0</v>
      </c>
      <c r="GL242" s="2">
        <f t="shared" si="206"/>
        <v>0</v>
      </c>
      <c r="GM242" s="2">
        <f t="shared" si="207"/>
        <v>3161.43</v>
      </c>
      <c r="GN242" s="2">
        <f t="shared" si="208"/>
        <v>3161.43</v>
      </c>
      <c r="GO242" s="2">
        <f t="shared" si="209"/>
        <v>0</v>
      </c>
      <c r="GP242" s="2">
        <f t="shared" si="210"/>
        <v>0</v>
      </c>
      <c r="GQ242" s="2"/>
      <c r="GR242" s="2">
        <v>0</v>
      </c>
      <c r="GS242" s="2">
        <v>3</v>
      </c>
      <c r="GT242" s="2">
        <v>0</v>
      </c>
      <c r="GU242" s="2" t="s">
        <v>3</v>
      </c>
      <c r="GV242" s="2">
        <f t="shared" si="211"/>
        <v>0</v>
      </c>
      <c r="GW242" s="2">
        <v>1</v>
      </c>
      <c r="GX242" s="2">
        <f t="shared" si="212"/>
        <v>0</v>
      </c>
      <c r="GY242" s="2"/>
      <c r="GZ242" s="2"/>
      <c r="HA242" s="2">
        <v>0</v>
      </c>
      <c r="HB242" s="2">
        <v>0</v>
      </c>
      <c r="HC242" s="2">
        <f t="shared" si="242"/>
        <v>0</v>
      </c>
      <c r="HD242" s="2"/>
      <c r="HE242" s="2" t="s">
        <v>3</v>
      </c>
      <c r="HF242" s="2" t="s">
        <v>3</v>
      </c>
      <c r="HG242" s="2"/>
      <c r="HH242" s="2"/>
      <c r="HI242" s="2"/>
      <c r="HJ242" s="2"/>
      <c r="HK242" s="2"/>
      <c r="HL242" s="2"/>
      <c r="HM242" s="2" t="s">
        <v>3</v>
      </c>
      <c r="HN242" s="2" t="s">
        <v>421</v>
      </c>
      <c r="HO242" s="2" t="s">
        <v>422</v>
      </c>
      <c r="HP242" s="2" t="s">
        <v>419</v>
      </c>
      <c r="HQ242" s="2" t="s">
        <v>419</v>
      </c>
      <c r="HR242" s="2"/>
      <c r="HS242" s="2">
        <v>0</v>
      </c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>
        <v>0</v>
      </c>
      <c r="IL242" s="2"/>
      <c r="IM242" s="2"/>
      <c r="IN242" s="2"/>
      <c r="IO242" s="2"/>
      <c r="IP242" s="2"/>
      <c r="IQ242" s="2"/>
      <c r="IR242" s="2"/>
      <c r="IS242" s="2"/>
      <c r="IT242" s="2"/>
      <c r="IU242" s="2"/>
    </row>
    <row r="243" spans="1:255" x14ac:dyDescent="0.2">
      <c r="A243" s="2">
        <v>18</v>
      </c>
      <c r="B243" s="2">
        <v>1</v>
      </c>
      <c r="C243" s="2">
        <v>224</v>
      </c>
      <c r="D243" s="2"/>
      <c r="E243" s="2" t="s">
        <v>431</v>
      </c>
      <c r="F243" s="2" t="s">
        <v>432</v>
      </c>
      <c r="G243" s="2" t="s">
        <v>433</v>
      </c>
      <c r="H243" s="2" t="s">
        <v>170</v>
      </c>
      <c r="I243" s="2">
        <f>I242*J243</f>
        <v>3.78</v>
      </c>
      <c r="J243" s="2">
        <v>63</v>
      </c>
      <c r="K243" s="2">
        <v>63</v>
      </c>
      <c r="L243" s="2"/>
      <c r="M243" s="2"/>
      <c r="N243" s="2"/>
      <c r="O243" s="2">
        <f t="shared" si="237"/>
        <v>3056.55</v>
      </c>
      <c r="P243" s="2">
        <f>ROUND(CQ243*I243,2)</f>
        <v>3056.55</v>
      </c>
      <c r="Q243" s="2">
        <f>ROUND(CR243*I243,2)</f>
        <v>0</v>
      </c>
      <c r="R243" s="2">
        <f>ROUND(CS243*I243,2)</f>
        <v>0</v>
      </c>
      <c r="S243" s="2">
        <f>ROUND(CT243*I243,2)</f>
        <v>0</v>
      </c>
      <c r="T243" s="2">
        <f t="shared" si="199"/>
        <v>0</v>
      </c>
      <c r="U243" s="2">
        <f>ROUND(CV243*I243,7)</f>
        <v>0</v>
      </c>
      <c r="V243" s="2">
        <f>ROUND(CW243*I243,7)</f>
        <v>0</v>
      </c>
      <c r="W243" s="2">
        <f t="shared" si="200"/>
        <v>0</v>
      </c>
      <c r="X243" s="2">
        <f t="shared" si="201"/>
        <v>0</v>
      </c>
      <c r="Y243" s="2">
        <f t="shared" si="202"/>
        <v>0</v>
      </c>
      <c r="Z243" s="2"/>
      <c r="AA243" s="2">
        <v>85997836</v>
      </c>
      <c r="AB243" s="2">
        <f t="shared" si="203"/>
        <v>456.84</v>
      </c>
      <c r="AC243" s="2">
        <f>ROUND((ES243),6)</f>
        <v>456.84</v>
      </c>
      <c r="AD243" s="2">
        <f>ROUND((((ET243)-(EU243))+AE243),6)</f>
        <v>0</v>
      </c>
      <c r="AE243" s="2">
        <f>ROUND((EU243),6)</f>
        <v>0</v>
      </c>
      <c r="AF243" s="2">
        <f>ROUND((EV243),6)</f>
        <v>0</v>
      </c>
      <c r="AG243" s="2">
        <f t="shared" si="204"/>
        <v>0</v>
      </c>
      <c r="AH243" s="2">
        <f t="shared" ref="AH243:AI245" si="245">(EW243)</f>
        <v>0</v>
      </c>
      <c r="AI243" s="2">
        <f t="shared" si="245"/>
        <v>0</v>
      </c>
      <c r="AJ243" s="2">
        <f t="shared" si="205"/>
        <v>0</v>
      </c>
      <c r="AK243" s="2">
        <v>456.84</v>
      </c>
      <c r="AL243" s="2">
        <v>456.84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100</v>
      </c>
      <c r="AU243" s="2">
        <v>49</v>
      </c>
      <c r="AV243" s="2">
        <v>1</v>
      </c>
      <c r="AW243" s="2">
        <v>1</v>
      </c>
      <c r="AX243" s="2"/>
      <c r="AY243" s="2"/>
      <c r="AZ243" s="2">
        <v>1</v>
      </c>
      <c r="BA243" s="2">
        <v>1</v>
      </c>
      <c r="BB243" s="2">
        <v>1</v>
      </c>
      <c r="BC243" s="2">
        <v>1.77</v>
      </c>
      <c r="BD243" s="2" t="s">
        <v>3</v>
      </c>
      <c r="BE243" s="2" t="s">
        <v>3</v>
      </c>
      <c r="BF243" s="2" t="s">
        <v>3</v>
      </c>
      <c r="BG243" s="2" t="s">
        <v>3</v>
      </c>
      <c r="BH243" s="2">
        <v>3</v>
      </c>
      <c r="BI243" s="2">
        <v>1</v>
      </c>
      <c r="BJ243" s="2" t="s">
        <v>434</v>
      </c>
      <c r="BK243" s="2"/>
      <c r="BL243" s="2"/>
      <c r="BM243" s="2">
        <v>15001</v>
      </c>
      <c r="BN243" s="2">
        <v>0</v>
      </c>
      <c r="BO243" s="2" t="s">
        <v>432</v>
      </c>
      <c r="BP243" s="2">
        <v>1</v>
      </c>
      <c r="BQ243" s="2">
        <v>2</v>
      </c>
      <c r="BR243" s="2">
        <v>0</v>
      </c>
      <c r="BS243" s="2">
        <v>1</v>
      </c>
      <c r="BT243" s="2">
        <v>1</v>
      </c>
      <c r="BU243" s="2">
        <v>1</v>
      </c>
      <c r="BV243" s="2">
        <v>1</v>
      </c>
      <c r="BW243" s="2">
        <v>1</v>
      </c>
      <c r="BX243" s="2">
        <v>1</v>
      </c>
      <c r="BY243" s="2" t="s">
        <v>3</v>
      </c>
      <c r="BZ243" s="2">
        <v>100</v>
      </c>
      <c r="CA243" s="2">
        <v>49</v>
      </c>
      <c r="CB243" s="2" t="s">
        <v>3</v>
      </c>
      <c r="CC243" s="2"/>
      <c r="CD243" s="2"/>
      <c r="CE243" s="2">
        <v>0</v>
      </c>
      <c r="CF243" s="2">
        <v>0</v>
      </c>
      <c r="CG243" s="2">
        <v>0</v>
      </c>
      <c r="CH243" s="2"/>
      <c r="CI243" s="2"/>
      <c r="CJ243" s="2"/>
      <c r="CK243" s="2"/>
      <c r="CL243" s="2"/>
      <c r="CM243" s="2">
        <v>0</v>
      </c>
      <c r="CN243" s="2" t="s">
        <v>3</v>
      </c>
      <c r="CO243" s="2">
        <v>0</v>
      </c>
      <c r="CP243" s="2">
        <f t="shared" si="238"/>
        <v>3056.55</v>
      </c>
      <c r="CQ243" s="2">
        <f>ROUND(AL243*BC243,2)</f>
        <v>808.61</v>
      </c>
      <c r="CR243" s="2">
        <f>ROUND(AM243*BB243,2)</f>
        <v>0</v>
      </c>
      <c r="CS243" s="2">
        <f>ROUND(AN243*BS243,2)</f>
        <v>0</v>
      </c>
      <c r="CT243" s="2">
        <f>ROUND(AO243*BA243,2)</f>
        <v>0</v>
      </c>
      <c r="CU243" s="2">
        <f t="shared" si="243"/>
        <v>0</v>
      </c>
      <c r="CV243" s="2">
        <f t="shared" ref="CV243:CW245" si="246">AH243</f>
        <v>0</v>
      </c>
      <c r="CW243" s="2">
        <f t="shared" si="246"/>
        <v>0</v>
      </c>
      <c r="CX243" s="2">
        <f t="shared" si="244"/>
        <v>0</v>
      </c>
      <c r="CY243" s="2">
        <f t="shared" si="240"/>
        <v>0</v>
      </c>
      <c r="CZ243" s="2">
        <f t="shared" si="241"/>
        <v>0</v>
      </c>
      <c r="DA243" s="2"/>
      <c r="DB243" s="2"/>
      <c r="DC243" s="2" t="s">
        <v>3</v>
      </c>
      <c r="DD243" s="2" t="s">
        <v>3</v>
      </c>
      <c r="DE243" s="2" t="s">
        <v>3</v>
      </c>
      <c r="DF243" s="2" t="s">
        <v>3</v>
      </c>
      <c r="DG243" s="2" t="s">
        <v>3</v>
      </c>
      <c r="DH243" s="2" t="s">
        <v>3</v>
      </c>
      <c r="DI243" s="2" t="s">
        <v>3</v>
      </c>
      <c r="DJ243" s="2" t="s">
        <v>3</v>
      </c>
      <c r="DK243" s="2" t="s">
        <v>3</v>
      </c>
      <c r="DL243" s="2" t="s">
        <v>3</v>
      </c>
      <c r="DM243" s="2" t="s">
        <v>3</v>
      </c>
      <c r="DN243" s="2">
        <v>0</v>
      </c>
      <c r="DO243" s="2">
        <v>0</v>
      </c>
      <c r="DP243" s="2">
        <v>1</v>
      </c>
      <c r="DQ243" s="2">
        <v>1</v>
      </c>
      <c r="DR243" s="2"/>
      <c r="DS243" s="2"/>
      <c r="DT243" s="2"/>
      <c r="DU243" s="2">
        <v>1009</v>
      </c>
      <c r="DV243" s="2" t="s">
        <v>170</v>
      </c>
      <c r="DW243" s="2" t="s">
        <v>170</v>
      </c>
      <c r="DX243" s="2">
        <v>1</v>
      </c>
      <c r="DY243" s="2"/>
      <c r="DZ243" s="2" t="s">
        <v>3</v>
      </c>
      <c r="EA243" s="2" t="s">
        <v>3</v>
      </c>
      <c r="EB243" s="2" t="s">
        <v>3</v>
      </c>
      <c r="EC243" s="2" t="s">
        <v>3</v>
      </c>
      <c r="ED243" s="2"/>
      <c r="EE243" s="2">
        <v>84053924</v>
      </c>
      <c r="EF243" s="2">
        <v>2</v>
      </c>
      <c r="EG243" s="2" t="s">
        <v>270</v>
      </c>
      <c r="EH243" s="2">
        <v>15</v>
      </c>
      <c r="EI243" s="2" t="s">
        <v>419</v>
      </c>
      <c r="EJ243" s="2">
        <v>1</v>
      </c>
      <c r="EK243" s="2">
        <v>15001</v>
      </c>
      <c r="EL243" s="2" t="s">
        <v>419</v>
      </c>
      <c r="EM243" s="2" t="s">
        <v>420</v>
      </c>
      <c r="EN243" s="2"/>
      <c r="EO243" s="2" t="s">
        <v>3</v>
      </c>
      <c r="EP243" s="2"/>
      <c r="EQ243" s="2">
        <v>0</v>
      </c>
      <c r="ER243" s="2">
        <v>456.84</v>
      </c>
      <c r="ES243" s="2">
        <v>456.84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>
        <v>0</v>
      </c>
      <c r="FR243" s="2">
        <v>0</v>
      </c>
      <c r="FS243" s="2">
        <v>0</v>
      </c>
      <c r="FT243" s="2"/>
      <c r="FU243" s="2"/>
      <c r="FV243" s="2"/>
      <c r="FW243" s="2"/>
      <c r="FX243" s="2">
        <v>100</v>
      </c>
      <c r="FY243" s="2">
        <v>49</v>
      </c>
      <c r="FZ243" s="2"/>
      <c r="GA243" s="2" t="s">
        <v>3</v>
      </c>
      <c r="GB243" s="2"/>
      <c r="GC243" s="2"/>
      <c r="GD243" s="2">
        <v>1</v>
      </c>
      <c r="GE243" s="2"/>
      <c r="GF243" s="2">
        <v>-1803956034</v>
      </c>
      <c r="GG243" s="2">
        <v>2</v>
      </c>
      <c r="GH243" s="2">
        <v>1</v>
      </c>
      <c r="GI243" s="2">
        <v>2</v>
      </c>
      <c r="GJ243" s="2">
        <v>0</v>
      </c>
      <c r="GK243" s="2">
        <v>0</v>
      </c>
      <c r="GL243" s="2">
        <f t="shared" si="206"/>
        <v>0</v>
      </c>
      <c r="GM243" s="2">
        <f t="shared" si="207"/>
        <v>3056.55</v>
      </c>
      <c r="GN243" s="2">
        <f t="shared" si="208"/>
        <v>3056.55</v>
      </c>
      <c r="GO243" s="2">
        <f t="shared" si="209"/>
        <v>0</v>
      </c>
      <c r="GP243" s="2">
        <f t="shared" si="210"/>
        <v>0</v>
      </c>
      <c r="GQ243" s="2"/>
      <c r="GR243" s="2">
        <v>0</v>
      </c>
      <c r="GS243" s="2">
        <v>3</v>
      </c>
      <c r="GT243" s="2">
        <v>0</v>
      </c>
      <c r="GU243" s="2" t="s">
        <v>3</v>
      </c>
      <c r="GV243" s="2">
        <f t="shared" si="211"/>
        <v>0</v>
      </c>
      <c r="GW243" s="2">
        <v>1</v>
      </c>
      <c r="GX243" s="2">
        <f t="shared" si="212"/>
        <v>0</v>
      </c>
      <c r="GY243" s="2"/>
      <c r="GZ243" s="2"/>
      <c r="HA243" s="2">
        <v>0</v>
      </c>
      <c r="HB243" s="2">
        <v>0</v>
      </c>
      <c r="HC243" s="2">
        <f t="shared" si="242"/>
        <v>0</v>
      </c>
      <c r="HD243" s="2"/>
      <c r="HE243" s="2" t="s">
        <v>3</v>
      </c>
      <c r="HF243" s="2" t="s">
        <v>3</v>
      </c>
      <c r="HG243" s="2"/>
      <c r="HH243" s="2"/>
      <c r="HI243" s="2"/>
      <c r="HJ243" s="2"/>
      <c r="HK243" s="2"/>
      <c r="HL243" s="2"/>
      <c r="HM243" s="2" t="s">
        <v>3</v>
      </c>
      <c r="HN243" s="2" t="s">
        <v>421</v>
      </c>
      <c r="HO243" s="2" t="s">
        <v>422</v>
      </c>
      <c r="HP243" s="2" t="s">
        <v>419</v>
      </c>
      <c r="HQ243" s="2" t="s">
        <v>419</v>
      </c>
      <c r="HR243" s="2"/>
      <c r="HS243" s="2">
        <v>0</v>
      </c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>
        <v>0</v>
      </c>
      <c r="IL243" s="2"/>
      <c r="IM243" s="2"/>
      <c r="IN243" s="2"/>
      <c r="IO243" s="2"/>
      <c r="IP243" s="2"/>
      <c r="IQ243" s="2"/>
      <c r="IR243" s="2"/>
      <c r="IS243" s="2"/>
      <c r="IT243" s="2"/>
      <c r="IU243" s="2"/>
    </row>
    <row r="244" spans="1:255" ht="409.5" x14ac:dyDescent="0.2">
      <c r="A244" s="2">
        <v>18</v>
      </c>
      <c r="B244" s="2">
        <v>1</v>
      </c>
      <c r="C244" s="2">
        <v>220</v>
      </c>
      <c r="D244" s="2"/>
      <c r="E244" s="2" t="s">
        <v>435</v>
      </c>
      <c r="F244" s="2" t="s">
        <v>27</v>
      </c>
      <c r="G244" s="2" t="s">
        <v>28</v>
      </c>
      <c r="H244" s="2" t="s">
        <v>29</v>
      </c>
      <c r="I244" s="2">
        <f>I242*J244</f>
        <v>-1.3500000000000001E-3</v>
      </c>
      <c r="J244" s="2">
        <v>-2.2500000000000003E-2</v>
      </c>
      <c r="K244" s="2">
        <v>-1.4999999999999999E-2</v>
      </c>
      <c r="L244" s="2"/>
      <c r="M244" s="2"/>
      <c r="N244" s="2"/>
      <c r="O244" s="2">
        <f t="shared" si="237"/>
        <v>-0.08</v>
      </c>
      <c r="P244" s="2">
        <f>ROUND(CQ244*I244,2)</f>
        <v>0</v>
      </c>
      <c r="Q244" s="2">
        <f>ROUND(CR244*I244,2)</f>
        <v>-0.08</v>
      </c>
      <c r="R244" s="2">
        <f>ROUND(CS244*I244,2)</f>
        <v>0</v>
      </c>
      <c r="S244" s="2">
        <f>ROUND(CT244*I244,2)</f>
        <v>0</v>
      </c>
      <c r="T244" s="2">
        <f t="shared" si="199"/>
        <v>0</v>
      </c>
      <c r="U244" s="2">
        <f>ROUND(CV244*I244,7)</f>
        <v>0</v>
      </c>
      <c r="V244" s="2">
        <f>ROUND(CW244*I244,7)</f>
        <v>0</v>
      </c>
      <c r="W244" s="2">
        <f t="shared" si="200"/>
        <v>0</v>
      </c>
      <c r="X244" s="2">
        <f t="shared" si="201"/>
        <v>0</v>
      </c>
      <c r="Y244" s="2">
        <f t="shared" si="202"/>
        <v>0</v>
      </c>
      <c r="Z244" s="2"/>
      <c r="AA244" s="2">
        <v>85997836</v>
      </c>
      <c r="AB244" s="2">
        <f t="shared" si="203"/>
        <v>-603.9</v>
      </c>
      <c r="AC244" s="2">
        <f>ROUND((ES244),6)</f>
        <v>0</v>
      </c>
      <c r="AD244" s="2">
        <f>ROUND((((ET244)-(EU244))+AE244),6)</f>
        <v>-603.9</v>
      </c>
      <c r="AE244" s="2">
        <f>ROUND(((EU244*ROUND(0,7))),6)</f>
        <v>0</v>
      </c>
      <c r="AF244" s="2">
        <f>ROUND((EV244),6)</f>
        <v>0</v>
      </c>
      <c r="AG244" s="2">
        <f t="shared" si="204"/>
        <v>0</v>
      </c>
      <c r="AH244" s="2">
        <f t="shared" si="245"/>
        <v>0</v>
      </c>
      <c r="AI244" s="2">
        <f t="shared" si="245"/>
        <v>0</v>
      </c>
      <c r="AJ244" s="2">
        <f t="shared" si="205"/>
        <v>0</v>
      </c>
      <c r="AK244" s="2">
        <v>37.32</v>
      </c>
      <c r="AL244" s="2">
        <v>0</v>
      </c>
      <c r="AM244" s="2">
        <v>37.32</v>
      </c>
      <c r="AN244" s="2">
        <v>641.22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100</v>
      </c>
      <c r="AU244" s="2">
        <v>49</v>
      </c>
      <c r="AV244" s="2">
        <v>1</v>
      </c>
      <c r="AW244" s="2">
        <v>1</v>
      </c>
      <c r="AX244" s="2"/>
      <c r="AY244" s="2"/>
      <c r="AZ244" s="2">
        <v>1</v>
      </c>
      <c r="BA244" s="2">
        <v>1</v>
      </c>
      <c r="BB244" s="2">
        <v>1.54</v>
      </c>
      <c r="BC244" s="2">
        <v>1</v>
      </c>
      <c r="BD244" s="2" t="s">
        <v>3</v>
      </c>
      <c r="BE244" s="2" t="s">
        <v>3</v>
      </c>
      <c r="BF244" s="2" t="s">
        <v>3</v>
      </c>
      <c r="BG244" s="2" t="s">
        <v>3</v>
      </c>
      <c r="BH244" s="2">
        <v>2</v>
      </c>
      <c r="BI244" s="2">
        <v>1</v>
      </c>
      <c r="BJ244" s="2" t="s">
        <v>30</v>
      </c>
      <c r="BK244" s="2"/>
      <c r="BL244" s="2"/>
      <c r="BM244" s="2">
        <v>15001</v>
      </c>
      <c r="BN244" s="2">
        <v>0</v>
      </c>
      <c r="BO244" s="2" t="s">
        <v>27</v>
      </c>
      <c r="BP244" s="2">
        <v>1</v>
      </c>
      <c r="BQ244" s="2">
        <v>2</v>
      </c>
      <c r="BR244" s="2">
        <v>0</v>
      </c>
      <c r="BS244" s="2">
        <v>1</v>
      </c>
      <c r="BT244" s="2">
        <v>1</v>
      </c>
      <c r="BU244" s="2">
        <v>1</v>
      </c>
      <c r="BV244" s="2">
        <v>1</v>
      </c>
      <c r="BW244" s="2">
        <v>1</v>
      </c>
      <c r="BX244" s="2">
        <v>1</v>
      </c>
      <c r="BY244" s="2" t="s">
        <v>3</v>
      </c>
      <c r="BZ244" s="2">
        <v>100</v>
      </c>
      <c r="CA244" s="2">
        <v>49</v>
      </c>
      <c r="CB244" s="2" t="s">
        <v>3</v>
      </c>
      <c r="CC244" s="2"/>
      <c r="CD244" s="2"/>
      <c r="CE244" s="2">
        <v>0</v>
      </c>
      <c r="CF244" s="2">
        <v>0</v>
      </c>
      <c r="CG244" s="2">
        <v>0</v>
      </c>
      <c r="CH244" s="2"/>
      <c r="CI244" s="2"/>
      <c r="CJ244" s="2"/>
      <c r="CK244" s="2"/>
      <c r="CL244" s="2"/>
      <c r="CM244" s="2">
        <v>0</v>
      </c>
      <c r="CN244" s="7" t="s">
        <v>737</v>
      </c>
      <c r="CO244" s="2">
        <v>0</v>
      </c>
      <c r="CP244" s="2">
        <f t="shared" si="238"/>
        <v>-0.08</v>
      </c>
      <c r="CQ244" s="2">
        <f>ROUND(AL244*BC244,2)</f>
        <v>0</v>
      </c>
      <c r="CR244" s="2">
        <f>ROUND(AM244*BB244,2)</f>
        <v>57.47</v>
      </c>
      <c r="CS244" s="2">
        <f>(ROUND(AN244*BS244,2)*ROUND(0,7))</f>
        <v>0</v>
      </c>
      <c r="CT244" s="2">
        <f>ROUND(AO244*BA244,2)</f>
        <v>0</v>
      </c>
      <c r="CU244" s="2">
        <f t="shared" si="243"/>
        <v>0</v>
      </c>
      <c r="CV244" s="2">
        <f t="shared" si="246"/>
        <v>0</v>
      </c>
      <c r="CW244" s="2">
        <f t="shared" si="246"/>
        <v>0</v>
      </c>
      <c r="CX244" s="2">
        <f t="shared" si="244"/>
        <v>0</v>
      </c>
      <c r="CY244" s="2">
        <f t="shared" si="240"/>
        <v>0</v>
      </c>
      <c r="CZ244" s="2">
        <f t="shared" si="241"/>
        <v>0</v>
      </c>
      <c r="DA244" s="2"/>
      <c r="DB244" s="2"/>
      <c r="DC244" s="2" t="s">
        <v>3</v>
      </c>
      <c r="DD244" s="2" t="s">
        <v>3</v>
      </c>
      <c r="DE244" s="2" t="s">
        <v>3</v>
      </c>
      <c r="DF244" s="2" t="s">
        <v>46</v>
      </c>
      <c r="DG244" s="2" t="s">
        <v>3</v>
      </c>
      <c r="DH244" s="2" t="s">
        <v>3</v>
      </c>
      <c r="DI244" s="2" t="s">
        <v>3</v>
      </c>
      <c r="DJ244" s="2" t="s">
        <v>3</v>
      </c>
      <c r="DK244" s="2" t="s">
        <v>3</v>
      </c>
      <c r="DL244" s="2" t="s">
        <v>3</v>
      </c>
      <c r="DM244" s="2" t="s">
        <v>3</v>
      </c>
      <c r="DN244" s="2">
        <v>0</v>
      </c>
      <c r="DO244" s="2">
        <v>0</v>
      </c>
      <c r="DP244" s="2">
        <v>1</v>
      </c>
      <c r="DQ244" s="2">
        <v>1</v>
      </c>
      <c r="DR244" s="2"/>
      <c r="DS244" s="2"/>
      <c r="DT244" s="2"/>
      <c r="DU244" s="2">
        <v>1011</v>
      </c>
      <c r="DV244" s="2" t="s">
        <v>29</v>
      </c>
      <c r="DW244" s="2" t="s">
        <v>29</v>
      </c>
      <c r="DX244" s="2">
        <v>1</v>
      </c>
      <c r="DY244" s="2"/>
      <c r="DZ244" s="2" t="s">
        <v>3</v>
      </c>
      <c r="EA244" s="2" t="s">
        <v>3</v>
      </c>
      <c r="EB244" s="2" t="s">
        <v>3</v>
      </c>
      <c r="EC244" s="2" t="s">
        <v>3</v>
      </c>
      <c r="ED244" s="2"/>
      <c r="EE244" s="2">
        <v>84053924</v>
      </c>
      <c r="EF244" s="2">
        <v>2</v>
      </c>
      <c r="EG244" s="2" t="s">
        <v>270</v>
      </c>
      <c r="EH244" s="2">
        <v>15</v>
      </c>
      <c r="EI244" s="2" t="s">
        <v>419</v>
      </c>
      <c r="EJ244" s="2">
        <v>1</v>
      </c>
      <c r="EK244" s="2">
        <v>15001</v>
      </c>
      <c r="EL244" s="2" t="s">
        <v>419</v>
      </c>
      <c r="EM244" s="2" t="s">
        <v>420</v>
      </c>
      <c r="EN244" s="2"/>
      <c r="EO244" s="2" t="s">
        <v>333</v>
      </c>
      <c r="EP244" s="2"/>
      <c r="EQ244" s="2">
        <v>0</v>
      </c>
      <c r="ER244" s="2">
        <v>37.32</v>
      </c>
      <c r="ES244" s="2">
        <v>0</v>
      </c>
      <c r="ET244" s="2">
        <v>37.32</v>
      </c>
      <c r="EU244" s="2">
        <v>641.22</v>
      </c>
      <c r="EV244" s="2">
        <v>0</v>
      </c>
      <c r="EW244" s="2">
        <v>0</v>
      </c>
      <c r="EX244" s="2">
        <v>0</v>
      </c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>
        <v>0</v>
      </c>
      <c r="FR244" s="2">
        <v>0</v>
      </c>
      <c r="FS244" s="2">
        <v>1</v>
      </c>
      <c r="FT244" s="2"/>
      <c r="FU244" s="2"/>
      <c r="FV244" s="2"/>
      <c r="FW244" s="2"/>
      <c r="FX244" s="2">
        <v>100</v>
      </c>
      <c r="FY244" s="2">
        <v>49</v>
      </c>
      <c r="FZ244" s="2"/>
      <c r="GA244" s="2" t="s">
        <v>3</v>
      </c>
      <c r="GB244" s="2"/>
      <c r="GC244" s="2"/>
      <c r="GD244" s="2">
        <v>1</v>
      </c>
      <c r="GE244" s="2"/>
      <c r="GF244" s="2">
        <v>945201097</v>
      </c>
      <c r="GG244" s="2">
        <v>2</v>
      </c>
      <c r="GH244" s="2">
        <v>1</v>
      </c>
      <c r="GI244" s="2">
        <v>2</v>
      </c>
      <c r="GJ244" s="2">
        <v>0</v>
      </c>
      <c r="GK244" s="2">
        <v>0</v>
      </c>
      <c r="GL244" s="2">
        <f t="shared" si="206"/>
        <v>0</v>
      </c>
      <c r="GM244" s="2">
        <f t="shared" si="207"/>
        <v>-0.08</v>
      </c>
      <c r="GN244" s="2">
        <f t="shared" si="208"/>
        <v>-0.08</v>
      </c>
      <c r="GO244" s="2">
        <f t="shared" si="209"/>
        <v>0</v>
      </c>
      <c r="GP244" s="2">
        <f t="shared" si="210"/>
        <v>0</v>
      </c>
      <c r="GQ244" s="2"/>
      <c r="GR244" s="2">
        <v>0</v>
      </c>
      <c r="GS244" s="2">
        <v>7</v>
      </c>
      <c r="GT244" s="2">
        <v>0</v>
      </c>
      <c r="GU244" s="2" t="s">
        <v>3</v>
      </c>
      <c r="GV244" s="2">
        <f t="shared" si="211"/>
        <v>0</v>
      </c>
      <c r="GW244" s="2">
        <v>1</v>
      </c>
      <c r="GX244" s="2">
        <f t="shared" si="212"/>
        <v>0</v>
      </c>
      <c r="GY244" s="2"/>
      <c r="GZ244" s="2"/>
      <c r="HA244" s="2">
        <v>0</v>
      </c>
      <c r="HB244" s="2">
        <v>0</v>
      </c>
      <c r="HC244" s="2">
        <f t="shared" si="242"/>
        <v>0</v>
      </c>
      <c r="HD244" s="2"/>
      <c r="HE244" s="2" t="s">
        <v>3</v>
      </c>
      <c r="HF244" s="2" t="s">
        <v>3</v>
      </c>
      <c r="HG244" s="2"/>
      <c r="HH244" s="2"/>
      <c r="HI244" s="2"/>
      <c r="HJ244" s="2"/>
      <c r="HK244" s="2"/>
      <c r="HL244" s="2"/>
      <c r="HM244" s="2" t="s">
        <v>329</v>
      </c>
      <c r="HN244" s="2" t="s">
        <v>421</v>
      </c>
      <c r="HO244" s="2" t="s">
        <v>422</v>
      </c>
      <c r="HP244" s="2" t="s">
        <v>419</v>
      </c>
      <c r="HQ244" s="2" t="s">
        <v>419</v>
      </c>
      <c r="HR244" s="2"/>
      <c r="HS244" s="2">
        <v>0</v>
      </c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>
        <v>0</v>
      </c>
      <c r="IL244" s="2"/>
      <c r="IM244" s="2"/>
      <c r="IN244" s="2"/>
      <c r="IO244" s="2"/>
      <c r="IP244" s="2"/>
      <c r="IQ244" s="2"/>
      <c r="IR244" s="2"/>
      <c r="IS244" s="2"/>
      <c r="IT244" s="2"/>
      <c r="IU244" s="2"/>
    </row>
    <row r="245" spans="1:255" ht="409.5" x14ac:dyDescent="0.2">
      <c r="A245" s="2">
        <v>18</v>
      </c>
      <c r="B245" s="2">
        <v>1</v>
      </c>
      <c r="C245" s="2">
        <v>221</v>
      </c>
      <c r="D245" s="2"/>
      <c r="E245" s="2" t="s">
        <v>436</v>
      </c>
      <c r="F245" s="2" t="s">
        <v>127</v>
      </c>
      <c r="G245" s="2" t="s">
        <v>128</v>
      </c>
      <c r="H245" s="2" t="s">
        <v>29</v>
      </c>
      <c r="I245" s="2">
        <f>I242*J245</f>
        <v>-1.35E-2</v>
      </c>
      <c r="J245" s="2">
        <v>-0.22500000000000001</v>
      </c>
      <c r="K245" s="2">
        <v>-0.15</v>
      </c>
      <c r="L245" s="2"/>
      <c r="M245" s="2"/>
      <c r="N245" s="2"/>
      <c r="O245" s="2">
        <f t="shared" si="237"/>
        <v>-8.68</v>
      </c>
      <c r="P245" s="2">
        <f>ROUND(CQ245*I245,2)</f>
        <v>0</v>
      </c>
      <c r="Q245" s="2">
        <f>ROUND(CR245*I245,2)</f>
        <v>-8.68</v>
      </c>
      <c r="R245" s="2">
        <f>ROUND(CS245*I245,2)</f>
        <v>0</v>
      </c>
      <c r="S245" s="2">
        <f>ROUND(CT245*I245,2)</f>
        <v>0</v>
      </c>
      <c r="T245" s="2">
        <f t="shared" si="199"/>
        <v>0</v>
      </c>
      <c r="U245" s="2">
        <f>ROUND(CV245*I245,7)</f>
        <v>0</v>
      </c>
      <c r="V245" s="2">
        <f>ROUND(CW245*I245,7)</f>
        <v>0</v>
      </c>
      <c r="W245" s="2">
        <f t="shared" si="200"/>
        <v>0</v>
      </c>
      <c r="X245" s="2">
        <f t="shared" si="201"/>
        <v>0</v>
      </c>
      <c r="Y245" s="2">
        <f t="shared" si="202"/>
        <v>0</v>
      </c>
      <c r="Z245" s="2"/>
      <c r="AA245" s="2">
        <v>85997836</v>
      </c>
      <c r="AB245" s="2">
        <f t="shared" si="203"/>
        <v>-78.760000000000005</v>
      </c>
      <c r="AC245" s="2">
        <f>ROUND((ES245),6)</f>
        <v>0</v>
      </c>
      <c r="AD245" s="2">
        <f>ROUND((((ET245)-(EU245))+AE245),6)</f>
        <v>-78.760000000000005</v>
      </c>
      <c r="AE245" s="2">
        <f>ROUND(((EU245*ROUND(0,7))),6)</f>
        <v>0</v>
      </c>
      <c r="AF245" s="2">
        <f>ROUND((EV245),6)</f>
        <v>0</v>
      </c>
      <c r="AG245" s="2">
        <f t="shared" si="204"/>
        <v>0</v>
      </c>
      <c r="AH245" s="2">
        <f t="shared" si="245"/>
        <v>0</v>
      </c>
      <c r="AI245" s="2">
        <f t="shared" si="245"/>
        <v>0</v>
      </c>
      <c r="AJ245" s="2">
        <f t="shared" si="205"/>
        <v>0</v>
      </c>
      <c r="AK245" s="2">
        <v>643.29</v>
      </c>
      <c r="AL245" s="2">
        <v>0</v>
      </c>
      <c r="AM245" s="2">
        <v>643.29</v>
      </c>
      <c r="AN245" s="2">
        <v>722.05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100</v>
      </c>
      <c r="AU245" s="2">
        <v>49</v>
      </c>
      <c r="AV245" s="2">
        <v>1</v>
      </c>
      <c r="AW245" s="2">
        <v>1</v>
      </c>
      <c r="AX245" s="2"/>
      <c r="AY245" s="2"/>
      <c r="AZ245" s="2">
        <v>1</v>
      </c>
      <c r="BA245" s="2">
        <v>1</v>
      </c>
      <c r="BB245" s="2">
        <v>1</v>
      </c>
      <c r="BC245" s="2">
        <v>1</v>
      </c>
      <c r="BD245" s="2" t="s">
        <v>3</v>
      </c>
      <c r="BE245" s="2" t="s">
        <v>3</v>
      </c>
      <c r="BF245" s="2" t="s">
        <v>3</v>
      </c>
      <c r="BG245" s="2" t="s">
        <v>3</v>
      </c>
      <c r="BH245" s="2">
        <v>2</v>
      </c>
      <c r="BI245" s="2">
        <v>1</v>
      </c>
      <c r="BJ245" s="2" t="s">
        <v>129</v>
      </c>
      <c r="BK245" s="2"/>
      <c r="BL245" s="2"/>
      <c r="BM245" s="2">
        <v>15001</v>
      </c>
      <c r="BN245" s="2">
        <v>0</v>
      </c>
      <c r="BO245" s="2" t="s">
        <v>3</v>
      </c>
      <c r="BP245" s="2">
        <v>0</v>
      </c>
      <c r="BQ245" s="2">
        <v>2</v>
      </c>
      <c r="BR245" s="2">
        <v>0</v>
      </c>
      <c r="BS245" s="2">
        <v>1</v>
      </c>
      <c r="BT245" s="2">
        <v>1</v>
      </c>
      <c r="BU245" s="2">
        <v>1</v>
      </c>
      <c r="BV245" s="2">
        <v>1</v>
      </c>
      <c r="BW245" s="2">
        <v>1</v>
      </c>
      <c r="BX245" s="2">
        <v>1</v>
      </c>
      <c r="BY245" s="2" t="s">
        <v>3</v>
      </c>
      <c r="BZ245" s="2">
        <v>100</v>
      </c>
      <c r="CA245" s="2">
        <v>49</v>
      </c>
      <c r="CB245" s="2" t="s">
        <v>3</v>
      </c>
      <c r="CC245" s="2"/>
      <c r="CD245" s="2"/>
      <c r="CE245" s="2">
        <v>0</v>
      </c>
      <c r="CF245" s="2">
        <v>0</v>
      </c>
      <c r="CG245" s="2">
        <v>0</v>
      </c>
      <c r="CH245" s="2"/>
      <c r="CI245" s="2"/>
      <c r="CJ245" s="2"/>
      <c r="CK245" s="2"/>
      <c r="CL245" s="2"/>
      <c r="CM245" s="2">
        <v>0</v>
      </c>
      <c r="CN245" s="7" t="s">
        <v>737</v>
      </c>
      <c r="CO245" s="2">
        <v>0</v>
      </c>
      <c r="CP245" s="2">
        <f t="shared" si="238"/>
        <v>-8.68</v>
      </c>
      <c r="CQ245" s="2">
        <f>ROUND(AL245*BC245,2)</f>
        <v>0</v>
      </c>
      <c r="CR245" s="2">
        <f>ROUND(AM245*BB245,2)</f>
        <v>643.29</v>
      </c>
      <c r="CS245" s="2">
        <f>(ROUND(AN245*BS245,2)*ROUND(0,7))</f>
        <v>0</v>
      </c>
      <c r="CT245" s="2">
        <f>ROUND(AO245*BA245,2)</f>
        <v>0</v>
      </c>
      <c r="CU245" s="2">
        <f t="shared" si="243"/>
        <v>0</v>
      </c>
      <c r="CV245" s="2">
        <f t="shared" si="246"/>
        <v>0</v>
      </c>
      <c r="CW245" s="2">
        <f t="shared" si="246"/>
        <v>0</v>
      </c>
      <c r="CX245" s="2">
        <f t="shared" si="244"/>
        <v>0</v>
      </c>
      <c r="CY245" s="2">
        <f t="shared" si="240"/>
        <v>0</v>
      </c>
      <c r="CZ245" s="2">
        <f t="shared" si="241"/>
        <v>0</v>
      </c>
      <c r="DA245" s="2"/>
      <c r="DB245" s="2"/>
      <c r="DC245" s="2" t="s">
        <v>3</v>
      </c>
      <c r="DD245" s="2" t="s">
        <v>3</v>
      </c>
      <c r="DE245" s="2" t="s">
        <v>3</v>
      </c>
      <c r="DF245" s="2" t="s">
        <v>46</v>
      </c>
      <c r="DG245" s="2" t="s">
        <v>3</v>
      </c>
      <c r="DH245" s="2" t="s">
        <v>3</v>
      </c>
      <c r="DI245" s="2" t="s">
        <v>3</v>
      </c>
      <c r="DJ245" s="2" t="s">
        <v>3</v>
      </c>
      <c r="DK245" s="2" t="s">
        <v>3</v>
      </c>
      <c r="DL245" s="2" t="s">
        <v>3</v>
      </c>
      <c r="DM245" s="2" t="s">
        <v>3</v>
      </c>
      <c r="DN245" s="2">
        <v>0</v>
      </c>
      <c r="DO245" s="2">
        <v>0</v>
      </c>
      <c r="DP245" s="2">
        <v>1</v>
      </c>
      <c r="DQ245" s="2">
        <v>1</v>
      </c>
      <c r="DR245" s="2"/>
      <c r="DS245" s="2"/>
      <c r="DT245" s="2"/>
      <c r="DU245" s="2">
        <v>1011</v>
      </c>
      <c r="DV245" s="2" t="s">
        <v>29</v>
      </c>
      <c r="DW245" s="2" t="s">
        <v>29</v>
      </c>
      <c r="DX245" s="2">
        <v>1</v>
      </c>
      <c r="DY245" s="2"/>
      <c r="DZ245" s="2" t="s">
        <v>3</v>
      </c>
      <c r="EA245" s="2" t="s">
        <v>3</v>
      </c>
      <c r="EB245" s="2" t="s">
        <v>3</v>
      </c>
      <c r="EC245" s="2" t="s">
        <v>3</v>
      </c>
      <c r="ED245" s="2"/>
      <c r="EE245" s="2">
        <v>84053924</v>
      </c>
      <c r="EF245" s="2">
        <v>2</v>
      </c>
      <c r="EG245" s="2" t="s">
        <v>270</v>
      </c>
      <c r="EH245" s="2">
        <v>15</v>
      </c>
      <c r="EI245" s="2" t="s">
        <v>419</v>
      </c>
      <c r="EJ245" s="2">
        <v>1</v>
      </c>
      <c r="EK245" s="2">
        <v>15001</v>
      </c>
      <c r="EL245" s="2" t="s">
        <v>419</v>
      </c>
      <c r="EM245" s="2" t="s">
        <v>420</v>
      </c>
      <c r="EN245" s="2"/>
      <c r="EO245" s="2" t="s">
        <v>333</v>
      </c>
      <c r="EP245" s="2"/>
      <c r="EQ245" s="2">
        <v>0</v>
      </c>
      <c r="ER245" s="2">
        <v>643.29</v>
      </c>
      <c r="ES245" s="2">
        <v>0</v>
      </c>
      <c r="ET245" s="2">
        <v>643.29</v>
      </c>
      <c r="EU245" s="2">
        <v>722.05</v>
      </c>
      <c r="EV245" s="2">
        <v>0</v>
      </c>
      <c r="EW245" s="2">
        <v>0</v>
      </c>
      <c r="EX245" s="2">
        <v>0</v>
      </c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>
        <v>0</v>
      </c>
      <c r="FR245" s="2">
        <v>0</v>
      </c>
      <c r="FS245" s="2">
        <v>1</v>
      </c>
      <c r="FT245" s="2"/>
      <c r="FU245" s="2"/>
      <c r="FV245" s="2"/>
      <c r="FW245" s="2"/>
      <c r="FX245" s="2">
        <v>100</v>
      </c>
      <c r="FY245" s="2">
        <v>49</v>
      </c>
      <c r="FZ245" s="2"/>
      <c r="GA245" s="2" t="s">
        <v>3</v>
      </c>
      <c r="GB245" s="2"/>
      <c r="GC245" s="2"/>
      <c r="GD245" s="2">
        <v>1</v>
      </c>
      <c r="GE245" s="2"/>
      <c r="GF245" s="2">
        <v>-849950259</v>
      </c>
      <c r="GG245" s="2">
        <v>2</v>
      </c>
      <c r="GH245" s="2">
        <v>1</v>
      </c>
      <c r="GI245" s="2">
        <v>-2</v>
      </c>
      <c r="GJ245" s="2">
        <v>0</v>
      </c>
      <c r="GK245" s="2">
        <v>0</v>
      </c>
      <c r="GL245" s="2">
        <f t="shared" si="206"/>
        <v>0</v>
      </c>
      <c r="GM245" s="2">
        <f t="shared" si="207"/>
        <v>-8.68</v>
      </c>
      <c r="GN245" s="2">
        <f t="shared" si="208"/>
        <v>-8.68</v>
      </c>
      <c r="GO245" s="2">
        <f t="shared" si="209"/>
        <v>0</v>
      </c>
      <c r="GP245" s="2">
        <f t="shared" si="210"/>
        <v>0</v>
      </c>
      <c r="GQ245" s="2"/>
      <c r="GR245" s="2">
        <v>0</v>
      </c>
      <c r="GS245" s="2">
        <v>7</v>
      </c>
      <c r="GT245" s="2">
        <v>0</v>
      </c>
      <c r="GU245" s="2" t="s">
        <v>3</v>
      </c>
      <c r="GV245" s="2">
        <f t="shared" si="211"/>
        <v>0</v>
      </c>
      <c r="GW245" s="2">
        <v>1</v>
      </c>
      <c r="GX245" s="2">
        <f t="shared" si="212"/>
        <v>0</v>
      </c>
      <c r="GY245" s="2"/>
      <c r="GZ245" s="2"/>
      <c r="HA245" s="2">
        <v>0</v>
      </c>
      <c r="HB245" s="2">
        <v>0</v>
      </c>
      <c r="HC245" s="2">
        <f t="shared" si="242"/>
        <v>0</v>
      </c>
      <c r="HD245" s="2"/>
      <c r="HE245" s="2" t="s">
        <v>3</v>
      </c>
      <c r="HF245" s="2" t="s">
        <v>3</v>
      </c>
      <c r="HG245" s="2"/>
      <c r="HH245" s="2"/>
      <c r="HI245" s="2"/>
      <c r="HJ245" s="2"/>
      <c r="HK245" s="2"/>
      <c r="HL245" s="2"/>
      <c r="HM245" s="2" t="s">
        <v>329</v>
      </c>
      <c r="HN245" s="2" t="s">
        <v>421</v>
      </c>
      <c r="HO245" s="2" t="s">
        <v>422</v>
      </c>
      <c r="HP245" s="2" t="s">
        <v>419</v>
      </c>
      <c r="HQ245" s="2" t="s">
        <v>419</v>
      </c>
      <c r="HR245" s="2"/>
      <c r="HS245" s="2">
        <v>0</v>
      </c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>
        <v>0</v>
      </c>
      <c r="IL245" s="2"/>
      <c r="IM245" s="2"/>
      <c r="IN245" s="2"/>
      <c r="IO245" s="2"/>
      <c r="IP245" s="2"/>
      <c r="IQ245" s="2"/>
      <c r="IR245" s="2"/>
      <c r="IS245" s="2"/>
      <c r="IT245" s="2"/>
      <c r="IU245" s="2"/>
    </row>
    <row r="246" spans="1:255" ht="409.5" x14ac:dyDescent="0.2">
      <c r="A246" s="2">
        <v>17</v>
      </c>
      <c r="B246" s="2">
        <v>1</v>
      </c>
      <c r="C246" s="2">
        <f>ROW(SmtRes!A234)</f>
        <v>234</v>
      </c>
      <c r="D246" s="2">
        <f>ROW(EtalonRes!A213)</f>
        <v>213</v>
      </c>
      <c r="E246" s="2" t="s">
        <v>437</v>
      </c>
      <c r="F246" s="2" t="s">
        <v>438</v>
      </c>
      <c r="G246" s="2" t="s">
        <v>439</v>
      </c>
      <c r="H246" s="2" t="s">
        <v>311</v>
      </c>
      <c r="I246" s="2">
        <f>ROUND((10)/100,7)</f>
        <v>0.1</v>
      </c>
      <c r="J246" s="2">
        <v>0</v>
      </c>
      <c r="K246" s="2">
        <f>ROUND((10)/100,7)</f>
        <v>0.1</v>
      </c>
      <c r="L246" s="2"/>
      <c r="M246" s="2"/>
      <c r="N246" s="2"/>
      <c r="O246" s="2">
        <f t="shared" si="237"/>
        <v>4406.83</v>
      </c>
      <c r="P246" s="2">
        <f>SUMIF(SmtRes!AQ226:'SmtRes'!AQ234,"=1",SmtRes!DF226:'SmtRes'!DF234)</f>
        <v>455.13</v>
      </c>
      <c r="Q246" s="2">
        <f>SUMIF(SmtRes!AQ226:'SmtRes'!AQ234,"=1",SmtRes!DG226:'SmtRes'!DG234)</f>
        <v>0</v>
      </c>
      <c r="R246" s="2">
        <f>SUMIF(SmtRes!AQ226:'SmtRes'!AQ234,"=1",SmtRes!DH226:'SmtRes'!DH234)</f>
        <v>0</v>
      </c>
      <c r="S246" s="2">
        <f>SUMIF(SmtRes!AQ226:'SmtRes'!AQ234,"=1",SmtRes!DI226:'SmtRes'!DI234)</f>
        <v>3951.7</v>
      </c>
      <c r="T246" s="2">
        <f t="shared" si="199"/>
        <v>0</v>
      </c>
      <c r="U246" s="2">
        <f>SUMIF(SmtRes!AQ226:'SmtRes'!AQ234,"=1",SmtRes!CV226:'SmtRes'!CV234)</f>
        <v>6.0112800000000002</v>
      </c>
      <c r="V246" s="2">
        <f>SUMIF(SmtRes!AQ226:'SmtRes'!AQ234,"=1",SmtRes!CW226:'SmtRes'!CW234)</f>
        <v>0</v>
      </c>
      <c r="W246" s="2">
        <f t="shared" si="200"/>
        <v>0</v>
      </c>
      <c r="X246" s="2">
        <f t="shared" si="201"/>
        <v>3951.7</v>
      </c>
      <c r="Y246" s="2">
        <f t="shared" si="202"/>
        <v>1645.88</v>
      </c>
      <c r="Z246" s="2"/>
      <c r="AA246" s="2">
        <v>85997836</v>
      </c>
      <c r="AB246" s="2">
        <f t="shared" si="203"/>
        <v>42673.062994</v>
      </c>
      <c r="AC246" s="2">
        <f>ROUND((SUM(SmtRes!BQ226:'SmtRes'!BQ234)),6)</f>
        <v>3156.1105299999999</v>
      </c>
      <c r="AD246" s="2">
        <f>ROUND((((0)-(0))+AE246),6)</f>
        <v>0</v>
      </c>
      <c r="AE246" s="2">
        <f>ROUND((0),6)</f>
        <v>0</v>
      </c>
      <c r="AF246" s="2">
        <f>ROUND((SUM(SmtRes!BT226:'SmtRes'!BT234)),6)</f>
        <v>39516.952464000002</v>
      </c>
      <c r="AG246" s="2">
        <f t="shared" si="204"/>
        <v>0</v>
      </c>
      <c r="AH246" s="2">
        <f>(SUM(SmtRes!BU226:'SmtRes'!BU234))</f>
        <v>60.112799999999993</v>
      </c>
      <c r="AI246" s="2">
        <f>(0)</f>
        <v>0</v>
      </c>
      <c r="AJ246" s="2">
        <f t="shared" si="205"/>
        <v>0</v>
      </c>
      <c r="AK246" s="2">
        <v>31791.583330000001</v>
      </c>
      <c r="AL246" s="2">
        <v>3156.1105299999999</v>
      </c>
      <c r="AM246" s="2">
        <v>0</v>
      </c>
      <c r="AN246" s="2">
        <v>0</v>
      </c>
      <c r="AO246" s="2">
        <v>28635.4728</v>
      </c>
      <c r="AP246" s="2">
        <v>0</v>
      </c>
      <c r="AQ246" s="2">
        <v>43.56</v>
      </c>
      <c r="AR246" s="2">
        <v>0.17</v>
      </c>
      <c r="AS246" s="2">
        <v>0</v>
      </c>
      <c r="AT246" s="2">
        <v>100</v>
      </c>
      <c r="AU246" s="2">
        <v>41.65</v>
      </c>
      <c r="AV246" s="2">
        <v>1</v>
      </c>
      <c r="AW246" s="2">
        <v>1</v>
      </c>
      <c r="AX246" s="2"/>
      <c r="AY246" s="2"/>
      <c r="AZ246" s="2">
        <v>1</v>
      </c>
      <c r="BA246" s="2">
        <v>1</v>
      </c>
      <c r="BB246" s="2">
        <v>1</v>
      </c>
      <c r="BC246" s="2">
        <v>1</v>
      </c>
      <c r="BD246" s="2" t="s">
        <v>3</v>
      </c>
      <c r="BE246" s="2" t="s">
        <v>3</v>
      </c>
      <c r="BF246" s="2" t="s">
        <v>3</v>
      </c>
      <c r="BG246" s="2" t="s">
        <v>3</v>
      </c>
      <c r="BH246" s="2">
        <v>0</v>
      </c>
      <c r="BI246" s="2">
        <v>1</v>
      </c>
      <c r="BJ246" s="2" t="s">
        <v>440</v>
      </c>
      <c r="BK246" s="2"/>
      <c r="BL246" s="2"/>
      <c r="BM246" s="2">
        <v>15001</v>
      </c>
      <c r="BN246" s="2">
        <v>0</v>
      </c>
      <c r="BO246" s="2" t="s">
        <v>3</v>
      </c>
      <c r="BP246" s="2">
        <v>0</v>
      </c>
      <c r="BQ246" s="2">
        <v>2</v>
      </c>
      <c r="BR246" s="2">
        <v>0</v>
      </c>
      <c r="BS246" s="2">
        <v>1</v>
      </c>
      <c r="BT246" s="2">
        <v>1</v>
      </c>
      <c r="BU246" s="2">
        <v>1</v>
      </c>
      <c r="BV246" s="2">
        <v>1</v>
      </c>
      <c r="BW246" s="2">
        <v>1</v>
      </c>
      <c r="BX246" s="2">
        <v>1</v>
      </c>
      <c r="BY246" s="2" t="s">
        <v>3</v>
      </c>
      <c r="BZ246" s="2">
        <v>100</v>
      </c>
      <c r="CA246" s="2">
        <v>49</v>
      </c>
      <c r="CB246" s="2" t="s">
        <v>3</v>
      </c>
      <c r="CC246" s="2"/>
      <c r="CD246" s="2"/>
      <c r="CE246" s="2">
        <v>0</v>
      </c>
      <c r="CF246" s="2">
        <v>0</v>
      </c>
      <c r="CG246" s="2">
        <v>0</v>
      </c>
      <c r="CH246" s="2"/>
      <c r="CI246" s="2"/>
      <c r="CJ246" s="2"/>
      <c r="CK246" s="2"/>
      <c r="CL246" s="2"/>
      <c r="CM246" s="2">
        <v>0</v>
      </c>
      <c r="CN246" s="7" t="s">
        <v>737</v>
      </c>
      <c r="CO246" s="2">
        <v>0</v>
      </c>
      <c r="CP246" s="2">
        <f t="shared" si="238"/>
        <v>4406.83</v>
      </c>
      <c r="CQ246" s="2">
        <f>SUMIF(SmtRes!AQ226:'SmtRes'!AQ234,"=1",SmtRes!AA226:'SmtRes'!AA234)</f>
        <v>77867.11</v>
      </c>
      <c r="CR246" s="2">
        <f>SUMIF(SmtRes!AQ226:'SmtRes'!AQ234,"=1",SmtRes!AB226:'SmtRes'!AB234)</f>
        <v>0</v>
      </c>
      <c r="CS246" s="2">
        <f>SUMIF(SmtRes!AQ226:'SmtRes'!AQ234,"=1",SmtRes!AC226:'SmtRes'!AC234)</f>
        <v>0</v>
      </c>
      <c r="CT246" s="2">
        <f>SUMIF(SmtRes!AQ226:'SmtRes'!AQ234,"=1",SmtRes!AD226:'SmtRes'!AD234)</f>
        <v>657.38</v>
      </c>
      <c r="CU246" s="2">
        <f t="shared" si="243"/>
        <v>0</v>
      </c>
      <c r="CV246" s="2">
        <f>SUMIF(SmtRes!AQ226:'SmtRes'!AQ234,"=1",SmtRes!BU226:'SmtRes'!BU234)</f>
        <v>60.112799999999993</v>
      </c>
      <c r="CW246" s="2">
        <f>SUMIF(SmtRes!AQ226:'SmtRes'!AQ234,"=1",SmtRes!BV226:'SmtRes'!BV234)</f>
        <v>0</v>
      </c>
      <c r="CX246" s="2">
        <f t="shared" si="244"/>
        <v>0</v>
      </c>
      <c r="CY246" s="2">
        <f t="shared" si="240"/>
        <v>3951.7</v>
      </c>
      <c r="CZ246" s="2">
        <f t="shared" si="241"/>
        <v>1645.8830499999999</v>
      </c>
      <c r="DA246" s="2"/>
      <c r="DB246" s="2"/>
      <c r="DC246" s="2" t="s">
        <v>3</v>
      </c>
      <c r="DD246" s="2" t="s">
        <v>3</v>
      </c>
      <c r="DE246" s="2" t="s">
        <v>329</v>
      </c>
      <c r="DF246" s="2" t="s">
        <v>329</v>
      </c>
      <c r="DG246" s="2" t="s">
        <v>330</v>
      </c>
      <c r="DH246" s="2" t="s">
        <v>3</v>
      </c>
      <c r="DI246" s="2" t="s">
        <v>330</v>
      </c>
      <c r="DJ246" s="2" t="s">
        <v>329</v>
      </c>
      <c r="DK246" s="2" t="s">
        <v>3</v>
      </c>
      <c r="DL246" s="2" t="s">
        <v>3</v>
      </c>
      <c r="DM246" s="2" t="s">
        <v>269</v>
      </c>
      <c r="DN246" s="2">
        <v>0</v>
      </c>
      <c r="DO246" s="2">
        <v>0</v>
      </c>
      <c r="DP246" s="2">
        <v>1</v>
      </c>
      <c r="DQ246" s="2">
        <v>1</v>
      </c>
      <c r="DR246" s="2"/>
      <c r="DS246" s="2"/>
      <c r="DT246" s="2"/>
      <c r="DU246" s="2">
        <v>1005</v>
      </c>
      <c r="DV246" s="2" t="s">
        <v>311</v>
      </c>
      <c r="DW246" s="2" t="s">
        <v>311</v>
      </c>
      <c r="DX246" s="2">
        <v>100</v>
      </c>
      <c r="DY246" s="2"/>
      <c r="DZ246" s="2" t="s">
        <v>3</v>
      </c>
      <c r="EA246" s="2" t="s">
        <v>3</v>
      </c>
      <c r="EB246" s="2" t="s">
        <v>3</v>
      </c>
      <c r="EC246" s="2" t="s">
        <v>3</v>
      </c>
      <c r="ED246" s="2"/>
      <c r="EE246" s="2">
        <v>84053924</v>
      </c>
      <c r="EF246" s="2">
        <v>2</v>
      </c>
      <c r="EG246" s="2" t="s">
        <v>270</v>
      </c>
      <c r="EH246" s="2">
        <v>15</v>
      </c>
      <c r="EI246" s="2" t="s">
        <v>419</v>
      </c>
      <c r="EJ246" s="2">
        <v>1</v>
      </c>
      <c r="EK246" s="2">
        <v>15001</v>
      </c>
      <c r="EL246" s="2" t="s">
        <v>419</v>
      </c>
      <c r="EM246" s="2" t="s">
        <v>420</v>
      </c>
      <c r="EN246" s="2"/>
      <c r="EO246" s="2" t="s">
        <v>333</v>
      </c>
      <c r="EP246" s="2"/>
      <c r="EQ246" s="2">
        <v>0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43.56</v>
      </c>
      <c r="EX246" s="2">
        <v>0.17</v>
      </c>
      <c r="EY246" s="2">
        <v>0</v>
      </c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>
        <v>0</v>
      </c>
      <c r="FR246" s="2">
        <v>0</v>
      </c>
      <c r="FS246" s="2">
        <v>0</v>
      </c>
      <c r="FT246" s="2"/>
      <c r="FU246" s="2"/>
      <c r="FV246" s="2"/>
      <c r="FW246" s="2"/>
      <c r="FX246" s="2">
        <v>100</v>
      </c>
      <c r="FY246" s="2">
        <v>41.65</v>
      </c>
      <c r="FZ246" s="2"/>
      <c r="GA246" s="2" t="s">
        <v>3</v>
      </c>
      <c r="GB246" s="2"/>
      <c r="GC246" s="2"/>
      <c r="GD246" s="2">
        <v>1</v>
      </c>
      <c r="GE246" s="2"/>
      <c r="GF246" s="2">
        <v>-2099643598</v>
      </c>
      <c r="GG246" s="2">
        <v>2</v>
      </c>
      <c r="GH246" s="2">
        <v>1</v>
      </c>
      <c r="GI246" s="2">
        <v>-2</v>
      </c>
      <c r="GJ246" s="2">
        <v>0</v>
      </c>
      <c r="GK246" s="2">
        <v>0</v>
      </c>
      <c r="GL246" s="2">
        <f t="shared" si="206"/>
        <v>0</v>
      </c>
      <c r="GM246" s="2">
        <f t="shared" si="207"/>
        <v>10004.41</v>
      </c>
      <c r="GN246" s="2">
        <f t="shared" si="208"/>
        <v>10004.41</v>
      </c>
      <c r="GO246" s="2">
        <f t="shared" si="209"/>
        <v>0</v>
      </c>
      <c r="GP246" s="2">
        <f t="shared" si="210"/>
        <v>0</v>
      </c>
      <c r="GQ246" s="2"/>
      <c r="GR246" s="2">
        <v>0</v>
      </c>
      <c r="GS246" s="2">
        <v>3</v>
      </c>
      <c r="GT246" s="2">
        <v>0</v>
      </c>
      <c r="GU246" s="2" t="s">
        <v>3</v>
      </c>
      <c r="GV246" s="2">
        <f t="shared" si="211"/>
        <v>0</v>
      </c>
      <c r="GW246" s="2">
        <v>1</v>
      </c>
      <c r="GX246" s="2">
        <f t="shared" si="212"/>
        <v>0</v>
      </c>
      <c r="GY246" s="2"/>
      <c r="GZ246" s="2"/>
      <c r="HA246" s="2">
        <v>0</v>
      </c>
      <c r="HB246" s="2">
        <v>0</v>
      </c>
      <c r="HC246" s="2">
        <f t="shared" si="242"/>
        <v>0</v>
      </c>
      <c r="HD246" s="2"/>
      <c r="HE246" s="2" t="s">
        <v>3</v>
      </c>
      <c r="HF246" s="2" t="s">
        <v>3</v>
      </c>
      <c r="HG246" s="2"/>
      <c r="HH246" s="2"/>
      <c r="HI246" s="2"/>
      <c r="HJ246" s="2"/>
      <c r="HK246" s="2"/>
      <c r="HL246" s="2"/>
      <c r="HM246" s="2" t="s">
        <v>3</v>
      </c>
      <c r="HN246" s="2" t="s">
        <v>421</v>
      </c>
      <c r="HO246" s="2" t="s">
        <v>422</v>
      </c>
      <c r="HP246" s="2" t="s">
        <v>419</v>
      </c>
      <c r="HQ246" s="2" t="s">
        <v>419</v>
      </c>
      <c r="HR246" s="2"/>
      <c r="HS246" s="2">
        <v>0</v>
      </c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>
        <v>0</v>
      </c>
      <c r="IL246" s="2"/>
      <c r="IM246" s="2"/>
      <c r="IN246" s="2"/>
      <c r="IO246" s="2"/>
      <c r="IP246" s="2"/>
      <c r="IQ246" s="2"/>
      <c r="IR246" s="2"/>
      <c r="IS246" s="2"/>
      <c r="IT246" s="2"/>
      <c r="IU246" s="2"/>
    </row>
    <row r="247" spans="1:255" x14ac:dyDescent="0.2">
      <c r="A247" s="2">
        <v>18</v>
      </c>
      <c r="B247" s="2">
        <v>1</v>
      </c>
      <c r="C247" s="2">
        <v>232</v>
      </c>
      <c r="D247" s="2"/>
      <c r="E247" s="2" t="s">
        <v>441</v>
      </c>
      <c r="F247" s="2" t="s">
        <v>432</v>
      </c>
      <c r="G247" s="2" t="s">
        <v>433</v>
      </c>
      <c r="H247" s="2" t="s">
        <v>170</v>
      </c>
      <c r="I247" s="2">
        <f>I246*J247</f>
        <v>3</v>
      </c>
      <c r="J247" s="2">
        <v>30</v>
      </c>
      <c r="K247" s="2">
        <v>30</v>
      </c>
      <c r="L247" s="2"/>
      <c r="M247" s="2"/>
      <c r="N247" s="2"/>
      <c r="O247" s="2">
        <f t="shared" si="237"/>
        <v>2425.83</v>
      </c>
      <c r="P247" s="2">
        <f>ROUND(CQ247*I247,2)</f>
        <v>2425.83</v>
      </c>
      <c r="Q247" s="2">
        <f>ROUND(CR247*I247,2)</f>
        <v>0</v>
      </c>
      <c r="R247" s="2">
        <f>ROUND(CS247*I247,2)</f>
        <v>0</v>
      </c>
      <c r="S247" s="2">
        <f>ROUND(CT247*I247,2)</f>
        <v>0</v>
      </c>
      <c r="T247" s="2">
        <f t="shared" si="199"/>
        <v>0</v>
      </c>
      <c r="U247" s="2">
        <f>ROUND(CV247*I247,7)</f>
        <v>0</v>
      </c>
      <c r="V247" s="2">
        <f>ROUND(CW247*I247,7)</f>
        <v>0</v>
      </c>
      <c r="W247" s="2">
        <f t="shared" si="200"/>
        <v>0</v>
      </c>
      <c r="X247" s="2">
        <f t="shared" si="201"/>
        <v>0</v>
      </c>
      <c r="Y247" s="2">
        <f t="shared" si="202"/>
        <v>0</v>
      </c>
      <c r="Z247" s="2"/>
      <c r="AA247" s="2">
        <v>85997836</v>
      </c>
      <c r="AB247" s="2">
        <f t="shared" si="203"/>
        <v>456.84</v>
      </c>
      <c r="AC247" s="2">
        <f>ROUND((ES247),6)</f>
        <v>456.84</v>
      </c>
      <c r="AD247" s="2">
        <f>ROUND((((ET247)-(EU247))+AE247),6)</f>
        <v>0</v>
      </c>
      <c r="AE247" s="2">
        <f>ROUND((EU247),6)</f>
        <v>0</v>
      </c>
      <c r="AF247" s="2">
        <f>ROUND((EV247),6)</f>
        <v>0</v>
      </c>
      <c r="AG247" s="2">
        <f t="shared" si="204"/>
        <v>0</v>
      </c>
      <c r="AH247" s="2">
        <f t="shared" ref="AH247:AI250" si="247">(EW247)</f>
        <v>0</v>
      </c>
      <c r="AI247" s="2">
        <f t="shared" si="247"/>
        <v>0</v>
      </c>
      <c r="AJ247" s="2">
        <f t="shared" si="205"/>
        <v>0</v>
      </c>
      <c r="AK247" s="2">
        <v>456.84</v>
      </c>
      <c r="AL247" s="2">
        <v>456.84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100</v>
      </c>
      <c r="AU247" s="2">
        <v>49</v>
      </c>
      <c r="AV247" s="2">
        <v>1</v>
      </c>
      <c r="AW247" s="2">
        <v>1</v>
      </c>
      <c r="AX247" s="2"/>
      <c r="AY247" s="2"/>
      <c r="AZ247" s="2">
        <v>1</v>
      </c>
      <c r="BA247" s="2">
        <v>1</v>
      </c>
      <c r="BB247" s="2">
        <v>1</v>
      </c>
      <c r="BC247" s="2">
        <v>1.77</v>
      </c>
      <c r="BD247" s="2" t="s">
        <v>3</v>
      </c>
      <c r="BE247" s="2" t="s">
        <v>3</v>
      </c>
      <c r="BF247" s="2" t="s">
        <v>3</v>
      </c>
      <c r="BG247" s="2" t="s">
        <v>3</v>
      </c>
      <c r="BH247" s="2">
        <v>3</v>
      </c>
      <c r="BI247" s="2">
        <v>1</v>
      </c>
      <c r="BJ247" s="2" t="s">
        <v>434</v>
      </c>
      <c r="BK247" s="2"/>
      <c r="BL247" s="2"/>
      <c r="BM247" s="2">
        <v>15001</v>
      </c>
      <c r="BN247" s="2">
        <v>0</v>
      </c>
      <c r="BO247" s="2" t="s">
        <v>432</v>
      </c>
      <c r="BP247" s="2">
        <v>1</v>
      </c>
      <c r="BQ247" s="2">
        <v>2</v>
      </c>
      <c r="BR247" s="2">
        <v>0</v>
      </c>
      <c r="BS247" s="2">
        <v>1</v>
      </c>
      <c r="BT247" s="2">
        <v>1</v>
      </c>
      <c r="BU247" s="2">
        <v>1</v>
      </c>
      <c r="BV247" s="2">
        <v>1</v>
      </c>
      <c r="BW247" s="2">
        <v>1</v>
      </c>
      <c r="BX247" s="2">
        <v>1</v>
      </c>
      <c r="BY247" s="2" t="s">
        <v>3</v>
      </c>
      <c r="BZ247" s="2">
        <v>100</v>
      </c>
      <c r="CA247" s="2">
        <v>49</v>
      </c>
      <c r="CB247" s="2" t="s">
        <v>3</v>
      </c>
      <c r="CC247" s="2"/>
      <c r="CD247" s="2"/>
      <c r="CE247" s="2">
        <v>0</v>
      </c>
      <c r="CF247" s="2">
        <v>0</v>
      </c>
      <c r="CG247" s="2">
        <v>0</v>
      </c>
      <c r="CH247" s="2"/>
      <c r="CI247" s="2"/>
      <c r="CJ247" s="2"/>
      <c r="CK247" s="2"/>
      <c r="CL247" s="2"/>
      <c r="CM247" s="2">
        <v>0</v>
      </c>
      <c r="CN247" s="2" t="s">
        <v>3</v>
      </c>
      <c r="CO247" s="2">
        <v>0</v>
      </c>
      <c r="CP247" s="2">
        <f t="shared" si="238"/>
        <v>2425.83</v>
      </c>
      <c r="CQ247" s="2">
        <f>ROUND(AL247*BC247,2)</f>
        <v>808.61</v>
      </c>
      <c r="CR247" s="2">
        <f>ROUND(AM247*BB247,2)</f>
        <v>0</v>
      </c>
      <c r="CS247" s="2">
        <f>ROUND(AN247*BS247,2)</f>
        <v>0</v>
      </c>
      <c r="CT247" s="2">
        <f>ROUND(AO247*BA247,2)</f>
        <v>0</v>
      </c>
      <c r="CU247" s="2">
        <f t="shared" si="243"/>
        <v>0</v>
      </c>
      <c r="CV247" s="2">
        <f t="shared" ref="CV247:CW250" si="248">AH247</f>
        <v>0</v>
      </c>
      <c r="CW247" s="2">
        <f t="shared" si="248"/>
        <v>0</v>
      </c>
      <c r="CX247" s="2">
        <f t="shared" si="244"/>
        <v>0</v>
      </c>
      <c r="CY247" s="2">
        <f t="shared" si="240"/>
        <v>0</v>
      </c>
      <c r="CZ247" s="2">
        <f t="shared" si="241"/>
        <v>0</v>
      </c>
      <c r="DA247" s="2"/>
      <c r="DB247" s="2"/>
      <c r="DC247" s="2" t="s">
        <v>3</v>
      </c>
      <c r="DD247" s="2" t="s">
        <v>3</v>
      </c>
      <c r="DE247" s="2" t="s">
        <v>3</v>
      </c>
      <c r="DF247" s="2" t="s">
        <v>3</v>
      </c>
      <c r="DG247" s="2" t="s">
        <v>3</v>
      </c>
      <c r="DH247" s="2" t="s">
        <v>3</v>
      </c>
      <c r="DI247" s="2" t="s">
        <v>3</v>
      </c>
      <c r="DJ247" s="2" t="s">
        <v>3</v>
      </c>
      <c r="DK247" s="2" t="s">
        <v>3</v>
      </c>
      <c r="DL247" s="2" t="s">
        <v>3</v>
      </c>
      <c r="DM247" s="2" t="s">
        <v>3</v>
      </c>
      <c r="DN247" s="2">
        <v>0</v>
      </c>
      <c r="DO247" s="2">
        <v>0</v>
      </c>
      <c r="DP247" s="2">
        <v>1</v>
      </c>
      <c r="DQ247" s="2">
        <v>1</v>
      </c>
      <c r="DR247" s="2"/>
      <c r="DS247" s="2"/>
      <c r="DT247" s="2"/>
      <c r="DU247" s="2">
        <v>1009</v>
      </c>
      <c r="DV247" s="2" t="s">
        <v>170</v>
      </c>
      <c r="DW247" s="2" t="s">
        <v>170</v>
      </c>
      <c r="DX247" s="2">
        <v>1</v>
      </c>
      <c r="DY247" s="2"/>
      <c r="DZ247" s="2" t="s">
        <v>3</v>
      </c>
      <c r="EA247" s="2" t="s">
        <v>3</v>
      </c>
      <c r="EB247" s="2" t="s">
        <v>3</v>
      </c>
      <c r="EC247" s="2" t="s">
        <v>3</v>
      </c>
      <c r="ED247" s="2"/>
      <c r="EE247" s="2">
        <v>84053924</v>
      </c>
      <c r="EF247" s="2">
        <v>2</v>
      </c>
      <c r="EG247" s="2" t="s">
        <v>270</v>
      </c>
      <c r="EH247" s="2">
        <v>15</v>
      </c>
      <c r="EI247" s="2" t="s">
        <v>419</v>
      </c>
      <c r="EJ247" s="2">
        <v>1</v>
      </c>
      <c r="EK247" s="2">
        <v>15001</v>
      </c>
      <c r="EL247" s="2" t="s">
        <v>419</v>
      </c>
      <c r="EM247" s="2" t="s">
        <v>420</v>
      </c>
      <c r="EN247" s="2"/>
      <c r="EO247" s="2" t="s">
        <v>3</v>
      </c>
      <c r="EP247" s="2"/>
      <c r="EQ247" s="2">
        <v>0</v>
      </c>
      <c r="ER247" s="2">
        <v>456.84</v>
      </c>
      <c r="ES247" s="2">
        <v>456.84</v>
      </c>
      <c r="ET247" s="2">
        <v>0</v>
      </c>
      <c r="EU247" s="2">
        <v>0</v>
      </c>
      <c r="EV247" s="2">
        <v>0</v>
      </c>
      <c r="EW247" s="2">
        <v>0</v>
      </c>
      <c r="EX247" s="2">
        <v>0</v>
      </c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>
        <v>0</v>
      </c>
      <c r="FR247" s="2">
        <v>0</v>
      </c>
      <c r="FS247" s="2">
        <v>0</v>
      </c>
      <c r="FT247" s="2"/>
      <c r="FU247" s="2"/>
      <c r="FV247" s="2"/>
      <c r="FW247" s="2"/>
      <c r="FX247" s="2">
        <v>100</v>
      </c>
      <c r="FY247" s="2">
        <v>49</v>
      </c>
      <c r="FZ247" s="2"/>
      <c r="GA247" s="2" t="s">
        <v>3</v>
      </c>
      <c r="GB247" s="2"/>
      <c r="GC247" s="2"/>
      <c r="GD247" s="2">
        <v>1</v>
      </c>
      <c r="GE247" s="2"/>
      <c r="GF247" s="2">
        <v>-1803956034</v>
      </c>
      <c r="GG247" s="2">
        <v>2</v>
      </c>
      <c r="GH247" s="2">
        <v>1</v>
      </c>
      <c r="GI247" s="2">
        <v>2</v>
      </c>
      <c r="GJ247" s="2">
        <v>0</v>
      </c>
      <c r="GK247" s="2">
        <v>0</v>
      </c>
      <c r="GL247" s="2">
        <f t="shared" si="206"/>
        <v>0</v>
      </c>
      <c r="GM247" s="2">
        <f t="shared" si="207"/>
        <v>2425.83</v>
      </c>
      <c r="GN247" s="2">
        <f t="shared" si="208"/>
        <v>2425.83</v>
      </c>
      <c r="GO247" s="2">
        <f t="shared" si="209"/>
        <v>0</v>
      </c>
      <c r="GP247" s="2">
        <f t="shared" si="210"/>
        <v>0</v>
      </c>
      <c r="GQ247" s="2"/>
      <c r="GR247" s="2">
        <v>0</v>
      </c>
      <c r="GS247" s="2">
        <v>3</v>
      </c>
      <c r="GT247" s="2">
        <v>0</v>
      </c>
      <c r="GU247" s="2" t="s">
        <v>3</v>
      </c>
      <c r="GV247" s="2">
        <f t="shared" si="211"/>
        <v>0</v>
      </c>
      <c r="GW247" s="2">
        <v>1</v>
      </c>
      <c r="GX247" s="2">
        <f t="shared" si="212"/>
        <v>0</v>
      </c>
      <c r="GY247" s="2"/>
      <c r="GZ247" s="2"/>
      <c r="HA247" s="2">
        <v>0</v>
      </c>
      <c r="HB247" s="2">
        <v>0</v>
      </c>
      <c r="HC247" s="2">
        <f t="shared" si="242"/>
        <v>0</v>
      </c>
      <c r="HD247" s="2"/>
      <c r="HE247" s="2" t="s">
        <v>3</v>
      </c>
      <c r="HF247" s="2" t="s">
        <v>3</v>
      </c>
      <c r="HG247" s="2"/>
      <c r="HH247" s="2"/>
      <c r="HI247" s="2"/>
      <c r="HJ247" s="2"/>
      <c r="HK247" s="2"/>
      <c r="HL247" s="2"/>
      <c r="HM247" s="2" t="s">
        <v>3</v>
      </c>
      <c r="HN247" s="2" t="s">
        <v>421</v>
      </c>
      <c r="HO247" s="2" t="s">
        <v>422</v>
      </c>
      <c r="HP247" s="2" t="s">
        <v>419</v>
      </c>
      <c r="HQ247" s="2" t="s">
        <v>419</v>
      </c>
      <c r="HR247" s="2"/>
      <c r="HS247" s="2">
        <v>0</v>
      </c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>
        <v>0</v>
      </c>
      <c r="IL247" s="2"/>
      <c r="IM247" s="2"/>
      <c r="IN247" s="2"/>
      <c r="IO247" s="2"/>
      <c r="IP247" s="2"/>
      <c r="IQ247" s="2"/>
      <c r="IR247" s="2"/>
      <c r="IS247" s="2"/>
      <c r="IT247" s="2"/>
      <c r="IU247" s="2"/>
    </row>
    <row r="248" spans="1:255" x14ac:dyDescent="0.2">
      <c r="A248" s="2">
        <v>18</v>
      </c>
      <c r="B248" s="2">
        <v>1</v>
      </c>
      <c r="C248" s="2">
        <v>233</v>
      </c>
      <c r="D248" s="2"/>
      <c r="E248" s="2" t="s">
        <v>442</v>
      </c>
      <c r="F248" s="2" t="s">
        <v>443</v>
      </c>
      <c r="G248" s="2" t="s">
        <v>444</v>
      </c>
      <c r="H248" s="2" t="s">
        <v>170</v>
      </c>
      <c r="I248" s="2">
        <f>I246*J248</f>
        <v>2</v>
      </c>
      <c r="J248" s="2">
        <v>20</v>
      </c>
      <c r="K248" s="2">
        <v>20</v>
      </c>
      <c r="L248" s="2"/>
      <c r="M248" s="2"/>
      <c r="N248" s="2"/>
      <c r="O248" s="2">
        <f t="shared" si="237"/>
        <v>210.34</v>
      </c>
      <c r="P248" s="2">
        <f>ROUND(CQ248*I248,2)</f>
        <v>210.34</v>
      </c>
      <c r="Q248" s="2">
        <f>ROUND(CR248*I248,2)</f>
        <v>0</v>
      </c>
      <c r="R248" s="2">
        <f>ROUND(CS248*I248,2)</f>
        <v>0</v>
      </c>
      <c r="S248" s="2">
        <f>ROUND(CT248*I248,2)</f>
        <v>0</v>
      </c>
      <c r="T248" s="2">
        <f t="shared" si="199"/>
        <v>0</v>
      </c>
      <c r="U248" s="2">
        <f>ROUND(CV248*I248,7)</f>
        <v>0</v>
      </c>
      <c r="V248" s="2">
        <f>ROUND(CW248*I248,7)</f>
        <v>0</v>
      </c>
      <c r="W248" s="2">
        <f t="shared" si="200"/>
        <v>0</v>
      </c>
      <c r="X248" s="2">
        <f t="shared" si="201"/>
        <v>0</v>
      </c>
      <c r="Y248" s="2">
        <f t="shared" si="202"/>
        <v>0</v>
      </c>
      <c r="Z248" s="2"/>
      <c r="AA248" s="2">
        <v>85997836</v>
      </c>
      <c r="AB248" s="2">
        <f t="shared" si="203"/>
        <v>68.290000000000006</v>
      </c>
      <c r="AC248" s="2">
        <f>ROUND((ES248),6)</f>
        <v>68.290000000000006</v>
      </c>
      <c r="AD248" s="2">
        <f>ROUND((((ET248)-(EU248))+AE248),6)</f>
        <v>0</v>
      </c>
      <c r="AE248" s="2">
        <f>ROUND((EU248),6)</f>
        <v>0</v>
      </c>
      <c r="AF248" s="2">
        <f>ROUND((EV248),6)</f>
        <v>0</v>
      </c>
      <c r="AG248" s="2">
        <f t="shared" si="204"/>
        <v>0</v>
      </c>
      <c r="AH248" s="2">
        <f t="shared" si="247"/>
        <v>0</v>
      </c>
      <c r="AI248" s="2">
        <f t="shared" si="247"/>
        <v>0</v>
      </c>
      <c r="AJ248" s="2">
        <f t="shared" si="205"/>
        <v>0</v>
      </c>
      <c r="AK248" s="2">
        <v>68.290000000000006</v>
      </c>
      <c r="AL248" s="2">
        <v>68.290000000000006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100</v>
      </c>
      <c r="AU248" s="2">
        <v>49</v>
      </c>
      <c r="AV248" s="2">
        <v>1</v>
      </c>
      <c r="AW248" s="2">
        <v>1</v>
      </c>
      <c r="AX248" s="2"/>
      <c r="AY248" s="2"/>
      <c r="AZ248" s="2">
        <v>1</v>
      </c>
      <c r="BA248" s="2">
        <v>1</v>
      </c>
      <c r="BB248" s="2">
        <v>1</v>
      </c>
      <c r="BC248" s="2">
        <v>1.54</v>
      </c>
      <c r="BD248" s="2" t="s">
        <v>3</v>
      </c>
      <c r="BE248" s="2" t="s">
        <v>3</v>
      </c>
      <c r="BF248" s="2" t="s">
        <v>3</v>
      </c>
      <c r="BG248" s="2" t="s">
        <v>3</v>
      </c>
      <c r="BH248" s="2">
        <v>3</v>
      </c>
      <c r="BI248" s="2">
        <v>1</v>
      </c>
      <c r="BJ248" s="2" t="s">
        <v>445</v>
      </c>
      <c r="BK248" s="2"/>
      <c r="BL248" s="2"/>
      <c r="BM248" s="2">
        <v>15001</v>
      </c>
      <c r="BN248" s="2">
        <v>0</v>
      </c>
      <c r="BO248" s="2" t="s">
        <v>443</v>
      </c>
      <c r="BP248" s="2">
        <v>1</v>
      </c>
      <c r="BQ248" s="2">
        <v>2</v>
      </c>
      <c r="BR248" s="2">
        <v>0</v>
      </c>
      <c r="BS248" s="2">
        <v>1</v>
      </c>
      <c r="BT248" s="2">
        <v>1</v>
      </c>
      <c r="BU248" s="2">
        <v>1</v>
      </c>
      <c r="BV248" s="2">
        <v>1</v>
      </c>
      <c r="BW248" s="2">
        <v>1</v>
      </c>
      <c r="BX248" s="2">
        <v>1</v>
      </c>
      <c r="BY248" s="2" t="s">
        <v>3</v>
      </c>
      <c r="BZ248" s="2">
        <v>100</v>
      </c>
      <c r="CA248" s="2">
        <v>49</v>
      </c>
      <c r="CB248" s="2" t="s">
        <v>3</v>
      </c>
      <c r="CC248" s="2"/>
      <c r="CD248" s="2"/>
      <c r="CE248" s="2">
        <v>0</v>
      </c>
      <c r="CF248" s="2">
        <v>0</v>
      </c>
      <c r="CG248" s="2">
        <v>0</v>
      </c>
      <c r="CH248" s="2"/>
      <c r="CI248" s="2"/>
      <c r="CJ248" s="2"/>
      <c r="CK248" s="2"/>
      <c r="CL248" s="2"/>
      <c r="CM248" s="2">
        <v>0</v>
      </c>
      <c r="CN248" s="2" t="s">
        <v>3</v>
      </c>
      <c r="CO248" s="2">
        <v>0</v>
      </c>
      <c r="CP248" s="2">
        <f t="shared" si="238"/>
        <v>210.34</v>
      </c>
      <c r="CQ248" s="2">
        <f>ROUND(AL248*BC248,2)</f>
        <v>105.17</v>
      </c>
      <c r="CR248" s="2">
        <f>ROUND(AM248*BB248,2)</f>
        <v>0</v>
      </c>
      <c r="CS248" s="2">
        <f>ROUND(AN248*BS248,2)</f>
        <v>0</v>
      </c>
      <c r="CT248" s="2">
        <f>ROUND(AO248*BA248,2)</f>
        <v>0</v>
      </c>
      <c r="CU248" s="2">
        <f t="shared" si="243"/>
        <v>0</v>
      </c>
      <c r="CV248" s="2">
        <f t="shared" si="248"/>
        <v>0</v>
      </c>
      <c r="CW248" s="2">
        <f t="shared" si="248"/>
        <v>0</v>
      </c>
      <c r="CX248" s="2">
        <f t="shared" si="244"/>
        <v>0</v>
      </c>
      <c r="CY248" s="2">
        <f t="shared" si="240"/>
        <v>0</v>
      </c>
      <c r="CZ248" s="2">
        <f t="shared" si="241"/>
        <v>0</v>
      </c>
      <c r="DA248" s="2"/>
      <c r="DB248" s="2"/>
      <c r="DC248" s="2" t="s">
        <v>3</v>
      </c>
      <c r="DD248" s="2" t="s">
        <v>3</v>
      </c>
      <c r="DE248" s="2" t="s">
        <v>3</v>
      </c>
      <c r="DF248" s="2" t="s">
        <v>3</v>
      </c>
      <c r="DG248" s="2" t="s">
        <v>3</v>
      </c>
      <c r="DH248" s="2" t="s">
        <v>3</v>
      </c>
      <c r="DI248" s="2" t="s">
        <v>3</v>
      </c>
      <c r="DJ248" s="2" t="s">
        <v>3</v>
      </c>
      <c r="DK248" s="2" t="s">
        <v>3</v>
      </c>
      <c r="DL248" s="2" t="s">
        <v>3</v>
      </c>
      <c r="DM248" s="2" t="s">
        <v>3</v>
      </c>
      <c r="DN248" s="2">
        <v>0</v>
      </c>
      <c r="DO248" s="2">
        <v>0</v>
      </c>
      <c r="DP248" s="2">
        <v>1</v>
      </c>
      <c r="DQ248" s="2">
        <v>1</v>
      </c>
      <c r="DR248" s="2"/>
      <c r="DS248" s="2"/>
      <c r="DT248" s="2"/>
      <c r="DU248" s="2">
        <v>1009</v>
      </c>
      <c r="DV248" s="2" t="s">
        <v>170</v>
      </c>
      <c r="DW248" s="2" t="s">
        <v>170</v>
      </c>
      <c r="DX248" s="2">
        <v>1</v>
      </c>
      <c r="DY248" s="2"/>
      <c r="DZ248" s="2" t="s">
        <v>3</v>
      </c>
      <c r="EA248" s="2" t="s">
        <v>3</v>
      </c>
      <c r="EB248" s="2" t="s">
        <v>3</v>
      </c>
      <c r="EC248" s="2" t="s">
        <v>3</v>
      </c>
      <c r="ED248" s="2"/>
      <c r="EE248" s="2">
        <v>84053924</v>
      </c>
      <c r="EF248" s="2">
        <v>2</v>
      </c>
      <c r="EG248" s="2" t="s">
        <v>270</v>
      </c>
      <c r="EH248" s="2">
        <v>15</v>
      </c>
      <c r="EI248" s="2" t="s">
        <v>419</v>
      </c>
      <c r="EJ248" s="2">
        <v>1</v>
      </c>
      <c r="EK248" s="2">
        <v>15001</v>
      </c>
      <c r="EL248" s="2" t="s">
        <v>419</v>
      </c>
      <c r="EM248" s="2" t="s">
        <v>420</v>
      </c>
      <c r="EN248" s="2"/>
      <c r="EO248" s="2" t="s">
        <v>3</v>
      </c>
      <c r="EP248" s="2"/>
      <c r="EQ248" s="2">
        <v>0</v>
      </c>
      <c r="ER248" s="2">
        <v>68.290000000000006</v>
      </c>
      <c r="ES248" s="2">
        <v>68.290000000000006</v>
      </c>
      <c r="ET248" s="2">
        <v>0</v>
      </c>
      <c r="EU248" s="2">
        <v>0</v>
      </c>
      <c r="EV248" s="2">
        <v>0</v>
      </c>
      <c r="EW248" s="2">
        <v>0</v>
      </c>
      <c r="EX248" s="2">
        <v>0</v>
      </c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>
        <v>0</v>
      </c>
      <c r="FR248" s="2">
        <v>0</v>
      </c>
      <c r="FS248" s="2">
        <v>0</v>
      </c>
      <c r="FT248" s="2"/>
      <c r="FU248" s="2"/>
      <c r="FV248" s="2"/>
      <c r="FW248" s="2"/>
      <c r="FX248" s="2">
        <v>100</v>
      </c>
      <c r="FY248" s="2">
        <v>49</v>
      </c>
      <c r="FZ248" s="2"/>
      <c r="GA248" s="2" t="s">
        <v>3</v>
      </c>
      <c r="GB248" s="2"/>
      <c r="GC248" s="2"/>
      <c r="GD248" s="2">
        <v>1</v>
      </c>
      <c r="GE248" s="2"/>
      <c r="GF248" s="2">
        <v>1498993938</v>
      </c>
      <c r="GG248" s="2">
        <v>2</v>
      </c>
      <c r="GH248" s="2">
        <v>1</v>
      </c>
      <c r="GI248" s="2">
        <v>2</v>
      </c>
      <c r="GJ248" s="2">
        <v>0</v>
      </c>
      <c r="GK248" s="2">
        <v>0</v>
      </c>
      <c r="GL248" s="2">
        <f t="shared" si="206"/>
        <v>0</v>
      </c>
      <c r="GM248" s="2">
        <f t="shared" si="207"/>
        <v>210.34</v>
      </c>
      <c r="GN248" s="2">
        <f t="shared" si="208"/>
        <v>210.34</v>
      </c>
      <c r="GO248" s="2">
        <f t="shared" si="209"/>
        <v>0</v>
      </c>
      <c r="GP248" s="2">
        <f t="shared" si="210"/>
        <v>0</v>
      </c>
      <c r="GQ248" s="2"/>
      <c r="GR248" s="2">
        <v>0</v>
      </c>
      <c r="GS248" s="2">
        <v>3</v>
      </c>
      <c r="GT248" s="2">
        <v>0</v>
      </c>
      <c r="GU248" s="2" t="s">
        <v>3</v>
      </c>
      <c r="GV248" s="2">
        <f t="shared" si="211"/>
        <v>0</v>
      </c>
      <c r="GW248" s="2">
        <v>1</v>
      </c>
      <c r="GX248" s="2">
        <f t="shared" si="212"/>
        <v>0</v>
      </c>
      <c r="GY248" s="2"/>
      <c r="GZ248" s="2"/>
      <c r="HA248" s="2">
        <v>0</v>
      </c>
      <c r="HB248" s="2">
        <v>0</v>
      </c>
      <c r="HC248" s="2">
        <f t="shared" si="242"/>
        <v>0</v>
      </c>
      <c r="HD248" s="2"/>
      <c r="HE248" s="2" t="s">
        <v>3</v>
      </c>
      <c r="HF248" s="2" t="s">
        <v>3</v>
      </c>
      <c r="HG248" s="2"/>
      <c r="HH248" s="2"/>
      <c r="HI248" s="2"/>
      <c r="HJ248" s="2"/>
      <c r="HK248" s="2"/>
      <c r="HL248" s="2"/>
      <c r="HM248" s="2" t="s">
        <v>3</v>
      </c>
      <c r="HN248" s="2" t="s">
        <v>421</v>
      </c>
      <c r="HO248" s="2" t="s">
        <v>422</v>
      </c>
      <c r="HP248" s="2" t="s">
        <v>419</v>
      </c>
      <c r="HQ248" s="2" t="s">
        <v>419</v>
      </c>
      <c r="HR248" s="2"/>
      <c r="HS248" s="2">
        <v>0</v>
      </c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>
        <v>0</v>
      </c>
      <c r="IL248" s="2"/>
      <c r="IM248" s="2"/>
      <c r="IN248" s="2"/>
      <c r="IO248" s="2"/>
      <c r="IP248" s="2"/>
      <c r="IQ248" s="2"/>
      <c r="IR248" s="2"/>
      <c r="IS248" s="2"/>
      <c r="IT248" s="2"/>
      <c r="IU248" s="2"/>
    </row>
    <row r="249" spans="1:255" ht="409.5" x14ac:dyDescent="0.2">
      <c r="A249" s="2">
        <v>18</v>
      </c>
      <c r="B249" s="2">
        <v>1</v>
      </c>
      <c r="C249" s="2">
        <v>228</v>
      </c>
      <c r="D249" s="2"/>
      <c r="E249" s="2" t="s">
        <v>446</v>
      </c>
      <c r="F249" s="2" t="s">
        <v>447</v>
      </c>
      <c r="G249" s="2" t="s">
        <v>448</v>
      </c>
      <c r="H249" s="2" t="s">
        <v>29</v>
      </c>
      <c r="I249" s="2">
        <f>I246*J249</f>
        <v>-4.4999999999999997E-3</v>
      </c>
      <c r="J249" s="2">
        <v>-4.4999999999999991E-2</v>
      </c>
      <c r="K249" s="2">
        <v>-0.03</v>
      </c>
      <c r="L249" s="2"/>
      <c r="M249" s="2"/>
      <c r="N249" s="2"/>
      <c r="O249" s="2">
        <f t="shared" si="237"/>
        <v>-0.21</v>
      </c>
      <c r="P249" s="2">
        <f>ROUND(CQ249*I249,2)</f>
        <v>0</v>
      </c>
      <c r="Q249" s="2">
        <f>ROUND(CR249*I249,2)</f>
        <v>-0.21</v>
      </c>
      <c r="R249" s="2">
        <f>ROUND(CS249*I249,2)</f>
        <v>0</v>
      </c>
      <c r="S249" s="2">
        <f>ROUND(CT249*I249,2)</f>
        <v>0</v>
      </c>
      <c r="T249" s="2">
        <f t="shared" si="199"/>
        <v>0</v>
      </c>
      <c r="U249" s="2">
        <f>ROUND(CV249*I249,7)</f>
        <v>0</v>
      </c>
      <c r="V249" s="2">
        <f>ROUND(CW249*I249,7)</f>
        <v>0</v>
      </c>
      <c r="W249" s="2">
        <f t="shared" si="200"/>
        <v>0</v>
      </c>
      <c r="X249" s="2">
        <f t="shared" si="201"/>
        <v>0</v>
      </c>
      <c r="Y249" s="2">
        <f t="shared" si="202"/>
        <v>0</v>
      </c>
      <c r="Z249" s="2"/>
      <c r="AA249" s="2">
        <v>85997836</v>
      </c>
      <c r="AB249" s="2">
        <f t="shared" si="203"/>
        <v>-610.61</v>
      </c>
      <c r="AC249" s="2">
        <f>ROUND((ES249),6)</f>
        <v>0</v>
      </c>
      <c r="AD249" s="2">
        <f>ROUND((((ET249)-(EU249))+AE249),6)</f>
        <v>-610.61</v>
      </c>
      <c r="AE249" s="2">
        <f>ROUND(((EU249*ROUND(0,7))),6)</f>
        <v>0</v>
      </c>
      <c r="AF249" s="2">
        <f>ROUND((EV249),6)</f>
        <v>0</v>
      </c>
      <c r="AG249" s="2">
        <f t="shared" si="204"/>
        <v>0</v>
      </c>
      <c r="AH249" s="2">
        <f t="shared" si="247"/>
        <v>0</v>
      </c>
      <c r="AI249" s="2">
        <f t="shared" si="247"/>
        <v>0</v>
      </c>
      <c r="AJ249" s="2">
        <f t="shared" si="205"/>
        <v>0</v>
      </c>
      <c r="AK249" s="2">
        <v>30.61</v>
      </c>
      <c r="AL249" s="2">
        <v>0</v>
      </c>
      <c r="AM249" s="2">
        <v>30.61</v>
      </c>
      <c r="AN249" s="2">
        <v>641.22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100</v>
      </c>
      <c r="AU249" s="2">
        <v>49</v>
      </c>
      <c r="AV249" s="2">
        <v>1</v>
      </c>
      <c r="AW249" s="2">
        <v>1</v>
      </c>
      <c r="AX249" s="2"/>
      <c r="AY249" s="2"/>
      <c r="AZ249" s="2">
        <v>1</v>
      </c>
      <c r="BA249" s="2">
        <v>1</v>
      </c>
      <c r="BB249" s="2">
        <v>1.54</v>
      </c>
      <c r="BC249" s="2">
        <v>1</v>
      </c>
      <c r="BD249" s="2" t="s">
        <v>3</v>
      </c>
      <c r="BE249" s="2" t="s">
        <v>3</v>
      </c>
      <c r="BF249" s="2" t="s">
        <v>3</v>
      </c>
      <c r="BG249" s="2" t="s">
        <v>3</v>
      </c>
      <c r="BH249" s="2">
        <v>2</v>
      </c>
      <c r="BI249" s="2">
        <v>1</v>
      </c>
      <c r="BJ249" s="2" t="s">
        <v>449</v>
      </c>
      <c r="BK249" s="2"/>
      <c r="BL249" s="2"/>
      <c r="BM249" s="2">
        <v>15001</v>
      </c>
      <c r="BN249" s="2">
        <v>0</v>
      </c>
      <c r="BO249" s="2" t="s">
        <v>447</v>
      </c>
      <c r="BP249" s="2">
        <v>1</v>
      </c>
      <c r="BQ249" s="2">
        <v>2</v>
      </c>
      <c r="BR249" s="2">
        <v>0</v>
      </c>
      <c r="BS249" s="2">
        <v>1</v>
      </c>
      <c r="BT249" s="2">
        <v>1</v>
      </c>
      <c r="BU249" s="2">
        <v>1</v>
      </c>
      <c r="BV249" s="2">
        <v>1</v>
      </c>
      <c r="BW249" s="2">
        <v>1</v>
      </c>
      <c r="BX249" s="2">
        <v>1</v>
      </c>
      <c r="BY249" s="2" t="s">
        <v>3</v>
      </c>
      <c r="BZ249" s="2">
        <v>100</v>
      </c>
      <c r="CA249" s="2">
        <v>49</v>
      </c>
      <c r="CB249" s="2" t="s">
        <v>3</v>
      </c>
      <c r="CC249" s="2"/>
      <c r="CD249" s="2"/>
      <c r="CE249" s="2">
        <v>0</v>
      </c>
      <c r="CF249" s="2">
        <v>0</v>
      </c>
      <c r="CG249" s="2">
        <v>0</v>
      </c>
      <c r="CH249" s="2"/>
      <c r="CI249" s="2"/>
      <c r="CJ249" s="2"/>
      <c r="CK249" s="2"/>
      <c r="CL249" s="2"/>
      <c r="CM249" s="2">
        <v>0</v>
      </c>
      <c r="CN249" s="7" t="s">
        <v>737</v>
      </c>
      <c r="CO249" s="2">
        <v>0</v>
      </c>
      <c r="CP249" s="2">
        <f t="shared" si="238"/>
        <v>-0.21</v>
      </c>
      <c r="CQ249" s="2">
        <f>ROUND(AL249*BC249,2)</f>
        <v>0</v>
      </c>
      <c r="CR249" s="2">
        <f>ROUND(AM249*BB249,2)</f>
        <v>47.14</v>
      </c>
      <c r="CS249" s="2">
        <f>(ROUND(AN249*BS249,2)*ROUND(0,7))</f>
        <v>0</v>
      </c>
      <c r="CT249" s="2">
        <f>ROUND(AO249*BA249,2)</f>
        <v>0</v>
      </c>
      <c r="CU249" s="2">
        <f t="shared" si="243"/>
        <v>0</v>
      </c>
      <c r="CV249" s="2">
        <f t="shared" si="248"/>
        <v>0</v>
      </c>
      <c r="CW249" s="2">
        <f t="shared" si="248"/>
        <v>0</v>
      </c>
      <c r="CX249" s="2">
        <f t="shared" si="244"/>
        <v>0</v>
      </c>
      <c r="CY249" s="2">
        <f t="shared" si="240"/>
        <v>0</v>
      </c>
      <c r="CZ249" s="2">
        <f t="shared" si="241"/>
        <v>0</v>
      </c>
      <c r="DA249" s="2"/>
      <c r="DB249" s="2"/>
      <c r="DC249" s="2" t="s">
        <v>3</v>
      </c>
      <c r="DD249" s="2" t="s">
        <v>3</v>
      </c>
      <c r="DE249" s="2" t="s">
        <v>3</v>
      </c>
      <c r="DF249" s="2" t="s">
        <v>46</v>
      </c>
      <c r="DG249" s="2" t="s">
        <v>3</v>
      </c>
      <c r="DH249" s="2" t="s">
        <v>3</v>
      </c>
      <c r="DI249" s="2" t="s">
        <v>3</v>
      </c>
      <c r="DJ249" s="2" t="s">
        <v>3</v>
      </c>
      <c r="DK249" s="2" t="s">
        <v>3</v>
      </c>
      <c r="DL249" s="2" t="s">
        <v>3</v>
      </c>
      <c r="DM249" s="2" t="s">
        <v>3</v>
      </c>
      <c r="DN249" s="2">
        <v>0</v>
      </c>
      <c r="DO249" s="2">
        <v>0</v>
      </c>
      <c r="DP249" s="2">
        <v>1</v>
      </c>
      <c r="DQ249" s="2">
        <v>1</v>
      </c>
      <c r="DR249" s="2"/>
      <c r="DS249" s="2"/>
      <c r="DT249" s="2"/>
      <c r="DU249" s="2">
        <v>1011</v>
      </c>
      <c r="DV249" s="2" t="s">
        <v>29</v>
      </c>
      <c r="DW249" s="2" t="s">
        <v>29</v>
      </c>
      <c r="DX249" s="2">
        <v>1</v>
      </c>
      <c r="DY249" s="2"/>
      <c r="DZ249" s="2" t="s">
        <v>3</v>
      </c>
      <c r="EA249" s="2" t="s">
        <v>3</v>
      </c>
      <c r="EB249" s="2" t="s">
        <v>3</v>
      </c>
      <c r="EC249" s="2" t="s">
        <v>3</v>
      </c>
      <c r="ED249" s="2"/>
      <c r="EE249" s="2">
        <v>84053924</v>
      </c>
      <c r="EF249" s="2">
        <v>2</v>
      </c>
      <c r="EG249" s="2" t="s">
        <v>270</v>
      </c>
      <c r="EH249" s="2">
        <v>15</v>
      </c>
      <c r="EI249" s="2" t="s">
        <v>419</v>
      </c>
      <c r="EJ249" s="2">
        <v>1</v>
      </c>
      <c r="EK249" s="2">
        <v>15001</v>
      </c>
      <c r="EL249" s="2" t="s">
        <v>419</v>
      </c>
      <c r="EM249" s="2" t="s">
        <v>420</v>
      </c>
      <c r="EN249" s="2"/>
      <c r="EO249" s="2" t="s">
        <v>333</v>
      </c>
      <c r="EP249" s="2"/>
      <c r="EQ249" s="2">
        <v>0</v>
      </c>
      <c r="ER249" s="2">
        <v>30.61</v>
      </c>
      <c r="ES249" s="2">
        <v>0</v>
      </c>
      <c r="ET249" s="2">
        <v>30.61</v>
      </c>
      <c r="EU249" s="2">
        <v>641.22</v>
      </c>
      <c r="EV249" s="2">
        <v>0</v>
      </c>
      <c r="EW249" s="2">
        <v>0</v>
      </c>
      <c r="EX249" s="2">
        <v>0</v>
      </c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>
        <v>0</v>
      </c>
      <c r="FR249" s="2">
        <v>0</v>
      </c>
      <c r="FS249" s="2">
        <v>1</v>
      </c>
      <c r="FT249" s="2"/>
      <c r="FU249" s="2"/>
      <c r="FV249" s="2"/>
      <c r="FW249" s="2"/>
      <c r="FX249" s="2">
        <v>100</v>
      </c>
      <c r="FY249" s="2">
        <v>49</v>
      </c>
      <c r="FZ249" s="2"/>
      <c r="GA249" s="2" t="s">
        <v>3</v>
      </c>
      <c r="GB249" s="2"/>
      <c r="GC249" s="2"/>
      <c r="GD249" s="2">
        <v>1</v>
      </c>
      <c r="GE249" s="2"/>
      <c r="GF249" s="2">
        <v>1402603762</v>
      </c>
      <c r="GG249" s="2">
        <v>2</v>
      </c>
      <c r="GH249" s="2">
        <v>1</v>
      </c>
      <c r="GI249" s="2">
        <v>2</v>
      </c>
      <c r="GJ249" s="2">
        <v>0</v>
      </c>
      <c r="GK249" s="2">
        <v>0</v>
      </c>
      <c r="GL249" s="2">
        <f t="shared" si="206"/>
        <v>0</v>
      </c>
      <c r="GM249" s="2">
        <f t="shared" si="207"/>
        <v>-0.21</v>
      </c>
      <c r="GN249" s="2">
        <f t="shared" si="208"/>
        <v>-0.21</v>
      </c>
      <c r="GO249" s="2">
        <f t="shared" si="209"/>
        <v>0</v>
      </c>
      <c r="GP249" s="2">
        <f t="shared" si="210"/>
        <v>0</v>
      </c>
      <c r="GQ249" s="2"/>
      <c r="GR249" s="2">
        <v>0</v>
      </c>
      <c r="GS249" s="2">
        <v>7</v>
      </c>
      <c r="GT249" s="2">
        <v>0</v>
      </c>
      <c r="GU249" s="2" t="s">
        <v>3</v>
      </c>
      <c r="GV249" s="2">
        <f t="shared" si="211"/>
        <v>0</v>
      </c>
      <c r="GW249" s="2">
        <v>1</v>
      </c>
      <c r="GX249" s="2">
        <f t="shared" si="212"/>
        <v>0</v>
      </c>
      <c r="GY249" s="2"/>
      <c r="GZ249" s="2"/>
      <c r="HA249" s="2">
        <v>0</v>
      </c>
      <c r="HB249" s="2">
        <v>0</v>
      </c>
      <c r="HC249" s="2">
        <f t="shared" si="242"/>
        <v>0</v>
      </c>
      <c r="HD249" s="2"/>
      <c r="HE249" s="2" t="s">
        <v>3</v>
      </c>
      <c r="HF249" s="2" t="s">
        <v>3</v>
      </c>
      <c r="HG249" s="2"/>
      <c r="HH249" s="2"/>
      <c r="HI249" s="2"/>
      <c r="HJ249" s="2"/>
      <c r="HK249" s="2"/>
      <c r="HL249" s="2"/>
      <c r="HM249" s="2" t="s">
        <v>329</v>
      </c>
      <c r="HN249" s="2" t="s">
        <v>421</v>
      </c>
      <c r="HO249" s="2" t="s">
        <v>422</v>
      </c>
      <c r="HP249" s="2" t="s">
        <v>419</v>
      </c>
      <c r="HQ249" s="2" t="s">
        <v>419</v>
      </c>
      <c r="HR249" s="2"/>
      <c r="HS249" s="2">
        <v>0</v>
      </c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>
        <v>0</v>
      </c>
      <c r="IL249" s="2"/>
      <c r="IM249" s="2"/>
      <c r="IN249" s="2"/>
      <c r="IO249" s="2"/>
      <c r="IP249" s="2"/>
      <c r="IQ249" s="2"/>
      <c r="IR249" s="2"/>
      <c r="IS249" s="2"/>
      <c r="IT249" s="2"/>
      <c r="IU249" s="2"/>
    </row>
    <row r="250" spans="1:255" ht="409.5" x14ac:dyDescent="0.2">
      <c r="A250" s="2">
        <v>18</v>
      </c>
      <c r="B250" s="2">
        <v>1</v>
      </c>
      <c r="C250" s="2">
        <v>229</v>
      </c>
      <c r="D250" s="2"/>
      <c r="E250" s="2" t="s">
        <v>450</v>
      </c>
      <c r="F250" s="2" t="s">
        <v>127</v>
      </c>
      <c r="G250" s="2" t="s">
        <v>128</v>
      </c>
      <c r="H250" s="2" t="s">
        <v>29</v>
      </c>
      <c r="I250" s="2">
        <f>I246*J250</f>
        <v>-3.3750000000000002E-2</v>
      </c>
      <c r="J250" s="2">
        <v>-0.33750000000000002</v>
      </c>
      <c r="K250" s="2">
        <v>-0.22500000000000001</v>
      </c>
      <c r="L250" s="2"/>
      <c r="M250" s="2"/>
      <c r="N250" s="2"/>
      <c r="O250" s="2">
        <f t="shared" si="237"/>
        <v>-21.71</v>
      </c>
      <c r="P250" s="2">
        <f>ROUND(CQ250*I250,2)</f>
        <v>0</v>
      </c>
      <c r="Q250" s="2">
        <f>ROUND(CR250*I250,2)</f>
        <v>-21.71</v>
      </c>
      <c r="R250" s="2">
        <f>ROUND(CS250*I250,2)</f>
        <v>0</v>
      </c>
      <c r="S250" s="2">
        <f>ROUND(CT250*I250,2)</f>
        <v>0</v>
      </c>
      <c r="T250" s="2">
        <f t="shared" si="199"/>
        <v>0</v>
      </c>
      <c r="U250" s="2">
        <f>ROUND(CV250*I250,7)</f>
        <v>0</v>
      </c>
      <c r="V250" s="2">
        <f>ROUND(CW250*I250,7)</f>
        <v>0</v>
      </c>
      <c r="W250" s="2">
        <f t="shared" si="200"/>
        <v>0</v>
      </c>
      <c r="X250" s="2">
        <f t="shared" si="201"/>
        <v>0</v>
      </c>
      <c r="Y250" s="2">
        <f t="shared" si="202"/>
        <v>0</v>
      </c>
      <c r="Z250" s="2"/>
      <c r="AA250" s="2">
        <v>85997836</v>
      </c>
      <c r="AB250" s="2">
        <f t="shared" si="203"/>
        <v>-78.760000000000005</v>
      </c>
      <c r="AC250" s="2">
        <f>ROUND((ES250),6)</f>
        <v>0</v>
      </c>
      <c r="AD250" s="2">
        <f>ROUND((((ET250)-(EU250))+AE250),6)</f>
        <v>-78.760000000000005</v>
      </c>
      <c r="AE250" s="2">
        <f>ROUND(((EU250*ROUND(0,7))),6)</f>
        <v>0</v>
      </c>
      <c r="AF250" s="2">
        <f>ROUND((EV250),6)</f>
        <v>0</v>
      </c>
      <c r="AG250" s="2">
        <f t="shared" si="204"/>
        <v>0</v>
      </c>
      <c r="AH250" s="2">
        <f t="shared" si="247"/>
        <v>0</v>
      </c>
      <c r="AI250" s="2">
        <f t="shared" si="247"/>
        <v>0</v>
      </c>
      <c r="AJ250" s="2">
        <f t="shared" si="205"/>
        <v>0</v>
      </c>
      <c r="AK250" s="2">
        <v>643.29</v>
      </c>
      <c r="AL250" s="2">
        <v>0</v>
      </c>
      <c r="AM250" s="2">
        <v>643.29</v>
      </c>
      <c r="AN250" s="2">
        <v>722.05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100</v>
      </c>
      <c r="AU250" s="2">
        <v>49</v>
      </c>
      <c r="AV250" s="2">
        <v>1</v>
      </c>
      <c r="AW250" s="2">
        <v>1</v>
      </c>
      <c r="AX250" s="2"/>
      <c r="AY250" s="2"/>
      <c r="AZ250" s="2">
        <v>1</v>
      </c>
      <c r="BA250" s="2">
        <v>1</v>
      </c>
      <c r="BB250" s="2">
        <v>1</v>
      </c>
      <c r="BC250" s="2">
        <v>1</v>
      </c>
      <c r="BD250" s="2" t="s">
        <v>3</v>
      </c>
      <c r="BE250" s="2" t="s">
        <v>3</v>
      </c>
      <c r="BF250" s="2" t="s">
        <v>3</v>
      </c>
      <c r="BG250" s="2" t="s">
        <v>3</v>
      </c>
      <c r="BH250" s="2">
        <v>2</v>
      </c>
      <c r="BI250" s="2">
        <v>1</v>
      </c>
      <c r="BJ250" s="2" t="s">
        <v>129</v>
      </c>
      <c r="BK250" s="2"/>
      <c r="BL250" s="2"/>
      <c r="BM250" s="2">
        <v>15001</v>
      </c>
      <c r="BN250" s="2">
        <v>0</v>
      </c>
      <c r="BO250" s="2" t="s">
        <v>3</v>
      </c>
      <c r="BP250" s="2">
        <v>0</v>
      </c>
      <c r="BQ250" s="2">
        <v>2</v>
      </c>
      <c r="BR250" s="2">
        <v>0</v>
      </c>
      <c r="BS250" s="2">
        <v>1</v>
      </c>
      <c r="BT250" s="2">
        <v>1</v>
      </c>
      <c r="BU250" s="2">
        <v>1</v>
      </c>
      <c r="BV250" s="2">
        <v>1</v>
      </c>
      <c r="BW250" s="2">
        <v>1</v>
      </c>
      <c r="BX250" s="2">
        <v>1</v>
      </c>
      <c r="BY250" s="2" t="s">
        <v>3</v>
      </c>
      <c r="BZ250" s="2">
        <v>100</v>
      </c>
      <c r="CA250" s="2">
        <v>49</v>
      </c>
      <c r="CB250" s="2" t="s">
        <v>3</v>
      </c>
      <c r="CC250" s="2"/>
      <c r="CD250" s="2"/>
      <c r="CE250" s="2">
        <v>0</v>
      </c>
      <c r="CF250" s="2">
        <v>0</v>
      </c>
      <c r="CG250" s="2">
        <v>0</v>
      </c>
      <c r="CH250" s="2"/>
      <c r="CI250" s="2"/>
      <c r="CJ250" s="2"/>
      <c r="CK250" s="2"/>
      <c r="CL250" s="2"/>
      <c r="CM250" s="2">
        <v>0</v>
      </c>
      <c r="CN250" s="7" t="s">
        <v>737</v>
      </c>
      <c r="CO250" s="2">
        <v>0</v>
      </c>
      <c r="CP250" s="2">
        <f t="shared" si="238"/>
        <v>-21.71</v>
      </c>
      <c r="CQ250" s="2">
        <f>ROUND(AL250*BC250,2)</f>
        <v>0</v>
      </c>
      <c r="CR250" s="2">
        <f>ROUND(AM250*BB250,2)</f>
        <v>643.29</v>
      </c>
      <c r="CS250" s="2">
        <f>(ROUND(AN250*BS250,2)*ROUND(0,7))</f>
        <v>0</v>
      </c>
      <c r="CT250" s="2">
        <f>ROUND(AO250*BA250,2)</f>
        <v>0</v>
      </c>
      <c r="CU250" s="2">
        <f t="shared" si="243"/>
        <v>0</v>
      </c>
      <c r="CV250" s="2">
        <f t="shared" si="248"/>
        <v>0</v>
      </c>
      <c r="CW250" s="2">
        <f t="shared" si="248"/>
        <v>0</v>
      </c>
      <c r="CX250" s="2">
        <f t="shared" si="244"/>
        <v>0</v>
      </c>
      <c r="CY250" s="2">
        <f t="shared" si="240"/>
        <v>0</v>
      </c>
      <c r="CZ250" s="2">
        <f t="shared" si="241"/>
        <v>0</v>
      </c>
      <c r="DA250" s="2"/>
      <c r="DB250" s="2"/>
      <c r="DC250" s="2" t="s">
        <v>3</v>
      </c>
      <c r="DD250" s="2" t="s">
        <v>3</v>
      </c>
      <c r="DE250" s="2" t="s">
        <v>3</v>
      </c>
      <c r="DF250" s="2" t="s">
        <v>46</v>
      </c>
      <c r="DG250" s="2" t="s">
        <v>3</v>
      </c>
      <c r="DH250" s="2" t="s">
        <v>3</v>
      </c>
      <c r="DI250" s="2" t="s">
        <v>3</v>
      </c>
      <c r="DJ250" s="2" t="s">
        <v>3</v>
      </c>
      <c r="DK250" s="2" t="s">
        <v>3</v>
      </c>
      <c r="DL250" s="2" t="s">
        <v>3</v>
      </c>
      <c r="DM250" s="2" t="s">
        <v>3</v>
      </c>
      <c r="DN250" s="2">
        <v>0</v>
      </c>
      <c r="DO250" s="2">
        <v>0</v>
      </c>
      <c r="DP250" s="2">
        <v>1</v>
      </c>
      <c r="DQ250" s="2">
        <v>1</v>
      </c>
      <c r="DR250" s="2"/>
      <c r="DS250" s="2"/>
      <c r="DT250" s="2"/>
      <c r="DU250" s="2">
        <v>1011</v>
      </c>
      <c r="DV250" s="2" t="s">
        <v>29</v>
      </c>
      <c r="DW250" s="2" t="s">
        <v>29</v>
      </c>
      <c r="DX250" s="2">
        <v>1</v>
      </c>
      <c r="DY250" s="2"/>
      <c r="DZ250" s="2" t="s">
        <v>3</v>
      </c>
      <c r="EA250" s="2" t="s">
        <v>3</v>
      </c>
      <c r="EB250" s="2" t="s">
        <v>3</v>
      </c>
      <c r="EC250" s="2" t="s">
        <v>3</v>
      </c>
      <c r="ED250" s="2"/>
      <c r="EE250" s="2">
        <v>84053924</v>
      </c>
      <c r="EF250" s="2">
        <v>2</v>
      </c>
      <c r="EG250" s="2" t="s">
        <v>270</v>
      </c>
      <c r="EH250" s="2">
        <v>15</v>
      </c>
      <c r="EI250" s="2" t="s">
        <v>419</v>
      </c>
      <c r="EJ250" s="2">
        <v>1</v>
      </c>
      <c r="EK250" s="2">
        <v>15001</v>
      </c>
      <c r="EL250" s="2" t="s">
        <v>419</v>
      </c>
      <c r="EM250" s="2" t="s">
        <v>420</v>
      </c>
      <c r="EN250" s="2"/>
      <c r="EO250" s="2" t="s">
        <v>333</v>
      </c>
      <c r="EP250" s="2"/>
      <c r="EQ250" s="2">
        <v>0</v>
      </c>
      <c r="ER250" s="2">
        <v>643.29</v>
      </c>
      <c r="ES250" s="2">
        <v>0</v>
      </c>
      <c r="ET250" s="2">
        <v>643.29</v>
      </c>
      <c r="EU250" s="2">
        <v>722.05</v>
      </c>
      <c r="EV250" s="2">
        <v>0</v>
      </c>
      <c r="EW250" s="2">
        <v>0</v>
      </c>
      <c r="EX250" s="2">
        <v>0</v>
      </c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>
        <v>0</v>
      </c>
      <c r="FR250" s="2">
        <v>0</v>
      </c>
      <c r="FS250" s="2">
        <v>1</v>
      </c>
      <c r="FT250" s="2"/>
      <c r="FU250" s="2"/>
      <c r="FV250" s="2"/>
      <c r="FW250" s="2"/>
      <c r="FX250" s="2">
        <v>100</v>
      </c>
      <c r="FY250" s="2">
        <v>49</v>
      </c>
      <c r="FZ250" s="2"/>
      <c r="GA250" s="2" t="s">
        <v>3</v>
      </c>
      <c r="GB250" s="2"/>
      <c r="GC250" s="2"/>
      <c r="GD250" s="2">
        <v>1</v>
      </c>
      <c r="GE250" s="2"/>
      <c r="GF250" s="2">
        <v>-849950259</v>
      </c>
      <c r="GG250" s="2">
        <v>2</v>
      </c>
      <c r="GH250" s="2">
        <v>1</v>
      </c>
      <c r="GI250" s="2">
        <v>-2</v>
      </c>
      <c r="GJ250" s="2">
        <v>0</v>
      </c>
      <c r="GK250" s="2">
        <v>0</v>
      </c>
      <c r="GL250" s="2">
        <f t="shared" si="206"/>
        <v>0</v>
      </c>
      <c r="GM250" s="2">
        <f t="shared" si="207"/>
        <v>-21.71</v>
      </c>
      <c r="GN250" s="2">
        <f t="shared" si="208"/>
        <v>-21.71</v>
      </c>
      <c r="GO250" s="2">
        <f t="shared" si="209"/>
        <v>0</v>
      </c>
      <c r="GP250" s="2">
        <f t="shared" si="210"/>
        <v>0</v>
      </c>
      <c r="GQ250" s="2"/>
      <c r="GR250" s="2">
        <v>0</v>
      </c>
      <c r="GS250" s="2">
        <v>7</v>
      </c>
      <c r="GT250" s="2">
        <v>0</v>
      </c>
      <c r="GU250" s="2" t="s">
        <v>3</v>
      </c>
      <c r="GV250" s="2">
        <f t="shared" si="211"/>
        <v>0</v>
      </c>
      <c r="GW250" s="2">
        <v>1</v>
      </c>
      <c r="GX250" s="2">
        <f t="shared" si="212"/>
        <v>0</v>
      </c>
      <c r="GY250" s="2"/>
      <c r="GZ250" s="2"/>
      <c r="HA250" s="2">
        <v>0</v>
      </c>
      <c r="HB250" s="2">
        <v>0</v>
      </c>
      <c r="HC250" s="2">
        <f t="shared" si="242"/>
        <v>0</v>
      </c>
      <c r="HD250" s="2"/>
      <c r="HE250" s="2" t="s">
        <v>3</v>
      </c>
      <c r="HF250" s="2" t="s">
        <v>3</v>
      </c>
      <c r="HG250" s="2"/>
      <c r="HH250" s="2"/>
      <c r="HI250" s="2"/>
      <c r="HJ250" s="2"/>
      <c r="HK250" s="2"/>
      <c r="HL250" s="2"/>
      <c r="HM250" s="2" t="s">
        <v>329</v>
      </c>
      <c r="HN250" s="2" t="s">
        <v>421</v>
      </c>
      <c r="HO250" s="2" t="s">
        <v>422</v>
      </c>
      <c r="HP250" s="2" t="s">
        <v>419</v>
      </c>
      <c r="HQ250" s="2" t="s">
        <v>419</v>
      </c>
      <c r="HR250" s="2"/>
      <c r="HS250" s="2">
        <v>0</v>
      </c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>
        <v>0</v>
      </c>
      <c r="IL250" s="2"/>
      <c r="IM250" s="2"/>
      <c r="IN250" s="2"/>
      <c r="IO250" s="2"/>
      <c r="IP250" s="2"/>
      <c r="IQ250" s="2"/>
      <c r="IR250" s="2"/>
      <c r="IS250" s="2"/>
      <c r="IT250" s="2"/>
      <c r="IU250" s="2"/>
    </row>
    <row r="251" spans="1:255" ht="409.5" x14ac:dyDescent="0.2">
      <c r="A251" s="2">
        <v>17</v>
      </c>
      <c r="B251" s="2">
        <v>1</v>
      </c>
      <c r="C251" s="2">
        <f>ROW(SmtRes!A241)</f>
        <v>241</v>
      </c>
      <c r="D251" s="2">
        <f>ROW(EtalonRes!A220)</f>
        <v>220</v>
      </c>
      <c r="E251" s="2" t="s">
        <v>451</v>
      </c>
      <c r="F251" s="2" t="s">
        <v>452</v>
      </c>
      <c r="G251" s="2" t="s">
        <v>453</v>
      </c>
      <c r="H251" s="2" t="s">
        <v>114</v>
      </c>
      <c r="I251" s="2">
        <f>ROUND((18)/1000,7)</f>
        <v>1.7999999999999999E-2</v>
      </c>
      <c r="J251" s="2">
        <v>0</v>
      </c>
      <c r="K251" s="2">
        <f>ROUND((18)/1000,7)</f>
        <v>1.7999999999999999E-2</v>
      </c>
      <c r="L251" s="2"/>
      <c r="M251" s="2"/>
      <c r="N251" s="2"/>
      <c r="O251" s="2">
        <f t="shared" si="237"/>
        <v>249.26</v>
      </c>
      <c r="P251" s="2">
        <f>SUMIF(SmtRes!AQ235:'SmtRes'!AQ241,"=1",SmtRes!DF235:'SmtRes'!DF241)</f>
        <v>0.36</v>
      </c>
      <c r="Q251" s="2">
        <f>SUMIF(SmtRes!AQ235:'SmtRes'!AQ241,"=1",SmtRes!DG235:'SmtRes'!DG241)</f>
        <v>0</v>
      </c>
      <c r="R251" s="2">
        <f>SUMIF(SmtRes!AQ235:'SmtRes'!AQ241,"=1",SmtRes!DH235:'SmtRes'!DH241)</f>
        <v>0</v>
      </c>
      <c r="S251" s="2">
        <f>SUMIF(SmtRes!AQ235:'SmtRes'!AQ241,"=1",SmtRes!DI235:'SmtRes'!DI241)</f>
        <v>248.9</v>
      </c>
      <c r="T251" s="2">
        <f t="shared" si="199"/>
        <v>0</v>
      </c>
      <c r="U251" s="2">
        <f>SUMIF(SmtRes!AQ235:'SmtRes'!AQ241,"=1",SmtRes!CV235:'SmtRes'!CV241)</f>
        <v>0.40166279999999999</v>
      </c>
      <c r="V251" s="2">
        <f>SUMIF(SmtRes!AQ235:'SmtRes'!AQ241,"=1",SmtRes!CW235:'SmtRes'!CW241)</f>
        <v>0</v>
      </c>
      <c r="W251" s="2">
        <f t="shared" si="200"/>
        <v>0</v>
      </c>
      <c r="X251" s="2">
        <f t="shared" si="201"/>
        <v>248.9</v>
      </c>
      <c r="Y251" s="2">
        <f t="shared" si="202"/>
        <v>103.67</v>
      </c>
      <c r="Z251" s="2"/>
      <c r="AA251" s="2">
        <v>85997836</v>
      </c>
      <c r="AB251" s="2">
        <f t="shared" si="203"/>
        <v>13840.491682</v>
      </c>
      <c r="AC251" s="2">
        <f>ROUND((SUM(SmtRes!BQ235:'SmtRes'!BQ241)),6)</f>
        <v>12.8035</v>
      </c>
      <c r="AD251" s="2">
        <f>ROUND((((0)-(0))+AE251),6)</f>
        <v>0</v>
      </c>
      <c r="AE251" s="2">
        <f>ROUND((0),6)</f>
        <v>0</v>
      </c>
      <c r="AF251" s="2">
        <f>ROUND((SUM(SmtRes!BT235:'SmtRes'!BT241)),6)</f>
        <v>13827.688182</v>
      </c>
      <c r="AG251" s="2">
        <f t="shared" si="204"/>
        <v>0</v>
      </c>
      <c r="AH251" s="2">
        <f>(SUM(SmtRes!BU235:'SmtRes'!BU241))</f>
        <v>22.314599999999999</v>
      </c>
      <c r="AI251" s="2">
        <f>(0)</f>
        <v>0</v>
      </c>
      <c r="AJ251" s="2">
        <f t="shared" si="205"/>
        <v>0</v>
      </c>
      <c r="AK251" s="2">
        <v>10032.867400000001</v>
      </c>
      <c r="AL251" s="2">
        <v>12.8035</v>
      </c>
      <c r="AM251" s="2">
        <v>0</v>
      </c>
      <c r="AN251" s="2">
        <v>0</v>
      </c>
      <c r="AO251" s="2">
        <v>10020.063900000001</v>
      </c>
      <c r="AP251" s="2">
        <v>0</v>
      </c>
      <c r="AQ251" s="2">
        <v>16.170000000000002</v>
      </c>
      <c r="AR251" s="2">
        <v>0.05</v>
      </c>
      <c r="AS251" s="2">
        <v>0</v>
      </c>
      <c r="AT251" s="2">
        <v>100</v>
      </c>
      <c r="AU251" s="2">
        <v>41.65</v>
      </c>
      <c r="AV251" s="2">
        <v>1</v>
      </c>
      <c r="AW251" s="2">
        <v>1</v>
      </c>
      <c r="AX251" s="2"/>
      <c r="AY251" s="2"/>
      <c r="AZ251" s="2">
        <v>1</v>
      </c>
      <c r="BA251" s="2">
        <v>1</v>
      </c>
      <c r="BB251" s="2">
        <v>1</v>
      </c>
      <c r="BC251" s="2">
        <v>1</v>
      </c>
      <c r="BD251" s="2" t="s">
        <v>3</v>
      </c>
      <c r="BE251" s="2" t="s">
        <v>3</v>
      </c>
      <c r="BF251" s="2" t="s">
        <v>3</v>
      </c>
      <c r="BG251" s="2" t="s">
        <v>3</v>
      </c>
      <c r="BH251" s="2">
        <v>0</v>
      </c>
      <c r="BI251" s="2">
        <v>1</v>
      </c>
      <c r="BJ251" s="2" t="s">
        <v>454</v>
      </c>
      <c r="BK251" s="2"/>
      <c r="BL251" s="2"/>
      <c r="BM251" s="2">
        <v>15001</v>
      </c>
      <c r="BN251" s="2">
        <v>0</v>
      </c>
      <c r="BO251" s="2" t="s">
        <v>3</v>
      </c>
      <c r="BP251" s="2">
        <v>0</v>
      </c>
      <c r="BQ251" s="2">
        <v>2</v>
      </c>
      <c r="BR251" s="2">
        <v>0</v>
      </c>
      <c r="BS251" s="2">
        <v>1</v>
      </c>
      <c r="BT251" s="2">
        <v>1</v>
      </c>
      <c r="BU251" s="2">
        <v>1</v>
      </c>
      <c r="BV251" s="2">
        <v>1</v>
      </c>
      <c r="BW251" s="2">
        <v>1</v>
      </c>
      <c r="BX251" s="2">
        <v>1</v>
      </c>
      <c r="BY251" s="2" t="s">
        <v>3</v>
      </c>
      <c r="BZ251" s="2">
        <v>100</v>
      </c>
      <c r="CA251" s="2">
        <v>49</v>
      </c>
      <c r="CB251" s="2" t="s">
        <v>3</v>
      </c>
      <c r="CC251" s="2"/>
      <c r="CD251" s="2"/>
      <c r="CE251" s="2">
        <v>0</v>
      </c>
      <c r="CF251" s="2">
        <v>0</v>
      </c>
      <c r="CG251" s="2">
        <v>0</v>
      </c>
      <c r="CH251" s="2"/>
      <c r="CI251" s="2"/>
      <c r="CJ251" s="2"/>
      <c r="CK251" s="2"/>
      <c r="CL251" s="2"/>
      <c r="CM251" s="2">
        <v>0</v>
      </c>
      <c r="CN251" s="7" t="s">
        <v>737</v>
      </c>
      <c r="CO251" s="2">
        <v>0</v>
      </c>
      <c r="CP251" s="2">
        <f t="shared" si="238"/>
        <v>249.26000000000002</v>
      </c>
      <c r="CQ251" s="2">
        <f>SUMIF(SmtRes!AQ235:'SmtRes'!AQ241,"=1",SmtRes!AA235:'SmtRes'!AA241)</f>
        <v>141.05000000000001</v>
      </c>
      <c r="CR251" s="2">
        <f>SUMIF(SmtRes!AQ235:'SmtRes'!AQ241,"=1",SmtRes!AB235:'SmtRes'!AB241)</f>
        <v>0</v>
      </c>
      <c r="CS251" s="2">
        <f>SUMIF(SmtRes!AQ235:'SmtRes'!AQ241,"=1",SmtRes!AC235:'SmtRes'!AC241)</f>
        <v>0</v>
      </c>
      <c r="CT251" s="2">
        <f>SUMIF(SmtRes!AQ235:'SmtRes'!AQ241,"=1",SmtRes!AD235:'SmtRes'!AD241)</f>
        <v>619.66999999999996</v>
      </c>
      <c r="CU251" s="2">
        <f t="shared" si="243"/>
        <v>0</v>
      </c>
      <c r="CV251" s="2">
        <f>SUMIF(SmtRes!AQ235:'SmtRes'!AQ241,"=1",SmtRes!BU235:'SmtRes'!BU241)</f>
        <v>22.314599999999999</v>
      </c>
      <c r="CW251" s="2">
        <f>SUMIF(SmtRes!AQ235:'SmtRes'!AQ241,"=1",SmtRes!BV235:'SmtRes'!BV241)</f>
        <v>0</v>
      </c>
      <c r="CX251" s="2">
        <f t="shared" si="244"/>
        <v>0</v>
      </c>
      <c r="CY251" s="2">
        <f t="shared" si="240"/>
        <v>248.9</v>
      </c>
      <c r="CZ251" s="2">
        <f t="shared" si="241"/>
        <v>103.66685</v>
      </c>
      <c r="DA251" s="2"/>
      <c r="DB251" s="2"/>
      <c r="DC251" s="2" t="s">
        <v>3</v>
      </c>
      <c r="DD251" s="2" t="s">
        <v>3</v>
      </c>
      <c r="DE251" s="2" t="s">
        <v>329</v>
      </c>
      <c r="DF251" s="2" t="s">
        <v>329</v>
      </c>
      <c r="DG251" s="2" t="s">
        <v>330</v>
      </c>
      <c r="DH251" s="2" t="s">
        <v>3</v>
      </c>
      <c r="DI251" s="2" t="s">
        <v>330</v>
      </c>
      <c r="DJ251" s="2" t="s">
        <v>329</v>
      </c>
      <c r="DK251" s="2" t="s">
        <v>3</v>
      </c>
      <c r="DL251" s="2" t="s">
        <v>3</v>
      </c>
      <c r="DM251" s="2" t="s">
        <v>269</v>
      </c>
      <c r="DN251" s="2">
        <v>0</v>
      </c>
      <c r="DO251" s="2">
        <v>0</v>
      </c>
      <c r="DP251" s="2">
        <v>1</v>
      </c>
      <c r="DQ251" s="2">
        <v>1</v>
      </c>
      <c r="DR251" s="2"/>
      <c r="DS251" s="2"/>
      <c r="DT251" s="2"/>
      <c r="DU251" s="2">
        <v>1013</v>
      </c>
      <c r="DV251" s="2" t="s">
        <v>114</v>
      </c>
      <c r="DW251" s="2" t="s">
        <v>116</v>
      </c>
      <c r="DX251" s="2">
        <v>1</v>
      </c>
      <c r="DY251" s="2"/>
      <c r="DZ251" s="2" t="s">
        <v>3</v>
      </c>
      <c r="EA251" s="2" t="s">
        <v>3</v>
      </c>
      <c r="EB251" s="2" t="s">
        <v>3</v>
      </c>
      <c r="EC251" s="2" t="s">
        <v>3</v>
      </c>
      <c r="ED251" s="2"/>
      <c r="EE251" s="2">
        <v>84053924</v>
      </c>
      <c r="EF251" s="2">
        <v>2</v>
      </c>
      <c r="EG251" s="2" t="s">
        <v>270</v>
      </c>
      <c r="EH251" s="2">
        <v>15</v>
      </c>
      <c r="EI251" s="2" t="s">
        <v>419</v>
      </c>
      <c r="EJ251" s="2">
        <v>1</v>
      </c>
      <c r="EK251" s="2">
        <v>15001</v>
      </c>
      <c r="EL251" s="2" t="s">
        <v>419</v>
      </c>
      <c r="EM251" s="2" t="s">
        <v>420</v>
      </c>
      <c r="EN251" s="2"/>
      <c r="EO251" s="2" t="s">
        <v>333</v>
      </c>
      <c r="EP251" s="2"/>
      <c r="EQ251" s="2">
        <v>0</v>
      </c>
      <c r="ER251" s="2">
        <v>0</v>
      </c>
      <c r="ES251" s="2">
        <v>0</v>
      </c>
      <c r="ET251" s="2">
        <v>0</v>
      </c>
      <c r="EU251" s="2">
        <v>0</v>
      </c>
      <c r="EV251" s="2">
        <v>0</v>
      </c>
      <c r="EW251" s="2">
        <v>16.170000000000002</v>
      </c>
      <c r="EX251" s="2">
        <v>0.05</v>
      </c>
      <c r="EY251" s="2">
        <v>0</v>
      </c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>
        <v>0</v>
      </c>
      <c r="FR251" s="2">
        <v>0</v>
      </c>
      <c r="FS251" s="2">
        <v>0</v>
      </c>
      <c r="FT251" s="2"/>
      <c r="FU251" s="2"/>
      <c r="FV251" s="2"/>
      <c r="FW251" s="2"/>
      <c r="FX251" s="2">
        <v>100</v>
      </c>
      <c r="FY251" s="2">
        <v>41.65</v>
      </c>
      <c r="FZ251" s="2"/>
      <c r="GA251" s="2" t="s">
        <v>3</v>
      </c>
      <c r="GB251" s="2"/>
      <c r="GC251" s="2"/>
      <c r="GD251" s="2">
        <v>1</v>
      </c>
      <c r="GE251" s="2"/>
      <c r="GF251" s="2">
        <v>1148677725</v>
      </c>
      <c r="GG251" s="2">
        <v>2</v>
      </c>
      <c r="GH251" s="2">
        <v>1</v>
      </c>
      <c r="GI251" s="2">
        <v>-2</v>
      </c>
      <c r="GJ251" s="2">
        <v>0</v>
      </c>
      <c r="GK251" s="2">
        <v>0</v>
      </c>
      <c r="GL251" s="2">
        <f t="shared" si="206"/>
        <v>0</v>
      </c>
      <c r="GM251" s="2">
        <f t="shared" si="207"/>
        <v>601.83000000000004</v>
      </c>
      <c r="GN251" s="2">
        <f t="shared" si="208"/>
        <v>601.83000000000004</v>
      </c>
      <c r="GO251" s="2">
        <f t="shared" si="209"/>
        <v>0</v>
      </c>
      <c r="GP251" s="2">
        <f t="shared" si="210"/>
        <v>0</v>
      </c>
      <c r="GQ251" s="2"/>
      <c r="GR251" s="2">
        <v>0</v>
      </c>
      <c r="GS251" s="2">
        <v>3</v>
      </c>
      <c r="GT251" s="2">
        <v>0</v>
      </c>
      <c r="GU251" s="2" t="s">
        <v>3</v>
      </c>
      <c r="GV251" s="2">
        <f t="shared" si="211"/>
        <v>0</v>
      </c>
      <c r="GW251" s="2">
        <v>1</v>
      </c>
      <c r="GX251" s="2">
        <f t="shared" si="212"/>
        <v>0</v>
      </c>
      <c r="GY251" s="2"/>
      <c r="GZ251" s="2"/>
      <c r="HA251" s="2">
        <v>0</v>
      </c>
      <c r="HB251" s="2">
        <v>0</v>
      </c>
      <c r="HC251" s="2">
        <f t="shared" si="242"/>
        <v>0</v>
      </c>
      <c r="HD251" s="2"/>
      <c r="HE251" s="2" t="s">
        <v>3</v>
      </c>
      <c r="HF251" s="2" t="s">
        <v>3</v>
      </c>
      <c r="HG251" s="2"/>
      <c r="HH251" s="2"/>
      <c r="HI251" s="2"/>
      <c r="HJ251" s="2"/>
      <c r="HK251" s="2"/>
      <c r="HL251" s="2"/>
      <c r="HM251" s="2" t="s">
        <v>3</v>
      </c>
      <c r="HN251" s="2" t="s">
        <v>421</v>
      </c>
      <c r="HO251" s="2" t="s">
        <v>422</v>
      </c>
      <c r="HP251" s="2" t="s">
        <v>419</v>
      </c>
      <c r="HQ251" s="2" t="s">
        <v>419</v>
      </c>
      <c r="HR251" s="2"/>
      <c r="HS251" s="2">
        <v>0</v>
      </c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>
        <v>0</v>
      </c>
      <c r="IL251" s="2"/>
      <c r="IM251" s="2"/>
      <c r="IN251" s="2"/>
      <c r="IO251" s="2"/>
      <c r="IP251" s="2"/>
      <c r="IQ251" s="2"/>
      <c r="IR251" s="2"/>
      <c r="IS251" s="2"/>
      <c r="IT251" s="2"/>
      <c r="IU251" s="2"/>
    </row>
    <row r="252" spans="1:255" x14ac:dyDescent="0.2">
      <c r="A252" s="2">
        <v>18</v>
      </c>
      <c r="B252" s="2">
        <v>1</v>
      </c>
      <c r="C252" s="2">
        <v>241</v>
      </c>
      <c r="D252" s="2"/>
      <c r="E252" s="2" t="s">
        <v>455</v>
      </c>
      <c r="F252" s="2" t="s">
        <v>456</v>
      </c>
      <c r="G252" s="2" t="s">
        <v>457</v>
      </c>
      <c r="H252" s="2" t="s">
        <v>170</v>
      </c>
      <c r="I252" s="2">
        <f>I251*J252</f>
        <v>0.9</v>
      </c>
      <c r="J252" s="2">
        <v>50.000000000000007</v>
      </c>
      <c r="K252" s="2">
        <v>50</v>
      </c>
      <c r="L252" s="2"/>
      <c r="M252" s="2"/>
      <c r="N252" s="2"/>
      <c r="O252" s="2">
        <f t="shared" si="237"/>
        <v>111.45</v>
      </c>
      <c r="P252" s="2">
        <f>ROUND(CQ252*I252,2)</f>
        <v>111.45</v>
      </c>
      <c r="Q252" s="2">
        <f>ROUND(CR252*I252,2)</f>
        <v>0</v>
      </c>
      <c r="R252" s="2">
        <f>ROUND(CS252*I252,2)</f>
        <v>0</v>
      </c>
      <c r="S252" s="2">
        <f>ROUND(CT252*I252,2)</f>
        <v>0</v>
      </c>
      <c r="T252" s="2">
        <f t="shared" si="199"/>
        <v>0</v>
      </c>
      <c r="U252" s="2">
        <f>ROUND(CV252*I252,7)</f>
        <v>0</v>
      </c>
      <c r="V252" s="2">
        <f>ROUND(CW252*I252,7)</f>
        <v>0</v>
      </c>
      <c r="W252" s="2">
        <f t="shared" si="200"/>
        <v>0</v>
      </c>
      <c r="X252" s="2">
        <f t="shared" si="201"/>
        <v>0</v>
      </c>
      <c r="Y252" s="2">
        <f t="shared" si="202"/>
        <v>0</v>
      </c>
      <c r="Z252" s="2"/>
      <c r="AA252" s="2">
        <v>85997836</v>
      </c>
      <c r="AB252" s="2">
        <f t="shared" si="203"/>
        <v>63.18</v>
      </c>
      <c r="AC252" s="2">
        <f>ROUND((ES252),6)</f>
        <v>63.18</v>
      </c>
      <c r="AD252" s="2">
        <f>ROUND((((ET252)-(EU252))+AE252),6)</f>
        <v>0</v>
      </c>
      <c r="AE252" s="2">
        <f t="shared" ref="AE252:AF254" si="249">ROUND((EU252),6)</f>
        <v>0</v>
      </c>
      <c r="AF252" s="2">
        <f t="shared" si="249"/>
        <v>0</v>
      </c>
      <c r="AG252" s="2">
        <f t="shared" si="204"/>
        <v>0</v>
      </c>
      <c r="AH252" s="2">
        <f t="shared" ref="AH252:AI254" si="250">(EW252)</f>
        <v>0</v>
      </c>
      <c r="AI252" s="2">
        <f t="shared" si="250"/>
        <v>0</v>
      </c>
      <c r="AJ252" s="2">
        <f t="shared" si="205"/>
        <v>0</v>
      </c>
      <c r="AK252" s="2">
        <v>63.18</v>
      </c>
      <c r="AL252" s="2">
        <v>63.18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100</v>
      </c>
      <c r="AU252" s="2">
        <v>49</v>
      </c>
      <c r="AV252" s="2">
        <v>1</v>
      </c>
      <c r="AW252" s="2">
        <v>1</v>
      </c>
      <c r="AX252" s="2"/>
      <c r="AY252" s="2"/>
      <c r="AZ252" s="2">
        <v>1</v>
      </c>
      <c r="BA252" s="2">
        <v>1</v>
      </c>
      <c r="BB252" s="2">
        <v>1</v>
      </c>
      <c r="BC252" s="2">
        <v>1.96</v>
      </c>
      <c r="BD252" s="2" t="s">
        <v>3</v>
      </c>
      <c r="BE252" s="2" t="s">
        <v>3</v>
      </c>
      <c r="BF252" s="2" t="s">
        <v>3</v>
      </c>
      <c r="BG252" s="2" t="s">
        <v>3</v>
      </c>
      <c r="BH252" s="2">
        <v>3</v>
      </c>
      <c r="BI252" s="2">
        <v>1</v>
      </c>
      <c r="BJ252" s="2" t="s">
        <v>458</v>
      </c>
      <c r="BK252" s="2"/>
      <c r="BL252" s="2"/>
      <c r="BM252" s="2">
        <v>15001</v>
      </c>
      <c r="BN252" s="2">
        <v>0</v>
      </c>
      <c r="BO252" s="2" t="s">
        <v>456</v>
      </c>
      <c r="BP252" s="2">
        <v>1</v>
      </c>
      <c r="BQ252" s="2">
        <v>2</v>
      </c>
      <c r="BR252" s="2">
        <v>0</v>
      </c>
      <c r="BS252" s="2">
        <v>1</v>
      </c>
      <c r="BT252" s="2">
        <v>1</v>
      </c>
      <c r="BU252" s="2">
        <v>1</v>
      </c>
      <c r="BV252" s="2">
        <v>1</v>
      </c>
      <c r="BW252" s="2">
        <v>1</v>
      </c>
      <c r="BX252" s="2">
        <v>1</v>
      </c>
      <c r="BY252" s="2" t="s">
        <v>3</v>
      </c>
      <c r="BZ252" s="2">
        <v>100</v>
      </c>
      <c r="CA252" s="2">
        <v>49</v>
      </c>
      <c r="CB252" s="2" t="s">
        <v>3</v>
      </c>
      <c r="CC252" s="2"/>
      <c r="CD252" s="2"/>
      <c r="CE252" s="2">
        <v>0</v>
      </c>
      <c r="CF252" s="2">
        <v>0</v>
      </c>
      <c r="CG252" s="2">
        <v>0</v>
      </c>
      <c r="CH252" s="2"/>
      <c r="CI252" s="2"/>
      <c r="CJ252" s="2"/>
      <c r="CK252" s="2"/>
      <c r="CL252" s="2"/>
      <c r="CM252" s="2">
        <v>0</v>
      </c>
      <c r="CN252" s="2" t="s">
        <v>3</v>
      </c>
      <c r="CO252" s="2">
        <v>0</v>
      </c>
      <c r="CP252" s="2">
        <f t="shared" si="238"/>
        <v>111.45</v>
      </c>
      <c r="CQ252" s="2">
        <f>ROUND(AL252*BC252,2)</f>
        <v>123.83</v>
      </c>
      <c r="CR252" s="2">
        <f>ROUND(AM252*BB252,2)</f>
        <v>0</v>
      </c>
      <c r="CS252" s="2">
        <f>ROUND(AN252*BS252,2)</f>
        <v>0</v>
      </c>
      <c r="CT252" s="2">
        <f>ROUND(AO252*BA252,2)</f>
        <v>0</v>
      </c>
      <c r="CU252" s="2">
        <f t="shared" si="243"/>
        <v>0</v>
      </c>
      <c r="CV252" s="2">
        <f t="shared" ref="CV252:CW254" si="251">AH252</f>
        <v>0</v>
      </c>
      <c r="CW252" s="2">
        <f t="shared" si="251"/>
        <v>0</v>
      </c>
      <c r="CX252" s="2">
        <f t="shared" si="244"/>
        <v>0</v>
      </c>
      <c r="CY252" s="2">
        <f t="shared" si="240"/>
        <v>0</v>
      </c>
      <c r="CZ252" s="2">
        <f t="shared" si="241"/>
        <v>0</v>
      </c>
      <c r="DA252" s="2"/>
      <c r="DB252" s="2"/>
      <c r="DC252" s="2" t="s">
        <v>3</v>
      </c>
      <c r="DD252" s="2" t="s">
        <v>3</v>
      </c>
      <c r="DE252" s="2" t="s">
        <v>3</v>
      </c>
      <c r="DF252" s="2" t="s">
        <v>3</v>
      </c>
      <c r="DG252" s="2" t="s">
        <v>3</v>
      </c>
      <c r="DH252" s="2" t="s">
        <v>3</v>
      </c>
      <c r="DI252" s="2" t="s">
        <v>3</v>
      </c>
      <c r="DJ252" s="2" t="s">
        <v>3</v>
      </c>
      <c r="DK252" s="2" t="s">
        <v>3</v>
      </c>
      <c r="DL252" s="2" t="s">
        <v>3</v>
      </c>
      <c r="DM252" s="2" t="s">
        <v>3</v>
      </c>
      <c r="DN252" s="2">
        <v>0</v>
      </c>
      <c r="DO252" s="2">
        <v>0</v>
      </c>
      <c r="DP252" s="2">
        <v>1</v>
      </c>
      <c r="DQ252" s="2">
        <v>1</v>
      </c>
      <c r="DR252" s="2"/>
      <c r="DS252" s="2"/>
      <c r="DT252" s="2"/>
      <c r="DU252" s="2">
        <v>1009</v>
      </c>
      <c r="DV252" s="2" t="s">
        <v>170</v>
      </c>
      <c r="DW252" s="2" t="s">
        <v>170</v>
      </c>
      <c r="DX252" s="2">
        <v>1</v>
      </c>
      <c r="DY252" s="2"/>
      <c r="DZ252" s="2" t="s">
        <v>3</v>
      </c>
      <c r="EA252" s="2" t="s">
        <v>3</v>
      </c>
      <c r="EB252" s="2" t="s">
        <v>3</v>
      </c>
      <c r="EC252" s="2" t="s">
        <v>3</v>
      </c>
      <c r="ED252" s="2"/>
      <c r="EE252" s="2">
        <v>84053924</v>
      </c>
      <c r="EF252" s="2">
        <v>2</v>
      </c>
      <c r="EG252" s="2" t="s">
        <v>270</v>
      </c>
      <c r="EH252" s="2">
        <v>15</v>
      </c>
      <c r="EI252" s="2" t="s">
        <v>419</v>
      </c>
      <c r="EJ252" s="2">
        <v>1</v>
      </c>
      <c r="EK252" s="2">
        <v>15001</v>
      </c>
      <c r="EL252" s="2" t="s">
        <v>419</v>
      </c>
      <c r="EM252" s="2" t="s">
        <v>420</v>
      </c>
      <c r="EN252" s="2"/>
      <c r="EO252" s="2" t="s">
        <v>3</v>
      </c>
      <c r="EP252" s="2"/>
      <c r="EQ252" s="2">
        <v>0</v>
      </c>
      <c r="ER252" s="2">
        <v>63.18</v>
      </c>
      <c r="ES252" s="2">
        <v>63.18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>
        <v>0</v>
      </c>
      <c r="FR252" s="2">
        <v>0</v>
      </c>
      <c r="FS252" s="2">
        <v>0</v>
      </c>
      <c r="FT252" s="2"/>
      <c r="FU252" s="2"/>
      <c r="FV252" s="2"/>
      <c r="FW252" s="2"/>
      <c r="FX252" s="2">
        <v>100</v>
      </c>
      <c r="FY252" s="2">
        <v>49</v>
      </c>
      <c r="FZ252" s="2"/>
      <c r="GA252" s="2" t="s">
        <v>3</v>
      </c>
      <c r="GB252" s="2"/>
      <c r="GC252" s="2"/>
      <c r="GD252" s="2">
        <v>1</v>
      </c>
      <c r="GE252" s="2"/>
      <c r="GF252" s="2">
        <v>795970600</v>
      </c>
      <c r="GG252" s="2">
        <v>2</v>
      </c>
      <c r="GH252" s="2">
        <v>1</v>
      </c>
      <c r="GI252" s="2">
        <v>2</v>
      </c>
      <c r="GJ252" s="2">
        <v>0</v>
      </c>
      <c r="GK252" s="2">
        <v>0</v>
      </c>
      <c r="GL252" s="2">
        <f t="shared" si="206"/>
        <v>0</v>
      </c>
      <c r="GM252" s="2">
        <f t="shared" si="207"/>
        <v>111.45</v>
      </c>
      <c r="GN252" s="2">
        <f t="shared" si="208"/>
        <v>111.45</v>
      </c>
      <c r="GO252" s="2">
        <f t="shared" si="209"/>
        <v>0</v>
      </c>
      <c r="GP252" s="2">
        <f t="shared" si="210"/>
        <v>0</v>
      </c>
      <c r="GQ252" s="2"/>
      <c r="GR252" s="2">
        <v>0</v>
      </c>
      <c r="GS252" s="2">
        <v>3</v>
      </c>
      <c r="GT252" s="2">
        <v>0</v>
      </c>
      <c r="GU252" s="2" t="s">
        <v>3</v>
      </c>
      <c r="GV252" s="2">
        <f t="shared" si="211"/>
        <v>0</v>
      </c>
      <c r="GW252" s="2">
        <v>1</v>
      </c>
      <c r="GX252" s="2">
        <f t="shared" si="212"/>
        <v>0</v>
      </c>
      <c r="GY252" s="2"/>
      <c r="GZ252" s="2"/>
      <c r="HA252" s="2">
        <v>0</v>
      </c>
      <c r="HB252" s="2">
        <v>0</v>
      </c>
      <c r="HC252" s="2">
        <f t="shared" si="242"/>
        <v>0</v>
      </c>
      <c r="HD252" s="2"/>
      <c r="HE252" s="2" t="s">
        <v>3</v>
      </c>
      <c r="HF252" s="2" t="s">
        <v>3</v>
      </c>
      <c r="HG252" s="2"/>
      <c r="HH252" s="2"/>
      <c r="HI252" s="2"/>
      <c r="HJ252" s="2"/>
      <c r="HK252" s="2"/>
      <c r="HL252" s="2"/>
      <c r="HM252" s="2" t="s">
        <v>3</v>
      </c>
      <c r="HN252" s="2" t="s">
        <v>421</v>
      </c>
      <c r="HO252" s="2" t="s">
        <v>422</v>
      </c>
      <c r="HP252" s="2" t="s">
        <v>419</v>
      </c>
      <c r="HQ252" s="2" t="s">
        <v>419</v>
      </c>
      <c r="HR252" s="2"/>
      <c r="HS252" s="2">
        <v>0</v>
      </c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>
        <v>0</v>
      </c>
      <c r="IL252" s="2"/>
      <c r="IM252" s="2"/>
      <c r="IN252" s="2"/>
      <c r="IO252" s="2"/>
      <c r="IP252" s="2"/>
      <c r="IQ252" s="2"/>
      <c r="IR252" s="2"/>
      <c r="IS252" s="2"/>
      <c r="IT252" s="2"/>
      <c r="IU252" s="2"/>
    </row>
    <row r="253" spans="1:255" ht="409.5" x14ac:dyDescent="0.2">
      <c r="A253" s="2">
        <v>18</v>
      </c>
      <c r="B253" s="2">
        <v>1</v>
      </c>
      <c r="C253" s="2">
        <v>237</v>
      </c>
      <c r="D253" s="2"/>
      <c r="E253" s="2" t="s">
        <v>459</v>
      </c>
      <c r="F253" s="2" t="s">
        <v>27</v>
      </c>
      <c r="G253" s="2" t="s">
        <v>28</v>
      </c>
      <c r="H253" s="2" t="s">
        <v>29</v>
      </c>
      <c r="I253" s="2">
        <f>I251*J253</f>
        <v>-4.0499999999999998E-4</v>
      </c>
      <c r="J253" s="2">
        <v>-2.2499999999999999E-2</v>
      </c>
      <c r="K253" s="2">
        <v>-1.4999999999999999E-2</v>
      </c>
      <c r="L253" s="2"/>
      <c r="M253" s="2"/>
      <c r="N253" s="2"/>
      <c r="O253" s="2">
        <f t="shared" si="237"/>
        <v>-0.28000000000000003</v>
      </c>
      <c r="P253" s="2">
        <f>ROUND(CQ253*I253,2)</f>
        <v>0</v>
      </c>
      <c r="Q253" s="2">
        <f>ROUND(CR253*I253,2)</f>
        <v>-0.02</v>
      </c>
      <c r="R253" s="2">
        <f>ROUND(CS253*I253,2)</f>
        <v>-0.26</v>
      </c>
      <c r="S253" s="2">
        <f>ROUND(CT253*I253,2)</f>
        <v>0</v>
      </c>
      <c r="T253" s="2">
        <f t="shared" si="199"/>
        <v>0</v>
      </c>
      <c r="U253" s="2">
        <f>ROUND(CV253*I253,7)</f>
        <v>0</v>
      </c>
      <c r="V253" s="2">
        <f>ROUND(CW253*I253,7)</f>
        <v>0</v>
      </c>
      <c r="W253" s="2">
        <f t="shared" si="200"/>
        <v>0</v>
      </c>
      <c r="X253" s="2">
        <f t="shared" si="201"/>
        <v>-0.26</v>
      </c>
      <c r="Y253" s="2">
        <f t="shared" si="202"/>
        <v>-0.13</v>
      </c>
      <c r="Z253" s="2"/>
      <c r="AA253" s="2">
        <v>85997836</v>
      </c>
      <c r="AB253" s="2">
        <f t="shared" si="203"/>
        <v>37.32</v>
      </c>
      <c r="AC253" s="2">
        <f>ROUND((ES253),6)</f>
        <v>0</v>
      </c>
      <c r="AD253" s="2">
        <f>ROUND((((ET253)-(EU253))+AE253),6)</f>
        <v>37.32</v>
      </c>
      <c r="AE253" s="2">
        <f t="shared" si="249"/>
        <v>641.22</v>
      </c>
      <c r="AF253" s="2">
        <f t="shared" si="249"/>
        <v>0</v>
      </c>
      <c r="AG253" s="2">
        <f t="shared" si="204"/>
        <v>0</v>
      </c>
      <c r="AH253" s="2">
        <f t="shared" si="250"/>
        <v>0</v>
      </c>
      <c r="AI253" s="2">
        <f t="shared" si="250"/>
        <v>0</v>
      </c>
      <c r="AJ253" s="2">
        <f t="shared" si="205"/>
        <v>0</v>
      </c>
      <c r="AK253" s="2">
        <v>37.32</v>
      </c>
      <c r="AL253" s="2">
        <v>0</v>
      </c>
      <c r="AM253" s="2">
        <v>37.32</v>
      </c>
      <c r="AN253" s="2">
        <v>641.22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100</v>
      </c>
      <c r="AU253" s="2">
        <v>49</v>
      </c>
      <c r="AV253" s="2">
        <v>1</v>
      </c>
      <c r="AW253" s="2">
        <v>1</v>
      </c>
      <c r="AX253" s="2"/>
      <c r="AY253" s="2"/>
      <c r="AZ253" s="2">
        <v>1</v>
      </c>
      <c r="BA253" s="2">
        <v>1</v>
      </c>
      <c r="BB253" s="2">
        <v>1.54</v>
      </c>
      <c r="BC253" s="2">
        <v>1</v>
      </c>
      <c r="BD253" s="2" t="s">
        <v>3</v>
      </c>
      <c r="BE253" s="2" t="s">
        <v>3</v>
      </c>
      <c r="BF253" s="2" t="s">
        <v>3</v>
      </c>
      <c r="BG253" s="2" t="s">
        <v>3</v>
      </c>
      <c r="BH253" s="2">
        <v>2</v>
      </c>
      <c r="BI253" s="2">
        <v>1</v>
      </c>
      <c r="BJ253" s="2" t="s">
        <v>30</v>
      </c>
      <c r="BK253" s="2"/>
      <c r="BL253" s="2"/>
      <c r="BM253" s="2">
        <v>15001</v>
      </c>
      <c r="BN253" s="2">
        <v>0</v>
      </c>
      <c r="BO253" s="2" t="s">
        <v>27</v>
      </c>
      <c r="BP253" s="2">
        <v>1</v>
      </c>
      <c r="BQ253" s="2">
        <v>2</v>
      </c>
      <c r="BR253" s="2">
        <v>0</v>
      </c>
      <c r="BS253" s="2">
        <v>1</v>
      </c>
      <c r="BT253" s="2">
        <v>1</v>
      </c>
      <c r="BU253" s="2">
        <v>1</v>
      </c>
      <c r="BV253" s="2">
        <v>1</v>
      </c>
      <c r="BW253" s="2">
        <v>1</v>
      </c>
      <c r="BX253" s="2">
        <v>1</v>
      </c>
      <c r="BY253" s="2" t="s">
        <v>3</v>
      </c>
      <c r="BZ253" s="2">
        <v>100</v>
      </c>
      <c r="CA253" s="2">
        <v>49</v>
      </c>
      <c r="CB253" s="2" t="s">
        <v>3</v>
      </c>
      <c r="CC253" s="2"/>
      <c r="CD253" s="2"/>
      <c r="CE253" s="2">
        <v>0</v>
      </c>
      <c r="CF253" s="2">
        <v>0</v>
      </c>
      <c r="CG253" s="2">
        <v>0</v>
      </c>
      <c r="CH253" s="2"/>
      <c r="CI253" s="2"/>
      <c r="CJ253" s="2"/>
      <c r="CK253" s="2"/>
      <c r="CL253" s="2"/>
      <c r="CM253" s="2">
        <v>0</v>
      </c>
      <c r="CN253" s="7" t="s">
        <v>737</v>
      </c>
      <c r="CO253" s="2">
        <v>0</v>
      </c>
      <c r="CP253" s="2">
        <f t="shared" si="238"/>
        <v>-0.28000000000000003</v>
      </c>
      <c r="CQ253" s="2">
        <f>ROUND(AL253*BC253,2)</f>
        <v>0</v>
      </c>
      <c r="CR253" s="2">
        <f>ROUND(AM253*BB253,2)</f>
        <v>57.47</v>
      </c>
      <c r="CS253" s="2">
        <f>ROUND(AN253*BS253,2)</f>
        <v>641.22</v>
      </c>
      <c r="CT253" s="2">
        <f>ROUND(AO253*BA253,2)</f>
        <v>0</v>
      </c>
      <c r="CU253" s="2">
        <f t="shared" si="243"/>
        <v>0</v>
      </c>
      <c r="CV253" s="2">
        <f t="shared" si="251"/>
        <v>0</v>
      </c>
      <c r="CW253" s="2">
        <f t="shared" si="251"/>
        <v>0</v>
      </c>
      <c r="CX253" s="2">
        <f t="shared" si="244"/>
        <v>0</v>
      </c>
      <c r="CY253" s="2">
        <f t="shared" si="240"/>
        <v>-0.26</v>
      </c>
      <c r="CZ253" s="2">
        <f t="shared" si="241"/>
        <v>-0.12740000000000001</v>
      </c>
      <c r="DA253" s="2"/>
      <c r="DB253" s="2"/>
      <c r="DC253" s="2" t="s">
        <v>3</v>
      </c>
      <c r="DD253" s="2" t="s">
        <v>3</v>
      </c>
      <c r="DE253" s="2" t="s">
        <v>3</v>
      </c>
      <c r="DF253" s="2" t="s">
        <v>3</v>
      </c>
      <c r="DG253" s="2" t="s">
        <v>3</v>
      </c>
      <c r="DH253" s="2" t="s">
        <v>3</v>
      </c>
      <c r="DI253" s="2" t="s">
        <v>3</v>
      </c>
      <c r="DJ253" s="2" t="s">
        <v>3</v>
      </c>
      <c r="DK253" s="2" t="s">
        <v>3</v>
      </c>
      <c r="DL253" s="2" t="s">
        <v>3</v>
      </c>
      <c r="DM253" s="2" t="s">
        <v>3</v>
      </c>
      <c r="DN253" s="2">
        <v>0</v>
      </c>
      <c r="DO253" s="2">
        <v>0</v>
      </c>
      <c r="DP253" s="2">
        <v>1</v>
      </c>
      <c r="DQ253" s="2">
        <v>1</v>
      </c>
      <c r="DR253" s="2"/>
      <c r="DS253" s="2"/>
      <c r="DT253" s="2"/>
      <c r="DU253" s="2">
        <v>1011</v>
      </c>
      <c r="DV253" s="2" t="s">
        <v>29</v>
      </c>
      <c r="DW253" s="2" t="s">
        <v>29</v>
      </c>
      <c r="DX253" s="2">
        <v>1</v>
      </c>
      <c r="DY253" s="2"/>
      <c r="DZ253" s="2" t="s">
        <v>3</v>
      </c>
      <c r="EA253" s="2" t="s">
        <v>3</v>
      </c>
      <c r="EB253" s="2" t="s">
        <v>3</v>
      </c>
      <c r="EC253" s="2" t="s">
        <v>3</v>
      </c>
      <c r="ED253" s="2"/>
      <c r="EE253" s="2">
        <v>84053924</v>
      </c>
      <c r="EF253" s="2">
        <v>2</v>
      </c>
      <c r="EG253" s="2" t="s">
        <v>270</v>
      </c>
      <c r="EH253" s="2">
        <v>15</v>
      </c>
      <c r="EI253" s="2" t="s">
        <v>419</v>
      </c>
      <c r="EJ253" s="2">
        <v>1</v>
      </c>
      <c r="EK253" s="2">
        <v>15001</v>
      </c>
      <c r="EL253" s="2" t="s">
        <v>419</v>
      </c>
      <c r="EM253" s="2" t="s">
        <v>420</v>
      </c>
      <c r="EN253" s="2"/>
      <c r="EO253" s="2" t="s">
        <v>333</v>
      </c>
      <c r="EP253" s="2"/>
      <c r="EQ253" s="2">
        <v>0</v>
      </c>
      <c r="ER253" s="2">
        <v>37.32</v>
      </c>
      <c r="ES253" s="2">
        <v>0</v>
      </c>
      <c r="ET253" s="2">
        <v>37.32</v>
      </c>
      <c r="EU253" s="2">
        <v>641.22</v>
      </c>
      <c r="EV253" s="2">
        <v>0</v>
      </c>
      <c r="EW253" s="2">
        <v>0</v>
      </c>
      <c r="EX253" s="2">
        <v>0</v>
      </c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>
        <v>0</v>
      </c>
      <c r="FR253" s="2">
        <v>0</v>
      </c>
      <c r="FS253" s="2">
        <v>1</v>
      </c>
      <c r="FT253" s="2"/>
      <c r="FU253" s="2"/>
      <c r="FV253" s="2"/>
      <c r="FW253" s="2"/>
      <c r="FX253" s="2">
        <v>100</v>
      </c>
      <c r="FY253" s="2">
        <v>49</v>
      </c>
      <c r="FZ253" s="2"/>
      <c r="GA253" s="2" t="s">
        <v>3</v>
      </c>
      <c r="GB253" s="2"/>
      <c r="GC253" s="2"/>
      <c r="GD253" s="2">
        <v>1</v>
      </c>
      <c r="GE253" s="2"/>
      <c r="GF253" s="2">
        <v>945201097</v>
      </c>
      <c r="GG253" s="2">
        <v>2</v>
      </c>
      <c r="GH253" s="2">
        <v>1</v>
      </c>
      <c r="GI253" s="2">
        <v>2</v>
      </c>
      <c r="GJ253" s="2">
        <v>0</v>
      </c>
      <c r="GK253" s="2">
        <v>0</v>
      </c>
      <c r="GL253" s="2">
        <f t="shared" si="206"/>
        <v>0</v>
      </c>
      <c r="GM253" s="2">
        <f t="shared" si="207"/>
        <v>-0.67</v>
      </c>
      <c r="GN253" s="2">
        <f t="shared" si="208"/>
        <v>-0.67</v>
      </c>
      <c r="GO253" s="2">
        <f t="shared" si="209"/>
        <v>0</v>
      </c>
      <c r="GP253" s="2">
        <f t="shared" si="210"/>
        <v>0</v>
      </c>
      <c r="GQ253" s="2"/>
      <c r="GR253" s="2">
        <v>0</v>
      </c>
      <c r="GS253" s="2">
        <v>7</v>
      </c>
      <c r="GT253" s="2">
        <v>0</v>
      </c>
      <c r="GU253" s="2" t="s">
        <v>3</v>
      </c>
      <c r="GV253" s="2">
        <f t="shared" si="211"/>
        <v>0</v>
      </c>
      <c r="GW253" s="2">
        <v>1</v>
      </c>
      <c r="GX253" s="2">
        <f t="shared" si="212"/>
        <v>0</v>
      </c>
      <c r="GY253" s="2"/>
      <c r="GZ253" s="2"/>
      <c r="HA253" s="2">
        <v>0</v>
      </c>
      <c r="HB253" s="2">
        <v>0</v>
      </c>
      <c r="HC253" s="2">
        <f t="shared" si="242"/>
        <v>0</v>
      </c>
      <c r="HD253" s="2"/>
      <c r="HE253" s="2" t="s">
        <v>3</v>
      </c>
      <c r="HF253" s="2" t="s">
        <v>3</v>
      </c>
      <c r="HG253" s="2"/>
      <c r="HH253" s="2"/>
      <c r="HI253" s="2"/>
      <c r="HJ253" s="2"/>
      <c r="HK253" s="2"/>
      <c r="HL253" s="2"/>
      <c r="HM253" s="2" t="s">
        <v>329</v>
      </c>
      <c r="HN253" s="2" t="s">
        <v>421</v>
      </c>
      <c r="HO253" s="2" t="s">
        <v>422</v>
      </c>
      <c r="HP253" s="2" t="s">
        <v>419</v>
      </c>
      <c r="HQ253" s="2" t="s">
        <v>419</v>
      </c>
      <c r="HR253" s="2"/>
      <c r="HS253" s="2">
        <v>0</v>
      </c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>
        <v>0</v>
      </c>
      <c r="IL253" s="2"/>
      <c r="IM253" s="2"/>
      <c r="IN253" s="2"/>
      <c r="IO253" s="2"/>
      <c r="IP253" s="2"/>
      <c r="IQ253" s="2"/>
      <c r="IR253" s="2"/>
      <c r="IS253" s="2"/>
      <c r="IT253" s="2"/>
      <c r="IU253" s="2"/>
    </row>
    <row r="254" spans="1:255" ht="409.5" x14ac:dyDescent="0.2">
      <c r="A254" s="2">
        <v>18</v>
      </c>
      <c r="B254" s="2">
        <v>1</v>
      </c>
      <c r="C254" s="2">
        <v>238</v>
      </c>
      <c r="D254" s="2"/>
      <c r="E254" s="2" t="s">
        <v>460</v>
      </c>
      <c r="F254" s="2" t="s">
        <v>127</v>
      </c>
      <c r="G254" s="2" t="s">
        <v>128</v>
      </c>
      <c r="H254" s="2" t="s">
        <v>29</v>
      </c>
      <c r="I254" s="2">
        <f>I251*J254</f>
        <v>-1.6199999999999999E-3</v>
      </c>
      <c r="J254" s="2">
        <v>-0.09</v>
      </c>
      <c r="K254" s="2">
        <v>-0.06</v>
      </c>
      <c r="L254" s="2"/>
      <c r="M254" s="2"/>
      <c r="N254" s="2"/>
      <c r="O254" s="2">
        <f t="shared" si="237"/>
        <v>-2.21</v>
      </c>
      <c r="P254" s="2">
        <f>ROUND(CQ254*I254,2)</f>
        <v>0</v>
      </c>
      <c r="Q254" s="2">
        <f>ROUND(CR254*I254,2)</f>
        <v>-1.04</v>
      </c>
      <c r="R254" s="2">
        <f>ROUND(CS254*I254,2)</f>
        <v>-1.17</v>
      </c>
      <c r="S254" s="2">
        <f>ROUND(CT254*I254,2)</f>
        <v>0</v>
      </c>
      <c r="T254" s="2">
        <f t="shared" si="199"/>
        <v>0</v>
      </c>
      <c r="U254" s="2">
        <f>ROUND(CV254*I254,7)</f>
        <v>0</v>
      </c>
      <c r="V254" s="2">
        <f>ROUND(CW254*I254,7)</f>
        <v>0</v>
      </c>
      <c r="W254" s="2">
        <f t="shared" si="200"/>
        <v>0</v>
      </c>
      <c r="X254" s="2">
        <f t="shared" si="201"/>
        <v>-1.17</v>
      </c>
      <c r="Y254" s="2">
        <f t="shared" si="202"/>
        <v>-0.56999999999999995</v>
      </c>
      <c r="Z254" s="2"/>
      <c r="AA254" s="2">
        <v>85997836</v>
      </c>
      <c r="AB254" s="2">
        <f t="shared" si="203"/>
        <v>643.29</v>
      </c>
      <c r="AC254" s="2">
        <f>ROUND((ES254),6)</f>
        <v>0</v>
      </c>
      <c r="AD254" s="2">
        <f>ROUND((((ET254)-(EU254))+AE254),6)</f>
        <v>643.29</v>
      </c>
      <c r="AE254" s="2">
        <f t="shared" si="249"/>
        <v>722.05</v>
      </c>
      <c r="AF254" s="2">
        <f t="shared" si="249"/>
        <v>0</v>
      </c>
      <c r="AG254" s="2">
        <f t="shared" si="204"/>
        <v>0</v>
      </c>
      <c r="AH254" s="2">
        <f t="shared" si="250"/>
        <v>0</v>
      </c>
      <c r="AI254" s="2">
        <f t="shared" si="250"/>
        <v>0</v>
      </c>
      <c r="AJ254" s="2">
        <f t="shared" si="205"/>
        <v>0</v>
      </c>
      <c r="AK254" s="2">
        <v>643.29</v>
      </c>
      <c r="AL254" s="2">
        <v>0</v>
      </c>
      <c r="AM254" s="2">
        <v>643.29</v>
      </c>
      <c r="AN254" s="2">
        <v>722.05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100</v>
      </c>
      <c r="AU254" s="2">
        <v>49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3</v>
      </c>
      <c r="BE254" s="2" t="s">
        <v>3</v>
      </c>
      <c r="BF254" s="2" t="s">
        <v>3</v>
      </c>
      <c r="BG254" s="2" t="s">
        <v>3</v>
      </c>
      <c r="BH254" s="2">
        <v>2</v>
      </c>
      <c r="BI254" s="2">
        <v>1</v>
      </c>
      <c r="BJ254" s="2" t="s">
        <v>129</v>
      </c>
      <c r="BK254" s="2"/>
      <c r="BL254" s="2"/>
      <c r="BM254" s="2">
        <v>15001</v>
      </c>
      <c r="BN254" s="2">
        <v>0</v>
      </c>
      <c r="BO254" s="2" t="s">
        <v>3</v>
      </c>
      <c r="BP254" s="2">
        <v>0</v>
      </c>
      <c r="BQ254" s="2">
        <v>2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3</v>
      </c>
      <c r="BZ254" s="2">
        <v>100</v>
      </c>
      <c r="CA254" s="2">
        <v>49</v>
      </c>
      <c r="CB254" s="2" t="s">
        <v>3</v>
      </c>
      <c r="CC254" s="2"/>
      <c r="CD254" s="2"/>
      <c r="CE254" s="2">
        <v>0</v>
      </c>
      <c r="CF254" s="2">
        <v>0</v>
      </c>
      <c r="CG254" s="2">
        <v>0</v>
      </c>
      <c r="CH254" s="2"/>
      <c r="CI254" s="2"/>
      <c r="CJ254" s="2"/>
      <c r="CK254" s="2"/>
      <c r="CL254" s="2"/>
      <c r="CM254" s="2">
        <v>0</v>
      </c>
      <c r="CN254" s="7" t="s">
        <v>737</v>
      </c>
      <c r="CO254" s="2">
        <v>0</v>
      </c>
      <c r="CP254" s="2">
        <f t="shared" si="238"/>
        <v>-2.21</v>
      </c>
      <c r="CQ254" s="2">
        <f>ROUND(AL254*BC254,2)</f>
        <v>0</v>
      </c>
      <c r="CR254" s="2">
        <f>ROUND(AM254*BB254,2)</f>
        <v>643.29</v>
      </c>
      <c r="CS254" s="2">
        <f>ROUND(AN254*BS254,2)</f>
        <v>722.05</v>
      </c>
      <c r="CT254" s="2">
        <f>ROUND(AO254*BA254,2)</f>
        <v>0</v>
      </c>
      <c r="CU254" s="2">
        <f t="shared" si="243"/>
        <v>0</v>
      </c>
      <c r="CV254" s="2">
        <f t="shared" si="251"/>
        <v>0</v>
      </c>
      <c r="CW254" s="2">
        <f t="shared" si="251"/>
        <v>0</v>
      </c>
      <c r="CX254" s="2">
        <f t="shared" si="244"/>
        <v>0</v>
      </c>
      <c r="CY254" s="2">
        <f t="shared" si="240"/>
        <v>-1.17</v>
      </c>
      <c r="CZ254" s="2">
        <f t="shared" si="241"/>
        <v>-0.57330000000000003</v>
      </c>
      <c r="DA254" s="2"/>
      <c r="DB254" s="2"/>
      <c r="DC254" s="2" t="s">
        <v>3</v>
      </c>
      <c r="DD254" s="2" t="s">
        <v>3</v>
      </c>
      <c r="DE254" s="2" t="s">
        <v>3</v>
      </c>
      <c r="DF254" s="2" t="s">
        <v>3</v>
      </c>
      <c r="DG254" s="2" t="s">
        <v>3</v>
      </c>
      <c r="DH254" s="2" t="s">
        <v>3</v>
      </c>
      <c r="DI254" s="2" t="s">
        <v>3</v>
      </c>
      <c r="DJ254" s="2" t="s">
        <v>3</v>
      </c>
      <c r="DK254" s="2" t="s">
        <v>3</v>
      </c>
      <c r="DL254" s="2" t="s">
        <v>3</v>
      </c>
      <c r="DM254" s="2" t="s">
        <v>3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1011</v>
      </c>
      <c r="DV254" s="2" t="s">
        <v>29</v>
      </c>
      <c r="DW254" s="2" t="s">
        <v>29</v>
      </c>
      <c r="DX254" s="2">
        <v>1</v>
      </c>
      <c r="DY254" s="2"/>
      <c r="DZ254" s="2" t="s">
        <v>3</v>
      </c>
      <c r="EA254" s="2" t="s">
        <v>3</v>
      </c>
      <c r="EB254" s="2" t="s">
        <v>3</v>
      </c>
      <c r="EC254" s="2" t="s">
        <v>3</v>
      </c>
      <c r="ED254" s="2"/>
      <c r="EE254" s="2">
        <v>84053924</v>
      </c>
      <c r="EF254" s="2">
        <v>2</v>
      </c>
      <c r="EG254" s="2" t="s">
        <v>270</v>
      </c>
      <c r="EH254" s="2">
        <v>15</v>
      </c>
      <c r="EI254" s="2" t="s">
        <v>419</v>
      </c>
      <c r="EJ254" s="2">
        <v>1</v>
      </c>
      <c r="EK254" s="2">
        <v>15001</v>
      </c>
      <c r="EL254" s="2" t="s">
        <v>419</v>
      </c>
      <c r="EM254" s="2" t="s">
        <v>420</v>
      </c>
      <c r="EN254" s="2"/>
      <c r="EO254" s="2" t="s">
        <v>333</v>
      </c>
      <c r="EP254" s="2"/>
      <c r="EQ254" s="2">
        <v>0</v>
      </c>
      <c r="ER254" s="2">
        <v>643.29</v>
      </c>
      <c r="ES254" s="2">
        <v>0</v>
      </c>
      <c r="ET254" s="2">
        <v>643.29</v>
      </c>
      <c r="EU254" s="2">
        <v>722.05</v>
      </c>
      <c r="EV254" s="2">
        <v>0</v>
      </c>
      <c r="EW254" s="2">
        <v>0</v>
      </c>
      <c r="EX254" s="2">
        <v>0</v>
      </c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v>0</v>
      </c>
      <c r="FS254" s="2">
        <v>1</v>
      </c>
      <c r="FT254" s="2"/>
      <c r="FU254" s="2"/>
      <c r="FV254" s="2"/>
      <c r="FW254" s="2"/>
      <c r="FX254" s="2">
        <v>100</v>
      </c>
      <c r="FY254" s="2">
        <v>49</v>
      </c>
      <c r="FZ254" s="2"/>
      <c r="GA254" s="2" t="s">
        <v>3</v>
      </c>
      <c r="GB254" s="2"/>
      <c r="GC254" s="2"/>
      <c r="GD254" s="2">
        <v>1</v>
      </c>
      <c r="GE254" s="2"/>
      <c r="GF254" s="2">
        <v>-849950259</v>
      </c>
      <c r="GG254" s="2">
        <v>2</v>
      </c>
      <c r="GH254" s="2">
        <v>1</v>
      </c>
      <c r="GI254" s="2">
        <v>-2</v>
      </c>
      <c r="GJ254" s="2">
        <v>0</v>
      </c>
      <c r="GK254" s="2">
        <v>0</v>
      </c>
      <c r="GL254" s="2">
        <f t="shared" si="206"/>
        <v>0</v>
      </c>
      <c r="GM254" s="2">
        <f t="shared" si="207"/>
        <v>-3.95</v>
      </c>
      <c r="GN254" s="2">
        <f t="shared" si="208"/>
        <v>-3.95</v>
      </c>
      <c r="GO254" s="2">
        <f t="shared" si="209"/>
        <v>0</v>
      </c>
      <c r="GP254" s="2">
        <f t="shared" si="210"/>
        <v>0</v>
      </c>
      <c r="GQ254" s="2"/>
      <c r="GR254" s="2">
        <v>0</v>
      </c>
      <c r="GS254" s="2">
        <v>7</v>
      </c>
      <c r="GT254" s="2">
        <v>0</v>
      </c>
      <c r="GU254" s="2" t="s">
        <v>3</v>
      </c>
      <c r="GV254" s="2">
        <f t="shared" si="211"/>
        <v>0</v>
      </c>
      <c r="GW254" s="2">
        <v>1</v>
      </c>
      <c r="GX254" s="2">
        <f t="shared" si="212"/>
        <v>0</v>
      </c>
      <c r="GY254" s="2"/>
      <c r="GZ254" s="2"/>
      <c r="HA254" s="2">
        <v>0</v>
      </c>
      <c r="HB254" s="2">
        <v>0</v>
      </c>
      <c r="HC254" s="2">
        <f t="shared" si="242"/>
        <v>0</v>
      </c>
      <c r="HD254" s="2"/>
      <c r="HE254" s="2" t="s">
        <v>3</v>
      </c>
      <c r="HF254" s="2" t="s">
        <v>3</v>
      </c>
      <c r="HG254" s="2"/>
      <c r="HH254" s="2"/>
      <c r="HI254" s="2"/>
      <c r="HJ254" s="2"/>
      <c r="HK254" s="2"/>
      <c r="HL254" s="2"/>
      <c r="HM254" s="2" t="s">
        <v>329</v>
      </c>
      <c r="HN254" s="2" t="s">
        <v>421</v>
      </c>
      <c r="HO254" s="2" t="s">
        <v>422</v>
      </c>
      <c r="HP254" s="2" t="s">
        <v>419</v>
      </c>
      <c r="HQ254" s="2" t="s">
        <v>419</v>
      </c>
      <c r="HR254" s="2"/>
      <c r="HS254" s="2">
        <v>0</v>
      </c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6" spans="1:255" x14ac:dyDescent="0.2">
      <c r="A256" s="3">
        <v>51</v>
      </c>
      <c r="B256" s="3">
        <f>B208</f>
        <v>1</v>
      </c>
      <c r="C256" s="3">
        <f>A208</f>
        <v>4</v>
      </c>
      <c r="D256" s="3">
        <f>ROW(A208)</f>
        <v>208</v>
      </c>
      <c r="E256" s="3"/>
      <c r="F256" s="3" t="str">
        <f>IF(F208&lt;&gt;"",F208,"")</f>
        <v>Новый раздел</v>
      </c>
      <c r="G256" s="3" t="str">
        <f>IF(G208&lt;&gt;"",G208,"")</f>
        <v>Аудитория № 239</v>
      </c>
      <c r="H256" s="3">
        <v>0</v>
      </c>
      <c r="I256" s="3"/>
      <c r="J256" s="3"/>
      <c r="K256" s="3"/>
      <c r="L256" s="3"/>
      <c r="M256" s="3"/>
      <c r="N256" s="3"/>
      <c r="O256" s="3">
        <f t="shared" ref="O256:T256" si="252">ROUND(AB256,2)</f>
        <v>37863.42</v>
      </c>
      <c r="P256" s="3">
        <f t="shared" si="252"/>
        <v>21316.240000000002</v>
      </c>
      <c r="Q256" s="3">
        <f t="shared" si="252"/>
        <v>-51.28</v>
      </c>
      <c r="R256" s="3">
        <f t="shared" si="252"/>
        <v>-4.82</v>
      </c>
      <c r="S256" s="3">
        <f t="shared" si="252"/>
        <v>16603.28</v>
      </c>
      <c r="T256" s="3">
        <f t="shared" si="252"/>
        <v>0</v>
      </c>
      <c r="U256" s="3">
        <f>AH256</f>
        <v>24.077138799999997</v>
      </c>
      <c r="V256" s="3">
        <f>AI256</f>
        <v>4.2000000000000006E-3</v>
      </c>
      <c r="W256" s="3">
        <f>ROUND(AJ256,2)</f>
        <v>0</v>
      </c>
      <c r="X256" s="3">
        <f>ROUND(AK256,2)</f>
        <v>16208.45</v>
      </c>
      <c r="Y256" s="3">
        <f>ROUND(AL256,2)</f>
        <v>7817.63</v>
      </c>
      <c r="Z256" s="3"/>
      <c r="AA256" s="3"/>
      <c r="AB256" s="3">
        <f>ROUND(SUMIF(AA212:AA254,"=85997836",O212:O254),2)</f>
        <v>37863.42</v>
      </c>
      <c r="AC256" s="3">
        <f>ROUND(SUMIF(AA212:AA254,"=85997836",P212:P254),2)</f>
        <v>21316.240000000002</v>
      </c>
      <c r="AD256" s="3">
        <f>ROUND(SUMIF(AA212:AA254,"=85997836",Q212:Q254),2)</f>
        <v>-51.28</v>
      </c>
      <c r="AE256" s="3">
        <f>ROUND(SUMIF(AA212:AA254,"=85997836",R212:R254),2)</f>
        <v>-4.82</v>
      </c>
      <c r="AF256" s="3">
        <f>ROUND(SUMIF(AA212:AA254,"=85997836",S212:S254),2)</f>
        <v>16603.28</v>
      </c>
      <c r="AG256" s="3">
        <f>ROUND(SUMIF(AA212:AA254,"=85997836",T212:T254),2)</f>
        <v>0</v>
      </c>
      <c r="AH256" s="3">
        <f>SUMIF(AA212:AA254,"=85997836",U212:U254)</f>
        <v>24.077138799999997</v>
      </c>
      <c r="AI256" s="3">
        <f>SUMIF(AA212:AA254,"=85997836",V212:V254)</f>
        <v>4.2000000000000006E-3</v>
      </c>
      <c r="AJ256" s="3">
        <f>ROUND(SUMIF(AA212:AA254,"=85997836",W212:W254),2)</f>
        <v>0</v>
      </c>
      <c r="AK256" s="3">
        <f>ROUND(SUMIF(AA212:AA254,"=85997836",X212:X254),2)</f>
        <v>16208.45</v>
      </c>
      <c r="AL256" s="3">
        <f>ROUND(SUMIF(AA212:AA254,"=85997836",Y212:Y254),2)</f>
        <v>7817.63</v>
      </c>
      <c r="AM256" s="3"/>
      <c r="AN256" s="3"/>
      <c r="AO256" s="3">
        <f t="shared" ref="AO256:BD256" si="253">ROUND(BX256,2)</f>
        <v>0</v>
      </c>
      <c r="AP256" s="3">
        <f t="shared" si="253"/>
        <v>0</v>
      </c>
      <c r="AQ256" s="3">
        <f t="shared" si="253"/>
        <v>0</v>
      </c>
      <c r="AR256" s="3">
        <f t="shared" si="253"/>
        <v>61889.5</v>
      </c>
      <c r="AS256" s="3">
        <f t="shared" si="253"/>
        <v>25543.11</v>
      </c>
      <c r="AT256" s="3">
        <f t="shared" si="253"/>
        <v>36346.39</v>
      </c>
      <c r="AU256" s="3">
        <f t="shared" si="253"/>
        <v>0</v>
      </c>
      <c r="AV256" s="3">
        <f t="shared" si="253"/>
        <v>21316.240000000002</v>
      </c>
      <c r="AW256" s="3">
        <f t="shared" si="253"/>
        <v>21316.240000000002</v>
      </c>
      <c r="AX256" s="3">
        <f t="shared" si="253"/>
        <v>0</v>
      </c>
      <c r="AY256" s="3">
        <f t="shared" si="253"/>
        <v>21316.240000000002</v>
      </c>
      <c r="AZ256" s="3">
        <f t="shared" si="253"/>
        <v>0</v>
      </c>
      <c r="BA256" s="3">
        <f t="shared" si="253"/>
        <v>0</v>
      </c>
      <c r="BB256" s="3">
        <f t="shared" si="253"/>
        <v>0</v>
      </c>
      <c r="BC256" s="3">
        <f t="shared" si="253"/>
        <v>0</v>
      </c>
      <c r="BD256" s="3">
        <f t="shared" si="253"/>
        <v>0</v>
      </c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>
        <f>ROUND(SUMIF(AA212:AA254,"=85997836",FQ212:FQ254),2)</f>
        <v>0</v>
      </c>
      <c r="BY256" s="3">
        <f>ROUND(SUMIF(AA212:AA254,"=85997836",FR212:FR254),2)</f>
        <v>0</v>
      </c>
      <c r="BZ256" s="3">
        <f>ROUND(SUMIF(AA212:AA254,"=85997836",GL212:GL254),2)</f>
        <v>0</v>
      </c>
      <c r="CA256" s="3">
        <f>ROUND(SUMIF(AA212:AA254,"=85997836",GM212:GM254),2)</f>
        <v>61889.5</v>
      </c>
      <c r="CB256" s="3">
        <f>ROUND(SUMIF(AA212:AA254,"=85997836",GN212:GN254),2)</f>
        <v>25543.11</v>
      </c>
      <c r="CC256" s="3">
        <f>ROUND(SUMIF(AA212:AA254,"=85997836",GO212:GO254),2)</f>
        <v>36346.39</v>
      </c>
      <c r="CD256" s="3">
        <f>ROUND(SUMIF(AA212:AA254,"=85997836",GP212:GP254),2)</f>
        <v>0</v>
      </c>
      <c r="CE256" s="3">
        <f>AC256-BX256</f>
        <v>21316.240000000002</v>
      </c>
      <c r="CF256" s="3">
        <f>AC256-BY256</f>
        <v>21316.240000000002</v>
      </c>
      <c r="CG256" s="3">
        <f>BX256-BZ256</f>
        <v>0</v>
      </c>
      <c r="CH256" s="3">
        <f>AC256-BX256-BY256+BZ256</f>
        <v>21316.240000000002</v>
      </c>
      <c r="CI256" s="3">
        <f>BY256-BZ256</f>
        <v>0</v>
      </c>
      <c r="CJ256" s="3">
        <f>ROUND(SUMIF(AA212:AA254,"=85997836",GX212:GX254),2)</f>
        <v>0</v>
      </c>
      <c r="CK256" s="3">
        <f>ROUND(SUMIF(AA212:AA254,"=85997836",GY212:GY254),2)</f>
        <v>0</v>
      </c>
      <c r="CL256" s="3">
        <f>ROUND(SUMIF(AA212:AA254,"=85997836",GZ212:GZ254),2)</f>
        <v>0</v>
      </c>
      <c r="CM256" s="3">
        <f>ROUND(SUMIF(AA212:AA254,"=85997836",HD212:HD254),2)</f>
        <v>0</v>
      </c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>
        <v>0</v>
      </c>
    </row>
    <row r="258" spans="1:28" x14ac:dyDescent="0.2">
      <c r="A258" s="5">
        <v>50</v>
      </c>
      <c r="B258" s="5">
        <v>0</v>
      </c>
      <c r="C258" s="5">
        <v>0</v>
      </c>
      <c r="D258" s="5">
        <v>1</v>
      </c>
      <c r="E258" s="5">
        <v>201</v>
      </c>
      <c r="F258" s="5">
        <f>ROUND(Source!O256,O258)</f>
        <v>37863.42</v>
      </c>
      <c r="G258" s="5" t="s">
        <v>208</v>
      </c>
      <c r="H258" s="5" t="s">
        <v>209</v>
      </c>
      <c r="I258" s="5"/>
      <c r="J258" s="5"/>
      <c r="K258" s="5">
        <v>201</v>
      </c>
      <c r="L258" s="5">
        <v>1</v>
      </c>
      <c r="M258" s="5">
        <v>3</v>
      </c>
      <c r="N258" s="5" t="s">
        <v>3</v>
      </c>
      <c r="O258" s="5">
        <v>2</v>
      </c>
      <c r="P258" s="5"/>
      <c r="Q258" s="5"/>
      <c r="R258" s="5"/>
      <c r="S258" s="5"/>
      <c r="T258" s="5"/>
      <c r="U258" s="5"/>
      <c r="V258" s="5"/>
      <c r="W258" s="5">
        <v>37863.420000000006</v>
      </c>
      <c r="X258" s="5">
        <v>1</v>
      </c>
      <c r="Y258" s="5">
        <v>37863.420000000006</v>
      </c>
      <c r="Z258" s="5"/>
      <c r="AA258" s="5"/>
      <c r="AB258" s="5"/>
    </row>
    <row r="259" spans="1:28" x14ac:dyDescent="0.2">
      <c r="A259" s="5">
        <v>50</v>
      </c>
      <c r="B259" s="5">
        <v>0</v>
      </c>
      <c r="C259" s="5">
        <v>0</v>
      </c>
      <c r="D259" s="5">
        <v>1</v>
      </c>
      <c r="E259" s="5">
        <v>202</v>
      </c>
      <c r="F259" s="5">
        <f>ROUND(Source!P256,O259)</f>
        <v>21316.240000000002</v>
      </c>
      <c r="G259" s="5" t="s">
        <v>210</v>
      </c>
      <c r="H259" s="5" t="s">
        <v>211</v>
      </c>
      <c r="I259" s="5"/>
      <c r="J259" s="5"/>
      <c r="K259" s="5">
        <v>202</v>
      </c>
      <c r="L259" s="5">
        <v>2</v>
      </c>
      <c r="M259" s="5">
        <v>3</v>
      </c>
      <c r="N259" s="5" t="s">
        <v>3</v>
      </c>
      <c r="O259" s="5">
        <v>2</v>
      </c>
      <c r="P259" s="5"/>
      <c r="Q259" s="5"/>
      <c r="R259" s="5"/>
      <c r="S259" s="5"/>
      <c r="T259" s="5"/>
      <c r="U259" s="5"/>
      <c r="V259" s="5"/>
      <c r="W259" s="5">
        <v>21316.240000000002</v>
      </c>
      <c r="X259" s="5">
        <v>1</v>
      </c>
      <c r="Y259" s="5">
        <v>21316.240000000002</v>
      </c>
      <c r="Z259" s="5"/>
      <c r="AA259" s="5"/>
      <c r="AB259" s="5"/>
    </row>
    <row r="260" spans="1:28" x14ac:dyDescent="0.2">
      <c r="A260" s="5">
        <v>50</v>
      </c>
      <c r="B260" s="5">
        <v>0</v>
      </c>
      <c r="C260" s="5">
        <v>0</v>
      </c>
      <c r="D260" s="5">
        <v>1</v>
      </c>
      <c r="E260" s="5">
        <v>222</v>
      </c>
      <c r="F260" s="5">
        <f>ROUND(Source!AO256,O260)</f>
        <v>0</v>
      </c>
      <c r="G260" s="5" t="s">
        <v>212</v>
      </c>
      <c r="H260" s="5" t="s">
        <v>213</v>
      </c>
      <c r="I260" s="5"/>
      <c r="J260" s="5"/>
      <c r="K260" s="5">
        <v>222</v>
      </c>
      <c r="L260" s="5">
        <v>3</v>
      </c>
      <c r="M260" s="5">
        <v>3</v>
      </c>
      <c r="N260" s="5" t="s">
        <v>3</v>
      </c>
      <c r="O260" s="5">
        <v>2</v>
      </c>
      <c r="P260" s="5"/>
      <c r="Q260" s="5"/>
      <c r="R260" s="5"/>
      <c r="S260" s="5"/>
      <c r="T260" s="5"/>
      <c r="U260" s="5"/>
      <c r="V260" s="5"/>
      <c r="W260" s="5">
        <v>0</v>
      </c>
      <c r="X260" s="5">
        <v>1</v>
      </c>
      <c r="Y260" s="5">
        <v>0</v>
      </c>
      <c r="Z260" s="5"/>
      <c r="AA260" s="5"/>
      <c r="AB260" s="5"/>
    </row>
    <row r="261" spans="1:28" x14ac:dyDescent="0.2">
      <c r="A261" s="5">
        <v>50</v>
      </c>
      <c r="B261" s="5">
        <v>0</v>
      </c>
      <c r="C261" s="5">
        <v>0</v>
      </c>
      <c r="D261" s="5">
        <v>1</v>
      </c>
      <c r="E261" s="5">
        <v>225</v>
      </c>
      <c r="F261" s="5">
        <f>ROUND(Source!AV256,O261)</f>
        <v>21316.240000000002</v>
      </c>
      <c r="G261" s="5" t="s">
        <v>214</v>
      </c>
      <c r="H261" s="5" t="s">
        <v>215</v>
      </c>
      <c r="I261" s="5"/>
      <c r="J261" s="5"/>
      <c r="K261" s="5">
        <v>225</v>
      </c>
      <c r="L261" s="5">
        <v>4</v>
      </c>
      <c r="M261" s="5">
        <v>3</v>
      </c>
      <c r="N261" s="5" t="s">
        <v>3</v>
      </c>
      <c r="O261" s="5">
        <v>2</v>
      </c>
      <c r="P261" s="5"/>
      <c r="Q261" s="5"/>
      <c r="R261" s="5"/>
      <c r="S261" s="5"/>
      <c r="T261" s="5"/>
      <c r="U261" s="5"/>
      <c r="V261" s="5"/>
      <c r="W261" s="5">
        <v>21316.240000000002</v>
      </c>
      <c r="X261" s="5">
        <v>1</v>
      </c>
      <c r="Y261" s="5">
        <v>21316.240000000002</v>
      </c>
      <c r="Z261" s="5"/>
      <c r="AA261" s="5"/>
      <c r="AB261" s="5"/>
    </row>
    <row r="262" spans="1:28" x14ac:dyDescent="0.2">
      <c r="A262" s="5">
        <v>50</v>
      </c>
      <c r="B262" s="5">
        <v>0</v>
      </c>
      <c r="C262" s="5">
        <v>0</v>
      </c>
      <c r="D262" s="5">
        <v>1</v>
      </c>
      <c r="E262" s="5">
        <v>226</v>
      </c>
      <c r="F262" s="5">
        <f>ROUND(Source!AW256,O262)</f>
        <v>21316.240000000002</v>
      </c>
      <c r="G262" s="5" t="s">
        <v>216</v>
      </c>
      <c r="H262" s="5" t="s">
        <v>217</v>
      </c>
      <c r="I262" s="5"/>
      <c r="J262" s="5"/>
      <c r="K262" s="5">
        <v>226</v>
      </c>
      <c r="L262" s="5">
        <v>5</v>
      </c>
      <c r="M262" s="5">
        <v>3</v>
      </c>
      <c r="N262" s="5" t="s">
        <v>3</v>
      </c>
      <c r="O262" s="5">
        <v>2</v>
      </c>
      <c r="P262" s="5"/>
      <c r="Q262" s="5"/>
      <c r="R262" s="5"/>
      <c r="S262" s="5"/>
      <c r="T262" s="5"/>
      <c r="U262" s="5"/>
      <c r="V262" s="5"/>
      <c r="W262" s="5">
        <v>21316.240000000002</v>
      </c>
      <c r="X262" s="5">
        <v>1</v>
      </c>
      <c r="Y262" s="5">
        <v>21316.240000000002</v>
      </c>
      <c r="Z262" s="5"/>
      <c r="AA262" s="5"/>
      <c r="AB262" s="5"/>
    </row>
    <row r="263" spans="1:28" x14ac:dyDescent="0.2">
      <c r="A263" s="5">
        <v>50</v>
      </c>
      <c r="B263" s="5">
        <v>0</v>
      </c>
      <c r="C263" s="5">
        <v>0</v>
      </c>
      <c r="D263" s="5">
        <v>1</v>
      </c>
      <c r="E263" s="5">
        <v>227</v>
      </c>
      <c r="F263" s="5">
        <f>ROUND(Source!AX256,O263)</f>
        <v>0</v>
      </c>
      <c r="G263" s="5" t="s">
        <v>218</v>
      </c>
      <c r="H263" s="5" t="s">
        <v>219</v>
      </c>
      <c r="I263" s="5"/>
      <c r="J263" s="5"/>
      <c r="K263" s="5">
        <v>227</v>
      </c>
      <c r="L263" s="5">
        <v>6</v>
      </c>
      <c r="M263" s="5">
        <v>3</v>
      </c>
      <c r="N263" s="5" t="s">
        <v>3</v>
      </c>
      <c r="O263" s="5">
        <v>2</v>
      </c>
      <c r="P263" s="5"/>
      <c r="Q263" s="5"/>
      <c r="R263" s="5"/>
      <c r="S263" s="5"/>
      <c r="T263" s="5"/>
      <c r="U263" s="5"/>
      <c r="V263" s="5"/>
      <c r="W263" s="5">
        <v>0</v>
      </c>
      <c r="X263" s="5">
        <v>1</v>
      </c>
      <c r="Y263" s="5">
        <v>0</v>
      </c>
      <c r="Z263" s="5"/>
      <c r="AA263" s="5"/>
      <c r="AB263" s="5"/>
    </row>
    <row r="264" spans="1:28" x14ac:dyDescent="0.2">
      <c r="A264" s="5">
        <v>50</v>
      </c>
      <c r="B264" s="5">
        <v>0</v>
      </c>
      <c r="C264" s="5">
        <v>0</v>
      </c>
      <c r="D264" s="5">
        <v>1</v>
      </c>
      <c r="E264" s="5">
        <v>228</v>
      </c>
      <c r="F264" s="5">
        <f>ROUND(Source!AY256,O264)</f>
        <v>21316.240000000002</v>
      </c>
      <c r="G264" s="5" t="s">
        <v>220</v>
      </c>
      <c r="H264" s="5" t="s">
        <v>221</v>
      </c>
      <c r="I264" s="5"/>
      <c r="J264" s="5"/>
      <c r="K264" s="5">
        <v>228</v>
      </c>
      <c r="L264" s="5">
        <v>7</v>
      </c>
      <c r="M264" s="5">
        <v>3</v>
      </c>
      <c r="N264" s="5" t="s">
        <v>3</v>
      </c>
      <c r="O264" s="5">
        <v>2</v>
      </c>
      <c r="P264" s="5"/>
      <c r="Q264" s="5"/>
      <c r="R264" s="5"/>
      <c r="S264" s="5"/>
      <c r="T264" s="5"/>
      <c r="U264" s="5"/>
      <c r="V264" s="5"/>
      <c r="W264" s="5">
        <v>21316.240000000002</v>
      </c>
      <c r="X264" s="5">
        <v>1</v>
      </c>
      <c r="Y264" s="5">
        <v>21316.240000000002</v>
      </c>
      <c r="Z264" s="5"/>
      <c r="AA264" s="5"/>
      <c r="AB264" s="5"/>
    </row>
    <row r="265" spans="1:28" x14ac:dyDescent="0.2">
      <c r="A265" s="5">
        <v>50</v>
      </c>
      <c r="B265" s="5">
        <v>0</v>
      </c>
      <c r="C265" s="5">
        <v>0</v>
      </c>
      <c r="D265" s="5">
        <v>1</v>
      </c>
      <c r="E265" s="5">
        <v>216</v>
      </c>
      <c r="F265" s="5">
        <f>ROUND(Source!AP256,O265)</f>
        <v>0</v>
      </c>
      <c r="G265" s="5" t="s">
        <v>222</v>
      </c>
      <c r="H265" s="5" t="s">
        <v>223</v>
      </c>
      <c r="I265" s="5"/>
      <c r="J265" s="5"/>
      <c r="K265" s="5">
        <v>216</v>
      </c>
      <c r="L265" s="5">
        <v>8</v>
      </c>
      <c r="M265" s="5">
        <v>3</v>
      </c>
      <c r="N265" s="5" t="s">
        <v>3</v>
      </c>
      <c r="O265" s="5">
        <v>2</v>
      </c>
      <c r="P265" s="5"/>
      <c r="Q265" s="5"/>
      <c r="R265" s="5"/>
      <c r="S265" s="5"/>
      <c r="T265" s="5"/>
      <c r="U265" s="5"/>
      <c r="V265" s="5"/>
      <c r="W265" s="5">
        <v>0</v>
      </c>
      <c r="X265" s="5">
        <v>1</v>
      </c>
      <c r="Y265" s="5">
        <v>0</v>
      </c>
      <c r="Z265" s="5"/>
      <c r="AA265" s="5"/>
      <c r="AB265" s="5"/>
    </row>
    <row r="266" spans="1:28" x14ac:dyDescent="0.2">
      <c r="A266" s="5">
        <v>50</v>
      </c>
      <c r="B266" s="5">
        <v>0</v>
      </c>
      <c r="C266" s="5">
        <v>0</v>
      </c>
      <c r="D266" s="5">
        <v>1</v>
      </c>
      <c r="E266" s="5">
        <v>223</v>
      </c>
      <c r="F266" s="5">
        <f>ROUND(Source!AQ256,O266)</f>
        <v>0</v>
      </c>
      <c r="G266" s="5" t="s">
        <v>224</v>
      </c>
      <c r="H266" s="5" t="s">
        <v>225</v>
      </c>
      <c r="I266" s="5"/>
      <c r="J266" s="5"/>
      <c r="K266" s="5">
        <v>223</v>
      </c>
      <c r="L266" s="5">
        <v>9</v>
      </c>
      <c r="M266" s="5">
        <v>3</v>
      </c>
      <c r="N266" s="5" t="s">
        <v>3</v>
      </c>
      <c r="O266" s="5">
        <v>2</v>
      </c>
      <c r="P266" s="5"/>
      <c r="Q266" s="5"/>
      <c r="R266" s="5"/>
      <c r="S266" s="5"/>
      <c r="T266" s="5"/>
      <c r="U266" s="5"/>
      <c r="V266" s="5"/>
      <c r="W266" s="5">
        <v>0</v>
      </c>
      <c r="X266" s="5">
        <v>1</v>
      </c>
      <c r="Y266" s="5">
        <v>0</v>
      </c>
      <c r="Z266" s="5"/>
      <c r="AA266" s="5"/>
      <c r="AB266" s="5"/>
    </row>
    <row r="267" spans="1:28" x14ac:dyDescent="0.2">
      <c r="A267" s="5">
        <v>50</v>
      </c>
      <c r="B267" s="5">
        <v>0</v>
      </c>
      <c r="C267" s="5">
        <v>0</v>
      </c>
      <c r="D267" s="5">
        <v>1</v>
      </c>
      <c r="E267" s="5">
        <v>229</v>
      </c>
      <c r="F267" s="5">
        <f>ROUND(Source!AZ256,O267)</f>
        <v>0</v>
      </c>
      <c r="G267" s="5" t="s">
        <v>226</v>
      </c>
      <c r="H267" s="5" t="s">
        <v>227</v>
      </c>
      <c r="I267" s="5"/>
      <c r="J267" s="5"/>
      <c r="K267" s="5">
        <v>229</v>
      </c>
      <c r="L267" s="5">
        <v>10</v>
      </c>
      <c r="M267" s="5">
        <v>3</v>
      </c>
      <c r="N267" s="5" t="s">
        <v>3</v>
      </c>
      <c r="O267" s="5">
        <v>2</v>
      </c>
      <c r="P267" s="5"/>
      <c r="Q267" s="5"/>
      <c r="R267" s="5"/>
      <c r="S267" s="5"/>
      <c r="T267" s="5"/>
      <c r="U267" s="5"/>
      <c r="V267" s="5"/>
      <c r="W267" s="5">
        <v>0</v>
      </c>
      <c r="X267" s="5">
        <v>1</v>
      </c>
      <c r="Y267" s="5">
        <v>0</v>
      </c>
      <c r="Z267" s="5"/>
      <c r="AA267" s="5"/>
      <c r="AB267" s="5"/>
    </row>
    <row r="268" spans="1:28" x14ac:dyDescent="0.2">
      <c r="A268" s="5">
        <v>50</v>
      </c>
      <c r="B268" s="5">
        <v>0</v>
      </c>
      <c r="C268" s="5">
        <v>0</v>
      </c>
      <c r="D268" s="5">
        <v>1</v>
      </c>
      <c r="E268" s="5">
        <v>203</v>
      </c>
      <c r="F268" s="5">
        <f>ROUND(Source!Q256,O268)</f>
        <v>-51.28</v>
      </c>
      <c r="G268" s="5" t="s">
        <v>228</v>
      </c>
      <c r="H268" s="5" t="s">
        <v>229</v>
      </c>
      <c r="I268" s="5"/>
      <c r="J268" s="5"/>
      <c r="K268" s="5">
        <v>203</v>
      </c>
      <c r="L268" s="5">
        <v>11</v>
      </c>
      <c r="M268" s="5">
        <v>3</v>
      </c>
      <c r="N268" s="5" t="s">
        <v>3</v>
      </c>
      <c r="O268" s="5">
        <v>2</v>
      </c>
      <c r="P268" s="5"/>
      <c r="Q268" s="5"/>
      <c r="R268" s="5"/>
      <c r="S268" s="5"/>
      <c r="T268" s="5"/>
      <c r="U268" s="5"/>
      <c r="V268" s="5"/>
      <c r="W268" s="5">
        <v>-51.28</v>
      </c>
      <c r="X268" s="5">
        <v>1</v>
      </c>
      <c r="Y268" s="5">
        <v>-51.28</v>
      </c>
      <c r="Z268" s="5"/>
      <c r="AA268" s="5"/>
      <c r="AB268" s="5"/>
    </row>
    <row r="269" spans="1:28" x14ac:dyDescent="0.2">
      <c r="A269" s="5">
        <v>50</v>
      </c>
      <c r="B269" s="5">
        <v>0</v>
      </c>
      <c r="C269" s="5">
        <v>0</v>
      </c>
      <c r="D269" s="5">
        <v>1</v>
      </c>
      <c r="E269" s="5">
        <v>231</v>
      </c>
      <c r="F269" s="5">
        <f>ROUND(Source!BB256,O269)</f>
        <v>0</v>
      </c>
      <c r="G269" s="5" t="s">
        <v>230</v>
      </c>
      <c r="H269" s="5" t="s">
        <v>231</v>
      </c>
      <c r="I269" s="5"/>
      <c r="J269" s="5"/>
      <c r="K269" s="5">
        <v>231</v>
      </c>
      <c r="L269" s="5">
        <v>12</v>
      </c>
      <c r="M269" s="5">
        <v>3</v>
      </c>
      <c r="N269" s="5" t="s">
        <v>3</v>
      </c>
      <c r="O269" s="5">
        <v>2</v>
      </c>
      <c r="P269" s="5"/>
      <c r="Q269" s="5"/>
      <c r="R269" s="5"/>
      <c r="S269" s="5"/>
      <c r="T269" s="5"/>
      <c r="U269" s="5"/>
      <c r="V269" s="5"/>
      <c r="W269" s="5">
        <v>0</v>
      </c>
      <c r="X269" s="5">
        <v>1</v>
      </c>
      <c r="Y269" s="5">
        <v>0</v>
      </c>
      <c r="Z269" s="5"/>
      <c r="AA269" s="5"/>
      <c r="AB269" s="5"/>
    </row>
    <row r="270" spans="1:28" x14ac:dyDescent="0.2">
      <c r="A270" s="5">
        <v>50</v>
      </c>
      <c r="B270" s="5">
        <v>0</v>
      </c>
      <c r="C270" s="5">
        <v>0</v>
      </c>
      <c r="D270" s="5">
        <v>1</v>
      </c>
      <c r="E270" s="5">
        <v>204</v>
      </c>
      <c r="F270" s="5">
        <f>ROUND(Source!R256,O270)</f>
        <v>-4.82</v>
      </c>
      <c r="G270" s="5" t="s">
        <v>232</v>
      </c>
      <c r="H270" s="5" t="s">
        <v>233</v>
      </c>
      <c r="I270" s="5"/>
      <c r="J270" s="5"/>
      <c r="K270" s="5">
        <v>204</v>
      </c>
      <c r="L270" s="5">
        <v>13</v>
      </c>
      <c r="M270" s="5">
        <v>3</v>
      </c>
      <c r="N270" s="5" t="s">
        <v>3</v>
      </c>
      <c r="O270" s="5">
        <v>2</v>
      </c>
      <c r="P270" s="5"/>
      <c r="Q270" s="5"/>
      <c r="R270" s="5"/>
      <c r="S270" s="5"/>
      <c r="T270" s="5"/>
      <c r="U270" s="5"/>
      <c r="V270" s="5"/>
      <c r="W270" s="5">
        <v>-4.82</v>
      </c>
      <c r="X270" s="5">
        <v>1</v>
      </c>
      <c r="Y270" s="5">
        <v>-4.82</v>
      </c>
      <c r="Z270" s="5"/>
      <c r="AA270" s="5"/>
      <c r="AB270" s="5"/>
    </row>
    <row r="271" spans="1:28" x14ac:dyDescent="0.2">
      <c r="A271" s="5">
        <v>50</v>
      </c>
      <c r="B271" s="5">
        <v>0</v>
      </c>
      <c r="C271" s="5">
        <v>0</v>
      </c>
      <c r="D271" s="5">
        <v>1</v>
      </c>
      <c r="E271" s="5">
        <v>205</v>
      </c>
      <c r="F271" s="5">
        <f>ROUND(Source!S256,O271)</f>
        <v>16603.28</v>
      </c>
      <c r="G271" s="5" t="s">
        <v>234</v>
      </c>
      <c r="H271" s="5" t="s">
        <v>235</v>
      </c>
      <c r="I271" s="5"/>
      <c r="J271" s="5"/>
      <c r="K271" s="5">
        <v>205</v>
      </c>
      <c r="L271" s="5">
        <v>14</v>
      </c>
      <c r="M271" s="5">
        <v>3</v>
      </c>
      <c r="N271" s="5" t="s">
        <v>3</v>
      </c>
      <c r="O271" s="5">
        <v>2</v>
      </c>
      <c r="P271" s="5"/>
      <c r="Q271" s="5"/>
      <c r="R271" s="5"/>
      <c r="S271" s="5"/>
      <c r="T271" s="5"/>
      <c r="U271" s="5"/>
      <c r="V271" s="5"/>
      <c r="W271" s="5">
        <v>16603.280000000002</v>
      </c>
      <c r="X271" s="5">
        <v>1</v>
      </c>
      <c r="Y271" s="5">
        <v>16603.280000000002</v>
      </c>
      <c r="Z271" s="5"/>
      <c r="AA271" s="5"/>
      <c r="AB271" s="5"/>
    </row>
    <row r="272" spans="1:28" x14ac:dyDescent="0.2">
      <c r="A272" s="5">
        <v>50</v>
      </c>
      <c r="B272" s="5">
        <v>0</v>
      </c>
      <c r="C272" s="5">
        <v>0</v>
      </c>
      <c r="D272" s="5">
        <v>1</v>
      </c>
      <c r="E272" s="5">
        <v>232</v>
      </c>
      <c r="F272" s="5">
        <f>ROUND(Source!BC256,O272)</f>
        <v>0</v>
      </c>
      <c r="G272" s="5" t="s">
        <v>236</v>
      </c>
      <c r="H272" s="5" t="s">
        <v>237</v>
      </c>
      <c r="I272" s="5"/>
      <c r="J272" s="5"/>
      <c r="K272" s="5">
        <v>232</v>
      </c>
      <c r="L272" s="5">
        <v>15</v>
      </c>
      <c r="M272" s="5">
        <v>3</v>
      </c>
      <c r="N272" s="5" t="s">
        <v>3</v>
      </c>
      <c r="O272" s="5">
        <v>2</v>
      </c>
      <c r="P272" s="5"/>
      <c r="Q272" s="5"/>
      <c r="R272" s="5"/>
      <c r="S272" s="5"/>
      <c r="T272" s="5"/>
      <c r="U272" s="5"/>
      <c r="V272" s="5"/>
      <c r="W272" s="5">
        <v>0</v>
      </c>
      <c r="X272" s="5">
        <v>1</v>
      </c>
      <c r="Y272" s="5">
        <v>0</v>
      </c>
      <c r="Z272" s="5"/>
      <c r="AA272" s="5"/>
      <c r="AB272" s="5"/>
    </row>
    <row r="273" spans="1:206" x14ac:dyDescent="0.2">
      <c r="A273" s="5">
        <v>50</v>
      </c>
      <c r="B273" s="5">
        <v>0</v>
      </c>
      <c r="C273" s="5">
        <v>0</v>
      </c>
      <c r="D273" s="5">
        <v>1</v>
      </c>
      <c r="E273" s="5">
        <v>214</v>
      </c>
      <c r="F273" s="5">
        <f>ROUND(Source!AS256,O273)</f>
        <v>25543.11</v>
      </c>
      <c r="G273" s="5" t="s">
        <v>238</v>
      </c>
      <c r="H273" s="5" t="s">
        <v>239</v>
      </c>
      <c r="I273" s="5"/>
      <c r="J273" s="5"/>
      <c r="K273" s="5">
        <v>214</v>
      </c>
      <c r="L273" s="5">
        <v>16</v>
      </c>
      <c r="M273" s="5">
        <v>3</v>
      </c>
      <c r="N273" s="5" t="s">
        <v>3</v>
      </c>
      <c r="O273" s="5">
        <v>2</v>
      </c>
      <c r="P273" s="5"/>
      <c r="Q273" s="5"/>
      <c r="R273" s="5"/>
      <c r="S273" s="5"/>
      <c r="T273" s="5"/>
      <c r="U273" s="5"/>
      <c r="V273" s="5"/>
      <c r="W273" s="5">
        <v>25543.11</v>
      </c>
      <c r="X273" s="5">
        <v>1</v>
      </c>
      <c r="Y273" s="5">
        <v>25543.11</v>
      </c>
      <c r="Z273" s="5"/>
      <c r="AA273" s="5"/>
      <c r="AB273" s="5"/>
    </row>
    <row r="274" spans="1:206" x14ac:dyDescent="0.2">
      <c r="A274" s="5">
        <v>50</v>
      </c>
      <c r="B274" s="5">
        <v>0</v>
      </c>
      <c r="C274" s="5">
        <v>0</v>
      </c>
      <c r="D274" s="5">
        <v>1</v>
      </c>
      <c r="E274" s="5">
        <v>215</v>
      </c>
      <c r="F274" s="5">
        <f>ROUND(Source!AT256,O274)</f>
        <v>36346.39</v>
      </c>
      <c r="G274" s="5" t="s">
        <v>240</v>
      </c>
      <c r="H274" s="5" t="s">
        <v>241</v>
      </c>
      <c r="I274" s="5"/>
      <c r="J274" s="5"/>
      <c r="K274" s="5">
        <v>215</v>
      </c>
      <c r="L274" s="5">
        <v>17</v>
      </c>
      <c r="M274" s="5">
        <v>3</v>
      </c>
      <c r="N274" s="5" t="s">
        <v>3</v>
      </c>
      <c r="O274" s="5">
        <v>2</v>
      </c>
      <c r="P274" s="5"/>
      <c r="Q274" s="5"/>
      <c r="R274" s="5"/>
      <c r="S274" s="5"/>
      <c r="T274" s="5"/>
      <c r="U274" s="5"/>
      <c r="V274" s="5"/>
      <c r="W274" s="5">
        <v>36346.39</v>
      </c>
      <c r="X274" s="5">
        <v>1</v>
      </c>
      <c r="Y274" s="5">
        <v>36346.39</v>
      </c>
      <c r="Z274" s="5"/>
      <c r="AA274" s="5"/>
      <c r="AB274" s="5"/>
    </row>
    <row r="275" spans="1:206" x14ac:dyDescent="0.2">
      <c r="A275" s="5">
        <v>50</v>
      </c>
      <c r="B275" s="5">
        <v>0</v>
      </c>
      <c r="C275" s="5">
        <v>0</v>
      </c>
      <c r="D275" s="5">
        <v>1</v>
      </c>
      <c r="E275" s="5">
        <v>217</v>
      </c>
      <c r="F275" s="5">
        <f>ROUND(Source!AU256,O275)</f>
        <v>0</v>
      </c>
      <c r="G275" s="5" t="s">
        <v>242</v>
      </c>
      <c r="H275" s="5" t="s">
        <v>243</v>
      </c>
      <c r="I275" s="5"/>
      <c r="J275" s="5"/>
      <c r="K275" s="5">
        <v>217</v>
      </c>
      <c r="L275" s="5">
        <v>18</v>
      </c>
      <c r="M275" s="5">
        <v>3</v>
      </c>
      <c r="N275" s="5" t="s">
        <v>3</v>
      </c>
      <c r="O275" s="5">
        <v>2</v>
      </c>
      <c r="P275" s="5"/>
      <c r="Q275" s="5"/>
      <c r="R275" s="5"/>
      <c r="S275" s="5"/>
      <c r="T275" s="5"/>
      <c r="U275" s="5"/>
      <c r="V275" s="5"/>
      <c r="W275" s="5">
        <v>0</v>
      </c>
      <c r="X275" s="5">
        <v>1</v>
      </c>
      <c r="Y275" s="5">
        <v>0</v>
      </c>
      <c r="Z275" s="5"/>
      <c r="AA275" s="5"/>
      <c r="AB275" s="5"/>
    </row>
    <row r="276" spans="1:206" x14ac:dyDescent="0.2">
      <c r="A276" s="5">
        <v>50</v>
      </c>
      <c r="B276" s="5">
        <v>0</v>
      </c>
      <c r="C276" s="5">
        <v>0</v>
      </c>
      <c r="D276" s="5">
        <v>1</v>
      </c>
      <c r="E276" s="5">
        <v>230</v>
      </c>
      <c r="F276" s="5">
        <f>ROUND(Source!BA256,O276)</f>
        <v>0</v>
      </c>
      <c r="G276" s="5" t="s">
        <v>244</v>
      </c>
      <c r="H276" s="5" t="s">
        <v>245</v>
      </c>
      <c r="I276" s="5"/>
      <c r="J276" s="5"/>
      <c r="K276" s="5">
        <v>230</v>
      </c>
      <c r="L276" s="5">
        <v>19</v>
      </c>
      <c r="M276" s="5">
        <v>3</v>
      </c>
      <c r="N276" s="5" t="s">
        <v>3</v>
      </c>
      <c r="O276" s="5">
        <v>2</v>
      </c>
      <c r="P276" s="5"/>
      <c r="Q276" s="5"/>
      <c r="R276" s="5"/>
      <c r="S276" s="5"/>
      <c r="T276" s="5"/>
      <c r="U276" s="5"/>
      <c r="V276" s="5"/>
      <c r="W276" s="5">
        <v>0</v>
      </c>
      <c r="X276" s="5">
        <v>1</v>
      </c>
      <c r="Y276" s="5">
        <v>0</v>
      </c>
      <c r="Z276" s="5"/>
      <c r="AA276" s="5"/>
      <c r="AB276" s="5"/>
    </row>
    <row r="277" spans="1:206" x14ac:dyDescent="0.2">
      <c r="A277" s="5">
        <v>50</v>
      </c>
      <c r="B277" s="5">
        <v>0</v>
      </c>
      <c r="C277" s="5">
        <v>0</v>
      </c>
      <c r="D277" s="5">
        <v>1</v>
      </c>
      <c r="E277" s="5">
        <v>206</v>
      </c>
      <c r="F277" s="5">
        <f>ROUND(Source!T256,O277)</f>
        <v>0</v>
      </c>
      <c r="G277" s="5" t="s">
        <v>246</v>
      </c>
      <c r="H277" s="5" t="s">
        <v>247</v>
      </c>
      <c r="I277" s="5"/>
      <c r="J277" s="5"/>
      <c r="K277" s="5">
        <v>206</v>
      </c>
      <c r="L277" s="5">
        <v>20</v>
      </c>
      <c r="M277" s="5">
        <v>3</v>
      </c>
      <c r="N277" s="5" t="s">
        <v>3</v>
      </c>
      <c r="O277" s="5">
        <v>2</v>
      </c>
      <c r="P277" s="5"/>
      <c r="Q277" s="5"/>
      <c r="R277" s="5"/>
      <c r="S277" s="5"/>
      <c r="T277" s="5"/>
      <c r="U277" s="5"/>
      <c r="V277" s="5"/>
      <c r="W277" s="5">
        <v>0</v>
      </c>
      <c r="X277" s="5">
        <v>1</v>
      </c>
      <c r="Y277" s="5">
        <v>0</v>
      </c>
      <c r="Z277" s="5"/>
      <c r="AA277" s="5"/>
      <c r="AB277" s="5"/>
    </row>
    <row r="278" spans="1:206" x14ac:dyDescent="0.2">
      <c r="A278" s="5">
        <v>50</v>
      </c>
      <c r="B278" s="5">
        <v>0</v>
      </c>
      <c r="C278" s="5">
        <v>0</v>
      </c>
      <c r="D278" s="5">
        <v>1</v>
      </c>
      <c r="E278" s="5">
        <v>207</v>
      </c>
      <c r="F278" s="5">
        <f>ROUND(Source!U256,O278)</f>
        <v>24.0771388</v>
      </c>
      <c r="G278" s="5" t="s">
        <v>248</v>
      </c>
      <c r="H278" s="5" t="s">
        <v>249</v>
      </c>
      <c r="I278" s="5"/>
      <c r="J278" s="5"/>
      <c r="K278" s="5">
        <v>207</v>
      </c>
      <c r="L278" s="5">
        <v>21</v>
      </c>
      <c r="M278" s="5">
        <v>3</v>
      </c>
      <c r="N278" s="5" t="s">
        <v>3</v>
      </c>
      <c r="O278" s="5">
        <v>7</v>
      </c>
      <c r="P278" s="5"/>
      <c r="Q278" s="5"/>
      <c r="R278" s="5"/>
      <c r="S278" s="5"/>
      <c r="T278" s="5"/>
      <c r="U278" s="5"/>
      <c r="V278" s="5"/>
      <c r="W278" s="5">
        <v>24.0771388</v>
      </c>
      <c r="X278" s="5">
        <v>1</v>
      </c>
      <c r="Y278" s="5">
        <v>24.0771388</v>
      </c>
      <c r="Z278" s="5"/>
      <c r="AA278" s="5"/>
      <c r="AB278" s="5"/>
    </row>
    <row r="279" spans="1:206" x14ac:dyDescent="0.2">
      <c r="A279" s="5">
        <v>50</v>
      </c>
      <c r="B279" s="5">
        <v>0</v>
      </c>
      <c r="C279" s="5">
        <v>0</v>
      </c>
      <c r="D279" s="5">
        <v>1</v>
      </c>
      <c r="E279" s="5">
        <v>208</v>
      </c>
      <c r="F279" s="5">
        <f>ROUND(Source!V256,O279)</f>
        <v>4.1999999999999997E-3</v>
      </c>
      <c r="G279" s="5" t="s">
        <v>250</v>
      </c>
      <c r="H279" s="5" t="s">
        <v>251</v>
      </c>
      <c r="I279" s="5"/>
      <c r="J279" s="5"/>
      <c r="K279" s="5">
        <v>208</v>
      </c>
      <c r="L279" s="5">
        <v>22</v>
      </c>
      <c r="M279" s="5">
        <v>3</v>
      </c>
      <c r="N279" s="5" t="s">
        <v>3</v>
      </c>
      <c r="O279" s="5">
        <v>7</v>
      </c>
      <c r="P279" s="5"/>
      <c r="Q279" s="5"/>
      <c r="R279" s="5"/>
      <c r="S279" s="5"/>
      <c r="T279" s="5"/>
      <c r="U279" s="5"/>
      <c r="V279" s="5"/>
      <c r="W279" s="5">
        <v>4.1999999999999997E-3</v>
      </c>
      <c r="X279" s="5">
        <v>1</v>
      </c>
      <c r="Y279" s="5">
        <v>4.1999999999999997E-3</v>
      </c>
      <c r="Z279" s="5"/>
      <c r="AA279" s="5"/>
      <c r="AB279" s="5"/>
    </row>
    <row r="280" spans="1:206" x14ac:dyDescent="0.2">
      <c r="A280" s="5">
        <v>50</v>
      </c>
      <c r="B280" s="5">
        <v>0</v>
      </c>
      <c r="C280" s="5">
        <v>0</v>
      </c>
      <c r="D280" s="5">
        <v>1</v>
      </c>
      <c r="E280" s="5">
        <v>209</v>
      </c>
      <c r="F280" s="5">
        <f>ROUND(Source!W256,O280)</f>
        <v>0</v>
      </c>
      <c r="G280" s="5" t="s">
        <v>252</v>
      </c>
      <c r="H280" s="5" t="s">
        <v>253</v>
      </c>
      <c r="I280" s="5"/>
      <c r="J280" s="5"/>
      <c r="K280" s="5">
        <v>209</v>
      </c>
      <c r="L280" s="5">
        <v>23</v>
      </c>
      <c r="M280" s="5">
        <v>3</v>
      </c>
      <c r="N280" s="5" t="s">
        <v>3</v>
      </c>
      <c r="O280" s="5">
        <v>2</v>
      </c>
      <c r="P280" s="5"/>
      <c r="Q280" s="5"/>
      <c r="R280" s="5"/>
      <c r="S280" s="5"/>
      <c r="T280" s="5"/>
      <c r="U280" s="5"/>
      <c r="V280" s="5"/>
      <c r="W280" s="5">
        <v>0</v>
      </c>
      <c r="X280" s="5">
        <v>1</v>
      </c>
      <c r="Y280" s="5">
        <v>0</v>
      </c>
      <c r="Z280" s="5"/>
      <c r="AA280" s="5"/>
      <c r="AB280" s="5"/>
    </row>
    <row r="281" spans="1:206" x14ac:dyDescent="0.2">
      <c r="A281" s="5">
        <v>50</v>
      </c>
      <c r="B281" s="5">
        <v>0</v>
      </c>
      <c r="C281" s="5">
        <v>0</v>
      </c>
      <c r="D281" s="5">
        <v>1</v>
      </c>
      <c r="E281" s="5">
        <v>233</v>
      </c>
      <c r="F281" s="5">
        <f>ROUND(Source!BD256,O281)</f>
        <v>0</v>
      </c>
      <c r="G281" s="5" t="s">
        <v>254</v>
      </c>
      <c r="H281" s="5" t="s">
        <v>255</v>
      </c>
      <c r="I281" s="5"/>
      <c r="J281" s="5"/>
      <c r="K281" s="5">
        <v>233</v>
      </c>
      <c r="L281" s="5">
        <v>24</v>
      </c>
      <c r="M281" s="5">
        <v>3</v>
      </c>
      <c r="N281" s="5" t="s">
        <v>3</v>
      </c>
      <c r="O281" s="5">
        <v>2</v>
      </c>
      <c r="P281" s="5"/>
      <c r="Q281" s="5"/>
      <c r="R281" s="5"/>
      <c r="S281" s="5"/>
      <c r="T281" s="5"/>
      <c r="U281" s="5"/>
      <c r="V281" s="5"/>
      <c r="W281" s="5">
        <v>0</v>
      </c>
      <c r="X281" s="5">
        <v>1</v>
      </c>
      <c r="Y281" s="5">
        <v>0</v>
      </c>
      <c r="Z281" s="5"/>
      <c r="AA281" s="5"/>
      <c r="AB281" s="5"/>
    </row>
    <row r="282" spans="1:206" x14ac:dyDescent="0.2">
      <c r="A282" s="5">
        <v>50</v>
      </c>
      <c r="B282" s="5">
        <v>0</v>
      </c>
      <c r="C282" s="5">
        <v>0</v>
      </c>
      <c r="D282" s="5">
        <v>1</v>
      </c>
      <c r="E282" s="5">
        <v>210</v>
      </c>
      <c r="F282" s="5">
        <f>ROUND(Source!X256,O282)</f>
        <v>16208.45</v>
      </c>
      <c r="G282" s="5" t="s">
        <v>256</v>
      </c>
      <c r="H282" s="5" t="s">
        <v>257</v>
      </c>
      <c r="I282" s="5"/>
      <c r="J282" s="5"/>
      <c r="K282" s="5">
        <v>210</v>
      </c>
      <c r="L282" s="5">
        <v>25</v>
      </c>
      <c r="M282" s="5">
        <v>3</v>
      </c>
      <c r="N282" s="5" t="s">
        <v>3</v>
      </c>
      <c r="O282" s="5">
        <v>2</v>
      </c>
      <c r="P282" s="5"/>
      <c r="Q282" s="5"/>
      <c r="R282" s="5"/>
      <c r="S282" s="5"/>
      <c r="T282" s="5"/>
      <c r="U282" s="5"/>
      <c r="V282" s="5"/>
      <c r="W282" s="5">
        <v>16208.45</v>
      </c>
      <c r="X282" s="5">
        <v>1</v>
      </c>
      <c r="Y282" s="5">
        <v>16208.45</v>
      </c>
      <c r="Z282" s="5"/>
      <c r="AA282" s="5"/>
      <c r="AB282" s="5"/>
    </row>
    <row r="283" spans="1:206" x14ac:dyDescent="0.2">
      <c r="A283" s="5">
        <v>50</v>
      </c>
      <c r="B283" s="5">
        <v>0</v>
      </c>
      <c r="C283" s="5">
        <v>0</v>
      </c>
      <c r="D283" s="5">
        <v>1</v>
      </c>
      <c r="E283" s="5">
        <v>211</v>
      </c>
      <c r="F283" s="5">
        <f>ROUND(Source!Y256,O283)</f>
        <v>7817.63</v>
      </c>
      <c r="G283" s="5" t="s">
        <v>258</v>
      </c>
      <c r="H283" s="5" t="s">
        <v>259</v>
      </c>
      <c r="I283" s="5"/>
      <c r="J283" s="5"/>
      <c r="K283" s="5">
        <v>211</v>
      </c>
      <c r="L283" s="5">
        <v>26</v>
      </c>
      <c r="M283" s="5">
        <v>3</v>
      </c>
      <c r="N283" s="5" t="s">
        <v>3</v>
      </c>
      <c r="O283" s="5">
        <v>2</v>
      </c>
      <c r="P283" s="5"/>
      <c r="Q283" s="5"/>
      <c r="R283" s="5"/>
      <c r="S283" s="5"/>
      <c r="T283" s="5"/>
      <c r="U283" s="5"/>
      <c r="V283" s="5"/>
      <c r="W283" s="5">
        <v>7817.63</v>
      </c>
      <c r="X283" s="5">
        <v>1</v>
      </c>
      <c r="Y283" s="5">
        <v>7817.63</v>
      </c>
      <c r="Z283" s="5"/>
      <c r="AA283" s="5"/>
      <c r="AB283" s="5"/>
    </row>
    <row r="284" spans="1:206" x14ac:dyDescent="0.2">
      <c r="A284" s="5">
        <v>50</v>
      </c>
      <c r="B284" s="5">
        <v>0</v>
      </c>
      <c r="C284" s="5">
        <v>0</v>
      </c>
      <c r="D284" s="5">
        <v>1</v>
      </c>
      <c r="E284" s="5">
        <v>224</v>
      </c>
      <c r="F284" s="5">
        <f>ROUND(Source!AR256,O284)</f>
        <v>61889.5</v>
      </c>
      <c r="G284" s="5" t="s">
        <v>260</v>
      </c>
      <c r="H284" s="5" t="s">
        <v>261</v>
      </c>
      <c r="I284" s="5"/>
      <c r="J284" s="5"/>
      <c r="K284" s="5">
        <v>224</v>
      </c>
      <c r="L284" s="5">
        <v>27</v>
      </c>
      <c r="M284" s="5">
        <v>3</v>
      </c>
      <c r="N284" s="5" t="s">
        <v>3</v>
      </c>
      <c r="O284" s="5">
        <v>2</v>
      </c>
      <c r="P284" s="5"/>
      <c r="Q284" s="5"/>
      <c r="R284" s="5"/>
      <c r="S284" s="5"/>
      <c r="T284" s="5"/>
      <c r="U284" s="5"/>
      <c r="V284" s="5"/>
      <c r="W284" s="5">
        <v>61889.5</v>
      </c>
      <c r="X284" s="5">
        <v>1</v>
      </c>
      <c r="Y284" s="5">
        <v>61889.5</v>
      </c>
      <c r="Z284" s="5"/>
      <c r="AA284" s="5"/>
      <c r="AB284" s="5"/>
    </row>
    <row r="286" spans="1:206" x14ac:dyDescent="0.2">
      <c r="A286" s="3">
        <v>51</v>
      </c>
      <c r="B286" s="3">
        <f>B20</f>
        <v>1</v>
      </c>
      <c r="C286" s="3">
        <f>A20</f>
        <v>3</v>
      </c>
      <c r="D286" s="3">
        <f>ROW(A20)</f>
        <v>20</v>
      </c>
      <c r="E286" s="3"/>
      <c r="F286" s="3" t="str">
        <f>IF(F20&lt;&gt;"",F20,"")</f>
        <v>Новая локальная смета</v>
      </c>
      <c r="G286" s="3" t="str">
        <f>IF(G20&lt;&gt;"",G20,"")</f>
        <v>Новая локальная смета</v>
      </c>
      <c r="H286" s="3">
        <v>0</v>
      </c>
      <c r="I286" s="3"/>
      <c r="J286" s="3"/>
      <c r="K286" s="3"/>
      <c r="L286" s="3"/>
      <c r="M286" s="3"/>
      <c r="N286" s="3"/>
      <c r="O286" s="3">
        <f t="shared" ref="O286:T286" si="254">ROUND(O83+O132+O178+O256+AB286,2)</f>
        <v>346580.09</v>
      </c>
      <c r="P286" s="3">
        <f t="shared" si="254"/>
        <v>252265.77</v>
      </c>
      <c r="Q286" s="3">
        <f t="shared" si="254"/>
        <v>-2194.08</v>
      </c>
      <c r="R286" s="3">
        <f t="shared" si="254"/>
        <v>-1700.83</v>
      </c>
      <c r="S286" s="3">
        <f t="shared" si="254"/>
        <v>98209.23</v>
      </c>
      <c r="T286" s="3">
        <f t="shared" si="254"/>
        <v>0</v>
      </c>
      <c r="U286" s="3">
        <f>U83+U132+U178+U256+AH286</f>
        <v>142.99006460000001</v>
      </c>
      <c r="V286" s="3">
        <f>V83+V132+V178+V256+AI286</f>
        <v>4.4200000000000003E-2</v>
      </c>
      <c r="W286" s="3">
        <f>ROUND(W83+W132+W178+W256+AJ286,2)</f>
        <v>0</v>
      </c>
      <c r="X286" s="3">
        <f>ROUND(X83+X132+X178+X256+AK286,2)</f>
        <v>95943.55</v>
      </c>
      <c r="Y286" s="3">
        <f>ROUND(Y83+Y132+Y178+Y256+AL286,2)</f>
        <v>49072.27</v>
      </c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>
        <f t="shared" ref="AO286:BD286" si="255">ROUND(AO83+AO132+AO178+AO256+BX286,2)</f>
        <v>0</v>
      </c>
      <c r="AP286" s="3">
        <f t="shared" si="255"/>
        <v>0</v>
      </c>
      <c r="AQ286" s="3">
        <f t="shared" si="255"/>
        <v>0</v>
      </c>
      <c r="AR286" s="3">
        <f t="shared" si="255"/>
        <v>491595.91</v>
      </c>
      <c r="AS286" s="3">
        <f t="shared" si="255"/>
        <v>161431.39000000001</v>
      </c>
      <c r="AT286" s="3">
        <f t="shared" si="255"/>
        <v>330164.52</v>
      </c>
      <c r="AU286" s="3">
        <f t="shared" si="255"/>
        <v>0</v>
      </c>
      <c r="AV286" s="3">
        <f t="shared" si="255"/>
        <v>252265.77</v>
      </c>
      <c r="AW286" s="3">
        <f t="shared" si="255"/>
        <v>252265.77</v>
      </c>
      <c r="AX286" s="3">
        <f t="shared" si="255"/>
        <v>0</v>
      </c>
      <c r="AY286" s="3">
        <f t="shared" si="255"/>
        <v>252265.77</v>
      </c>
      <c r="AZ286" s="3">
        <f t="shared" si="255"/>
        <v>0</v>
      </c>
      <c r="BA286" s="3">
        <f t="shared" si="255"/>
        <v>0</v>
      </c>
      <c r="BB286" s="3">
        <f t="shared" si="255"/>
        <v>0</v>
      </c>
      <c r="BC286" s="3">
        <f t="shared" si="255"/>
        <v>0</v>
      </c>
      <c r="BD286" s="3">
        <f t="shared" si="255"/>
        <v>0</v>
      </c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>
        <v>0</v>
      </c>
    </row>
    <row r="288" spans="1:206" x14ac:dyDescent="0.2">
      <c r="A288" s="5">
        <v>50</v>
      </c>
      <c r="B288" s="5">
        <v>0</v>
      </c>
      <c r="C288" s="5">
        <v>0</v>
      </c>
      <c r="D288" s="5">
        <v>1</v>
      </c>
      <c r="E288" s="5">
        <v>201</v>
      </c>
      <c r="F288" s="5">
        <f>ROUND(Source!O286,O288)</f>
        <v>346580.09</v>
      </c>
      <c r="G288" s="5" t="s">
        <v>208</v>
      </c>
      <c r="H288" s="5" t="s">
        <v>209</v>
      </c>
      <c r="I288" s="5"/>
      <c r="J288" s="5"/>
      <c r="K288" s="5">
        <v>201</v>
      </c>
      <c r="L288" s="5">
        <v>1</v>
      </c>
      <c r="M288" s="5">
        <v>3</v>
      </c>
      <c r="N288" s="5" t="s">
        <v>3</v>
      </c>
      <c r="O288" s="5">
        <v>2</v>
      </c>
      <c r="P288" s="5"/>
      <c r="Q288" s="5"/>
      <c r="R288" s="5"/>
      <c r="S288" s="5"/>
      <c r="T288" s="5"/>
      <c r="U288" s="5"/>
      <c r="V288" s="5"/>
      <c r="W288" s="5">
        <v>346580.08999999997</v>
      </c>
      <c r="X288" s="5">
        <v>1</v>
      </c>
      <c r="Y288" s="5">
        <v>346580.08999999997</v>
      </c>
      <c r="Z288" s="5"/>
      <c r="AA288" s="5"/>
      <c r="AB288" s="5"/>
    </row>
    <row r="289" spans="1:28" x14ac:dyDescent="0.2">
      <c r="A289" s="5">
        <v>50</v>
      </c>
      <c r="B289" s="5">
        <v>0</v>
      </c>
      <c r="C289" s="5">
        <v>0</v>
      </c>
      <c r="D289" s="5">
        <v>1</v>
      </c>
      <c r="E289" s="5">
        <v>202</v>
      </c>
      <c r="F289" s="5">
        <f>ROUND(Source!P286,O289)</f>
        <v>252265.77</v>
      </c>
      <c r="G289" s="5" t="s">
        <v>210</v>
      </c>
      <c r="H289" s="5" t="s">
        <v>211</v>
      </c>
      <c r="I289" s="5"/>
      <c r="J289" s="5"/>
      <c r="K289" s="5">
        <v>202</v>
      </c>
      <c r="L289" s="5">
        <v>2</v>
      </c>
      <c r="M289" s="5">
        <v>3</v>
      </c>
      <c r="N289" s="5" t="s">
        <v>3</v>
      </c>
      <c r="O289" s="5">
        <v>2</v>
      </c>
      <c r="P289" s="5"/>
      <c r="Q289" s="5"/>
      <c r="R289" s="5"/>
      <c r="S289" s="5"/>
      <c r="T289" s="5"/>
      <c r="U289" s="5"/>
      <c r="V289" s="5"/>
      <c r="W289" s="5">
        <v>252265.77</v>
      </c>
      <c r="X289" s="5">
        <v>1</v>
      </c>
      <c r="Y289" s="5">
        <v>252265.77</v>
      </c>
      <c r="Z289" s="5"/>
      <c r="AA289" s="5"/>
      <c r="AB289" s="5"/>
    </row>
    <row r="290" spans="1:28" x14ac:dyDescent="0.2">
      <c r="A290" s="5">
        <v>50</v>
      </c>
      <c r="B290" s="5">
        <v>0</v>
      </c>
      <c r="C290" s="5">
        <v>0</v>
      </c>
      <c r="D290" s="5">
        <v>1</v>
      </c>
      <c r="E290" s="5">
        <v>222</v>
      </c>
      <c r="F290" s="5">
        <f>ROUND(Source!AO286,O290)</f>
        <v>0</v>
      </c>
      <c r="G290" s="5" t="s">
        <v>212</v>
      </c>
      <c r="H290" s="5" t="s">
        <v>213</v>
      </c>
      <c r="I290" s="5"/>
      <c r="J290" s="5"/>
      <c r="K290" s="5">
        <v>222</v>
      </c>
      <c r="L290" s="5">
        <v>3</v>
      </c>
      <c r="M290" s="5">
        <v>3</v>
      </c>
      <c r="N290" s="5" t="s">
        <v>3</v>
      </c>
      <c r="O290" s="5">
        <v>2</v>
      </c>
      <c r="P290" s="5"/>
      <c r="Q290" s="5"/>
      <c r="R290" s="5"/>
      <c r="S290" s="5"/>
      <c r="T290" s="5"/>
      <c r="U290" s="5"/>
      <c r="V290" s="5"/>
      <c r="W290" s="5">
        <v>0</v>
      </c>
      <c r="X290" s="5">
        <v>1</v>
      </c>
      <c r="Y290" s="5">
        <v>0</v>
      </c>
      <c r="Z290" s="5"/>
      <c r="AA290" s="5"/>
      <c r="AB290" s="5"/>
    </row>
    <row r="291" spans="1:28" x14ac:dyDescent="0.2">
      <c r="A291" s="5">
        <v>50</v>
      </c>
      <c r="B291" s="5">
        <v>0</v>
      </c>
      <c r="C291" s="5">
        <v>0</v>
      </c>
      <c r="D291" s="5">
        <v>1</v>
      </c>
      <c r="E291" s="5">
        <v>225</v>
      </c>
      <c r="F291" s="5">
        <f>ROUND(Source!AV286,O291)</f>
        <v>252265.77</v>
      </c>
      <c r="G291" s="5" t="s">
        <v>214</v>
      </c>
      <c r="H291" s="5" t="s">
        <v>215</v>
      </c>
      <c r="I291" s="5"/>
      <c r="J291" s="5"/>
      <c r="K291" s="5">
        <v>225</v>
      </c>
      <c r="L291" s="5">
        <v>4</v>
      </c>
      <c r="M291" s="5">
        <v>3</v>
      </c>
      <c r="N291" s="5" t="s">
        <v>3</v>
      </c>
      <c r="O291" s="5">
        <v>2</v>
      </c>
      <c r="P291" s="5"/>
      <c r="Q291" s="5"/>
      <c r="R291" s="5"/>
      <c r="S291" s="5"/>
      <c r="T291" s="5"/>
      <c r="U291" s="5"/>
      <c r="V291" s="5"/>
      <c r="W291" s="5">
        <v>252265.77</v>
      </c>
      <c r="X291" s="5">
        <v>1</v>
      </c>
      <c r="Y291" s="5">
        <v>252265.77</v>
      </c>
      <c r="Z291" s="5"/>
      <c r="AA291" s="5"/>
      <c r="AB291" s="5"/>
    </row>
    <row r="292" spans="1:28" x14ac:dyDescent="0.2">
      <c r="A292" s="5">
        <v>50</v>
      </c>
      <c r="B292" s="5">
        <v>0</v>
      </c>
      <c r="C292" s="5">
        <v>0</v>
      </c>
      <c r="D292" s="5">
        <v>1</v>
      </c>
      <c r="E292" s="5">
        <v>226</v>
      </c>
      <c r="F292" s="5">
        <f>ROUND(Source!AW286,O292)</f>
        <v>252265.77</v>
      </c>
      <c r="G292" s="5" t="s">
        <v>216</v>
      </c>
      <c r="H292" s="5" t="s">
        <v>217</v>
      </c>
      <c r="I292" s="5"/>
      <c r="J292" s="5"/>
      <c r="K292" s="5">
        <v>226</v>
      </c>
      <c r="L292" s="5">
        <v>5</v>
      </c>
      <c r="M292" s="5">
        <v>3</v>
      </c>
      <c r="N292" s="5" t="s">
        <v>3</v>
      </c>
      <c r="O292" s="5">
        <v>2</v>
      </c>
      <c r="P292" s="5"/>
      <c r="Q292" s="5"/>
      <c r="R292" s="5"/>
      <c r="S292" s="5"/>
      <c r="T292" s="5"/>
      <c r="U292" s="5"/>
      <c r="V292" s="5"/>
      <c r="W292" s="5">
        <v>252265.77</v>
      </c>
      <c r="X292" s="5">
        <v>1</v>
      </c>
      <c r="Y292" s="5">
        <v>252265.77</v>
      </c>
      <c r="Z292" s="5"/>
      <c r="AA292" s="5"/>
      <c r="AB292" s="5"/>
    </row>
    <row r="293" spans="1:28" x14ac:dyDescent="0.2">
      <c r="A293" s="5">
        <v>50</v>
      </c>
      <c r="B293" s="5">
        <v>0</v>
      </c>
      <c r="C293" s="5">
        <v>0</v>
      </c>
      <c r="D293" s="5">
        <v>1</v>
      </c>
      <c r="E293" s="5">
        <v>227</v>
      </c>
      <c r="F293" s="5">
        <f>ROUND(Source!AX286,O293)</f>
        <v>0</v>
      </c>
      <c r="G293" s="5" t="s">
        <v>218</v>
      </c>
      <c r="H293" s="5" t="s">
        <v>219</v>
      </c>
      <c r="I293" s="5"/>
      <c r="J293" s="5"/>
      <c r="K293" s="5">
        <v>227</v>
      </c>
      <c r="L293" s="5">
        <v>6</v>
      </c>
      <c r="M293" s="5">
        <v>3</v>
      </c>
      <c r="N293" s="5" t="s">
        <v>3</v>
      </c>
      <c r="O293" s="5">
        <v>2</v>
      </c>
      <c r="P293" s="5"/>
      <c r="Q293" s="5"/>
      <c r="R293" s="5"/>
      <c r="S293" s="5"/>
      <c r="T293" s="5"/>
      <c r="U293" s="5"/>
      <c r="V293" s="5"/>
      <c r="W293" s="5">
        <v>0</v>
      </c>
      <c r="X293" s="5">
        <v>1</v>
      </c>
      <c r="Y293" s="5">
        <v>0</v>
      </c>
      <c r="Z293" s="5"/>
      <c r="AA293" s="5"/>
      <c r="AB293" s="5"/>
    </row>
    <row r="294" spans="1:28" x14ac:dyDescent="0.2">
      <c r="A294" s="5">
        <v>50</v>
      </c>
      <c r="B294" s="5">
        <v>0</v>
      </c>
      <c r="C294" s="5">
        <v>0</v>
      </c>
      <c r="D294" s="5">
        <v>1</v>
      </c>
      <c r="E294" s="5">
        <v>228</v>
      </c>
      <c r="F294" s="5">
        <f>ROUND(Source!AY286,O294)</f>
        <v>252265.77</v>
      </c>
      <c r="G294" s="5" t="s">
        <v>220</v>
      </c>
      <c r="H294" s="5" t="s">
        <v>221</v>
      </c>
      <c r="I294" s="5"/>
      <c r="J294" s="5"/>
      <c r="K294" s="5">
        <v>228</v>
      </c>
      <c r="L294" s="5">
        <v>7</v>
      </c>
      <c r="M294" s="5">
        <v>3</v>
      </c>
      <c r="N294" s="5" t="s">
        <v>3</v>
      </c>
      <c r="O294" s="5">
        <v>2</v>
      </c>
      <c r="P294" s="5"/>
      <c r="Q294" s="5"/>
      <c r="R294" s="5"/>
      <c r="S294" s="5"/>
      <c r="T294" s="5"/>
      <c r="U294" s="5"/>
      <c r="V294" s="5"/>
      <c r="W294" s="5">
        <v>252265.77</v>
      </c>
      <c r="X294" s="5">
        <v>1</v>
      </c>
      <c r="Y294" s="5">
        <v>252265.77</v>
      </c>
      <c r="Z294" s="5"/>
      <c r="AA294" s="5"/>
      <c r="AB294" s="5"/>
    </row>
    <row r="295" spans="1:28" x14ac:dyDescent="0.2">
      <c r="A295" s="5">
        <v>50</v>
      </c>
      <c r="B295" s="5">
        <v>0</v>
      </c>
      <c r="C295" s="5">
        <v>0</v>
      </c>
      <c r="D295" s="5">
        <v>1</v>
      </c>
      <c r="E295" s="5">
        <v>216</v>
      </c>
      <c r="F295" s="5">
        <f>ROUND(Source!AP286,O295)</f>
        <v>0</v>
      </c>
      <c r="G295" s="5" t="s">
        <v>222</v>
      </c>
      <c r="H295" s="5" t="s">
        <v>223</v>
      </c>
      <c r="I295" s="5"/>
      <c r="J295" s="5"/>
      <c r="K295" s="5">
        <v>216</v>
      </c>
      <c r="L295" s="5">
        <v>8</v>
      </c>
      <c r="M295" s="5">
        <v>3</v>
      </c>
      <c r="N295" s="5" t="s">
        <v>3</v>
      </c>
      <c r="O295" s="5">
        <v>2</v>
      </c>
      <c r="P295" s="5"/>
      <c r="Q295" s="5"/>
      <c r="R295" s="5"/>
      <c r="S295" s="5"/>
      <c r="T295" s="5"/>
      <c r="U295" s="5"/>
      <c r="V295" s="5"/>
      <c r="W295" s="5">
        <v>0</v>
      </c>
      <c r="X295" s="5">
        <v>1</v>
      </c>
      <c r="Y295" s="5">
        <v>0</v>
      </c>
      <c r="Z295" s="5"/>
      <c r="AA295" s="5"/>
      <c r="AB295" s="5"/>
    </row>
    <row r="296" spans="1:28" x14ac:dyDescent="0.2">
      <c r="A296" s="5">
        <v>50</v>
      </c>
      <c r="B296" s="5">
        <v>0</v>
      </c>
      <c r="C296" s="5">
        <v>0</v>
      </c>
      <c r="D296" s="5">
        <v>1</v>
      </c>
      <c r="E296" s="5">
        <v>223</v>
      </c>
      <c r="F296" s="5">
        <f>ROUND(Source!AQ286,O296)</f>
        <v>0</v>
      </c>
      <c r="G296" s="5" t="s">
        <v>224</v>
      </c>
      <c r="H296" s="5" t="s">
        <v>225</v>
      </c>
      <c r="I296" s="5"/>
      <c r="J296" s="5"/>
      <c r="K296" s="5">
        <v>223</v>
      </c>
      <c r="L296" s="5">
        <v>9</v>
      </c>
      <c r="M296" s="5">
        <v>3</v>
      </c>
      <c r="N296" s="5" t="s">
        <v>3</v>
      </c>
      <c r="O296" s="5">
        <v>2</v>
      </c>
      <c r="P296" s="5"/>
      <c r="Q296" s="5"/>
      <c r="R296" s="5"/>
      <c r="S296" s="5"/>
      <c r="T296" s="5"/>
      <c r="U296" s="5"/>
      <c r="V296" s="5"/>
      <c r="W296" s="5">
        <v>0</v>
      </c>
      <c r="X296" s="5">
        <v>1</v>
      </c>
      <c r="Y296" s="5">
        <v>0</v>
      </c>
      <c r="Z296" s="5"/>
      <c r="AA296" s="5"/>
      <c r="AB296" s="5"/>
    </row>
    <row r="297" spans="1:28" x14ac:dyDescent="0.2">
      <c r="A297" s="5">
        <v>50</v>
      </c>
      <c r="B297" s="5">
        <v>0</v>
      </c>
      <c r="C297" s="5">
        <v>0</v>
      </c>
      <c r="D297" s="5">
        <v>1</v>
      </c>
      <c r="E297" s="5">
        <v>229</v>
      </c>
      <c r="F297" s="5">
        <f>ROUND(Source!AZ286,O297)</f>
        <v>0</v>
      </c>
      <c r="G297" s="5" t="s">
        <v>226</v>
      </c>
      <c r="H297" s="5" t="s">
        <v>227</v>
      </c>
      <c r="I297" s="5"/>
      <c r="J297" s="5"/>
      <c r="K297" s="5">
        <v>229</v>
      </c>
      <c r="L297" s="5">
        <v>10</v>
      </c>
      <c r="M297" s="5">
        <v>3</v>
      </c>
      <c r="N297" s="5" t="s">
        <v>3</v>
      </c>
      <c r="O297" s="5">
        <v>2</v>
      </c>
      <c r="P297" s="5"/>
      <c r="Q297" s="5"/>
      <c r="R297" s="5"/>
      <c r="S297" s="5"/>
      <c r="T297" s="5"/>
      <c r="U297" s="5"/>
      <c r="V297" s="5"/>
      <c r="W297" s="5">
        <v>0</v>
      </c>
      <c r="X297" s="5">
        <v>1</v>
      </c>
      <c r="Y297" s="5">
        <v>0</v>
      </c>
      <c r="Z297" s="5"/>
      <c r="AA297" s="5"/>
      <c r="AB297" s="5"/>
    </row>
    <row r="298" spans="1:28" x14ac:dyDescent="0.2">
      <c r="A298" s="5">
        <v>50</v>
      </c>
      <c r="B298" s="5">
        <v>0</v>
      </c>
      <c r="C298" s="5">
        <v>0</v>
      </c>
      <c r="D298" s="5">
        <v>1</v>
      </c>
      <c r="E298" s="5">
        <v>203</v>
      </c>
      <c r="F298" s="5">
        <f>ROUND(Source!Q286,O298)</f>
        <v>-2194.08</v>
      </c>
      <c r="G298" s="5" t="s">
        <v>228</v>
      </c>
      <c r="H298" s="5" t="s">
        <v>229</v>
      </c>
      <c r="I298" s="5"/>
      <c r="J298" s="5"/>
      <c r="K298" s="5">
        <v>203</v>
      </c>
      <c r="L298" s="5">
        <v>11</v>
      </c>
      <c r="M298" s="5">
        <v>3</v>
      </c>
      <c r="N298" s="5" t="s">
        <v>3</v>
      </c>
      <c r="O298" s="5">
        <v>2</v>
      </c>
      <c r="P298" s="5"/>
      <c r="Q298" s="5"/>
      <c r="R298" s="5"/>
      <c r="S298" s="5"/>
      <c r="T298" s="5"/>
      <c r="U298" s="5"/>
      <c r="V298" s="5"/>
      <c r="W298" s="5">
        <v>-2194.0800000000004</v>
      </c>
      <c r="X298" s="5">
        <v>1</v>
      </c>
      <c r="Y298" s="5">
        <v>-2194.0800000000004</v>
      </c>
      <c r="Z298" s="5"/>
      <c r="AA298" s="5"/>
      <c r="AB298" s="5"/>
    </row>
    <row r="299" spans="1:28" x14ac:dyDescent="0.2">
      <c r="A299" s="5">
        <v>50</v>
      </c>
      <c r="B299" s="5">
        <v>0</v>
      </c>
      <c r="C299" s="5">
        <v>0</v>
      </c>
      <c r="D299" s="5">
        <v>1</v>
      </c>
      <c r="E299" s="5">
        <v>231</v>
      </c>
      <c r="F299" s="5">
        <f>ROUND(Source!BB286,O299)</f>
        <v>0</v>
      </c>
      <c r="G299" s="5" t="s">
        <v>230</v>
      </c>
      <c r="H299" s="5" t="s">
        <v>231</v>
      </c>
      <c r="I299" s="5"/>
      <c r="J299" s="5"/>
      <c r="K299" s="5">
        <v>231</v>
      </c>
      <c r="L299" s="5">
        <v>12</v>
      </c>
      <c r="M299" s="5">
        <v>3</v>
      </c>
      <c r="N299" s="5" t="s">
        <v>3</v>
      </c>
      <c r="O299" s="5">
        <v>2</v>
      </c>
      <c r="P299" s="5"/>
      <c r="Q299" s="5"/>
      <c r="R299" s="5"/>
      <c r="S299" s="5"/>
      <c r="T299" s="5"/>
      <c r="U299" s="5"/>
      <c r="V299" s="5"/>
      <c r="W299" s="5">
        <v>0</v>
      </c>
      <c r="X299" s="5">
        <v>1</v>
      </c>
      <c r="Y299" s="5">
        <v>0</v>
      </c>
      <c r="Z299" s="5"/>
      <c r="AA299" s="5"/>
      <c r="AB299" s="5"/>
    </row>
    <row r="300" spans="1:28" x14ac:dyDescent="0.2">
      <c r="A300" s="5">
        <v>50</v>
      </c>
      <c r="B300" s="5">
        <v>0</v>
      </c>
      <c r="C300" s="5">
        <v>0</v>
      </c>
      <c r="D300" s="5">
        <v>1</v>
      </c>
      <c r="E300" s="5">
        <v>204</v>
      </c>
      <c r="F300" s="5">
        <f>ROUND(Source!R286,O300)</f>
        <v>-1700.83</v>
      </c>
      <c r="G300" s="5" t="s">
        <v>232</v>
      </c>
      <c r="H300" s="5" t="s">
        <v>233</v>
      </c>
      <c r="I300" s="5"/>
      <c r="J300" s="5"/>
      <c r="K300" s="5">
        <v>204</v>
      </c>
      <c r="L300" s="5">
        <v>13</v>
      </c>
      <c r="M300" s="5">
        <v>3</v>
      </c>
      <c r="N300" s="5" t="s">
        <v>3</v>
      </c>
      <c r="O300" s="5">
        <v>2</v>
      </c>
      <c r="P300" s="5"/>
      <c r="Q300" s="5"/>
      <c r="R300" s="5"/>
      <c r="S300" s="5"/>
      <c r="T300" s="5"/>
      <c r="U300" s="5"/>
      <c r="V300" s="5"/>
      <c r="W300" s="5">
        <v>-1700.8299999999997</v>
      </c>
      <c r="X300" s="5">
        <v>1</v>
      </c>
      <c r="Y300" s="5">
        <v>-1700.8299999999997</v>
      </c>
      <c r="Z300" s="5"/>
      <c r="AA300" s="5"/>
      <c r="AB300" s="5"/>
    </row>
    <row r="301" spans="1:28" x14ac:dyDescent="0.2">
      <c r="A301" s="5">
        <v>50</v>
      </c>
      <c r="B301" s="5">
        <v>0</v>
      </c>
      <c r="C301" s="5">
        <v>0</v>
      </c>
      <c r="D301" s="5">
        <v>1</v>
      </c>
      <c r="E301" s="5">
        <v>205</v>
      </c>
      <c r="F301" s="5">
        <f>ROUND(Source!S286,O301)</f>
        <v>98209.23</v>
      </c>
      <c r="G301" s="5" t="s">
        <v>234</v>
      </c>
      <c r="H301" s="5" t="s">
        <v>235</v>
      </c>
      <c r="I301" s="5"/>
      <c r="J301" s="5"/>
      <c r="K301" s="5">
        <v>205</v>
      </c>
      <c r="L301" s="5">
        <v>14</v>
      </c>
      <c r="M301" s="5">
        <v>3</v>
      </c>
      <c r="N301" s="5" t="s">
        <v>3</v>
      </c>
      <c r="O301" s="5">
        <v>2</v>
      </c>
      <c r="P301" s="5"/>
      <c r="Q301" s="5"/>
      <c r="R301" s="5"/>
      <c r="S301" s="5"/>
      <c r="T301" s="5"/>
      <c r="U301" s="5"/>
      <c r="V301" s="5"/>
      <c r="W301" s="5">
        <v>98209.23000000001</v>
      </c>
      <c r="X301" s="5">
        <v>1</v>
      </c>
      <c r="Y301" s="5">
        <v>98209.23000000001</v>
      </c>
      <c r="Z301" s="5"/>
      <c r="AA301" s="5"/>
      <c r="AB301" s="5"/>
    </row>
    <row r="302" spans="1:28" x14ac:dyDescent="0.2">
      <c r="A302" s="5">
        <v>50</v>
      </c>
      <c r="B302" s="5">
        <v>0</v>
      </c>
      <c r="C302" s="5">
        <v>0</v>
      </c>
      <c r="D302" s="5">
        <v>1</v>
      </c>
      <c r="E302" s="5">
        <v>232</v>
      </c>
      <c r="F302" s="5">
        <f>ROUND(Source!BC286,O302)</f>
        <v>0</v>
      </c>
      <c r="G302" s="5" t="s">
        <v>236</v>
      </c>
      <c r="H302" s="5" t="s">
        <v>237</v>
      </c>
      <c r="I302" s="5"/>
      <c r="J302" s="5"/>
      <c r="K302" s="5">
        <v>232</v>
      </c>
      <c r="L302" s="5">
        <v>15</v>
      </c>
      <c r="M302" s="5">
        <v>3</v>
      </c>
      <c r="N302" s="5" t="s">
        <v>3</v>
      </c>
      <c r="O302" s="5">
        <v>2</v>
      </c>
      <c r="P302" s="5"/>
      <c r="Q302" s="5"/>
      <c r="R302" s="5"/>
      <c r="S302" s="5"/>
      <c r="T302" s="5"/>
      <c r="U302" s="5"/>
      <c r="V302" s="5"/>
      <c r="W302" s="5">
        <v>0</v>
      </c>
      <c r="X302" s="5">
        <v>1</v>
      </c>
      <c r="Y302" s="5">
        <v>0</v>
      </c>
      <c r="Z302" s="5"/>
      <c r="AA302" s="5"/>
      <c r="AB302" s="5"/>
    </row>
    <row r="303" spans="1:28" x14ac:dyDescent="0.2">
      <c r="A303" s="5">
        <v>50</v>
      </c>
      <c r="B303" s="5">
        <v>0</v>
      </c>
      <c r="C303" s="5">
        <v>0</v>
      </c>
      <c r="D303" s="5">
        <v>1</v>
      </c>
      <c r="E303" s="5">
        <v>214</v>
      </c>
      <c r="F303" s="5">
        <f>ROUND(Source!AS286,O303)</f>
        <v>161431.39000000001</v>
      </c>
      <c r="G303" s="5" t="s">
        <v>238</v>
      </c>
      <c r="H303" s="5" t="s">
        <v>239</v>
      </c>
      <c r="I303" s="5"/>
      <c r="J303" s="5"/>
      <c r="K303" s="5">
        <v>214</v>
      </c>
      <c r="L303" s="5">
        <v>16</v>
      </c>
      <c r="M303" s="5">
        <v>3</v>
      </c>
      <c r="N303" s="5" t="s">
        <v>3</v>
      </c>
      <c r="O303" s="5">
        <v>2</v>
      </c>
      <c r="P303" s="5"/>
      <c r="Q303" s="5"/>
      <c r="R303" s="5"/>
      <c r="S303" s="5"/>
      <c r="T303" s="5"/>
      <c r="U303" s="5"/>
      <c r="V303" s="5"/>
      <c r="W303" s="5">
        <v>161431.39000000001</v>
      </c>
      <c r="X303" s="5">
        <v>1</v>
      </c>
      <c r="Y303" s="5">
        <v>161431.39000000001</v>
      </c>
      <c r="Z303" s="5"/>
      <c r="AA303" s="5"/>
      <c r="AB303" s="5"/>
    </row>
    <row r="304" spans="1:28" x14ac:dyDescent="0.2">
      <c r="A304" s="5">
        <v>50</v>
      </c>
      <c r="B304" s="5">
        <v>0</v>
      </c>
      <c r="C304" s="5">
        <v>0</v>
      </c>
      <c r="D304" s="5">
        <v>1</v>
      </c>
      <c r="E304" s="5">
        <v>215</v>
      </c>
      <c r="F304" s="5">
        <f>ROUND(Source!AT286,O304)</f>
        <v>330164.52</v>
      </c>
      <c r="G304" s="5" t="s">
        <v>240</v>
      </c>
      <c r="H304" s="5" t="s">
        <v>241</v>
      </c>
      <c r="I304" s="5"/>
      <c r="J304" s="5"/>
      <c r="K304" s="5">
        <v>215</v>
      </c>
      <c r="L304" s="5">
        <v>17</v>
      </c>
      <c r="M304" s="5">
        <v>3</v>
      </c>
      <c r="N304" s="5" t="s">
        <v>3</v>
      </c>
      <c r="O304" s="5">
        <v>2</v>
      </c>
      <c r="P304" s="5"/>
      <c r="Q304" s="5"/>
      <c r="R304" s="5"/>
      <c r="S304" s="5"/>
      <c r="T304" s="5"/>
      <c r="U304" s="5"/>
      <c r="V304" s="5"/>
      <c r="W304" s="5">
        <v>330164.52</v>
      </c>
      <c r="X304" s="5">
        <v>1</v>
      </c>
      <c r="Y304" s="5">
        <v>330164.52</v>
      </c>
      <c r="Z304" s="5"/>
      <c r="AA304" s="5"/>
      <c r="AB304" s="5"/>
    </row>
    <row r="305" spans="1:206" x14ac:dyDescent="0.2">
      <c r="A305" s="5">
        <v>50</v>
      </c>
      <c r="B305" s="5">
        <v>0</v>
      </c>
      <c r="C305" s="5">
        <v>0</v>
      </c>
      <c r="D305" s="5">
        <v>1</v>
      </c>
      <c r="E305" s="5">
        <v>217</v>
      </c>
      <c r="F305" s="5">
        <f>ROUND(Source!AU286,O305)</f>
        <v>0</v>
      </c>
      <c r="G305" s="5" t="s">
        <v>242</v>
      </c>
      <c r="H305" s="5" t="s">
        <v>243</v>
      </c>
      <c r="I305" s="5"/>
      <c r="J305" s="5"/>
      <c r="K305" s="5">
        <v>217</v>
      </c>
      <c r="L305" s="5">
        <v>18</v>
      </c>
      <c r="M305" s="5">
        <v>3</v>
      </c>
      <c r="N305" s="5" t="s">
        <v>3</v>
      </c>
      <c r="O305" s="5">
        <v>2</v>
      </c>
      <c r="P305" s="5"/>
      <c r="Q305" s="5"/>
      <c r="R305" s="5"/>
      <c r="S305" s="5"/>
      <c r="T305" s="5"/>
      <c r="U305" s="5"/>
      <c r="V305" s="5"/>
      <c r="W305" s="5">
        <v>0</v>
      </c>
      <c r="X305" s="5">
        <v>1</v>
      </c>
      <c r="Y305" s="5">
        <v>0</v>
      </c>
      <c r="Z305" s="5"/>
      <c r="AA305" s="5"/>
      <c r="AB305" s="5"/>
    </row>
    <row r="306" spans="1:206" x14ac:dyDescent="0.2">
      <c r="A306" s="5">
        <v>50</v>
      </c>
      <c r="B306" s="5">
        <v>0</v>
      </c>
      <c r="C306" s="5">
        <v>0</v>
      </c>
      <c r="D306" s="5">
        <v>1</v>
      </c>
      <c r="E306" s="5">
        <v>230</v>
      </c>
      <c r="F306" s="5">
        <f>ROUND(Source!BA286,O306)</f>
        <v>0</v>
      </c>
      <c r="G306" s="5" t="s">
        <v>244</v>
      </c>
      <c r="H306" s="5" t="s">
        <v>245</v>
      </c>
      <c r="I306" s="5"/>
      <c r="J306" s="5"/>
      <c r="K306" s="5">
        <v>230</v>
      </c>
      <c r="L306" s="5">
        <v>19</v>
      </c>
      <c r="M306" s="5">
        <v>3</v>
      </c>
      <c r="N306" s="5" t="s">
        <v>3</v>
      </c>
      <c r="O306" s="5">
        <v>2</v>
      </c>
      <c r="P306" s="5"/>
      <c r="Q306" s="5"/>
      <c r="R306" s="5"/>
      <c r="S306" s="5"/>
      <c r="T306" s="5"/>
      <c r="U306" s="5"/>
      <c r="V306" s="5"/>
      <c r="W306" s="5">
        <v>0</v>
      </c>
      <c r="X306" s="5">
        <v>1</v>
      </c>
      <c r="Y306" s="5">
        <v>0</v>
      </c>
      <c r="Z306" s="5"/>
      <c r="AA306" s="5"/>
      <c r="AB306" s="5"/>
    </row>
    <row r="307" spans="1:206" x14ac:dyDescent="0.2">
      <c r="A307" s="5">
        <v>50</v>
      </c>
      <c r="B307" s="5">
        <v>0</v>
      </c>
      <c r="C307" s="5">
        <v>0</v>
      </c>
      <c r="D307" s="5">
        <v>1</v>
      </c>
      <c r="E307" s="5">
        <v>206</v>
      </c>
      <c r="F307" s="5">
        <f>ROUND(Source!T286,O307)</f>
        <v>0</v>
      </c>
      <c r="G307" s="5" t="s">
        <v>246</v>
      </c>
      <c r="H307" s="5" t="s">
        <v>247</v>
      </c>
      <c r="I307" s="5"/>
      <c r="J307" s="5"/>
      <c r="K307" s="5">
        <v>206</v>
      </c>
      <c r="L307" s="5">
        <v>20</v>
      </c>
      <c r="M307" s="5">
        <v>3</v>
      </c>
      <c r="N307" s="5" t="s">
        <v>3</v>
      </c>
      <c r="O307" s="5">
        <v>2</v>
      </c>
      <c r="P307" s="5"/>
      <c r="Q307" s="5"/>
      <c r="R307" s="5"/>
      <c r="S307" s="5"/>
      <c r="T307" s="5"/>
      <c r="U307" s="5"/>
      <c r="V307" s="5"/>
      <c r="W307" s="5">
        <v>0</v>
      </c>
      <c r="X307" s="5">
        <v>1</v>
      </c>
      <c r="Y307" s="5">
        <v>0</v>
      </c>
      <c r="Z307" s="5"/>
      <c r="AA307" s="5"/>
      <c r="AB307" s="5"/>
    </row>
    <row r="308" spans="1:206" x14ac:dyDescent="0.2">
      <c r="A308" s="5">
        <v>50</v>
      </c>
      <c r="B308" s="5">
        <v>0</v>
      </c>
      <c r="C308" s="5">
        <v>0</v>
      </c>
      <c r="D308" s="5">
        <v>1</v>
      </c>
      <c r="E308" s="5">
        <v>207</v>
      </c>
      <c r="F308" s="5">
        <f>ROUND(Source!U286,O308)</f>
        <v>142.99006460000001</v>
      </c>
      <c r="G308" s="5" t="s">
        <v>248</v>
      </c>
      <c r="H308" s="5" t="s">
        <v>249</v>
      </c>
      <c r="I308" s="5"/>
      <c r="J308" s="5"/>
      <c r="K308" s="5">
        <v>207</v>
      </c>
      <c r="L308" s="5">
        <v>21</v>
      </c>
      <c r="M308" s="5">
        <v>3</v>
      </c>
      <c r="N308" s="5" t="s">
        <v>3</v>
      </c>
      <c r="O308" s="5">
        <v>7</v>
      </c>
      <c r="P308" s="5"/>
      <c r="Q308" s="5"/>
      <c r="R308" s="5"/>
      <c r="S308" s="5"/>
      <c r="T308" s="5"/>
      <c r="U308" s="5"/>
      <c r="V308" s="5"/>
      <c r="W308" s="5">
        <v>142.99006460000001</v>
      </c>
      <c r="X308" s="5">
        <v>1</v>
      </c>
      <c r="Y308" s="5">
        <v>142.99006460000001</v>
      </c>
      <c r="Z308" s="5"/>
      <c r="AA308" s="5"/>
      <c r="AB308" s="5"/>
    </row>
    <row r="309" spans="1:206" x14ac:dyDescent="0.2">
      <c r="A309" s="5">
        <v>50</v>
      </c>
      <c r="B309" s="5">
        <v>0</v>
      </c>
      <c r="C309" s="5">
        <v>0</v>
      </c>
      <c r="D309" s="5">
        <v>1</v>
      </c>
      <c r="E309" s="5">
        <v>208</v>
      </c>
      <c r="F309" s="5">
        <f>ROUND(Source!V286,O309)</f>
        <v>4.4200000000000003E-2</v>
      </c>
      <c r="G309" s="5" t="s">
        <v>250</v>
      </c>
      <c r="H309" s="5" t="s">
        <v>251</v>
      </c>
      <c r="I309" s="5"/>
      <c r="J309" s="5"/>
      <c r="K309" s="5">
        <v>208</v>
      </c>
      <c r="L309" s="5">
        <v>22</v>
      </c>
      <c r="M309" s="5">
        <v>3</v>
      </c>
      <c r="N309" s="5" t="s">
        <v>3</v>
      </c>
      <c r="O309" s="5">
        <v>7</v>
      </c>
      <c r="P309" s="5"/>
      <c r="Q309" s="5"/>
      <c r="R309" s="5"/>
      <c r="S309" s="5"/>
      <c r="T309" s="5"/>
      <c r="U309" s="5"/>
      <c r="V309" s="5"/>
      <c r="W309" s="5">
        <v>4.4200000000000003E-2</v>
      </c>
      <c r="X309" s="5">
        <v>1</v>
      </c>
      <c r="Y309" s="5">
        <v>4.4200000000000003E-2</v>
      </c>
      <c r="Z309" s="5"/>
      <c r="AA309" s="5"/>
      <c r="AB309" s="5"/>
    </row>
    <row r="310" spans="1:206" x14ac:dyDescent="0.2">
      <c r="A310" s="5">
        <v>50</v>
      </c>
      <c r="B310" s="5">
        <v>0</v>
      </c>
      <c r="C310" s="5">
        <v>0</v>
      </c>
      <c r="D310" s="5">
        <v>1</v>
      </c>
      <c r="E310" s="5">
        <v>209</v>
      </c>
      <c r="F310" s="5">
        <f>ROUND(Source!W286,O310)</f>
        <v>0</v>
      </c>
      <c r="G310" s="5" t="s">
        <v>252</v>
      </c>
      <c r="H310" s="5" t="s">
        <v>253</v>
      </c>
      <c r="I310" s="5"/>
      <c r="J310" s="5"/>
      <c r="K310" s="5">
        <v>209</v>
      </c>
      <c r="L310" s="5">
        <v>23</v>
      </c>
      <c r="M310" s="5">
        <v>3</v>
      </c>
      <c r="N310" s="5" t="s">
        <v>3</v>
      </c>
      <c r="O310" s="5">
        <v>2</v>
      </c>
      <c r="P310" s="5"/>
      <c r="Q310" s="5"/>
      <c r="R310" s="5"/>
      <c r="S310" s="5"/>
      <c r="T310" s="5"/>
      <c r="U310" s="5"/>
      <c r="V310" s="5"/>
      <c r="W310" s="5">
        <v>0</v>
      </c>
      <c r="X310" s="5">
        <v>1</v>
      </c>
      <c r="Y310" s="5">
        <v>0</v>
      </c>
      <c r="Z310" s="5"/>
      <c r="AA310" s="5"/>
      <c r="AB310" s="5"/>
    </row>
    <row r="311" spans="1:206" x14ac:dyDescent="0.2">
      <c r="A311" s="5">
        <v>50</v>
      </c>
      <c r="B311" s="5">
        <v>0</v>
      </c>
      <c r="C311" s="5">
        <v>0</v>
      </c>
      <c r="D311" s="5">
        <v>1</v>
      </c>
      <c r="E311" s="5">
        <v>233</v>
      </c>
      <c r="F311" s="5">
        <f>ROUND(Source!BD286,O311)</f>
        <v>0</v>
      </c>
      <c r="G311" s="5" t="s">
        <v>254</v>
      </c>
      <c r="H311" s="5" t="s">
        <v>255</v>
      </c>
      <c r="I311" s="5"/>
      <c r="J311" s="5"/>
      <c r="K311" s="5">
        <v>233</v>
      </c>
      <c r="L311" s="5">
        <v>24</v>
      </c>
      <c r="M311" s="5">
        <v>3</v>
      </c>
      <c r="N311" s="5" t="s">
        <v>3</v>
      </c>
      <c r="O311" s="5">
        <v>2</v>
      </c>
      <c r="P311" s="5"/>
      <c r="Q311" s="5"/>
      <c r="R311" s="5"/>
      <c r="S311" s="5"/>
      <c r="T311" s="5"/>
      <c r="U311" s="5"/>
      <c r="V311" s="5"/>
      <c r="W311" s="5">
        <v>0</v>
      </c>
      <c r="X311" s="5">
        <v>1</v>
      </c>
      <c r="Y311" s="5">
        <v>0</v>
      </c>
      <c r="Z311" s="5"/>
      <c r="AA311" s="5"/>
      <c r="AB311" s="5"/>
    </row>
    <row r="312" spans="1:206" x14ac:dyDescent="0.2">
      <c r="A312" s="5">
        <v>50</v>
      </c>
      <c r="B312" s="5">
        <v>0</v>
      </c>
      <c r="C312" s="5">
        <v>0</v>
      </c>
      <c r="D312" s="5">
        <v>1</v>
      </c>
      <c r="E312" s="5">
        <v>210</v>
      </c>
      <c r="F312" s="5">
        <f>ROUND(Source!X286,O312)</f>
        <v>95943.55</v>
      </c>
      <c r="G312" s="5" t="s">
        <v>256</v>
      </c>
      <c r="H312" s="5" t="s">
        <v>257</v>
      </c>
      <c r="I312" s="5"/>
      <c r="J312" s="5"/>
      <c r="K312" s="5">
        <v>210</v>
      </c>
      <c r="L312" s="5">
        <v>25</v>
      </c>
      <c r="M312" s="5">
        <v>3</v>
      </c>
      <c r="N312" s="5" t="s">
        <v>3</v>
      </c>
      <c r="O312" s="5">
        <v>2</v>
      </c>
      <c r="P312" s="5"/>
      <c r="Q312" s="5"/>
      <c r="R312" s="5"/>
      <c r="S312" s="5"/>
      <c r="T312" s="5"/>
      <c r="U312" s="5"/>
      <c r="V312" s="5"/>
      <c r="W312" s="5">
        <v>95943.55</v>
      </c>
      <c r="X312" s="5">
        <v>1</v>
      </c>
      <c r="Y312" s="5">
        <v>95943.55</v>
      </c>
      <c r="Z312" s="5"/>
      <c r="AA312" s="5"/>
      <c r="AB312" s="5"/>
    </row>
    <row r="313" spans="1:206" x14ac:dyDescent="0.2">
      <c r="A313" s="5">
        <v>50</v>
      </c>
      <c r="B313" s="5">
        <v>0</v>
      </c>
      <c r="C313" s="5">
        <v>0</v>
      </c>
      <c r="D313" s="5">
        <v>1</v>
      </c>
      <c r="E313" s="5">
        <v>211</v>
      </c>
      <c r="F313" s="5">
        <f>ROUND(Source!Y286,O313)</f>
        <v>49072.27</v>
      </c>
      <c r="G313" s="5" t="s">
        <v>258</v>
      </c>
      <c r="H313" s="5" t="s">
        <v>259</v>
      </c>
      <c r="I313" s="5"/>
      <c r="J313" s="5"/>
      <c r="K313" s="5">
        <v>211</v>
      </c>
      <c r="L313" s="5">
        <v>26</v>
      </c>
      <c r="M313" s="5">
        <v>3</v>
      </c>
      <c r="N313" s="5" t="s">
        <v>3</v>
      </c>
      <c r="O313" s="5">
        <v>2</v>
      </c>
      <c r="P313" s="5"/>
      <c r="Q313" s="5"/>
      <c r="R313" s="5"/>
      <c r="S313" s="5"/>
      <c r="T313" s="5"/>
      <c r="U313" s="5"/>
      <c r="V313" s="5"/>
      <c r="W313" s="5">
        <v>49072.27</v>
      </c>
      <c r="X313" s="5">
        <v>1</v>
      </c>
      <c r="Y313" s="5">
        <v>49072.27</v>
      </c>
      <c r="Z313" s="5"/>
      <c r="AA313" s="5"/>
      <c r="AB313" s="5"/>
    </row>
    <row r="314" spans="1:206" x14ac:dyDescent="0.2">
      <c r="A314" s="5">
        <v>50</v>
      </c>
      <c r="B314" s="5">
        <v>0</v>
      </c>
      <c r="C314" s="5">
        <v>0</v>
      </c>
      <c r="D314" s="5">
        <v>1</v>
      </c>
      <c r="E314" s="5">
        <v>224</v>
      </c>
      <c r="F314" s="5">
        <f>ROUND(Source!AR286,O314)</f>
        <v>491595.91</v>
      </c>
      <c r="G314" s="5" t="s">
        <v>260</v>
      </c>
      <c r="H314" s="5" t="s">
        <v>261</v>
      </c>
      <c r="I314" s="5"/>
      <c r="J314" s="5"/>
      <c r="K314" s="5">
        <v>224</v>
      </c>
      <c r="L314" s="5">
        <v>27</v>
      </c>
      <c r="M314" s="5">
        <v>3</v>
      </c>
      <c r="N314" s="5" t="s">
        <v>3</v>
      </c>
      <c r="O314" s="5">
        <v>2</v>
      </c>
      <c r="P314" s="5"/>
      <c r="Q314" s="5"/>
      <c r="R314" s="5"/>
      <c r="S314" s="5"/>
      <c r="T314" s="5"/>
      <c r="U314" s="5"/>
      <c r="V314" s="5"/>
      <c r="W314" s="5">
        <v>491595.91000000003</v>
      </c>
      <c r="X314" s="5">
        <v>1</v>
      </c>
      <c r="Y314" s="5">
        <v>491595.91000000003</v>
      </c>
      <c r="Z314" s="5"/>
      <c r="AA314" s="5"/>
      <c r="AB314" s="5"/>
    </row>
    <row r="316" spans="1:206" x14ac:dyDescent="0.2">
      <c r="A316" s="3">
        <v>51</v>
      </c>
      <c r="B316" s="3">
        <f>B12</f>
        <v>375</v>
      </c>
      <c r="C316" s="3">
        <f>A12</f>
        <v>1</v>
      </c>
      <c r="D316" s="3">
        <f>ROW(A12)</f>
        <v>12</v>
      </c>
      <c r="E316" s="3"/>
      <c r="F316" s="3" t="str">
        <f>IF(F12&lt;&gt;"",F12,"")</f>
        <v>Новый объект_(Копия)_(Копия)</v>
      </c>
      <c r="G316" s="3" t="str">
        <f>IF(G12&lt;&gt;"",G12,"")</f>
        <v>Строгановка Аудитория № 1009, 311, 239 ИСПРАВЛЕННАЯ по замечаниям Кости</v>
      </c>
      <c r="H316" s="3">
        <v>0</v>
      </c>
      <c r="I316" s="3"/>
      <c r="J316" s="3"/>
      <c r="K316" s="3"/>
      <c r="L316" s="3"/>
      <c r="M316" s="3"/>
      <c r="N316" s="3"/>
      <c r="O316" s="3">
        <f t="shared" ref="O316:T316" si="256">ROUND(O286,2)</f>
        <v>346580.09</v>
      </c>
      <c r="P316" s="3">
        <f t="shared" si="256"/>
        <v>252265.77</v>
      </c>
      <c r="Q316" s="3">
        <f t="shared" si="256"/>
        <v>-2194.08</v>
      </c>
      <c r="R316" s="3">
        <f t="shared" si="256"/>
        <v>-1700.83</v>
      </c>
      <c r="S316" s="3">
        <f t="shared" si="256"/>
        <v>98209.23</v>
      </c>
      <c r="T316" s="3">
        <f t="shared" si="256"/>
        <v>0</v>
      </c>
      <c r="U316" s="3">
        <f>U286</f>
        <v>142.99006460000001</v>
      </c>
      <c r="V316" s="3">
        <f>V286</f>
        <v>4.4200000000000003E-2</v>
      </c>
      <c r="W316" s="3">
        <f>ROUND(W286,2)</f>
        <v>0</v>
      </c>
      <c r="X316" s="3">
        <f>ROUND(X286,2)</f>
        <v>95943.55</v>
      </c>
      <c r="Y316" s="3">
        <f>ROUND(Y286,2)</f>
        <v>49072.27</v>
      </c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>
        <f t="shared" ref="AO316:BD316" si="257">ROUND(AO286,2)</f>
        <v>0</v>
      </c>
      <c r="AP316" s="3">
        <f t="shared" si="257"/>
        <v>0</v>
      </c>
      <c r="AQ316" s="3">
        <f t="shared" si="257"/>
        <v>0</v>
      </c>
      <c r="AR316" s="3">
        <f t="shared" si="257"/>
        <v>491595.91</v>
      </c>
      <c r="AS316" s="3">
        <f t="shared" si="257"/>
        <v>161431.39000000001</v>
      </c>
      <c r="AT316" s="3">
        <f t="shared" si="257"/>
        <v>330164.52</v>
      </c>
      <c r="AU316" s="3">
        <f t="shared" si="257"/>
        <v>0</v>
      </c>
      <c r="AV316" s="3">
        <f t="shared" si="257"/>
        <v>252265.77</v>
      </c>
      <c r="AW316" s="3">
        <f t="shared" si="257"/>
        <v>252265.77</v>
      </c>
      <c r="AX316" s="3">
        <f t="shared" si="257"/>
        <v>0</v>
      </c>
      <c r="AY316" s="3">
        <f t="shared" si="257"/>
        <v>252265.77</v>
      </c>
      <c r="AZ316" s="3">
        <f t="shared" si="257"/>
        <v>0</v>
      </c>
      <c r="BA316" s="3">
        <f t="shared" si="257"/>
        <v>0</v>
      </c>
      <c r="BB316" s="3">
        <f t="shared" si="257"/>
        <v>0</v>
      </c>
      <c r="BC316" s="3">
        <f t="shared" si="257"/>
        <v>0</v>
      </c>
      <c r="BD316" s="3">
        <f t="shared" si="257"/>
        <v>0</v>
      </c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>
        <v>0</v>
      </c>
    </row>
    <row r="318" spans="1:206" x14ac:dyDescent="0.2">
      <c r="A318" s="5">
        <v>50</v>
      </c>
      <c r="B318" s="5">
        <v>0</v>
      </c>
      <c r="C318" s="5">
        <v>0</v>
      </c>
      <c r="D318" s="5">
        <v>1</v>
      </c>
      <c r="E318" s="5">
        <v>201</v>
      </c>
      <c r="F318" s="5">
        <f>ROUND(Source!O316,O318)</f>
        <v>346580.09</v>
      </c>
      <c r="G318" s="5" t="s">
        <v>208</v>
      </c>
      <c r="H318" s="5" t="s">
        <v>209</v>
      </c>
      <c r="I318" s="5"/>
      <c r="J318" s="5"/>
      <c r="K318" s="5">
        <v>201</v>
      </c>
      <c r="L318" s="5">
        <v>1</v>
      </c>
      <c r="M318" s="5">
        <v>3</v>
      </c>
      <c r="N318" s="5" t="s">
        <v>3</v>
      </c>
      <c r="O318" s="5">
        <v>2</v>
      </c>
      <c r="P318" s="5"/>
      <c r="Q318" s="5"/>
      <c r="R318" s="5"/>
      <c r="S318" s="5"/>
      <c r="T318" s="5"/>
      <c r="U318" s="5"/>
      <c r="V318" s="5"/>
      <c r="W318" s="5">
        <v>346580.08999999997</v>
      </c>
      <c r="X318" s="5">
        <v>1</v>
      </c>
      <c r="Y318" s="5">
        <v>346580.08999999997</v>
      </c>
      <c r="Z318" s="5"/>
      <c r="AA318" s="5"/>
      <c r="AB318" s="5"/>
    </row>
    <row r="319" spans="1:206" x14ac:dyDescent="0.2">
      <c r="A319" s="5">
        <v>50</v>
      </c>
      <c r="B319" s="5">
        <v>0</v>
      </c>
      <c r="C319" s="5">
        <v>0</v>
      </c>
      <c r="D319" s="5">
        <v>1</v>
      </c>
      <c r="E319" s="5">
        <v>202</v>
      </c>
      <c r="F319" s="5">
        <f>ROUND(Source!P316,O319)</f>
        <v>252265.77</v>
      </c>
      <c r="G319" s="5" t="s">
        <v>210</v>
      </c>
      <c r="H319" s="5" t="s">
        <v>211</v>
      </c>
      <c r="I319" s="5"/>
      <c r="J319" s="5"/>
      <c r="K319" s="5">
        <v>202</v>
      </c>
      <c r="L319" s="5">
        <v>2</v>
      </c>
      <c r="M319" s="5">
        <v>3</v>
      </c>
      <c r="N319" s="5" t="s">
        <v>3</v>
      </c>
      <c r="O319" s="5">
        <v>2</v>
      </c>
      <c r="P319" s="5"/>
      <c r="Q319" s="5"/>
      <c r="R319" s="5"/>
      <c r="S319" s="5"/>
      <c r="T319" s="5"/>
      <c r="U319" s="5"/>
      <c r="V319" s="5"/>
      <c r="W319" s="5">
        <v>252265.77</v>
      </c>
      <c r="X319" s="5">
        <v>1</v>
      </c>
      <c r="Y319" s="5">
        <v>252265.77</v>
      </c>
      <c r="Z319" s="5"/>
      <c r="AA319" s="5"/>
      <c r="AB319" s="5"/>
    </row>
    <row r="320" spans="1:206" x14ac:dyDescent="0.2">
      <c r="A320" s="5">
        <v>50</v>
      </c>
      <c r="B320" s="5">
        <v>0</v>
      </c>
      <c r="C320" s="5">
        <v>0</v>
      </c>
      <c r="D320" s="5">
        <v>1</v>
      </c>
      <c r="E320" s="5">
        <v>222</v>
      </c>
      <c r="F320" s="5">
        <f>ROUND(Source!AO316,O320)</f>
        <v>0</v>
      </c>
      <c r="G320" s="5" t="s">
        <v>212</v>
      </c>
      <c r="H320" s="5" t="s">
        <v>213</v>
      </c>
      <c r="I320" s="5"/>
      <c r="J320" s="5"/>
      <c r="K320" s="5">
        <v>222</v>
      </c>
      <c r="L320" s="5">
        <v>3</v>
      </c>
      <c r="M320" s="5">
        <v>3</v>
      </c>
      <c r="N320" s="5" t="s">
        <v>3</v>
      </c>
      <c r="O320" s="5">
        <v>2</v>
      </c>
      <c r="P320" s="5"/>
      <c r="Q320" s="5"/>
      <c r="R320" s="5"/>
      <c r="S320" s="5"/>
      <c r="T320" s="5"/>
      <c r="U320" s="5"/>
      <c r="V320" s="5"/>
      <c r="W320" s="5">
        <v>0</v>
      </c>
      <c r="X320" s="5">
        <v>1</v>
      </c>
      <c r="Y320" s="5">
        <v>0</v>
      </c>
      <c r="Z320" s="5"/>
      <c r="AA320" s="5"/>
      <c r="AB320" s="5"/>
    </row>
    <row r="321" spans="1:28" x14ac:dyDescent="0.2">
      <c r="A321" s="5">
        <v>50</v>
      </c>
      <c r="B321" s="5">
        <v>0</v>
      </c>
      <c r="C321" s="5">
        <v>0</v>
      </c>
      <c r="D321" s="5">
        <v>1</v>
      </c>
      <c r="E321" s="5">
        <v>225</v>
      </c>
      <c r="F321" s="5">
        <f>ROUND(Source!AV316,O321)</f>
        <v>252265.77</v>
      </c>
      <c r="G321" s="5" t="s">
        <v>214</v>
      </c>
      <c r="H321" s="5" t="s">
        <v>215</v>
      </c>
      <c r="I321" s="5"/>
      <c r="J321" s="5"/>
      <c r="K321" s="5">
        <v>225</v>
      </c>
      <c r="L321" s="5">
        <v>4</v>
      </c>
      <c r="M321" s="5">
        <v>3</v>
      </c>
      <c r="N321" s="5" t="s">
        <v>3</v>
      </c>
      <c r="O321" s="5">
        <v>2</v>
      </c>
      <c r="P321" s="5"/>
      <c r="Q321" s="5"/>
      <c r="R321" s="5"/>
      <c r="S321" s="5"/>
      <c r="T321" s="5"/>
      <c r="U321" s="5"/>
      <c r="V321" s="5"/>
      <c r="W321" s="5">
        <v>252265.77</v>
      </c>
      <c r="X321" s="5">
        <v>1</v>
      </c>
      <c r="Y321" s="5">
        <v>252265.77</v>
      </c>
      <c r="Z321" s="5"/>
      <c r="AA321" s="5"/>
      <c r="AB321" s="5"/>
    </row>
    <row r="322" spans="1:28" x14ac:dyDescent="0.2">
      <c r="A322" s="5">
        <v>50</v>
      </c>
      <c r="B322" s="5">
        <v>0</v>
      </c>
      <c r="C322" s="5">
        <v>0</v>
      </c>
      <c r="D322" s="5">
        <v>1</v>
      </c>
      <c r="E322" s="5">
        <v>226</v>
      </c>
      <c r="F322" s="5">
        <f>ROUND(Source!AW316,O322)</f>
        <v>252265.77</v>
      </c>
      <c r="G322" s="5" t="s">
        <v>216</v>
      </c>
      <c r="H322" s="5" t="s">
        <v>217</v>
      </c>
      <c r="I322" s="5"/>
      <c r="J322" s="5"/>
      <c r="K322" s="5">
        <v>226</v>
      </c>
      <c r="L322" s="5">
        <v>5</v>
      </c>
      <c r="M322" s="5">
        <v>3</v>
      </c>
      <c r="N322" s="5" t="s">
        <v>3</v>
      </c>
      <c r="O322" s="5">
        <v>2</v>
      </c>
      <c r="P322" s="5"/>
      <c r="Q322" s="5"/>
      <c r="R322" s="5"/>
      <c r="S322" s="5"/>
      <c r="T322" s="5"/>
      <c r="U322" s="5"/>
      <c r="V322" s="5"/>
      <c r="W322" s="5">
        <v>252265.77</v>
      </c>
      <c r="X322" s="5">
        <v>1</v>
      </c>
      <c r="Y322" s="5">
        <v>252265.77</v>
      </c>
      <c r="Z322" s="5"/>
      <c r="AA322" s="5"/>
      <c r="AB322" s="5"/>
    </row>
    <row r="323" spans="1:28" x14ac:dyDescent="0.2">
      <c r="A323" s="5">
        <v>50</v>
      </c>
      <c r="B323" s="5">
        <v>0</v>
      </c>
      <c r="C323" s="5">
        <v>0</v>
      </c>
      <c r="D323" s="5">
        <v>1</v>
      </c>
      <c r="E323" s="5">
        <v>227</v>
      </c>
      <c r="F323" s="5">
        <f>ROUND(Source!AX316,O323)</f>
        <v>0</v>
      </c>
      <c r="G323" s="5" t="s">
        <v>218</v>
      </c>
      <c r="H323" s="5" t="s">
        <v>219</v>
      </c>
      <c r="I323" s="5"/>
      <c r="J323" s="5"/>
      <c r="K323" s="5">
        <v>227</v>
      </c>
      <c r="L323" s="5">
        <v>6</v>
      </c>
      <c r="M323" s="5">
        <v>3</v>
      </c>
      <c r="N323" s="5" t="s">
        <v>3</v>
      </c>
      <c r="O323" s="5">
        <v>2</v>
      </c>
      <c r="P323" s="5"/>
      <c r="Q323" s="5"/>
      <c r="R323" s="5"/>
      <c r="S323" s="5"/>
      <c r="T323" s="5"/>
      <c r="U323" s="5"/>
      <c r="V323" s="5"/>
      <c r="W323" s="5">
        <v>0</v>
      </c>
      <c r="X323" s="5">
        <v>1</v>
      </c>
      <c r="Y323" s="5">
        <v>0</v>
      </c>
      <c r="Z323" s="5"/>
      <c r="AA323" s="5"/>
      <c r="AB323" s="5"/>
    </row>
    <row r="324" spans="1:28" x14ac:dyDescent="0.2">
      <c r="A324" s="5">
        <v>50</v>
      </c>
      <c r="B324" s="5">
        <v>0</v>
      </c>
      <c r="C324" s="5">
        <v>0</v>
      </c>
      <c r="D324" s="5">
        <v>1</v>
      </c>
      <c r="E324" s="5">
        <v>228</v>
      </c>
      <c r="F324" s="5">
        <f>ROUND(Source!AY316,O324)</f>
        <v>252265.77</v>
      </c>
      <c r="G324" s="5" t="s">
        <v>220</v>
      </c>
      <c r="H324" s="5" t="s">
        <v>221</v>
      </c>
      <c r="I324" s="5"/>
      <c r="J324" s="5"/>
      <c r="K324" s="5">
        <v>228</v>
      </c>
      <c r="L324" s="5">
        <v>7</v>
      </c>
      <c r="M324" s="5">
        <v>3</v>
      </c>
      <c r="N324" s="5" t="s">
        <v>3</v>
      </c>
      <c r="O324" s="5">
        <v>2</v>
      </c>
      <c r="P324" s="5"/>
      <c r="Q324" s="5"/>
      <c r="R324" s="5"/>
      <c r="S324" s="5"/>
      <c r="T324" s="5"/>
      <c r="U324" s="5"/>
      <c r="V324" s="5"/>
      <c r="W324" s="5">
        <v>252265.77</v>
      </c>
      <c r="X324" s="5">
        <v>1</v>
      </c>
      <c r="Y324" s="5">
        <v>252265.77</v>
      </c>
      <c r="Z324" s="5"/>
      <c r="AA324" s="5"/>
      <c r="AB324" s="5"/>
    </row>
    <row r="325" spans="1:28" x14ac:dyDescent="0.2">
      <c r="A325" s="5">
        <v>50</v>
      </c>
      <c r="B325" s="5">
        <v>0</v>
      </c>
      <c r="C325" s="5">
        <v>0</v>
      </c>
      <c r="D325" s="5">
        <v>1</v>
      </c>
      <c r="E325" s="5">
        <v>216</v>
      </c>
      <c r="F325" s="5">
        <f>ROUND(Source!AP316,O325)</f>
        <v>0</v>
      </c>
      <c r="G325" s="5" t="s">
        <v>222</v>
      </c>
      <c r="H325" s="5" t="s">
        <v>223</v>
      </c>
      <c r="I325" s="5"/>
      <c r="J325" s="5"/>
      <c r="K325" s="5">
        <v>216</v>
      </c>
      <c r="L325" s="5">
        <v>8</v>
      </c>
      <c r="M325" s="5">
        <v>3</v>
      </c>
      <c r="N325" s="5" t="s">
        <v>3</v>
      </c>
      <c r="O325" s="5">
        <v>2</v>
      </c>
      <c r="P325" s="5"/>
      <c r="Q325" s="5"/>
      <c r="R325" s="5"/>
      <c r="S325" s="5"/>
      <c r="T325" s="5"/>
      <c r="U325" s="5"/>
      <c r="V325" s="5"/>
      <c r="W325" s="5">
        <v>0</v>
      </c>
      <c r="X325" s="5">
        <v>1</v>
      </c>
      <c r="Y325" s="5">
        <v>0</v>
      </c>
      <c r="Z325" s="5"/>
      <c r="AA325" s="5"/>
      <c r="AB325" s="5"/>
    </row>
    <row r="326" spans="1:28" x14ac:dyDescent="0.2">
      <c r="A326" s="5">
        <v>50</v>
      </c>
      <c r="B326" s="5">
        <v>0</v>
      </c>
      <c r="C326" s="5">
        <v>0</v>
      </c>
      <c r="D326" s="5">
        <v>1</v>
      </c>
      <c r="E326" s="5">
        <v>223</v>
      </c>
      <c r="F326" s="5">
        <f>ROUND(Source!AQ316,O326)</f>
        <v>0</v>
      </c>
      <c r="G326" s="5" t="s">
        <v>224</v>
      </c>
      <c r="H326" s="5" t="s">
        <v>225</v>
      </c>
      <c r="I326" s="5"/>
      <c r="J326" s="5"/>
      <c r="K326" s="5">
        <v>223</v>
      </c>
      <c r="L326" s="5">
        <v>9</v>
      </c>
      <c r="M326" s="5">
        <v>3</v>
      </c>
      <c r="N326" s="5" t="s">
        <v>3</v>
      </c>
      <c r="O326" s="5">
        <v>2</v>
      </c>
      <c r="P326" s="5"/>
      <c r="Q326" s="5"/>
      <c r="R326" s="5"/>
      <c r="S326" s="5"/>
      <c r="T326" s="5"/>
      <c r="U326" s="5"/>
      <c r="V326" s="5"/>
      <c r="W326" s="5">
        <v>0</v>
      </c>
      <c r="X326" s="5">
        <v>1</v>
      </c>
      <c r="Y326" s="5">
        <v>0</v>
      </c>
      <c r="Z326" s="5"/>
      <c r="AA326" s="5"/>
      <c r="AB326" s="5"/>
    </row>
    <row r="327" spans="1:28" x14ac:dyDescent="0.2">
      <c r="A327" s="5">
        <v>50</v>
      </c>
      <c r="B327" s="5">
        <v>0</v>
      </c>
      <c r="C327" s="5">
        <v>0</v>
      </c>
      <c r="D327" s="5">
        <v>1</v>
      </c>
      <c r="E327" s="5">
        <v>229</v>
      </c>
      <c r="F327" s="5">
        <f>ROUND(Source!AZ316,O327)</f>
        <v>0</v>
      </c>
      <c r="G327" s="5" t="s">
        <v>226</v>
      </c>
      <c r="H327" s="5" t="s">
        <v>227</v>
      </c>
      <c r="I327" s="5"/>
      <c r="J327" s="5"/>
      <c r="K327" s="5">
        <v>229</v>
      </c>
      <c r="L327" s="5">
        <v>10</v>
      </c>
      <c r="M327" s="5">
        <v>3</v>
      </c>
      <c r="N327" s="5" t="s">
        <v>3</v>
      </c>
      <c r="O327" s="5">
        <v>2</v>
      </c>
      <c r="P327" s="5"/>
      <c r="Q327" s="5"/>
      <c r="R327" s="5"/>
      <c r="S327" s="5"/>
      <c r="T327" s="5"/>
      <c r="U327" s="5"/>
      <c r="V327" s="5"/>
      <c r="W327" s="5">
        <v>0</v>
      </c>
      <c r="X327" s="5">
        <v>1</v>
      </c>
      <c r="Y327" s="5">
        <v>0</v>
      </c>
      <c r="Z327" s="5"/>
      <c r="AA327" s="5"/>
      <c r="AB327" s="5"/>
    </row>
    <row r="328" spans="1:28" x14ac:dyDescent="0.2">
      <c r="A328" s="5">
        <v>50</v>
      </c>
      <c r="B328" s="5">
        <v>0</v>
      </c>
      <c r="C328" s="5">
        <v>0</v>
      </c>
      <c r="D328" s="5">
        <v>1</v>
      </c>
      <c r="E328" s="5">
        <v>203</v>
      </c>
      <c r="F328" s="5">
        <f>ROUND(Source!Q316,O328)</f>
        <v>-2194.08</v>
      </c>
      <c r="G328" s="5" t="s">
        <v>228</v>
      </c>
      <c r="H328" s="5" t="s">
        <v>229</v>
      </c>
      <c r="I328" s="5"/>
      <c r="J328" s="5"/>
      <c r="K328" s="5">
        <v>203</v>
      </c>
      <c r="L328" s="5">
        <v>11</v>
      </c>
      <c r="M328" s="5">
        <v>3</v>
      </c>
      <c r="N328" s="5" t="s">
        <v>3</v>
      </c>
      <c r="O328" s="5">
        <v>2</v>
      </c>
      <c r="P328" s="5"/>
      <c r="Q328" s="5"/>
      <c r="R328" s="5"/>
      <c r="S328" s="5"/>
      <c r="T328" s="5"/>
      <c r="U328" s="5"/>
      <c r="V328" s="5"/>
      <c r="W328" s="5">
        <v>-2194.08</v>
      </c>
      <c r="X328" s="5">
        <v>1</v>
      </c>
      <c r="Y328" s="5">
        <v>-2194.08</v>
      </c>
      <c r="Z328" s="5"/>
      <c r="AA328" s="5"/>
      <c r="AB328" s="5"/>
    </row>
    <row r="329" spans="1:28" x14ac:dyDescent="0.2">
      <c r="A329" s="5">
        <v>50</v>
      </c>
      <c r="B329" s="5">
        <v>0</v>
      </c>
      <c r="C329" s="5">
        <v>0</v>
      </c>
      <c r="D329" s="5">
        <v>1</v>
      </c>
      <c r="E329" s="5">
        <v>231</v>
      </c>
      <c r="F329" s="5">
        <f>ROUND(Source!BB316,O329)</f>
        <v>0</v>
      </c>
      <c r="G329" s="5" t="s">
        <v>230</v>
      </c>
      <c r="H329" s="5" t="s">
        <v>231</v>
      </c>
      <c r="I329" s="5"/>
      <c r="J329" s="5"/>
      <c r="K329" s="5">
        <v>231</v>
      </c>
      <c r="L329" s="5">
        <v>12</v>
      </c>
      <c r="M329" s="5">
        <v>3</v>
      </c>
      <c r="N329" s="5" t="s">
        <v>3</v>
      </c>
      <c r="O329" s="5">
        <v>2</v>
      </c>
      <c r="P329" s="5"/>
      <c r="Q329" s="5"/>
      <c r="R329" s="5"/>
      <c r="S329" s="5"/>
      <c r="T329" s="5"/>
      <c r="U329" s="5"/>
      <c r="V329" s="5"/>
      <c r="W329" s="5">
        <v>0</v>
      </c>
      <c r="X329" s="5">
        <v>1</v>
      </c>
      <c r="Y329" s="5">
        <v>0</v>
      </c>
      <c r="Z329" s="5"/>
      <c r="AA329" s="5"/>
      <c r="AB329" s="5"/>
    </row>
    <row r="330" spans="1:28" x14ac:dyDescent="0.2">
      <c r="A330" s="5">
        <v>50</v>
      </c>
      <c r="B330" s="5">
        <v>0</v>
      </c>
      <c r="C330" s="5">
        <v>0</v>
      </c>
      <c r="D330" s="5">
        <v>1</v>
      </c>
      <c r="E330" s="5">
        <v>204</v>
      </c>
      <c r="F330" s="5">
        <f>ROUND(Source!R316,O330)</f>
        <v>-1700.83</v>
      </c>
      <c r="G330" s="5" t="s">
        <v>232</v>
      </c>
      <c r="H330" s="5" t="s">
        <v>233</v>
      </c>
      <c r="I330" s="5"/>
      <c r="J330" s="5"/>
      <c r="K330" s="5">
        <v>204</v>
      </c>
      <c r="L330" s="5">
        <v>13</v>
      </c>
      <c r="M330" s="5">
        <v>3</v>
      </c>
      <c r="N330" s="5" t="s">
        <v>3</v>
      </c>
      <c r="O330" s="5">
        <v>2</v>
      </c>
      <c r="P330" s="5"/>
      <c r="Q330" s="5"/>
      <c r="R330" s="5"/>
      <c r="S330" s="5"/>
      <c r="T330" s="5"/>
      <c r="U330" s="5"/>
      <c r="V330" s="5"/>
      <c r="W330" s="5">
        <v>-1700.8299999999997</v>
      </c>
      <c r="X330" s="5">
        <v>1</v>
      </c>
      <c r="Y330" s="5">
        <v>-1700.8299999999997</v>
      </c>
      <c r="Z330" s="5"/>
      <c r="AA330" s="5"/>
      <c r="AB330" s="5"/>
    </row>
    <row r="331" spans="1:28" x14ac:dyDescent="0.2">
      <c r="A331" s="5">
        <v>50</v>
      </c>
      <c r="B331" s="5">
        <v>0</v>
      </c>
      <c r="C331" s="5">
        <v>0</v>
      </c>
      <c r="D331" s="5">
        <v>1</v>
      </c>
      <c r="E331" s="5">
        <v>205</v>
      </c>
      <c r="F331" s="5">
        <f>ROUND(Source!S316,O331)</f>
        <v>98209.23</v>
      </c>
      <c r="G331" s="5" t="s">
        <v>234</v>
      </c>
      <c r="H331" s="5" t="s">
        <v>235</v>
      </c>
      <c r="I331" s="5"/>
      <c r="J331" s="5"/>
      <c r="K331" s="5">
        <v>205</v>
      </c>
      <c r="L331" s="5">
        <v>14</v>
      </c>
      <c r="M331" s="5">
        <v>3</v>
      </c>
      <c r="N331" s="5" t="s">
        <v>3</v>
      </c>
      <c r="O331" s="5">
        <v>2</v>
      </c>
      <c r="P331" s="5"/>
      <c r="Q331" s="5"/>
      <c r="R331" s="5"/>
      <c r="S331" s="5"/>
      <c r="T331" s="5"/>
      <c r="U331" s="5"/>
      <c r="V331" s="5"/>
      <c r="W331" s="5">
        <v>98209.23000000001</v>
      </c>
      <c r="X331" s="5">
        <v>1</v>
      </c>
      <c r="Y331" s="5">
        <v>98209.23000000001</v>
      </c>
      <c r="Z331" s="5"/>
      <c r="AA331" s="5"/>
      <c r="AB331" s="5"/>
    </row>
    <row r="332" spans="1:28" x14ac:dyDescent="0.2">
      <c r="A332" s="5">
        <v>50</v>
      </c>
      <c r="B332" s="5">
        <v>0</v>
      </c>
      <c r="C332" s="5">
        <v>0</v>
      </c>
      <c r="D332" s="5">
        <v>1</v>
      </c>
      <c r="E332" s="5">
        <v>232</v>
      </c>
      <c r="F332" s="5">
        <f>ROUND(Source!BC316,O332)</f>
        <v>0</v>
      </c>
      <c r="G332" s="5" t="s">
        <v>236</v>
      </c>
      <c r="H332" s="5" t="s">
        <v>237</v>
      </c>
      <c r="I332" s="5"/>
      <c r="J332" s="5"/>
      <c r="K332" s="5">
        <v>232</v>
      </c>
      <c r="L332" s="5">
        <v>15</v>
      </c>
      <c r="M332" s="5">
        <v>3</v>
      </c>
      <c r="N332" s="5" t="s">
        <v>3</v>
      </c>
      <c r="O332" s="5">
        <v>2</v>
      </c>
      <c r="P332" s="5"/>
      <c r="Q332" s="5"/>
      <c r="R332" s="5"/>
      <c r="S332" s="5"/>
      <c r="T332" s="5"/>
      <c r="U332" s="5"/>
      <c r="V332" s="5"/>
      <c r="W332" s="5">
        <v>0</v>
      </c>
      <c r="X332" s="5">
        <v>1</v>
      </c>
      <c r="Y332" s="5">
        <v>0</v>
      </c>
      <c r="Z332" s="5"/>
      <c r="AA332" s="5"/>
      <c r="AB332" s="5"/>
    </row>
    <row r="333" spans="1:28" x14ac:dyDescent="0.2">
      <c r="A333" s="5">
        <v>50</v>
      </c>
      <c r="B333" s="5">
        <v>0</v>
      </c>
      <c r="C333" s="5">
        <v>0</v>
      </c>
      <c r="D333" s="5">
        <v>1</v>
      </c>
      <c r="E333" s="5">
        <v>214</v>
      </c>
      <c r="F333" s="5">
        <f>ROUND(Source!AS316,O333)</f>
        <v>161431.39000000001</v>
      </c>
      <c r="G333" s="5" t="s">
        <v>238</v>
      </c>
      <c r="H333" s="5" t="s">
        <v>239</v>
      </c>
      <c r="I333" s="5"/>
      <c r="J333" s="5"/>
      <c r="K333" s="5">
        <v>214</v>
      </c>
      <c r="L333" s="5">
        <v>16</v>
      </c>
      <c r="M333" s="5">
        <v>3</v>
      </c>
      <c r="N333" s="5" t="s">
        <v>3</v>
      </c>
      <c r="O333" s="5">
        <v>2</v>
      </c>
      <c r="P333" s="5"/>
      <c r="Q333" s="5"/>
      <c r="R333" s="5"/>
      <c r="S333" s="5"/>
      <c r="T333" s="5"/>
      <c r="U333" s="5"/>
      <c r="V333" s="5"/>
      <c r="W333" s="5">
        <v>161431.39000000001</v>
      </c>
      <c r="X333" s="5">
        <v>1</v>
      </c>
      <c r="Y333" s="5">
        <v>161431.39000000001</v>
      </c>
      <c r="Z333" s="5"/>
      <c r="AA333" s="5"/>
      <c r="AB333" s="5"/>
    </row>
    <row r="334" spans="1:28" x14ac:dyDescent="0.2">
      <c r="A334" s="5">
        <v>50</v>
      </c>
      <c r="B334" s="5">
        <v>0</v>
      </c>
      <c r="C334" s="5">
        <v>0</v>
      </c>
      <c r="D334" s="5">
        <v>1</v>
      </c>
      <c r="E334" s="5">
        <v>215</v>
      </c>
      <c r="F334" s="5">
        <f>ROUND(Source!AT316,O334)</f>
        <v>330164.52</v>
      </c>
      <c r="G334" s="5" t="s">
        <v>240</v>
      </c>
      <c r="H334" s="5" t="s">
        <v>241</v>
      </c>
      <c r="I334" s="5"/>
      <c r="J334" s="5"/>
      <c r="K334" s="5">
        <v>215</v>
      </c>
      <c r="L334" s="5">
        <v>17</v>
      </c>
      <c r="M334" s="5">
        <v>3</v>
      </c>
      <c r="N334" s="5" t="s">
        <v>3</v>
      </c>
      <c r="O334" s="5">
        <v>2</v>
      </c>
      <c r="P334" s="5"/>
      <c r="Q334" s="5"/>
      <c r="R334" s="5"/>
      <c r="S334" s="5"/>
      <c r="T334" s="5"/>
      <c r="U334" s="5"/>
      <c r="V334" s="5"/>
      <c r="W334" s="5">
        <v>330164.52</v>
      </c>
      <c r="X334" s="5">
        <v>1</v>
      </c>
      <c r="Y334" s="5">
        <v>330164.52</v>
      </c>
      <c r="Z334" s="5"/>
      <c r="AA334" s="5"/>
      <c r="AB334" s="5"/>
    </row>
    <row r="335" spans="1:28" x14ac:dyDescent="0.2">
      <c r="A335" s="5">
        <v>50</v>
      </c>
      <c r="B335" s="5">
        <v>0</v>
      </c>
      <c r="C335" s="5">
        <v>0</v>
      </c>
      <c r="D335" s="5">
        <v>1</v>
      </c>
      <c r="E335" s="5">
        <v>217</v>
      </c>
      <c r="F335" s="5">
        <f>ROUND(Source!AU316,O335)</f>
        <v>0</v>
      </c>
      <c r="G335" s="5" t="s">
        <v>242</v>
      </c>
      <c r="H335" s="5" t="s">
        <v>243</v>
      </c>
      <c r="I335" s="5"/>
      <c r="J335" s="5"/>
      <c r="K335" s="5">
        <v>217</v>
      </c>
      <c r="L335" s="5">
        <v>18</v>
      </c>
      <c r="M335" s="5">
        <v>3</v>
      </c>
      <c r="N335" s="5" t="s">
        <v>3</v>
      </c>
      <c r="O335" s="5">
        <v>2</v>
      </c>
      <c r="P335" s="5"/>
      <c r="Q335" s="5"/>
      <c r="R335" s="5"/>
      <c r="S335" s="5"/>
      <c r="T335" s="5"/>
      <c r="U335" s="5"/>
      <c r="V335" s="5"/>
      <c r="W335" s="5">
        <v>0</v>
      </c>
      <c r="X335" s="5">
        <v>1</v>
      </c>
      <c r="Y335" s="5">
        <v>0</v>
      </c>
      <c r="Z335" s="5"/>
      <c r="AA335" s="5"/>
      <c r="AB335" s="5"/>
    </row>
    <row r="336" spans="1:28" x14ac:dyDescent="0.2">
      <c r="A336" s="5">
        <v>50</v>
      </c>
      <c r="B336" s="5">
        <v>0</v>
      </c>
      <c r="C336" s="5">
        <v>0</v>
      </c>
      <c r="D336" s="5">
        <v>1</v>
      </c>
      <c r="E336" s="5">
        <v>230</v>
      </c>
      <c r="F336" s="5">
        <f>ROUND(Source!BA316,O336)</f>
        <v>0</v>
      </c>
      <c r="G336" s="5" t="s">
        <v>244</v>
      </c>
      <c r="H336" s="5" t="s">
        <v>245</v>
      </c>
      <c r="I336" s="5"/>
      <c r="J336" s="5"/>
      <c r="K336" s="5">
        <v>230</v>
      </c>
      <c r="L336" s="5">
        <v>19</v>
      </c>
      <c r="M336" s="5">
        <v>3</v>
      </c>
      <c r="N336" s="5" t="s">
        <v>3</v>
      </c>
      <c r="O336" s="5">
        <v>2</v>
      </c>
      <c r="P336" s="5"/>
      <c r="Q336" s="5"/>
      <c r="R336" s="5"/>
      <c r="S336" s="5"/>
      <c r="T336" s="5"/>
      <c r="U336" s="5"/>
      <c r="V336" s="5"/>
      <c r="W336" s="5">
        <v>0</v>
      </c>
      <c r="X336" s="5">
        <v>1</v>
      </c>
      <c r="Y336" s="5">
        <v>0</v>
      </c>
      <c r="Z336" s="5"/>
      <c r="AA336" s="5"/>
      <c r="AB336" s="5"/>
    </row>
    <row r="337" spans="1:28" x14ac:dyDescent="0.2">
      <c r="A337" s="5">
        <v>50</v>
      </c>
      <c r="B337" s="5">
        <v>0</v>
      </c>
      <c r="C337" s="5">
        <v>0</v>
      </c>
      <c r="D337" s="5">
        <v>1</v>
      </c>
      <c r="E337" s="5">
        <v>206</v>
      </c>
      <c r="F337" s="5">
        <f>ROUND(Source!T316,O337)</f>
        <v>0</v>
      </c>
      <c r="G337" s="5" t="s">
        <v>246</v>
      </c>
      <c r="H337" s="5" t="s">
        <v>247</v>
      </c>
      <c r="I337" s="5"/>
      <c r="J337" s="5"/>
      <c r="K337" s="5">
        <v>206</v>
      </c>
      <c r="L337" s="5">
        <v>20</v>
      </c>
      <c r="M337" s="5">
        <v>3</v>
      </c>
      <c r="N337" s="5" t="s">
        <v>3</v>
      </c>
      <c r="O337" s="5">
        <v>2</v>
      </c>
      <c r="P337" s="5"/>
      <c r="Q337" s="5"/>
      <c r="R337" s="5"/>
      <c r="S337" s="5"/>
      <c r="T337" s="5"/>
      <c r="U337" s="5"/>
      <c r="V337" s="5"/>
      <c r="W337" s="5">
        <v>0</v>
      </c>
      <c r="X337" s="5">
        <v>1</v>
      </c>
      <c r="Y337" s="5">
        <v>0</v>
      </c>
      <c r="Z337" s="5"/>
      <c r="AA337" s="5"/>
      <c r="AB337" s="5"/>
    </row>
    <row r="338" spans="1:28" x14ac:dyDescent="0.2">
      <c r="A338" s="5">
        <v>50</v>
      </c>
      <c r="B338" s="5">
        <v>0</v>
      </c>
      <c r="C338" s="5">
        <v>0</v>
      </c>
      <c r="D338" s="5">
        <v>1</v>
      </c>
      <c r="E338" s="5">
        <v>207</v>
      </c>
      <c r="F338" s="5">
        <f>ROUND(Source!U316,O338)</f>
        <v>142.99006460000001</v>
      </c>
      <c r="G338" s="5" t="s">
        <v>248</v>
      </c>
      <c r="H338" s="5" t="s">
        <v>249</v>
      </c>
      <c r="I338" s="5"/>
      <c r="J338" s="5"/>
      <c r="K338" s="5">
        <v>207</v>
      </c>
      <c r="L338" s="5">
        <v>21</v>
      </c>
      <c r="M338" s="5">
        <v>3</v>
      </c>
      <c r="N338" s="5" t="s">
        <v>3</v>
      </c>
      <c r="O338" s="5">
        <v>7</v>
      </c>
      <c r="P338" s="5"/>
      <c r="Q338" s="5"/>
      <c r="R338" s="5"/>
      <c r="S338" s="5"/>
      <c r="T338" s="5"/>
      <c r="U338" s="5"/>
      <c r="V338" s="5"/>
      <c r="W338" s="5">
        <v>142.99006460000001</v>
      </c>
      <c r="X338" s="5">
        <v>1</v>
      </c>
      <c r="Y338" s="5">
        <v>142.99006460000001</v>
      </c>
      <c r="Z338" s="5"/>
      <c r="AA338" s="5"/>
      <c r="AB338" s="5"/>
    </row>
    <row r="339" spans="1:28" x14ac:dyDescent="0.2">
      <c r="A339" s="5">
        <v>50</v>
      </c>
      <c r="B339" s="5">
        <v>0</v>
      </c>
      <c r="C339" s="5">
        <v>0</v>
      </c>
      <c r="D339" s="5">
        <v>1</v>
      </c>
      <c r="E339" s="5">
        <v>208</v>
      </c>
      <c r="F339" s="5">
        <f>ROUND(Source!V316,O339)</f>
        <v>4.4200000000000003E-2</v>
      </c>
      <c r="G339" s="5" t="s">
        <v>250</v>
      </c>
      <c r="H339" s="5" t="s">
        <v>251</v>
      </c>
      <c r="I339" s="5"/>
      <c r="J339" s="5"/>
      <c r="K339" s="5">
        <v>208</v>
      </c>
      <c r="L339" s="5">
        <v>22</v>
      </c>
      <c r="M339" s="5">
        <v>3</v>
      </c>
      <c r="N339" s="5" t="s">
        <v>3</v>
      </c>
      <c r="O339" s="5">
        <v>7</v>
      </c>
      <c r="P339" s="5"/>
      <c r="Q339" s="5"/>
      <c r="R339" s="5"/>
      <c r="S339" s="5"/>
      <c r="T339" s="5"/>
      <c r="U339" s="5"/>
      <c r="V339" s="5"/>
      <c r="W339" s="5">
        <v>4.4200000000000003E-2</v>
      </c>
      <c r="X339" s="5">
        <v>1</v>
      </c>
      <c r="Y339" s="5">
        <v>4.4200000000000003E-2</v>
      </c>
      <c r="Z339" s="5"/>
      <c r="AA339" s="5"/>
      <c r="AB339" s="5"/>
    </row>
    <row r="340" spans="1:28" x14ac:dyDescent="0.2">
      <c r="A340" s="5">
        <v>50</v>
      </c>
      <c r="B340" s="5">
        <v>0</v>
      </c>
      <c r="C340" s="5">
        <v>0</v>
      </c>
      <c r="D340" s="5">
        <v>1</v>
      </c>
      <c r="E340" s="5">
        <v>209</v>
      </c>
      <c r="F340" s="5">
        <f>ROUND(Source!W316,O340)</f>
        <v>0</v>
      </c>
      <c r="G340" s="5" t="s">
        <v>252</v>
      </c>
      <c r="H340" s="5" t="s">
        <v>253</v>
      </c>
      <c r="I340" s="5"/>
      <c r="J340" s="5"/>
      <c r="K340" s="5">
        <v>209</v>
      </c>
      <c r="L340" s="5">
        <v>23</v>
      </c>
      <c r="M340" s="5">
        <v>3</v>
      </c>
      <c r="N340" s="5" t="s">
        <v>3</v>
      </c>
      <c r="O340" s="5">
        <v>2</v>
      </c>
      <c r="P340" s="5"/>
      <c r="Q340" s="5"/>
      <c r="R340" s="5"/>
      <c r="S340" s="5"/>
      <c r="T340" s="5"/>
      <c r="U340" s="5"/>
      <c r="V340" s="5"/>
      <c r="W340" s="5">
        <v>0</v>
      </c>
      <c r="X340" s="5">
        <v>1</v>
      </c>
      <c r="Y340" s="5">
        <v>0</v>
      </c>
      <c r="Z340" s="5"/>
      <c r="AA340" s="5"/>
      <c r="AB340" s="5"/>
    </row>
    <row r="341" spans="1:28" x14ac:dyDescent="0.2">
      <c r="A341" s="5">
        <v>50</v>
      </c>
      <c r="B341" s="5">
        <v>0</v>
      </c>
      <c r="C341" s="5">
        <v>0</v>
      </c>
      <c r="D341" s="5">
        <v>1</v>
      </c>
      <c r="E341" s="5">
        <v>233</v>
      </c>
      <c r="F341" s="5">
        <f>ROUND(Source!BD316,O341)</f>
        <v>0</v>
      </c>
      <c r="G341" s="5" t="s">
        <v>254</v>
      </c>
      <c r="H341" s="5" t="s">
        <v>255</v>
      </c>
      <c r="I341" s="5"/>
      <c r="J341" s="5"/>
      <c r="K341" s="5">
        <v>233</v>
      </c>
      <c r="L341" s="5">
        <v>24</v>
      </c>
      <c r="M341" s="5">
        <v>3</v>
      </c>
      <c r="N341" s="5" t="s">
        <v>3</v>
      </c>
      <c r="O341" s="5">
        <v>2</v>
      </c>
      <c r="P341" s="5"/>
      <c r="Q341" s="5"/>
      <c r="R341" s="5"/>
      <c r="S341" s="5"/>
      <c r="T341" s="5"/>
      <c r="U341" s="5"/>
      <c r="V341" s="5"/>
      <c r="W341" s="5">
        <v>0</v>
      </c>
      <c r="X341" s="5">
        <v>1</v>
      </c>
      <c r="Y341" s="5">
        <v>0</v>
      </c>
      <c r="Z341" s="5"/>
      <c r="AA341" s="5"/>
      <c r="AB341" s="5"/>
    </row>
    <row r="342" spans="1:28" x14ac:dyDescent="0.2">
      <c r="A342" s="5">
        <v>50</v>
      </c>
      <c r="B342" s="5">
        <v>0</v>
      </c>
      <c r="C342" s="5">
        <v>0</v>
      </c>
      <c r="D342" s="5">
        <v>1</v>
      </c>
      <c r="E342" s="5">
        <v>210</v>
      </c>
      <c r="F342" s="5">
        <f>ROUND(Source!X316,O342)</f>
        <v>95943.55</v>
      </c>
      <c r="G342" s="5" t="s">
        <v>256</v>
      </c>
      <c r="H342" s="5" t="s">
        <v>257</v>
      </c>
      <c r="I342" s="5"/>
      <c r="J342" s="5"/>
      <c r="K342" s="5">
        <v>210</v>
      </c>
      <c r="L342" s="5">
        <v>25</v>
      </c>
      <c r="M342" s="5">
        <v>3</v>
      </c>
      <c r="N342" s="5" t="s">
        <v>3</v>
      </c>
      <c r="O342" s="5">
        <v>2</v>
      </c>
      <c r="P342" s="5"/>
      <c r="Q342" s="5"/>
      <c r="R342" s="5"/>
      <c r="S342" s="5"/>
      <c r="T342" s="5"/>
      <c r="U342" s="5"/>
      <c r="V342" s="5"/>
      <c r="W342" s="5">
        <v>95943.55</v>
      </c>
      <c r="X342" s="5">
        <v>1</v>
      </c>
      <c r="Y342" s="5">
        <v>95943.55</v>
      </c>
      <c r="Z342" s="5"/>
      <c r="AA342" s="5"/>
      <c r="AB342" s="5"/>
    </row>
    <row r="343" spans="1:28" x14ac:dyDescent="0.2">
      <c r="A343" s="5">
        <v>50</v>
      </c>
      <c r="B343" s="5">
        <v>0</v>
      </c>
      <c r="C343" s="5">
        <v>0</v>
      </c>
      <c r="D343" s="5">
        <v>1</v>
      </c>
      <c r="E343" s="5">
        <v>211</v>
      </c>
      <c r="F343" s="5">
        <f>ROUND(Source!Y316,O343)</f>
        <v>49072.27</v>
      </c>
      <c r="G343" s="5" t="s">
        <v>258</v>
      </c>
      <c r="H343" s="5" t="s">
        <v>259</v>
      </c>
      <c r="I343" s="5"/>
      <c r="J343" s="5"/>
      <c r="K343" s="5">
        <v>211</v>
      </c>
      <c r="L343" s="5">
        <v>26</v>
      </c>
      <c r="M343" s="5">
        <v>3</v>
      </c>
      <c r="N343" s="5" t="s">
        <v>3</v>
      </c>
      <c r="O343" s="5">
        <v>2</v>
      </c>
      <c r="P343" s="5"/>
      <c r="Q343" s="5"/>
      <c r="R343" s="5"/>
      <c r="S343" s="5"/>
      <c r="T343" s="5"/>
      <c r="U343" s="5"/>
      <c r="V343" s="5"/>
      <c r="W343" s="5">
        <v>49072.27</v>
      </c>
      <c r="X343" s="5">
        <v>1</v>
      </c>
      <c r="Y343" s="5">
        <v>49072.27</v>
      </c>
      <c r="Z343" s="5"/>
      <c r="AA343" s="5"/>
      <c r="AB343" s="5"/>
    </row>
    <row r="344" spans="1:28" x14ac:dyDescent="0.2">
      <c r="A344" s="5">
        <v>50</v>
      </c>
      <c r="B344" s="5">
        <v>0</v>
      </c>
      <c r="C344" s="5">
        <v>0</v>
      </c>
      <c r="D344" s="5">
        <v>1</v>
      </c>
      <c r="E344" s="5">
        <v>224</v>
      </c>
      <c r="F344" s="5">
        <f>ROUND(Source!AR316,O344)</f>
        <v>491595.91</v>
      </c>
      <c r="G344" s="5" t="s">
        <v>260</v>
      </c>
      <c r="H344" s="5" t="s">
        <v>261</v>
      </c>
      <c r="I344" s="5"/>
      <c r="J344" s="5"/>
      <c r="K344" s="5">
        <v>224</v>
      </c>
      <c r="L344" s="5">
        <v>27</v>
      </c>
      <c r="M344" s="5">
        <v>3</v>
      </c>
      <c r="N344" s="5" t="s">
        <v>3</v>
      </c>
      <c r="O344" s="5">
        <v>2</v>
      </c>
      <c r="P344" s="5"/>
      <c r="Q344" s="5"/>
      <c r="R344" s="5"/>
      <c r="S344" s="5"/>
      <c r="T344" s="5"/>
      <c r="U344" s="5"/>
      <c r="V344" s="5"/>
      <c r="W344" s="5">
        <v>491595.91000000003</v>
      </c>
      <c r="X344" s="5">
        <v>1</v>
      </c>
      <c r="Y344" s="5">
        <v>491595.91000000003</v>
      </c>
      <c r="Z344" s="5"/>
      <c r="AA344" s="5"/>
      <c r="AB344" s="5"/>
    </row>
    <row r="345" spans="1:28" x14ac:dyDescent="0.2">
      <c r="A345" s="5">
        <v>50</v>
      </c>
      <c r="B345" s="5">
        <v>1</v>
      </c>
      <c r="C345" s="5">
        <v>0</v>
      </c>
      <c r="D345" s="5">
        <v>2</v>
      </c>
      <c r="E345" s="5">
        <v>0</v>
      </c>
      <c r="F345" s="5">
        <f>ROUND(F344*0.22,O345)</f>
        <v>108151.1</v>
      </c>
      <c r="G345" s="5" t="s">
        <v>17</v>
      </c>
      <c r="H345" s="5" t="s">
        <v>461</v>
      </c>
      <c r="I345" s="5"/>
      <c r="J345" s="5"/>
      <c r="K345" s="5">
        <v>212</v>
      </c>
      <c r="L345" s="5">
        <v>28</v>
      </c>
      <c r="M345" s="5">
        <v>0</v>
      </c>
      <c r="N345" s="5" t="s">
        <v>3</v>
      </c>
      <c r="O345" s="5">
        <v>2</v>
      </c>
      <c r="P345" s="5"/>
      <c r="Q345" s="5"/>
      <c r="R345" s="5"/>
      <c r="S345" s="5"/>
      <c r="T345" s="5"/>
      <c r="U345" s="5"/>
      <c r="V345" s="5"/>
      <c r="W345" s="5">
        <v>108151.1</v>
      </c>
      <c r="X345" s="5">
        <v>1</v>
      </c>
      <c r="Y345" s="5">
        <v>108151.1</v>
      </c>
      <c r="Z345" s="5"/>
      <c r="AA345" s="5"/>
      <c r="AB345" s="5"/>
    </row>
    <row r="346" spans="1:28" x14ac:dyDescent="0.2">
      <c r="A346" s="5">
        <v>50</v>
      </c>
      <c r="B346" s="5">
        <v>1</v>
      </c>
      <c r="C346" s="5">
        <v>0</v>
      </c>
      <c r="D346" s="5">
        <v>2</v>
      </c>
      <c r="E346" s="5">
        <v>0</v>
      </c>
      <c r="F346" s="5">
        <f>ROUND(F344+F345,O346)</f>
        <v>599747.01</v>
      </c>
      <c r="G346" s="5" t="s">
        <v>31</v>
      </c>
      <c r="H346" s="5" t="s">
        <v>462</v>
      </c>
      <c r="I346" s="5"/>
      <c r="J346" s="5"/>
      <c r="K346" s="5">
        <v>212</v>
      </c>
      <c r="L346" s="5">
        <v>30</v>
      </c>
      <c r="M346" s="5">
        <v>0</v>
      </c>
      <c r="N346" s="5" t="s">
        <v>3</v>
      </c>
      <c r="O346" s="5">
        <v>2</v>
      </c>
      <c r="P346" s="5"/>
      <c r="Q346" s="5"/>
      <c r="R346" s="5"/>
      <c r="S346" s="5"/>
      <c r="T346" s="5"/>
      <c r="U346" s="5"/>
      <c r="V346" s="5"/>
      <c r="W346" s="5">
        <v>599747.01</v>
      </c>
      <c r="X346" s="5">
        <v>1</v>
      </c>
      <c r="Y346" s="5">
        <v>599747.01</v>
      </c>
      <c r="Z346" s="5"/>
      <c r="AA346" s="5"/>
      <c r="AB346" s="5"/>
    </row>
    <row r="349" spans="1:28" x14ac:dyDescent="0.2">
      <c r="A349">
        <v>70</v>
      </c>
      <c r="B349">
        <v>1</v>
      </c>
      <c r="D349">
        <v>1</v>
      </c>
      <c r="E349" t="s">
        <v>463</v>
      </c>
      <c r="F349" t="s">
        <v>464</v>
      </c>
      <c r="G349">
        <v>0</v>
      </c>
      <c r="H349">
        <v>0</v>
      </c>
      <c r="I349" t="s">
        <v>3</v>
      </c>
      <c r="J349">
        <v>1</v>
      </c>
      <c r="K349">
        <v>0</v>
      </c>
      <c r="L349" t="s">
        <v>3</v>
      </c>
      <c r="M349" t="s">
        <v>3</v>
      </c>
      <c r="N349">
        <v>0</v>
      </c>
      <c r="P349" t="s">
        <v>465</v>
      </c>
    </row>
    <row r="350" spans="1:28" x14ac:dyDescent="0.2">
      <c r="A350">
        <v>70</v>
      </c>
      <c r="B350">
        <v>1</v>
      </c>
      <c r="D350">
        <v>2</v>
      </c>
      <c r="E350" t="s">
        <v>466</v>
      </c>
      <c r="F350" t="s">
        <v>467</v>
      </c>
      <c r="G350">
        <v>1</v>
      </c>
      <c r="H350">
        <v>0</v>
      </c>
      <c r="I350" t="s">
        <v>3</v>
      </c>
      <c r="J350">
        <v>1</v>
      </c>
      <c r="K350">
        <v>0</v>
      </c>
      <c r="L350" t="s">
        <v>3</v>
      </c>
      <c r="M350" t="s">
        <v>3</v>
      </c>
      <c r="N350">
        <v>0</v>
      </c>
      <c r="P350" t="s">
        <v>468</v>
      </c>
    </row>
    <row r="351" spans="1:28" x14ac:dyDescent="0.2">
      <c r="A351">
        <v>70</v>
      </c>
      <c r="B351">
        <v>1</v>
      </c>
      <c r="D351">
        <v>3</v>
      </c>
      <c r="E351" t="s">
        <v>469</v>
      </c>
      <c r="F351" t="s">
        <v>470</v>
      </c>
      <c r="G351">
        <v>0</v>
      </c>
      <c r="H351">
        <v>0</v>
      </c>
      <c r="I351" t="s">
        <v>3</v>
      </c>
      <c r="J351">
        <v>1</v>
      </c>
      <c r="K351">
        <v>0</v>
      </c>
      <c r="L351" t="s">
        <v>3</v>
      </c>
      <c r="M351" t="s">
        <v>3</v>
      </c>
      <c r="N351">
        <v>0</v>
      </c>
      <c r="P351" t="s">
        <v>471</v>
      </c>
    </row>
    <row r="352" spans="1:28" x14ac:dyDescent="0.2">
      <c r="A352">
        <v>70</v>
      </c>
      <c r="B352">
        <v>1</v>
      </c>
      <c r="D352">
        <v>4</v>
      </c>
      <c r="E352" t="s">
        <v>472</v>
      </c>
      <c r="F352" t="s">
        <v>473</v>
      </c>
      <c r="G352">
        <v>1</v>
      </c>
      <c r="H352">
        <v>0</v>
      </c>
      <c r="I352" t="s">
        <v>3</v>
      </c>
      <c r="J352">
        <v>2</v>
      </c>
      <c r="K352">
        <v>0</v>
      </c>
      <c r="L352" t="s">
        <v>3</v>
      </c>
      <c r="M352" t="s">
        <v>3</v>
      </c>
      <c r="N352">
        <v>0</v>
      </c>
      <c r="P352" t="s">
        <v>3</v>
      </c>
    </row>
    <row r="353" spans="1:16" x14ac:dyDescent="0.2">
      <c r="A353">
        <v>70</v>
      </c>
      <c r="B353">
        <v>1</v>
      </c>
      <c r="D353">
        <v>5</v>
      </c>
      <c r="E353" t="s">
        <v>474</v>
      </c>
      <c r="F353" t="s">
        <v>475</v>
      </c>
      <c r="G353">
        <v>0</v>
      </c>
      <c r="H353">
        <v>0</v>
      </c>
      <c r="I353" t="s">
        <v>3</v>
      </c>
      <c r="J353">
        <v>2</v>
      </c>
      <c r="K353">
        <v>0</v>
      </c>
      <c r="L353" t="s">
        <v>3</v>
      </c>
      <c r="M353" t="s">
        <v>3</v>
      </c>
      <c r="N353">
        <v>0</v>
      </c>
      <c r="P353" t="s">
        <v>3</v>
      </c>
    </row>
    <row r="354" spans="1:16" x14ac:dyDescent="0.2">
      <c r="A354">
        <v>70</v>
      </c>
      <c r="B354">
        <v>1</v>
      </c>
      <c r="D354">
        <v>6</v>
      </c>
      <c r="E354" t="s">
        <v>476</v>
      </c>
      <c r="F354" t="s">
        <v>477</v>
      </c>
      <c r="G354">
        <v>0</v>
      </c>
      <c r="H354">
        <v>0</v>
      </c>
      <c r="I354" t="s">
        <v>3</v>
      </c>
      <c r="J354">
        <v>2</v>
      </c>
      <c r="K354">
        <v>0</v>
      </c>
      <c r="L354" t="s">
        <v>3</v>
      </c>
      <c r="M354" t="s">
        <v>3</v>
      </c>
      <c r="N354">
        <v>0</v>
      </c>
      <c r="P354" t="s">
        <v>3</v>
      </c>
    </row>
    <row r="355" spans="1:16" x14ac:dyDescent="0.2">
      <c r="A355">
        <v>70</v>
      </c>
      <c r="B355">
        <v>1</v>
      </c>
      <c r="D355">
        <v>7</v>
      </c>
      <c r="E355" t="s">
        <v>478</v>
      </c>
      <c r="F355" t="s">
        <v>479</v>
      </c>
      <c r="G355">
        <v>0</v>
      </c>
      <c r="H355">
        <v>0</v>
      </c>
      <c r="I355" t="s">
        <v>480</v>
      </c>
      <c r="J355">
        <v>0</v>
      </c>
      <c r="K355">
        <v>0</v>
      </c>
      <c r="L355" t="s">
        <v>3</v>
      </c>
      <c r="M355" t="s">
        <v>3</v>
      </c>
      <c r="N355">
        <v>0</v>
      </c>
      <c r="P355" t="s">
        <v>481</v>
      </c>
    </row>
    <row r="356" spans="1:16" x14ac:dyDescent="0.2">
      <c r="A356">
        <v>70</v>
      </c>
      <c r="B356">
        <v>1</v>
      </c>
      <c r="D356">
        <v>8</v>
      </c>
      <c r="E356" t="s">
        <v>482</v>
      </c>
      <c r="F356" t="s">
        <v>483</v>
      </c>
      <c r="G356">
        <v>1</v>
      </c>
      <c r="H356">
        <v>0</v>
      </c>
      <c r="I356" t="s">
        <v>3</v>
      </c>
      <c r="J356">
        <v>5</v>
      </c>
      <c r="K356">
        <v>0</v>
      </c>
      <c r="L356" t="s">
        <v>3</v>
      </c>
      <c r="M356" t="s">
        <v>3</v>
      </c>
      <c r="N356">
        <v>0</v>
      </c>
      <c r="P356" t="s">
        <v>3</v>
      </c>
    </row>
    <row r="357" spans="1:16" x14ac:dyDescent="0.2">
      <c r="A357">
        <v>70</v>
      </c>
      <c r="B357">
        <v>1</v>
      </c>
      <c r="D357">
        <v>9</v>
      </c>
      <c r="E357" t="s">
        <v>484</v>
      </c>
      <c r="F357" t="s">
        <v>485</v>
      </c>
      <c r="G357">
        <v>0</v>
      </c>
      <c r="H357">
        <v>0</v>
      </c>
      <c r="I357" t="s">
        <v>3</v>
      </c>
      <c r="J357">
        <v>5</v>
      </c>
      <c r="K357">
        <v>0</v>
      </c>
      <c r="L357" t="s">
        <v>3</v>
      </c>
      <c r="M357" t="s">
        <v>3</v>
      </c>
      <c r="N357">
        <v>0</v>
      </c>
      <c r="P357" t="s">
        <v>486</v>
      </c>
    </row>
    <row r="358" spans="1:16" x14ac:dyDescent="0.2">
      <c r="A358">
        <v>70</v>
      </c>
      <c r="B358">
        <v>1</v>
      </c>
      <c r="D358">
        <v>10</v>
      </c>
      <c r="E358" t="s">
        <v>487</v>
      </c>
      <c r="F358" t="s">
        <v>488</v>
      </c>
      <c r="G358">
        <v>0</v>
      </c>
      <c r="H358">
        <v>0</v>
      </c>
      <c r="I358" t="s">
        <v>489</v>
      </c>
      <c r="J358">
        <v>5</v>
      </c>
      <c r="K358">
        <v>0</v>
      </c>
      <c r="L358" t="s">
        <v>3</v>
      </c>
      <c r="M358" t="s">
        <v>3</v>
      </c>
      <c r="N358">
        <v>0</v>
      </c>
      <c r="P358" t="s">
        <v>490</v>
      </c>
    </row>
    <row r="359" spans="1:16" x14ac:dyDescent="0.2">
      <c r="A359">
        <v>70</v>
      </c>
      <c r="B359">
        <v>1</v>
      </c>
      <c r="D359">
        <v>11</v>
      </c>
      <c r="E359" t="s">
        <v>491</v>
      </c>
      <c r="F359" t="s">
        <v>492</v>
      </c>
      <c r="G359">
        <v>0</v>
      </c>
      <c r="H359">
        <v>0</v>
      </c>
      <c r="I359" t="s">
        <v>493</v>
      </c>
      <c r="J359">
        <v>0</v>
      </c>
      <c r="K359">
        <v>0</v>
      </c>
      <c r="L359" t="s">
        <v>3</v>
      </c>
      <c r="M359" t="s">
        <v>3</v>
      </c>
      <c r="N359">
        <v>0</v>
      </c>
      <c r="P359" t="s">
        <v>494</v>
      </c>
    </row>
    <row r="360" spans="1:16" x14ac:dyDescent="0.2">
      <c r="A360">
        <v>70</v>
      </c>
      <c r="B360">
        <v>1</v>
      </c>
      <c r="D360">
        <v>12</v>
      </c>
      <c r="E360" t="s">
        <v>495</v>
      </c>
      <c r="F360" t="s">
        <v>496</v>
      </c>
      <c r="G360">
        <v>0</v>
      </c>
      <c r="H360">
        <v>0</v>
      </c>
      <c r="I360" t="s">
        <v>497</v>
      </c>
      <c r="J360">
        <v>0</v>
      </c>
      <c r="K360">
        <v>0</v>
      </c>
      <c r="L360" t="s">
        <v>3</v>
      </c>
      <c r="M360" t="s">
        <v>3</v>
      </c>
      <c r="N360">
        <v>0</v>
      </c>
      <c r="P360" t="s">
        <v>498</v>
      </c>
    </row>
    <row r="361" spans="1:16" x14ac:dyDescent="0.2">
      <c r="A361">
        <v>70</v>
      </c>
      <c r="B361">
        <v>1</v>
      </c>
      <c r="D361">
        <v>13</v>
      </c>
      <c r="E361" t="s">
        <v>499</v>
      </c>
      <c r="F361" t="s">
        <v>500</v>
      </c>
      <c r="G361">
        <v>0</v>
      </c>
      <c r="H361">
        <v>0</v>
      </c>
      <c r="I361" t="s">
        <v>501</v>
      </c>
      <c r="J361">
        <v>0</v>
      </c>
      <c r="K361">
        <v>0</v>
      </c>
      <c r="L361" t="s">
        <v>3</v>
      </c>
      <c r="M361" t="s">
        <v>3</v>
      </c>
      <c r="N361">
        <v>0</v>
      </c>
      <c r="P361" t="s">
        <v>502</v>
      </c>
    </row>
    <row r="362" spans="1:16" x14ac:dyDescent="0.2">
      <c r="A362">
        <v>70</v>
      </c>
      <c r="B362">
        <v>1</v>
      </c>
      <c r="D362">
        <v>14</v>
      </c>
      <c r="E362" t="s">
        <v>503</v>
      </c>
      <c r="F362" t="s">
        <v>504</v>
      </c>
      <c r="G362">
        <v>0</v>
      </c>
      <c r="H362">
        <v>0</v>
      </c>
      <c r="I362" t="s">
        <v>3</v>
      </c>
      <c r="J362">
        <v>0</v>
      </c>
      <c r="K362">
        <v>0</v>
      </c>
      <c r="L362" t="s">
        <v>3</v>
      </c>
      <c r="M362" t="s">
        <v>3</v>
      </c>
      <c r="N362">
        <v>0</v>
      </c>
      <c r="P362" t="s">
        <v>3</v>
      </c>
    </row>
    <row r="363" spans="1:16" x14ac:dyDescent="0.2">
      <c r="A363">
        <v>70</v>
      </c>
      <c r="B363">
        <v>1</v>
      </c>
      <c r="D363">
        <v>15</v>
      </c>
      <c r="E363" t="s">
        <v>505</v>
      </c>
      <c r="F363" t="s">
        <v>506</v>
      </c>
      <c r="G363">
        <v>0</v>
      </c>
      <c r="H363">
        <v>0</v>
      </c>
      <c r="I363" t="s">
        <v>3</v>
      </c>
      <c r="J363">
        <v>0</v>
      </c>
      <c r="K363">
        <v>0</v>
      </c>
      <c r="L363" t="s">
        <v>3</v>
      </c>
      <c r="M363" t="s">
        <v>3</v>
      </c>
      <c r="N363">
        <v>0</v>
      </c>
      <c r="P363" t="s">
        <v>507</v>
      </c>
    </row>
    <row r="364" spans="1:16" x14ac:dyDescent="0.2">
      <c r="A364">
        <v>70</v>
      </c>
      <c r="B364">
        <v>1</v>
      </c>
      <c r="D364">
        <v>16</v>
      </c>
      <c r="E364" t="s">
        <v>508</v>
      </c>
      <c r="F364" t="s">
        <v>509</v>
      </c>
      <c r="G364">
        <v>0</v>
      </c>
      <c r="H364">
        <v>0</v>
      </c>
      <c r="I364" t="s">
        <v>3</v>
      </c>
      <c r="J364">
        <v>3</v>
      </c>
      <c r="K364">
        <v>0</v>
      </c>
      <c r="L364" t="s">
        <v>3</v>
      </c>
      <c r="M364" t="s">
        <v>3</v>
      </c>
      <c r="N364">
        <v>0</v>
      </c>
      <c r="P364" t="s">
        <v>3</v>
      </c>
    </row>
    <row r="365" spans="1:16" x14ac:dyDescent="0.2">
      <c r="A365">
        <v>70</v>
      </c>
      <c r="B365">
        <v>1</v>
      </c>
      <c r="D365">
        <v>17</v>
      </c>
      <c r="E365" t="s">
        <v>510</v>
      </c>
      <c r="F365" t="s">
        <v>511</v>
      </c>
      <c r="G365">
        <v>1</v>
      </c>
      <c r="H365">
        <v>0</v>
      </c>
      <c r="I365" t="s">
        <v>3</v>
      </c>
      <c r="J365">
        <v>3</v>
      </c>
      <c r="K365">
        <v>0</v>
      </c>
      <c r="L365" t="s">
        <v>3</v>
      </c>
      <c r="M365" t="s">
        <v>3</v>
      </c>
      <c r="N365">
        <v>0</v>
      </c>
      <c r="P365" t="s">
        <v>3</v>
      </c>
    </row>
    <row r="366" spans="1:16" x14ac:dyDescent="0.2">
      <c r="A366">
        <v>70</v>
      </c>
      <c r="B366">
        <v>1</v>
      </c>
      <c r="D366">
        <v>1</v>
      </c>
      <c r="E366" t="s">
        <v>512</v>
      </c>
      <c r="F366" t="s">
        <v>513</v>
      </c>
      <c r="G366">
        <v>0.9</v>
      </c>
      <c r="H366">
        <v>1</v>
      </c>
      <c r="I366" t="s">
        <v>514</v>
      </c>
      <c r="J366">
        <v>0</v>
      </c>
      <c r="K366">
        <v>0</v>
      </c>
      <c r="L366" t="s">
        <v>3</v>
      </c>
      <c r="M366" t="s">
        <v>3</v>
      </c>
      <c r="N366">
        <v>0</v>
      </c>
      <c r="P366" t="s">
        <v>515</v>
      </c>
    </row>
    <row r="367" spans="1:16" x14ac:dyDescent="0.2">
      <c r="A367">
        <v>70</v>
      </c>
      <c r="B367">
        <v>1</v>
      </c>
      <c r="D367">
        <v>2</v>
      </c>
      <c r="E367" t="s">
        <v>516</v>
      </c>
      <c r="F367" t="s">
        <v>517</v>
      </c>
      <c r="G367">
        <v>0.85</v>
      </c>
      <c r="H367">
        <v>1</v>
      </c>
      <c r="I367" t="s">
        <v>518</v>
      </c>
      <c r="J367">
        <v>0</v>
      </c>
      <c r="K367">
        <v>0</v>
      </c>
      <c r="L367" t="s">
        <v>3</v>
      </c>
      <c r="M367" t="s">
        <v>3</v>
      </c>
      <c r="N367">
        <v>0</v>
      </c>
      <c r="P367" t="s">
        <v>519</v>
      </c>
    </row>
    <row r="368" spans="1:16" x14ac:dyDescent="0.2">
      <c r="A368">
        <v>70</v>
      </c>
      <c r="B368">
        <v>1</v>
      </c>
      <c r="D368">
        <v>3</v>
      </c>
      <c r="E368" t="s">
        <v>520</v>
      </c>
      <c r="F368" t="s">
        <v>521</v>
      </c>
      <c r="G368">
        <v>1.03</v>
      </c>
      <c r="H368">
        <v>0</v>
      </c>
      <c r="I368" t="s">
        <v>3</v>
      </c>
      <c r="J368">
        <v>0</v>
      </c>
      <c r="K368">
        <v>0</v>
      </c>
      <c r="L368" t="s">
        <v>3</v>
      </c>
      <c r="M368" t="s">
        <v>3</v>
      </c>
      <c r="N368">
        <v>0</v>
      </c>
      <c r="P368" t="s">
        <v>522</v>
      </c>
    </row>
    <row r="369" spans="1:50" x14ac:dyDescent="0.2">
      <c r="A369">
        <v>70</v>
      </c>
      <c r="B369">
        <v>1</v>
      </c>
      <c r="D369">
        <v>4</v>
      </c>
      <c r="E369" t="s">
        <v>523</v>
      </c>
      <c r="F369" t="s">
        <v>524</v>
      </c>
      <c r="G369">
        <v>1.1499999999999999</v>
      </c>
      <c r="H369">
        <v>0</v>
      </c>
      <c r="I369" t="s">
        <v>3</v>
      </c>
      <c r="J369">
        <v>0</v>
      </c>
      <c r="K369">
        <v>0</v>
      </c>
      <c r="L369" t="s">
        <v>3</v>
      </c>
      <c r="M369" t="s">
        <v>3</v>
      </c>
      <c r="N369">
        <v>0</v>
      </c>
      <c r="P369" t="s">
        <v>525</v>
      </c>
    </row>
    <row r="370" spans="1:50" x14ac:dyDescent="0.2">
      <c r="A370">
        <v>70</v>
      </c>
      <c r="B370">
        <v>1</v>
      </c>
      <c r="D370">
        <v>5</v>
      </c>
      <c r="E370" t="s">
        <v>526</v>
      </c>
      <c r="F370" t="s">
        <v>527</v>
      </c>
      <c r="G370">
        <v>7</v>
      </c>
      <c r="H370">
        <v>0</v>
      </c>
      <c r="I370" t="s">
        <v>3</v>
      </c>
      <c r="J370">
        <v>0</v>
      </c>
      <c r="K370">
        <v>0</v>
      </c>
      <c r="L370" t="s">
        <v>3</v>
      </c>
      <c r="M370" t="s">
        <v>3</v>
      </c>
      <c r="N370">
        <v>0</v>
      </c>
      <c r="P370" t="s">
        <v>3</v>
      </c>
    </row>
    <row r="371" spans="1:50" x14ac:dyDescent="0.2">
      <c r="A371">
        <v>70</v>
      </c>
      <c r="B371">
        <v>1</v>
      </c>
      <c r="D371">
        <v>6</v>
      </c>
      <c r="E371" t="s">
        <v>528</v>
      </c>
      <c r="F371" t="s">
        <v>3</v>
      </c>
      <c r="G371">
        <v>2</v>
      </c>
      <c r="H371">
        <v>0</v>
      </c>
      <c r="I371" t="s">
        <v>3</v>
      </c>
      <c r="J371">
        <v>0</v>
      </c>
      <c r="K371">
        <v>0</v>
      </c>
      <c r="L371" t="s">
        <v>3</v>
      </c>
      <c r="M371" t="s">
        <v>3</v>
      </c>
      <c r="N371">
        <v>0</v>
      </c>
      <c r="P371" t="s">
        <v>3</v>
      </c>
    </row>
    <row r="373" spans="1:50" x14ac:dyDescent="0.2">
      <c r="A373">
        <v>-1</v>
      </c>
    </row>
    <row r="375" spans="1:50" x14ac:dyDescent="0.2">
      <c r="A375" s="4">
        <v>75</v>
      </c>
      <c r="B375" s="4" t="s">
        <v>529</v>
      </c>
      <c r="C375" s="4">
        <v>2026</v>
      </c>
      <c r="D375" s="4">
        <v>0</v>
      </c>
      <c r="E375" s="4">
        <v>3</v>
      </c>
      <c r="F375" s="4">
        <v>1</v>
      </c>
      <c r="G375" s="4">
        <v>0</v>
      </c>
      <c r="H375" s="4">
        <v>1</v>
      </c>
      <c r="I375" s="4">
        <v>0</v>
      </c>
      <c r="J375" s="4">
        <v>3</v>
      </c>
      <c r="K375" s="4">
        <v>0</v>
      </c>
      <c r="L375" s="4">
        <v>0</v>
      </c>
      <c r="M375" s="4">
        <v>0</v>
      </c>
      <c r="N375" s="4">
        <v>85997836</v>
      </c>
      <c r="O375" s="4">
        <v>1</v>
      </c>
    </row>
    <row r="376" spans="1:50" x14ac:dyDescent="0.2">
      <c r="A376" s="6">
        <v>2</v>
      </c>
      <c r="B376" s="6" t="s">
        <v>530</v>
      </c>
      <c r="C376" s="6" t="s">
        <v>531</v>
      </c>
      <c r="D376" s="6">
        <v>0</v>
      </c>
      <c r="E376" s="6">
        <v>0</v>
      </c>
      <c r="F376" s="6">
        <v>0</v>
      </c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>
        <v>85997837</v>
      </c>
    </row>
    <row r="377" spans="1:50" x14ac:dyDescent="0.2">
      <c r="A377" s="6">
        <v>1</v>
      </c>
      <c r="B377" s="6" t="s">
        <v>532</v>
      </c>
      <c r="C377" s="6" t="s">
        <v>533</v>
      </c>
      <c r="D377" s="6">
        <v>2026</v>
      </c>
      <c r="E377" s="6">
        <v>3</v>
      </c>
      <c r="F377" s="6">
        <v>1</v>
      </c>
      <c r="G377" s="6">
        <v>1</v>
      </c>
      <c r="H377" s="6">
        <v>0</v>
      </c>
      <c r="I377" s="6">
        <v>2</v>
      </c>
      <c r="J377" s="6">
        <v>1</v>
      </c>
      <c r="K377" s="6">
        <v>1</v>
      </c>
      <c r="L377" s="6">
        <v>1</v>
      </c>
      <c r="M377" s="6">
        <v>1</v>
      </c>
      <c r="N377" s="6">
        <v>1</v>
      </c>
      <c r="O377" s="6">
        <v>1</v>
      </c>
      <c r="P377" s="6">
        <v>1</v>
      </c>
      <c r="Q377" s="6">
        <v>1</v>
      </c>
      <c r="R377" s="6" t="s">
        <v>3</v>
      </c>
      <c r="S377" s="6" t="s">
        <v>3</v>
      </c>
      <c r="T377" s="6" t="s">
        <v>3</v>
      </c>
      <c r="U377" s="6" t="s">
        <v>3</v>
      </c>
      <c r="V377" s="6" t="s">
        <v>3</v>
      </c>
      <c r="W377" s="6" t="s">
        <v>3</v>
      </c>
      <c r="X377" s="6" t="s">
        <v>3</v>
      </c>
      <c r="Y377" s="6" t="s">
        <v>3</v>
      </c>
      <c r="Z377" s="6" t="s">
        <v>3</v>
      </c>
      <c r="AA377" s="6" t="s">
        <v>3</v>
      </c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>
        <v>85997838</v>
      </c>
      <c r="AO377" s="6" t="s">
        <v>534</v>
      </c>
      <c r="AP377" s="6" t="s">
        <v>535</v>
      </c>
      <c r="AQ377" s="6">
        <v>46078</v>
      </c>
      <c r="AR377" s="6">
        <v>409</v>
      </c>
      <c r="AS377" s="6" t="s">
        <v>536</v>
      </c>
      <c r="AT377" s="6" t="s">
        <v>3</v>
      </c>
      <c r="AU377" s="6" t="s">
        <v>535</v>
      </c>
      <c r="AV377" s="6">
        <v>45957</v>
      </c>
      <c r="AW377" s="6">
        <v>23615</v>
      </c>
      <c r="AX377" s="6" t="s">
        <v>537</v>
      </c>
    </row>
    <row r="381" spans="1:50" x14ac:dyDescent="0.2">
      <c r="A381">
        <v>65</v>
      </c>
      <c r="C381">
        <v>1</v>
      </c>
      <c r="D381">
        <v>0</v>
      </c>
      <c r="E38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5"/>
  <sheetViews>
    <sheetView workbookViewId="0"/>
  </sheetViews>
  <sheetFormatPr defaultColWidth="9.140625" defaultRowHeight="12.75" x14ac:dyDescent="0.2"/>
  <cols>
    <col min="1" max="256" width="9.140625" style="2" customWidth="1"/>
    <col min="257" max="16384" width="9.140625" style="2"/>
  </cols>
  <sheetData>
    <row r="1" spans="1:133" x14ac:dyDescent="0.2">
      <c r="A1" s="2">
        <v>0</v>
      </c>
      <c r="B1" s="2" t="s">
        <v>0</v>
      </c>
      <c r="D1" s="2" t="s">
        <v>538</v>
      </c>
      <c r="F1" s="2">
        <v>0</v>
      </c>
      <c r="G1" s="2">
        <v>0</v>
      </c>
      <c r="H1" s="2">
        <v>0</v>
      </c>
      <c r="I1" s="2" t="s">
        <v>2</v>
      </c>
      <c r="J1" s="2" t="s">
        <v>3</v>
      </c>
      <c r="K1" s="2">
        <v>1</v>
      </c>
      <c r="L1" s="2">
        <v>76530</v>
      </c>
      <c r="M1" s="2">
        <v>10</v>
      </c>
      <c r="N1" s="2">
        <v>12</v>
      </c>
      <c r="O1" s="2">
        <v>1</v>
      </c>
      <c r="P1" s="2">
        <v>0</v>
      </c>
      <c r="Q1" s="2">
        <v>1</v>
      </c>
    </row>
    <row r="12" spans="1:133" x14ac:dyDescent="0.2">
      <c r="A12" s="8">
        <v>1</v>
      </c>
      <c r="B12" s="8">
        <v>53</v>
      </c>
      <c r="C12" s="8">
        <v>0</v>
      </c>
      <c r="D12" s="8"/>
      <c r="E12" s="8">
        <v>0</v>
      </c>
      <c r="F12" s="8" t="s">
        <v>4</v>
      </c>
      <c r="G12" s="8" t="s">
        <v>5</v>
      </c>
      <c r="H12" s="8" t="s">
        <v>3</v>
      </c>
      <c r="I12" s="8">
        <v>0</v>
      </c>
      <c r="J12" s="8" t="s">
        <v>3</v>
      </c>
      <c r="K12" s="8">
        <v>0</v>
      </c>
      <c r="L12" s="8">
        <v>0</v>
      </c>
      <c r="M12" s="8">
        <v>523</v>
      </c>
      <c r="N12" s="8"/>
      <c r="O12" s="8">
        <v>0</v>
      </c>
      <c r="P12" s="8">
        <v>0</v>
      </c>
      <c r="Q12" s="8">
        <v>7</v>
      </c>
      <c r="R12" s="8">
        <v>0</v>
      </c>
      <c r="S12" s="8"/>
      <c r="T12" s="8">
        <v>4</v>
      </c>
      <c r="U12" s="8" t="s">
        <v>3</v>
      </c>
      <c r="V12" s="8">
        <v>0</v>
      </c>
      <c r="W12" s="8" t="s">
        <v>3</v>
      </c>
      <c r="X12" s="8" t="s">
        <v>3</v>
      </c>
      <c r="Y12" s="8" t="s">
        <v>3</v>
      </c>
      <c r="Z12" s="8" t="s">
        <v>3</v>
      </c>
      <c r="AA12" s="8" t="s">
        <v>3</v>
      </c>
      <c r="AB12" s="8" t="s">
        <v>3</v>
      </c>
      <c r="AC12" s="8" t="s">
        <v>3</v>
      </c>
      <c r="AD12" s="8" t="s">
        <v>3</v>
      </c>
      <c r="AE12" s="8" t="s">
        <v>3</v>
      </c>
      <c r="AF12" s="8" t="s">
        <v>3</v>
      </c>
      <c r="AG12" s="8" t="s">
        <v>3</v>
      </c>
      <c r="AH12" s="8" t="s">
        <v>3</v>
      </c>
      <c r="AI12" s="8" t="s">
        <v>3</v>
      </c>
      <c r="AJ12" s="8" t="s">
        <v>3</v>
      </c>
      <c r="AK12" s="8"/>
      <c r="AL12" s="8" t="s">
        <v>3</v>
      </c>
      <c r="AM12" s="8" t="s">
        <v>3</v>
      </c>
      <c r="AN12" s="8" t="s">
        <v>3</v>
      </c>
      <c r="AO12" s="8"/>
      <c r="AP12" s="8" t="s">
        <v>3</v>
      </c>
      <c r="AQ12" s="8" t="s">
        <v>3</v>
      </c>
      <c r="AR12" s="8" t="s">
        <v>3</v>
      </c>
      <c r="AS12" s="8"/>
      <c r="AT12" s="8"/>
      <c r="AU12" s="8"/>
      <c r="AV12" s="8"/>
      <c r="AW12" s="8"/>
      <c r="AX12" s="8" t="s">
        <v>3</v>
      </c>
      <c r="AY12" s="8" t="s">
        <v>3</v>
      </c>
      <c r="AZ12" s="8" t="s">
        <v>3</v>
      </c>
      <c r="BA12" s="8"/>
      <c r="BB12" s="8">
        <v>0</v>
      </c>
      <c r="BC12" s="8"/>
      <c r="BD12" s="8"/>
      <c r="BE12" s="8"/>
      <c r="BF12" s="8"/>
      <c r="BG12" s="8"/>
      <c r="BH12" s="8" t="s">
        <v>6</v>
      </c>
      <c r="BI12" s="8" t="s">
        <v>7</v>
      </c>
      <c r="BJ12" s="8">
        <v>1</v>
      </c>
      <c r="BK12" s="8">
        <v>1</v>
      </c>
      <c r="BL12" s="8">
        <v>0</v>
      </c>
      <c r="BM12" s="8">
        <v>0</v>
      </c>
      <c r="BN12" s="8">
        <v>1</v>
      </c>
      <c r="BO12" s="8">
        <v>0</v>
      </c>
      <c r="BP12" s="8">
        <v>6</v>
      </c>
      <c r="BQ12" s="8">
        <v>2</v>
      </c>
      <c r="BR12" s="8">
        <v>1</v>
      </c>
      <c r="BS12" s="8">
        <v>1</v>
      </c>
      <c r="BT12" s="8">
        <v>0</v>
      </c>
      <c r="BU12" s="8">
        <v>0</v>
      </c>
      <c r="BV12" s="8">
        <v>1</v>
      </c>
      <c r="BW12" s="8">
        <v>0</v>
      </c>
      <c r="BX12" s="8">
        <v>0</v>
      </c>
      <c r="BY12" s="8" t="s">
        <v>8</v>
      </c>
      <c r="BZ12" s="8" t="s">
        <v>9</v>
      </c>
      <c r="CA12" s="8" t="s">
        <v>10</v>
      </c>
      <c r="CB12" s="8" t="s">
        <v>10</v>
      </c>
      <c r="CC12" s="8" t="s">
        <v>10</v>
      </c>
      <c r="CD12" s="8" t="s">
        <v>10</v>
      </c>
      <c r="CE12" s="8" t="s">
        <v>11</v>
      </c>
      <c r="CF12" s="8">
        <v>0</v>
      </c>
      <c r="CG12" s="8">
        <v>0</v>
      </c>
      <c r="CH12" s="8">
        <v>487096328</v>
      </c>
      <c r="CI12" s="8" t="s">
        <v>3</v>
      </c>
      <c r="CJ12" s="8" t="s">
        <v>3</v>
      </c>
      <c r="CK12" s="8">
        <v>17</v>
      </c>
      <c r="CL12" s="8"/>
      <c r="CM12" s="8"/>
      <c r="CN12" s="8"/>
      <c r="CO12" s="8"/>
      <c r="CP12" s="8"/>
      <c r="CQ12" s="8" t="s">
        <v>12</v>
      </c>
      <c r="CR12" s="8" t="s">
        <v>13</v>
      </c>
      <c r="CS12" s="8">
        <v>46073</v>
      </c>
      <c r="CT12" s="8">
        <v>540</v>
      </c>
      <c r="CU12" s="8">
        <v>17</v>
      </c>
      <c r="CV12" s="8" t="s">
        <v>733</v>
      </c>
      <c r="CW12" s="8"/>
      <c r="CX12" s="8"/>
      <c r="CY12" s="8">
        <v>0</v>
      </c>
      <c r="CZ12" s="8" t="s">
        <v>3</v>
      </c>
      <c r="DA12" s="8" t="s">
        <v>3</v>
      </c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>
        <v>0</v>
      </c>
    </row>
    <row r="14" spans="1:133" x14ac:dyDescent="0.2">
      <c r="A14" s="8">
        <v>22</v>
      </c>
      <c r="B14" s="8">
        <v>1</v>
      </c>
      <c r="C14" s="8">
        <v>0</v>
      </c>
      <c r="D14" s="8">
        <v>85997836</v>
      </c>
      <c r="E14" s="8">
        <v>0</v>
      </c>
      <c r="F14" s="8">
        <v>2</v>
      </c>
      <c r="G14" s="8">
        <v>1</v>
      </c>
      <c r="H14" s="8"/>
      <c r="I14" s="8"/>
      <c r="J14" s="8"/>
      <c r="K14" s="8"/>
      <c r="L14" s="8"/>
      <c r="M14" s="8"/>
      <c r="N14" s="8"/>
      <c r="O14" s="8"/>
    </row>
    <row r="16" spans="1:133" x14ac:dyDescent="0.2">
      <c r="A16" s="9">
        <v>3</v>
      </c>
      <c r="B16" s="9">
        <v>1</v>
      </c>
      <c r="C16" s="9" t="s">
        <v>14</v>
      </c>
      <c r="D16" s="9" t="s">
        <v>14</v>
      </c>
      <c r="E16" s="10">
        <f>ROUND((Source!F303)/1000,2)</f>
        <v>161.43</v>
      </c>
      <c r="F16" s="10">
        <f>ROUND((Source!F304)/1000,2)</f>
        <v>330.16</v>
      </c>
      <c r="G16" s="10">
        <f>ROUND((Source!F295)/1000,2)</f>
        <v>0</v>
      </c>
      <c r="H16" s="10">
        <f>ROUND((Source!F305)/1000+(Source!F306)/1000,2)</f>
        <v>0</v>
      </c>
      <c r="I16" s="10">
        <f>E16+F16+G16+H16</f>
        <v>491.59000000000003</v>
      </c>
      <c r="J16" s="10">
        <f>ROUND((Source!F301+Source!F300)/1000,2)</f>
        <v>96.51</v>
      </c>
      <c r="K16" s="10">
        <v>598.85</v>
      </c>
      <c r="L16" s="10">
        <v>0</v>
      </c>
      <c r="M16" s="10">
        <v>0</v>
      </c>
      <c r="N16" s="10">
        <f>I16+L16+M16</f>
        <v>491.59000000000003</v>
      </c>
      <c r="AI16" s="9">
        <v>0</v>
      </c>
      <c r="AJ16" s="9">
        <v>0</v>
      </c>
      <c r="AK16" s="9" t="s">
        <v>3</v>
      </c>
      <c r="AL16" s="9" t="s">
        <v>3</v>
      </c>
      <c r="AM16" s="9" t="s">
        <v>3</v>
      </c>
      <c r="AN16" s="9">
        <v>0</v>
      </c>
      <c r="AO16" s="9" t="s">
        <v>3</v>
      </c>
      <c r="AP16" s="9" t="s">
        <v>3</v>
      </c>
      <c r="AT16" s="10">
        <v>346580.08999999997</v>
      </c>
      <c r="AU16" s="10">
        <v>252265.77</v>
      </c>
      <c r="AV16" s="10">
        <v>0</v>
      </c>
      <c r="AW16" s="10">
        <v>0</v>
      </c>
      <c r="AX16" s="10">
        <v>0</v>
      </c>
      <c r="AY16" s="10">
        <v>-2194.0800000000004</v>
      </c>
      <c r="AZ16" s="10">
        <v>-1700.8299999999997</v>
      </c>
      <c r="BA16" s="10">
        <v>98209.23000000001</v>
      </c>
      <c r="BB16" s="10">
        <v>161431.39000000001</v>
      </c>
      <c r="BC16" s="10">
        <v>330164.52</v>
      </c>
      <c r="BD16" s="10">
        <v>0</v>
      </c>
      <c r="BE16" s="10">
        <v>0</v>
      </c>
      <c r="BF16" s="10">
        <v>142.99006460000001</v>
      </c>
      <c r="BG16" s="10">
        <v>4.4200000000000003E-2</v>
      </c>
      <c r="BH16" s="10">
        <v>0</v>
      </c>
      <c r="BI16" s="10">
        <v>95943.55</v>
      </c>
      <c r="BJ16" s="10">
        <v>49072.27</v>
      </c>
      <c r="BK16" s="10">
        <v>491595.91000000003</v>
      </c>
    </row>
    <row r="18" spans="1:16" x14ac:dyDescent="0.2">
      <c r="A18" s="2">
        <v>51</v>
      </c>
      <c r="E18" s="2">
        <v>161.43</v>
      </c>
      <c r="F18" s="2">
        <v>330.16</v>
      </c>
      <c r="G18" s="2">
        <v>0</v>
      </c>
      <c r="H18" s="2">
        <v>0</v>
      </c>
      <c r="I18" s="2">
        <v>491.59</v>
      </c>
      <c r="J18" s="2">
        <v>96.51</v>
      </c>
      <c r="K18" s="2">
        <v>598.85</v>
      </c>
      <c r="L18" s="2">
        <v>0</v>
      </c>
      <c r="M18" s="2">
        <v>0</v>
      </c>
      <c r="N18" s="2">
        <v>491.59</v>
      </c>
    </row>
    <row r="20" spans="1:16" x14ac:dyDescent="0.2">
      <c r="A20" s="11">
        <v>50</v>
      </c>
      <c r="B20" s="11">
        <v>0</v>
      </c>
      <c r="C20" s="11">
        <v>0</v>
      </c>
      <c r="D20" s="11">
        <v>1</v>
      </c>
      <c r="E20" s="11">
        <v>201</v>
      </c>
      <c r="F20" s="11">
        <v>346580.08999999997</v>
      </c>
      <c r="G20" s="11" t="s">
        <v>208</v>
      </c>
      <c r="H20" s="11" t="s">
        <v>209</v>
      </c>
      <c r="I20" s="11"/>
      <c r="J20" s="11"/>
      <c r="K20" s="11">
        <v>201</v>
      </c>
      <c r="L20" s="11">
        <v>1</v>
      </c>
      <c r="M20" s="11">
        <v>3</v>
      </c>
      <c r="N20" s="11" t="s">
        <v>3</v>
      </c>
      <c r="O20" s="11">
        <v>2</v>
      </c>
      <c r="P20" s="11"/>
    </row>
    <row r="21" spans="1:16" x14ac:dyDescent="0.2">
      <c r="A21" s="11">
        <v>50</v>
      </c>
      <c r="B21" s="11">
        <v>0</v>
      </c>
      <c r="C21" s="11">
        <v>0</v>
      </c>
      <c r="D21" s="11">
        <v>1</v>
      </c>
      <c r="E21" s="11">
        <v>202</v>
      </c>
      <c r="F21" s="11">
        <v>252265.77</v>
      </c>
      <c r="G21" s="11" t="s">
        <v>210</v>
      </c>
      <c r="H21" s="11" t="s">
        <v>211</v>
      </c>
      <c r="I21" s="11"/>
      <c r="J21" s="11"/>
      <c r="K21" s="11">
        <v>202</v>
      </c>
      <c r="L21" s="11">
        <v>2</v>
      </c>
      <c r="M21" s="11">
        <v>3</v>
      </c>
      <c r="N21" s="11" t="s">
        <v>3</v>
      </c>
      <c r="O21" s="11">
        <v>2</v>
      </c>
      <c r="P21" s="11"/>
    </row>
    <row r="22" spans="1:16" x14ac:dyDescent="0.2">
      <c r="A22" s="11">
        <v>50</v>
      </c>
      <c r="B22" s="11">
        <v>0</v>
      </c>
      <c r="C22" s="11">
        <v>0</v>
      </c>
      <c r="D22" s="11">
        <v>1</v>
      </c>
      <c r="E22" s="11">
        <v>222</v>
      </c>
      <c r="F22" s="11">
        <v>0</v>
      </c>
      <c r="G22" s="11" t="s">
        <v>212</v>
      </c>
      <c r="H22" s="11" t="s">
        <v>213</v>
      </c>
      <c r="I22" s="11"/>
      <c r="J22" s="11"/>
      <c r="K22" s="11">
        <v>222</v>
      </c>
      <c r="L22" s="11">
        <v>3</v>
      </c>
      <c r="M22" s="11">
        <v>3</v>
      </c>
      <c r="N22" s="11" t="s">
        <v>3</v>
      </c>
      <c r="O22" s="11">
        <v>2</v>
      </c>
      <c r="P22" s="11"/>
    </row>
    <row r="23" spans="1:16" x14ac:dyDescent="0.2">
      <c r="A23" s="11">
        <v>50</v>
      </c>
      <c r="B23" s="11">
        <v>0</v>
      </c>
      <c r="C23" s="11">
        <v>0</v>
      </c>
      <c r="D23" s="11">
        <v>1</v>
      </c>
      <c r="E23" s="11">
        <v>225</v>
      </c>
      <c r="F23" s="11">
        <v>252265.77</v>
      </c>
      <c r="G23" s="11" t="s">
        <v>214</v>
      </c>
      <c r="H23" s="11" t="s">
        <v>215</v>
      </c>
      <c r="I23" s="11"/>
      <c r="J23" s="11"/>
      <c r="K23" s="11">
        <v>225</v>
      </c>
      <c r="L23" s="11">
        <v>4</v>
      </c>
      <c r="M23" s="11">
        <v>3</v>
      </c>
      <c r="N23" s="11" t="s">
        <v>3</v>
      </c>
      <c r="O23" s="11">
        <v>2</v>
      </c>
      <c r="P23" s="11"/>
    </row>
    <row r="24" spans="1:16" x14ac:dyDescent="0.2">
      <c r="A24" s="11">
        <v>50</v>
      </c>
      <c r="B24" s="11">
        <v>0</v>
      </c>
      <c r="C24" s="11">
        <v>0</v>
      </c>
      <c r="D24" s="11">
        <v>1</v>
      </c>
      <c r="E24" s="11">
        <v>226</v>
      </c>
      <c r="F24" s="11">
        <v>252265.77</v>
      </c>
      <c r="G24" s="11" t="s">
        <v>216</v>
      </c>
      <c r="H24" s="11" t="s">
        <v>217</v>
      </c>
      <c r="I24" s="11"/>
      <c r="J24" s="11"/>
      <c r="K24" s="11">
        <v>226</v>
      </c>
      <c r="L24" s="11">
        <v>5</v>
      </c>
      <c r="M24" s="11">
        <v>3</v>
      </c>
      <c r="N24" s="11" t="s">
        <v>3</v>
      </c>
      <c r="O24" s="11">
        <v>2</v>
      </c>
      <c r="P24" s="11"/>
    </row>
    <row r="25" spans="1:16" x14ac:dyDescent="0.2">
      <c r="A25" s="11">
        <v>50</v>
      </c>
      <c r="B25" s="11">
        <v>0</v>
      </c>
      <c r="C25" s="11">
        <v>0</v>
      </c>
      <c r="D25" s="11">
        <v>1</v>
      </c>
      <c r="E25" s="11">
        <v>227</v>
      </c>
      <c r="F25" s="11">
        <v>0</v>
      </c>
      <c r="G25" s="11" t="s">
        <v>218</v>
      </c>
      <c r="H25" s="11" t="s">
        <v>219</v>
      </c>
      <c r="I25" s="11"/>
      <c r="J25" s="11"/>
      <c r="K25" s="11">
        <v>227</v>
      </c>
      <c r="L25" s="11">
        <v>6</v>
      </c>
      <c r="M25" s="11">
        <v>3</v>
      </c>
      <c r="N25" s="11" t="s">
        <v>3</v>
      </c>
      <c r="O25" s="11">
        <v>2</v>
      </c>
      <c r="P25" s="11"/>
    </row>
    <row r="26" spans="1:16" x14ac:dyDescent="0.2">
      <c r="A26" s="11">
        <v>50</v>
      </c>
      <c r="B26" s="11">
        <v>0</v>
      </c>
      <c r="C26" s="11">
        <v>0</v>
      </c>
      <c r="D26" s="11">
        <v>1</v>
      </c>
      <c r="E26" s="11">
        <v>228</v>
      </c>
      <c r="F26" s="11">
        <v>252265.77</v>
      </c>
      <c r="G26" s="11" t="s">
        <v>220</v>
      </c>
      <c r="H26" s="11" t="s">
        <v>221</v>
      </c>
      <c r="I26" s="11"/>
      <c r="J26" s="11"/>
      <c r="K26" s="11">
        <v>228</v>
      </c>
      <c r="L26" s="11">
        <v>7</v>
      </c>
      <c r="M26" s="11">
        <v>3</v>
      </c>
      <c r="N26" s="11" t="s">
        <v>3</v>
      </c>
      <c r="O26" s="11">
        <v>2</v>
      </c>
      <c r="P26" s="11"/>
    </row>
    <row r="27" spans="1:16" x14ac:dyDescent="0.2">
      <c r="A27" s="11">
        <v>50</v>
      </c>
      <c r="B27" s="11">
        <v>0</v>
      </c>
      <c r="C27" s="11">
        <v>0</v>
      </c>
      <c r="D27" s="11">
        <v>1</v>
      </c>
      <c r="E27" s="11">
        <v>216</v>
      </c>
      <c r="F27" s="11">
        <v>0</v>
      </c>
      <c r="G27" s="11" t="s">
        <v>222</v>
      </c>
      <c r="H27" s="11" t="s">
        <v>223</v>
      </c>
      <c r="I27" s="11"/>
      <c r="J27" s="11"/>
      <c r="K27" s="11">
        <v>216</v>
      </c>
      <c r="L27" s="11">
        <v>8</v>
      </c>
      <c r="M27" s="11">
        <v>3</v>
      </c>
      <c r="N27" s="11" t="s">
        <v>3</v>
      </c>
      <c r="O27" s="11">
        <v>2</v>
      </c>
      <c r="P27" s="11"/>
    </row>
    <row r="28" spans="1:16" x14ac:dyDescent="0.2">
      <c r="A28" s="11">
        <v>50</v>
      </c>
      <c r="B28" s="11">
        <v>0</v>
      </c>
      <c r="C28" s="11">
        <v>0</v>
      </c>
      <c r="D28" s="11">
        <v>1</v>
      </c>
      <c r="E28" s="11">
        <v>223</v>
      </c>
      <c r="F28" s="11">
        <v>0</v>
      </c>
      <c r="G28" s="11" t="s">
        <v>224</v>
      </c>
      <c r="H28" s="11" t="s">
        <v>225</v>
      </c>
      <c r="I28" s="11"/>
      <c r="J28" s="11"/>
      <c r="K28" s="11">
        <v>223</v>
      </c>
      <c r="L28" s="11">
        <v>9</v>
      </c>
      <c r="M28" s="11">
        <v>3</v>
      </c>
      <c r="N28" s="11" t="s">
        <v>3</v>
      </c>
      <c r="O28" s="11">
        <v>2</v>
      </c>
      <c r="P28" s="11"/>
    </row>
    <row r="29" spans="1:16" x14ac:dyDescent="0.2">
      <c r="A29" s="11">
        <v>50</v>
      </c>
      <c r="B29" s="11">
        <v>0</v>
      </c>
      <c r="C29" s="11">
        <v>0</v>
      </c>
      <c r="D29" s="11">
        <v>1</v>
      </c>
      <c r="E29" s="11">
        <v>229</v>
      </c>
      <c r="F29" s="11">
        <v>0</v>
      </c>
      <c r="G29" s="11" t="s">
        <v>226</v>
      </c>
      <c r="H29" s="11" t="s">
        <v>227</v>
      </c>
      <c r="I29" s="11"/>
      <c r="J29" s="11"/>
      <c r="K29" s="11">
        <v>229</v>
      </c>
      <c r="L29" s="11">
        <v>10</v>
      </c>
      <c r="M29" s="11">
        <v>3</v>
      </c>
      <c r="N29" s="11" t="s">
        <v>3</v>
      </c>
      <c r="O29" s="11">
        <v>2</v>
      </c>
      <c r="P29" s="11"/>
    </row>
    <row r="30" spans="1:16" x14ac:dyDescent="0.2">
      <c r="A30" s="11">
        <v>50</v>
      </c>
      <c r="B30" s="11">
        <v>0</v>
      </c>
      <c r="C30" s="11">
        <v>0</v>
      </c>
      <c r="D30" s="11">
        <v>1</v>
      </c>
      <c r="E30" s="11">
        <v>203</v>
      </c>
      <c r="F30" s="11">
        <v>-2194.08</v>
      </c>
      <c r="G30" s="11" t="s">
        <v>228</v>
      </c>
      <c r="H30" s="11" t="s">
        <v>229</v>
      </c>
      <c r="I30" s="11"/>
      <c r="J30" s="11"/>
      <c r="K30" s="11">
        <v>203</v>
      </c>
      <c r="L30" s="11">
        <v>11</v>
      </c>
      <c r="M30" s="11">
        <v>3</v>
      </c>
      <c r="N30" s="11" t="s">
        <v>3</v>
      </c>
      <c r="O30" s="11">
        <v>2</v>
      </c>
      <c r="P30" s="11"/>
    </row>
    <row r="31" spans="1:16" x14ac:dyDescent="0.2">
      <c r="A31" s="11">
        <v>50</v>
      </c>
      <c r="B31" s="11">
        <v>0</v>
      </c>
      <c r="C31" s="11">
        <v>0</v>
      </c>
      <c r="D31" s="11">
        <v>1</v>
      </c>
      <c r="E31" s="11">
        <v>231</v>
      </c>
      <c r="F31" s="11">
        <v>0</v>
      </c>
      <c r="G31" s="11" t="s">
        <v>230</v>
      </c>
      <c r="H31" s="11" t="s">
        <v>231</v>
      </c>
      <c r="I31" s="11"/>
      <c r="J31" s="11"/>
      <c r="K31" s="11">
        <v>231</v>
      </c>
      <c r="L31" s="11">
        <v>12</v>
      </c>
      <c r="M31" s="11">
        <v>3</v>
      </c>
      <c r="N31" s="11" t="s">
        <v>3</v>
      </c>
      <c r="O31" s="11">
        <v>2</v>
      </c>
      <c r="P31" s="11"/>
    </row>
    <row r="32" spans="1:16" x14ac:dyDescent="0.2">
      <c r="A32" s="11">
        <v>50</v>
      </c>
      <c r="B32" s="11">
        <v>0</v>
      </c>
      <c r="C32" s="11">
        <v>0</v>
      </c>
      <c r="D32" s="11">
        <v>1</v>
      </c>
      <c r="E32" s="11">
        <v>204</v>
      </c>
      <c r="F32" s="11">
        <v>-1700.8299999999997</v>
      </c>
      <c r="G32" s="11" t="s">
        <v>232</v>
      </c>
      <c r="H32" s="11" t="s">
        <v>233</v>
      </c>
      <c r="I32" s="11"/>
      <c r="J32" s="11"/>
      <c r="K32" s="11">
        <v>204</v>
      </c>
      <c r="L32" s="11">
        <v>13</v>
      </c>
      <c r="M32" s="11">
        <v>3</v>
      </c>
      <c r="N32" s="11" t="s">
        <v>3</v>
      </c>
      <c r="O32" s="11">
        <v>2</v>
      </c>
      <c r="P32" s="11"/>
    </row>
    <row r="33" spans="1:16" x14ac:dyDescent="0.2">
      <c r="A33" s="11">
        <v>50</v>
      </c>
      <c r="B33" s="11">
        <v>0</v>
      </c>
      <c r="C33" s="11">
        <v>0</v>
      </c>
      <c r="D33" s="11">
        <v>1</v>
      </c>
      <c r="E33" s="11">
        <v>205</v>
      </c>
      <c r="F33" s="11">
        <v>98209.23000000001</v>
      </c>
      <c r="G33" s="11" t="s">
        <v>234</v>
      </c>
      <c r="H33" s="11" t="s">
        <v>235</v>
      </c>
      <c r="I33" s="11"/>
      <c r="J33" s="11"/>
      <c r="K33" s="11">
        <v>205</v>
      </c>
      <c r="L33" s="11">
        <v>14</v>
      </c>
      <c r="M33" s="11">
        <v>3</v>
      </c>
      <c r="N33" s="11" t="s">
        <v>3</v>
      </c>
      <c r="O33" s="11">
        <v>2</v>
      </c>
      <c r="P33" s="11"/>
    </row>
    <row r="34" spans="1:16" x14ac:dyDescent="0.2">
      <c r="A34" s="11">
        <v>50</v>
      </c>
      <c r="B34" s="11">
        <v>0</v>
      </c>
      <c r="C34" s="11">
        <v>0</v>
      </c>
      <c r="D34" s="11">
        <v>1</v>
      </c>
      <c r="E34" s="11">
        <v>232</v>
      </c>
      <c r="F34" s="11">
        <v>0</v>
      </c>
      <c r="G34" s="11" t="s">
        <v>236</v>
      </c>
      <c r="H34" s="11" t="s">
        <v>237</v>
      </c>
      <c r="I34" s="11"/>
      <c r="J34" s="11"/>
      <c r="K34" s="11">
        <v>232</v>
      </c>
      <c r="L34" s="11">
        <v>15</v>
      </c>
      <c r="M34" s="11">
        <v>3</v>
      </c>
      <c r="N34" s="11" t="s">
        <v>3</v>
      </c>
      <c r="O34" s="11">
        <v>2</v>
      </c>
      <c r="P34" s="11"/>
    </row>
    <row r="35" spans="1:16" x14ac:dyDescent="0.2">
      <c r="A35" s="11">
        <v>50</v>
      </c>
      <c r="B35" s="11">
        <v>0</v>
      </c>
      <c r="C35" s="11">
        <v>0</v>
      </c>
      <c r="D35" s="11">
        <v>1</v>
      </c>
      <c r="E35" s="11">
        <v>214</v>
      </c>
      <c r="F35" s="11">
        <v>161431.39000000001</v>
      </c>
      <c r="G35" s="11" t="s">
        <v>238</v>
      </c>
      <c r="H35" s="11" t="s">
        <v>239</v>
      </c>
      <c r="I35" s="11"/>
      <c r="J35" s="11"/>
      <c r="K35" s="11">
        <v>214</v>
      </c>
      <c r="L35" s="11">
        <v>16</v>
      </c>
      <c r="M35" s="11">
        <v>3</v>
      </c>
      <c r="N35" s="11" t="s">
        <v>3</v>
      </c>
      <c r="O35" s="11">
        <v>2</v>
      </c>
      <c r="P35" s="11"/>
    </row>
    <row r="36" spans="1:16" x14ac:dyDescent="0.2">
      <c r="A36" s="11">
        <v>50</v>
      </c>
      <c r="B36" s="11">
        <v>0</v>
      </c>
      <c r="C36" s="11">
        <v>0</v>
      </c>
      <c r="D36" s="11">
        <v>1</v>
      </c>
      <c r="E36" s="11">
        <v>215</v>
      </c>
      <c r="F36" s="11">
        <v>330164.52</v>
      </c>
      <c r="G36" s="11" t="s">
        <v>240</v>
      </c>
      <c r="H36" s="11" t="s">
        <v>241</v>
      </c>
      <c r="I36" s="11"/>
      <c r="J36" s="11"/>
      <c r="K36" s="11">
        <v>215</v>
      </c>
      <c r="L36" s="11">
        <v>17</v>
      </c>
      <c r="M36" s="11">
        <v>3</v>
      </c>
      <c r="N36" s="11" t="s">
        <v>3</v>
      </c>
      <c r="O36" s="11">
        <v>2</v>
      </c>
      <c r="P36" s="11"/>
    </row>
    <row r="37" spans="1:16" x14ac:dyDescent="0.2">
      <c r="A37" s="11">
        <v>50</v>
      </c>
      <c r="B37" s="11">
        <v>0</v>
      </c>
      <c r="C37" s="11">
        <v>0</v>
      </c>
      <c r="D37" s="11">
        <v>1</v>
      </c>
      <c r="E37" s="11">
        <v>217</v>
      </c>
      <c r="F37" s="11">
        <v>0</v>
      </c>
      <c r="G37" s="11" t="s">
        <v>242</v>
      </c>
      <c r="H37" s="11" t="s">
        <v>243</v>
      </c>
      <c r="I37" s="11"/>
      <c r="J37" s="11"/>
      <c r="K37" s="11">
        <v>217</v>
      </c>
      <c r="L37" s="11">
        <v>18</v>
      </c>
      <c r="M37" s="11">
        <v>3</v>
      </c>
      <c r="N37" s="11" t="s">
        <v>3</v>
      </c>
      <c r="O37" s="11">
        <v>2</v>
      </c>
      <c r="P37" s="11"/>
    </row>
    <row r="38" spans="1:16" x14ac:dyDescent="0.2">
      <c r="A38" s="11">
        <v>50</v>
      </c>
      <c r="B38" s="11">
        <v>0</v>
      </c>
      <c r="C38" s="11">
        <v>0</v>
      </c>
      <c r="D38" s="11">
        <v>1</v>
      </c>
      <c r="E38" s="11">
        <v>230</v>
      </c>
      <c r="F38" s="11">
        <v>0</v>
      </c>
      <c r="G38" s="11" t="s">
        <v>244</v>
      </c>
      <c r="H38" s="11" t="s">
        <v>245</v>
      </c>
      <c r="I38" s="11"/>
      <c r="J38" s="11"/>
      <c r="K38" s="11">
        <v>230</v>
      </c>
      <c r="L38" s="11">
        <v>19</v>
      </c>
      <c r="M38" s="11">
        <v>3</v>
      </c>
      <c r="N38" s="11" t="s">
        <v>3</v>
      </c>
      <c r="O38" s="11">
        <v>2</v>
      </c>
      <c r="P38" s="11"/>
    </row>
    <row r="39" spans="1:16" x14ac:dyDescent="0.2">
      <c r="A39" s="11">
        <v>50</v>
      </c>
      <c r="B39" s="11">
        <v>0</v>
      </c>
      <c r="C39" s="11">
        <v>0</v>
      </c>
      <c r="D39" s="11">
        <v>1</v>
      </c>
      <c r="E39" s="11">
        <v>206</v>
      </c>
      <c r="F39" s="11">
        <v>0</v>
      </c>
      <c r="G39" s="11" t="s">
        <v>246</v>
      </c>
      <c r="H39" s="11" t="s">
        <v>247</v>
      </c>
      <c r="I39" s="11"/>
      <c r="J39" s="11"/>
      <c r="K39" s="11">
        <v>206</v>
      </c>
      <c r="L39" s="11">
        <v>20</v>
      </c>
      <c r="M39" s="11">
        <v>3</v>
      </c>
      <c r="N39" s="11" t="s">
        <v>3</v>
      </c>
      <c r="O39" s="11">
        <v>2</v>
      </c>
      <c r="P39" s="11"/>
    </row>
    <row r="40" spans="1:16" x14ac:dyDescent="0.2">
      <c r="A40" s="11">
        <v>50</v>
      </c>
      <c r="B40" s="11">
        <v>0</v>
      </c>
      <c r="C40" s="11">
        <v>0</v>
      </c>
      <c r="D40" s="11">
        <v>1</v>
      </c>
      <c r="E40" s="11">
        <v>207</v>
      </c>
      <c r="F40" s="11">
        <v>142.99006460000001</v>
      </c>
      <c r="G40" s="11" t="s">
        <v>248</v>
      </c>
      <c r="H40" s="11" t="s">
        <v>249</v>
      </c>
      <c r="I40" s="11"/>
      <c r="J40" s="11"/>
      <c r="K40" s="11">
        <v>207</v>
      </c>
      <c r="L40" s="11">
        <v>21</v>
      </c>
      <c r="M40" s="11">
        <v>3</v>
      </c>
      <c r="N40" s="11" t="s">
        <v>3</v>
      </c>
      <c r="O40" s="11">
        <v>-1</v>
      </c>
      <c r="P40" s="11"/>
    </row>
    <row r="41" spans="1:16" x14ac:dyDescent="0.2">
      <c r="A41" s="11">
        <v>50</v>
      </c>
      <c r="B41" s="11">
        <v>0</v>
      </c>
      <c r="C41" s="11">
        <v>0</v>
      </c>
      <c r="D41" s="11">
        <v>1</v>
      </c>
      <c r="E41" s="11">
        <v>208</v>
      </c>
      <c r="F41" s="11">
        <v>4.4200000000000003E-2</v>
      </c>
      <c r="G41" s="11" t="s">
        <v>250</v>
      </c>
      <c r="H41" s="11" t="s">
        <v>251</v>
      </c>
      <c r="I41" s="11"/>
      <c r="J41" s="11"/>
      <c r="K41" s="11">
        <v>208</v>
      </c>
      <c r="L41" s="11">
        <v>22</v>
      </c>
      <c r="M41" s="11">
        <v>3</v>
      </c>
      <c r="N41" s="11" t="s">
        <v>3</v>
      </c>
      <c r="O41" s="11">
        <v>-1</v>
      </c>
      <c r="P41" s="11"/>
    </row>
    <row r="42" spans="1:16" x14ac:dyDescent="0.2">
      <c r="A42" s="11">
        <v>50</v>
      </c>
      <c r="B42" s="11">
        <v>0</v>
      </c>
      <c r="C42" s="11">
        <v>0</v>
      </c>
      <c r="D42" s="11">
        <v>1</v>
      </c>
      <c r="E42" s="11">
        <v>209</v>
      </c>
      <c r="F42" s="11">
        <v>0</v>
      </c>
      <c r="G42" s="11" t="s">
        <v>252</v>
      </c>
      <c r="H42" s="11" t="s">
        <v>253</v>
      </c>
      <c r="I42" s="11"/>
      <c r="J42" s="11"/>
      <c r="K42" s="11">
        <v>209</v>
      </c>
      <c r="L42" s="11">
        <v>23</v>
      </c>
      <c r="M42" s="11">
        <v>3</v>
      </c>
      <c r="N42" s="11" t="s">
        <v>3</v>
      </c>
      <c r="O42" s="11">
        <v>2</v>
      </c>
      <c r="P42" s="11"/>
    </row>
    <row r="43" spans="1:16" x14ac:dyDescent="0.2">
      <c r="A43" s="11">
        <v>50</v>
      </c>
      <c r="B43" s="11">
        <v>0</v>
      </c>
      <c r="C43" s="11">
        <v>0</v>
      </c>
      <c r="D43" s="11">
        <v>1</v>
      </c>
      <c r="E43" s="11">
        <v>233</v>
      </c>
      <c r="F43" s="11">
        <v>0</v>
      </c>
      <c r="G43" s="11" t="s">
        <v>254</v>
      </c>
      <c r="H43" s="11" t="s">
        <v>255</v>
      </c>
      <c r="I43" s="11"/>
      <c r="J43" s="11"/>
      <c r="K43" s="11">
        <v>233</v>
      </c>
      <c r="L43" s="11">
        <v>24</v>
      </c>
      <c r="M43" s="11">
        <v>3</v>
      </c>
      <c r="N43" s="11" t="s">
        <v>3</v>
      </c>
      <c r="O43" s="11">
        <v>2</v>
      </c>
      <c r="P43" s="11"/>
    </row>
    <row r="44" spans="1:16" x14ac:dyDescent="0.2">
      <c r="A44" s="11">
        <v>50</v>
      </c>
      <c r="B44" s="11">
        <v>0</v>
      </c>
      <c r="C44" s="11">
        <v>0</v>
      </c>
      <c r="D44" s="11">
        <v>1</v>
      </c>
      <c r="E44" s="11">
        <v>210</v>
      </c>
      <c r="F44" s="11">
        <v>95943.55</v>
      </c>
      <c r="G44" s="11" t="s">
        <v>256</v>
      </c>
      <c r="H44" s="11" t="s">
        <v>257</v>
      </c>
      <c r="I44" s="11"/>
      <c r="J44" s="11"/>
      <c r="K44" s="11">
        <v>210</v>
      </c>
      <c r="L44" s="11">
        <v>25</v>
      </c>
      <c r="M44" s="11">
        <v>3</v>
      </c>
      <c r="N44" s="11" t="s">
        <v>3</v>
      </c>
      <c r="O44" s="11">
        <v>2</v>
      </c>
      <c r="P44" s="11"/>
    </row>
    <row r="45" spans="1:16" x14ac:dyDescent="0.2">
      <c r="A45" s="11">
        <v>50</v>
      </c>
      <c r="B45" s="11">
        <v>0</v>
      </c>
      <c r="C45" s="11">
        <v>0</v>
      </c>
      <c r="D45" s="11">
        <v>1</v>
      </c>
      <c r="E45" s="11">
        <v>211</v>
      </c>
      <c r="F45" s="11">
        <v>49072.27</v>
      </c>
      <c r="G45" s="11" t="s">
        <v>258</v>
      </c>
      <c r="H45" s="11" t="s">
        <v>259</v>
      </c>
      <c r="I45" s="11"/>
      <c r="J45" s="11"/>
      <c r="K45" s="11">
        <v>211</v>
      </c>
      <c r="L45" s="11">
        <v>26</v>
      </c>
      <c r="M45" s="11">
        <v>3</v>
      </c>
      <c r="N45" s="11" t="s">
        <v>3</v>
      </c>
      <c r="O45" s="11">
        <v>2</v>
      </c>
      <c r="P45" s="11"/>
    </row>
    <row r="46" spans="1:16" x14ac:dyDescent="0.2">
      <c r="A46" s="11">
        <v>50</v>
      </c>
      <c r="B46" s="11">
        <v>0</v>
      </c>
      <c r="C46" s="11">
        <v>0</v>
      </c>
      <c r="D46" s="11">
        <v>1</v>
      </c>
      <c r="E46" s="11">
        <v>224</v>
      </c>
      <c r="F46" s="11">
        <v>491595.91000000003</v>
      </c>
      <c r="G46" s="11" t="s">
        <v>260</v>
      </c>
      <c r="H46" s="11" t="s">
        <v>261</v>
      </c>
      <c r="I46" s="11"/>
      <c r="J46" s="11"/>
      <c r="K46" s="11">
        <v>224</v>
      </c>
      <c r="L46" s="11">
        <v>27</v>
      </c>
      <c r="M46" s="11">
        <v>3</v>
      </c>
      <c r="N46" s="11" t="s">
        <v>3</v>
      </c>
      <c r="O46" s="11">
        <v>2</v>
      </c>
      <c r="P46" s="11"/>
    </row>
    <row r="47" spans="1:16" x14ac:dyDescent="0.2">
      <c r="A47" s="11">
        <v>50</v>
      </c>
      <c r="B47" s="11">
        <v>1</v>
      </c>
      <c r="C47" s="11">
        <v>0</v>
      </c>
      <c r="D47" s="11">
        <v>2</v>
      </c>
      <c r="E47" s="11">
        <v>0</v>
      </c>
      <c r="F47" s="11">
        <v>108151.1</v>
      </c>
      <c r="G47" s="11" t="s">
        <v>17</v>
      </c>
      <c r="H47" s="11" t="s">
        <v>461</v>
      </c>
      <c r="I47" s="11"/>
      <c r="J47" s="11"/>
      <c r="K47" s="11">
        <v>212</v>
      </c>
      <c r="L47" s="11">
        <v>28</v>
      </c>
      <c r="M47" s="11">
        <v>0</v>
      </c>
      <c r="N47" s="11" t="s">
        <v>3</v>
      </c>
      <c r="O47" s="11">
        <v>2</v>
      </c>
      <c r="P47" s="11"/>
    </row>
    <row r="48" spans="1:16" x14ac:dyDescent="0.2">
      <c r="A48" s="11">
        <v>50</v>
      </c>
      <c r="B48" s="11">
        <v>1</v>
      </c>
      <c r="C48" s="11">
        <v>0</v>
      </c>
      <c r="D48" s="11">
        <v>2</v>
      </c>
      <c r="E48" s="11">
        <v>0</v>
      </c>
      <c r="F48" s="11">
        <v>599747.01</v>
      </c>
      <c r="G48" s="11" t="s">
        <v>31</v>
      </c>
      <c r="H48" s="11" t="s">
        <v>462</v>
      </c>
      <c r="I48" s="11"/>
      <c r="J48" s="11"/>
      <c r="K48" s="11">
        <v>212</v>
      </c>
      <c r="L48" s="11">
        <v>30</v>
      </c>
      <c r="M48" s="11">
        <v>0</v>
      </c>
      <c r="N48" s="11" t="s">
        <v>3</v>
      </c>
      <c r="O48" s="11">
        <v>-1</v>
      </c>
      <c r="P48" s="11"/>
    </row>
    <row r="50" spans="1:50" x14ac:dyDescent="0.2">
      <c r="A50" s="2">
        <v>-1</v>
      </c>
    </row>
    <row r="53" spans="1:50" x14ac:dyDescent="0.2">
      <c r="A53" s="12">
        <v>75</v>
      </c>
      <c r="B53" s="12" t="s">
        <v>529</v>
      </c>
      <c r="C53" s="12">
        <v>2026</v>
      </c>
      <c r="D53" s="12">
        <v>0</v>
      </c>
      <c r="E53" s="12">
        <v>3</v>
      </c>
      <c r="F53" s="12">
        <v>1</v>
      </c>
      <c r="G53" s="12">
        <v>0</v>
      </c>
      <c r="H53" s="12">
        <v>1</v>
      </c>
      <c r="I53" s="12">
        <v>0</v>
      </c>
      <c r="J53" s="12">
        <v>3</v>
      </c>
      <c r="K53" s="12">
        <v>0</v>
      </c>
      <c r="L53" s="12">
        <v>0</v>
      </c>
      <c r="M53" s="12">
        <v>0</v>
      </c>
      <c r="N53" s="12">
        <v>85997836</v>
      </c>
      <c r="O53" s="12">
        <v>1</v>
      </c>
    </row>
    <row r="54" spans="1:50" x14ac:dyDescent="0.2">
      <c r="A54" s="13">
        <v>2</v>
      </c>
      <c r="B54" s="13" t="s">
        <v>530</v>
      </c>
      <c r="C54" s="13" t="s">
        <v>531</v>
      </c>
      <c r="D54" s="13">
        <v>0</v>
      </c>
      <c r="E54" s="13">
        <v>0</v>
      </c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>
        <v>85997837</v>
      </c>
    </row>
    <row r="55" spans="1:50" x14ac:dyDescent="0.2">
      <c r="A55" s="13">
        <v>1</v>
      </c>
      <c r="B55" s="13" t="s">
        <v>532</v>
      </c>
      <c r="C55" s="13" t="s">
        <v>533</v>
      </c>
      <c r="D55" s="13">
        <v>2026</v>
      </c>
      <c r="E55" s="13">
        <v>3</v>
      </c>
      <c r="F55" s="13">
        <v>1</v>
      </c>
      <c r="G55" s="13">
        <v>1</v>
      </c>
      <c r="H55" s="13">
        <v>0</v>
      </c>
      <c r="I55" s="13">
        <v>2</v>
      </c>
      <c r="J55" s="13">
        <v>1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3">
        <v>1</v>
      </c>
      <c r="Q55" s="13">
        <v>1</v>
      </c>
      <c r="R55" s="13" t="s">
        <v>3</v>
      </c>
      <c r="S55" s="13" t="s">
        <v>3</v>
      </c>
      <c r="T55" s="13" t="s">
        <v>3</v>
      </c>
      <c r="U55" s="13" t="s">
        <v>3</v>
      </c>
      <c r="V55" s="13" t="s">
        <v>3</v>
      </c>
      <c r="W55" s="13" t="s">
        <v>3</v>
      </c>
      <c r="X55" s="13" t="s">
        <v>3</v>
      </c>
      <c r="Y55" s="13" t="s">
        <v>3</v>
      </c>
      <c r="Z55" s="13" t="s">
        <v>3</v>
      </c>
      <c r="AA55" s="13" t="s">
        <v>3</v>
      </c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>
        <v>85997838</v>
      </c>
      <c r="AO55" s="13" t="s">
        <v>534</v>
      </c>
      <c r="AP55" s="13" t="s">
        <v>535</v>
      </c>
      <c r="AQ55" s="13">
        <v>46078</v>
      </c>
      <c r="AR55" s="13">
        <v>409</v>
      </c>
      <c r="AS55" s="13" t="s">
        <v>536</v>
      </c>
      <c r="AT55" s="13" t="s">
        <v>3</v>
      </c>
      <c r="AU55" s="13" t="s">
        <v>535</v>
      </c>
      <c r="AV55" s="13">
        <v>45957</v>
      </c>
      <c r="AW55" s="13">
        <v>23615</v>
      </c>
      <c r="AX55" s="13" t="s">
        <v>537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241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85997836</v>
      </c>
      <c r="C1">
        <v>85998133</v>
      </c>
      <c r="D1">
        <v>84164528</v>
      </c>
      <c r="E1">
        <v>117</v>
      </c>
      <c r="F1">
        <v>1</v>
      </c>
      <c r="G1">
        <v>1</v>
      </c>
      <c r="H1">
        <v>1</v>
      </c>
      <c r="I1" t="s">
        <v>539</v>
      </c>
      <c r="J1" t="s">
        <v>3</v>
      </c>
      <c r="K1" t="s">
        <v>540</v>
      </c>
      <c r="L1">
        <v>1191</v>
      </c>
      <c r="N1">
        <v>1013</v>
      </c>
      <c r="O1" t="s">
        <v>541</v>
      </c>
      <c r="P1" t="s">
        <v>541</v>
      </c>
      <c r="Q1">
        <v>1</v>
      </c>
      <c r="W1">
        <v>0</v>
      </c>
      <c r="X1">
        <v>370475345</v>
      </c>
      <c r="Y1">
        <f t="shared" ref="Y1:Y7" si="0">AT1</f>
        <v>6.32</v>
      </c>
      <c r="AA1">
        <v>0</v>
      </c>
      <c r="AB1">
        <v>0</v>
      </c>
      <c r="AC1">
        <v>0</v>
      </c>
      <c r="AD1">
        <v>587.34</v>
      </c>
      <c r="AE1">
        <v>0</v>
      </c>
      <c r="AF1">
        <v>0</v>
      </c>
      <c r="AG1">
        <v>0</v>
      </c>
      <c r="AH1">
        <v>587.34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0</v>
      </c>
      <c r="AQ1">
        <v>1</v>
      </c>
      <c r="AR1">
        <v>0</v>
      </c>
      <c r="AS1" t="s">
        <v>3</v>
      </c>
      <c r="AT1">
        <v>6.32</v>
      </c>
      <c r="AU1" t="s">
        <v>3</v>
      </c>
      <c r="AV1">
        <v>1</v>
      </c>
      <c r="AW1">
        <v>2</v>
      </c>
      <c r="AX1">
        <v>85998137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3711.9888000000005</v>
      </c>
      <c r="BN1">
        <v>6.32</v>
      </c>
      <c r="BO1">
        <v>0</v>
      </c>
      <c r="BP1">
        <v>1</v>
      </c>
      <c r="BQ1">
        <v>0</v>
      </c>
      <c r="BR1">
        <v>0</v>
      </c>
      <c r="BS1">
        <v>0</v>
      </c>
      <c r="BT1">
        <v>3711.9888000000005</v>
      </c>
      <c r="BU1">
        <v>6.32</v>
      </c>
      <c r="BV1">
        <v>0</v>
      </c>
      <c r="BW1">
        <v>1</v>
      </c>
      <c r="CU1">
        <f>ROUND(AT1*Source!I28*AH1*AL1,2)</f>
        <v>631.04</v>
      </c>
      <c r="CV1">
        <f>ROUND(Y1*Source!I28,7)</f>
        <v>1.0744</v>
      </c>
      <c r="CW1">
        <v>0</v>
      </c>
      <c r="CX1">
        <f>ROUND(Y1*Source!I28,7)</f>
        <v>1.0744</v>
      </c>
      <c r="CY1">
        <f>AD1</f>
        <v>587.34</v>
      </c>
      <c r="CZ1">
        <f>AH1</f>
        <v>587.34</v>
      </c>
      <c r="DA1">
        <f>AL1</f>
        <v>1</v>
      </c>
      <c r="DB1">
        <f t="shared" ref="DB1:DB7" si="1">ROUND(ROUND(AT1*CZ1,2),6)</f>
        <v>3711.99</v>
      </c>
      <c r="DC1">
        <f t="shared" ref="DC1:DC7" si="2">ROUND(ROUND(AT1*AG1,2),6)</f>
        <v>0</v>
      </c>
      <c r="DD1" t="s">
        <v>3</v>
      </c>
      <c r="DE1" t="s">
        <v>3</v>
      </c>
      <c r="DF1">
        <f t="shared" ref="DF1:DF9" si="3">ROUND(ROUND(AE1,2)*CX1,2)</f>
        <v>0</v>
      </c>
      <c r="DG1">
        <f>ROUND(ROUND(AF1,2)*CX1,2)</f>
        <v>0</v>
      </c>
      <c r="DH1">
        <f t="shared" ref="DH1:DH64" si="4">ROUND(ROUND(AG1,2)*CX1,2)</f>
        <v>0</v>
      </c>
      <c r="DI1">
        <f t="shared" ref="DI1:DI64" si="5">ROUND(ROUND(AH1,2)*CX1,2)</f>
        <v>631.04</v>
      </c>
      <c r="DJ1">
        <f>DI1</f>
        <v>631.04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85997836</v>
      </c>
      <c r="C2">
        <v>85998133</v>
      </c>
      <c r="D2">
        <v>84164762</v>
      </c>
      <c r="E2">
        <v>117</v>
      </c>
      <c r="F2">
        <v>1</v>
      </c>
      <c r="G2">
        <v>1</v>
      </c>
      <c r="H2">
        <v>1</v>
      </c>
      <c r="I2" t="s">
        <v>542</v>
      </c>
      <c r="J2" t="s">
        <v>3</v>
      </c>
      <c r="K2" t="s">
        <v>543</v>
      </c>
      <c r="L2">
        <v>1191</v>
      </c>
      <c r="N2">
        <v>1013</v>
      </c>
      <c r="O2" t="s">
        <v>541</v>
      </c>
      <c r="P2" t="s">
        <v>541</v>
      </c>
      <c r="Q2">
        <v>1</v>
      </c>
      <c r="W2">
        <v>0</v>
      </c>
      <c r="X2">
        <v>-1417349443</v>
      </c>
      <c r="Y2">
        <f t="shared" si="0"/>
        <v>0.03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0</v>
      </c>
      <c r="AQ2">
        <v>1</v>
      </c>
      <c r="AR2">
        <v>0</v>
      </c>
      <c r="AS2" t="s">
        <v>3</v>
      </c>
      <c r="AT2">
        <v>0.03</v>
      </c>
      <c r="AU2" t="s">
        <v>3</v>
      </c>
      <c r="AV2">
        <v>2</v>
      </c>
      <c r="AW2">
        <v>2</v>
      </c>
      <c r="AX2">
        <v>85998138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ROUND(Y2*Source!I28,7)</f>
        <v>5.1000000000000004E-3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ROW(Source!A28)</f>
        <v>28</v>
      </c>
      <c r="B3">
        <v>85997836</v>
      </c>
      <c r="C3">
        <v>85998133</v>
      </c>
      <c r="D3">
        <v>84171438</v>
      </c>
      <c r="E3">
        <v>1</v>
      </c>
      <c r="F3">
        <v>1</v>
      </c>
      <c r="G3">
        <v>1</v>
      </c>
      <c r="H3">
        <v>2</v>
      </c>
      <c r="I3" t="s">
        <v>27</v>
      </c>
      <c r="J3" t="s">
        <v>30</v>
      </c>
      <c r="K3" t="s">
        <v>28</v>
      </c>
      <c r="L3">
        <v>1368</v>
      </c>
      <c r="N3">
        <v>1011</v>
      </c>
      <c r="O3" t="s">
        <v>29</v>
      </c>
      <c r="P3" t="s">
        <v>29</v>
      </c>
      <c r="Q3">
        <v>1</v>
      </c>
      <c r="W3">
        <v>0</v>
      </c>
      <c r="X3">
        <v>945201097</v>
      </c>
      <c r="Y3">
        <f t="shared" si="0"/>
        <v>-0.03</v>
      </c>
      <c r="AA3">
        <v>0</v>
      </c>
      <c r="AB3">
        <v>57.47</v>
      </c>
      <c r="AC3">
        <v>641.22</v>
      </c>
      <c r="AD3">
        <v>0</v>
      </c>
      <c r="AE3">
        <v>0</v>
      </c>
      <c r="AF3">
        <v>37.32</v>
      </c>
      <c r="AG3">
        <v>641.22</v>
      </c>
      <c r="AH3">
        <v>0</v>
      </c>
      <c r="AI3">
        <v>1</v>
      </c>
      <c r="AJ3">
        <v>1.54</v>
      </c>
      <c r="AK3">
        <v>1</v>
      </c>
      <c r="AL3">
        <v>1</v>
      </c>
      <c r="AM3">
        <v>2</v>
      </c>
      <c r="AN3">
        <v>0</v>
      </c>
      <c r="AO3">
        <v>0</v>
      </c>
      <c r="AP3">
        <v>0</v>
      </c>
      <c r="AQ3">
        <v>0</v>
      </c>
      <c r="AR3">
        <v>0</v>
      </c>
      <c r="AS3" t="s">
        <v>3</v>
      </c>
      <c r="AT3">
        <v>-0.03</v>
      </c>
      <c r="AU3" t="s">
        <v>3</v>
      </c>
      <c r="AV3">
        <v>1</v>
      </c>
      <c r="AW3">
        <v>2</v>
      </c>
      <c r="AX3">
        <v>85998139</v>
      </c>
      <c r="AY3">
        <v>1</v>
      </c>
      <c r="AZ3">
        <v>6144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V3">
        <v>0</v>
      </c>
      <c r="CW3">
        <f>ROUND(Y3*Source!I28*DO3,7)</f>
        <v>-5.1000000000000004E-3</v>
      </c>
      <c r="CX3">
        <f>ROUND(Y3*Source!I28,7)</f>
        <v>-5.1000000000000004E-3</v>
      </c>
      <c r="CY3">
        <f>AB3</f>
        <v>57.47</v>
      </c>
      <c r="CZ3">
        <f>AF3</f>
        <v>37.32</v>
      </c>
      <c r="DA3">
        <f>AJ3</f>
        <v>1.54</v>
      </c>
      <c r="DB3">
        <f t="shared" si="1"/>
        <v>-1.1200000000000001</v>
      </c>
      <c r="DC3">
        <f t="shared" si="2"/>
        <v>-19.239999999999998</v>
      </c>
      <c r="DD3" t="s">
        <v>3</v>
      </c>
      <c r="DE3" t="s">
        <v>3</v>
      </c>
      <c r="DF3">
        <f t="shared" si="3"/>
        <v>0</v>
      </c>
      <c r="DG3">
        <f>ROUND(ROUND(AF3*AJ3,2)*CX3,2)</f>
        <v>-0.28999999999999998</v>
      </c>
      <c r="DH3">
        <f t="shared" si="4"/>
        <v>-3.27</v>
      </c>
      <c r="DI3">
        <f t="shared" si="5"/>
        <v>0</v>
      </c>
      <c r="DJ3">
        <f>DG3+DH3</f>
        <v>-3.56</v>
      </c>
      <c r="DK3">
        <v>0</v>
      </c>
      <c r="DL3" t="s">
        <v>544</v>
      </c>
      <c r="DM3">
        <v>3</v>
      </c>
      <c r="DN3" t="s">
        <v>541</v>
      </c>
      <c r="DO3">
        <v>1</v>
      </c>
    </row>
    <row r="4" spans="1:119" x14ac:dyDescent="0.2">
      <c r="A4">
        <f>ROW(Source!A30)</f>
        <v>30</v>
      </c>
      <c r="B4">
        <v>85997836</v>
      </c>
      <c r="C4">
        <v>85998140</v>
      </c>
      <c r="D4">
        <v>84164544</v>
      </c>
      <c r="E4">
        <v>117</v>
      </c>
      <c r="F4">
        <v>1</v>
      </c>
      <c r="G4">
        <v>1</v>
      </c>
      <c r="H4">
        <v>1</v>
      </c>
      <c r="I4" t="s">
        <v>545</v>
      </c>
      <c r="J4" t="s">
        <v>3</v>
      </c>
      <c r="K4" t="s">
        <v>546</v>
      </c>
      <c r="L4">
        <v>1191</v>
      </c>
      <c r="N4">
        <v>1013</v>
      </c>
      <c r="O4" t="s">
        <v>541</v>
      </c>
      <c r="P4" t="s">
        <v>541</v>
      </c>
      <c r="Q4">
        <v>1</v>
      </c>
      <c r="W4">
        <v>0</v>
      </c>
      <c r="X4">
        <v>1689191095</v>
      </c>
      <c r="Y4">
        <f t="shared" si="0"/>
        <v>17.89</v>
      </c>
      <c r="AA4">
        <v>0</v>
      </c>
      <c r="AB4">
        <v>0</v>
      </c>
      <c r="AC4">
        <v>0</v>
      </c>
      <c r="AD4">
        <v>603.5</v>
      </c>
      <c r="AE4">
        <v>0</v>
      </c>
      <c r="AF4">
        <v>0</v>
      </c>
      <c r="AG4">
        <v>0</v>
      </c>
      <c r="AH4">
        <v>603.5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0</v>
      </c>
      <c r="AQ4">
        <v>1</v>
      </c>
      <c r="AR4">
        <v>0</v>
      </c>
      <c r="AS4" t="s">
        <v>3</v>
      </c>
      <c r="AT4">
        <v>17.89</v>
      </c>
      <c r="AU4" t="s">
        <v>3</v>
      </c>
      <c r="AV4">
        <v>1</v>
      </c>
      <c r="AW4">
        <v>2</v>
      </c>
      <c r="AX4">
        <v>85998144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10796.615</v>
      </c>
      <c r="BN4">
        <v>17.89</v>
      </c>
      <c r="BO4">
        <v>0</v>
      </c>
      <c r="BP4">
        <v>1</v>
      </c>
      <c r="BQ4">
        <v>0</v>
      </c>
      <c r="BR4">
        <v>0</v>
      </c>
      <c r="BS4">
        <v>0</v>
      </c>
      <c r="BT4">
        <v>10796.615</v>
      </c>
      <c r="BU4">
        <v>17.89</v>
      </c>
      <c r="BV4">
        <v>0</v>
      </c>
      <c r="BW4">
        <v>1</v>
      </c>
      <c r="CU4">
        <f>ROUND(AT4*Source!I30*AH4*AL4,2)</f>
        <v>1403.56</v>
      </c>
      <c r="CV4">
        <f>ROUND(Y4*Source!I30,7)</f>
        <v>2.3256999999999999</v>
      </c>
      <c r="CW4">
        <v>0</v>
      </c>
      <c r="CX4">
        <f>ROUND(Y4*Source!I30,7)</f>
        <v>2.3256999999999999</v>
      </c>
      <c r="CY4">
        <f>AD4</f>
        <v>603.5</v>
      </c>
      <c r="CZ4">
        <f>AH4</f>
        <v>603.5</v>
      </c>
      <c r="DA4">
        <f>AL4</f>
        <v>1</v>
      </c>
      <c r="DB4">
        <f t="shared" si="1"/>
        <v>10796.62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>ROUND(ROUND(AF4,2)*CX4,2)</f>
        <v>0</v>
      </c>
      <c r="DH4">
        <f t="shared" si="4"/>
        <v>0</v>
      </c>
      <c r="DI4">
        <f t="shared" si="5"/>
        <v>1403.56</v>
      </c>
      <c r="DJ4">
        <f>DI4</f>
        <v>1403.56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ROW(Source!A30)</f>
        <v>30</v>
      </c>
      <c r="B5">
        <v>85997836</v>
      </c>
      <c r="C5">
        <v>85998140</v>
      </c>
      <c r="D5">
        <v>84164762</v>
      </c>
      <c r="E5">
        <v>117</v>
      </c>
      <c r="F5">
        <v>1</v>
      </c>
      <c r="G5">
        <v>1</v>
      </c>
      <c r="H5">
        <v>1</v>
      </c>
      <c r="I5" t="s">
        <v>542</v>
      </c>
      <c r="J5" t="s">
        <v>3</v>
      </c>
      <c r="K5" t="s">
        <v>543</v>
      </c>
      <c r="L5">
        <v>1191</v>
      </c>
      <c r="N5">
        <v>1013</v>
      </c>
      <c r="O5" t="s">
        <v>541</v>
      </c>
      <c r="P5" t="s">
        <v>541</v>
      </c>
      <c r="Q5">
        <v>1</v>
      </c>
      <c r="W5">
        <v>0</v>
      </c>
      <c r="X5">
        <v>-1417349443</v>
      </c>
      <c r="Y5">
        <f t="shared" si="0"/>
        <v>0.08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0</v>
      </c>
      <c r="AQ5">
        <v>1</v>
      </c>
      <c r="AR5">
        <v>0</v>
      </c>
      <c r="AS5" t="s">
        <v>3</v>
      </c>
      <c r="AT5">
        <v>0.08</v>
      </c>
      <c r="AU5" t="s">
        <v>3</v>
      </c>
      <c r="AV5">
        <v>2</v>
      </c>
      <c r="AW5">
        <v>2</v>
      </c>
      <c r="AX5">
        <v>85998145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ROUND(Y5*Source!I30,7)</f>
        <v>1.04E-2</v>
      </c>
      <c r="CY5">
        <f>AD5</f>
        <v>0</v>
      </c>
      <c r="CZ5">
        <f>AH5</f>
        <v>0</v>
      </c>
      <c r="DA5">
        <f>AL5</f>
        <v>1</v>
      </c>
      <c r="DB5">
        <f t="shared" si="1"/>
        <v>0</v>
      </c>
      <c r="DC5">
        <f t="shared" si="2"/>
        <v>0</v>
      </c>
      <c r="DD5" t="s">
        <v>3</v>
      </c>
      <c r="DE5" t="s">
        <v>3</v>
      </c>
      <c r="DF5">
        <f t="shared" si="3"/>
        <v>0</v>
      </c>
      <c r="DG5">
        <f>ROUND(ROUND(AF5,2)*CX5,2)</f>
        <v>0</v>
      </c>
      <c r="DH5">
        <f t="shared" si="4"/>
        <v>0</v>
      </c>
      <c r="DI5">
        <f t="shared" si="5"/>
        <v>0</v>
      </c>
      <c r="DJ5">
        <f>DI5</f>
        <v>0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 x14ac:dyDescent="0.2">
      <c r="A6">
        <f>ROW(Source!A30)</f>
        <v>30</v>
      </c>
      <c r="B6">
        <v>85997836</v>
      </c>
      <c r="C6">
        <v>85998140</v>
      </c>
      <c r="D6">
        <v>84171438</v>
      </c>
      <c r="E6">
        <v>1</v>
      </c>
      <c r="F6">
        <v>1</v>
      </c>
      <c r="G6">
        <v>1</v>
      </c>
      <c r="H6">
        <v>2</v>
      </c>
      <c r="I6" t="s">
        <v>27</v>
      </c>
      <c r="J6" t="s">
        <v>30</v>
      </c>
      <c r="K6" t="s">
        <v>28</v>
      </c>
      <c r="L6">
        <v>1368</v>
      </c>
      <c r="N6">
        <v>1011</v>
      </c>
      <c r="O6" t="s">
        <v>29</v>
      </c>
      <c r="P6" t="s">
        <v>29</v>
      </c>
      <c r="Q6">
        <v>1</v>
      </c>
      <c r="W6">
        <v>0</v>
      </c>
      <c r="X6">
        <v>945201097</v>
      </c>
      <c r="Y6">
        <f t="shared" si="0"/>
        <v>-0.08</v>
      </c>
      <c r="AA6">
        <v>0</v>
      </c>
      <c r="AB6">
        <v>57.47</v>
      </c>
      <c r="AC6">
        <v>641.22</v>
      </c>
      <c r="AD6">
        <v>0</v>
      </c>
      <c r="AE6">
        <v>0</v>
      </c>
      <c r="AF6">
        <v>37.32</v>
      </c>
      <c r="AG6">
        <v>641.22</v>
      </c>
      <c r="AH6">
        <v>0</v>
      </c>
      <c r="AI6">
        <v>1</v>
      </c>
      <c r="AJ6">
        <v>1.54</v>
      </c>
      <c r="AK6">
        <v>1</v>
      </c>
      <c r="AL6">
        <v>1</v>
      </c>
      <c r="AM6">
        <v>2</v>
      </c>
      <c r="AN6">
        <v>0</v>
      </c>
      <c r="AO6">
        <v>0</v>
      </c>
      <c r="AP6">
        <v>0</v>
      </c>
      <c r="AQ6">
        <v>0</v>
      </c>
      <c r="AR6">
        <v>0</v>
      </c>
      <c r="AS6" t="s">
        <v>3</v>
      </c>
      <c r="AT6">
        <v>-0.08</v>
      </c>
      <c r="AU6" t="s">
        <v>3</v>
      </c>
      <c r="AV6">
        <v>1</v>
      </c>
      <c r="AW6">
        <v>2</v>
      </c>
      <c r="AX6">
        <v>85998146</v>
      </c>
      <c r="AY6">
        <v>1</v>
      </c>
      <c r="AZ6">
        <v>6144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V6">
        <v>0</v>
      </c>
      <c r="CW6">
        <f>ROUND(Y6*Source!I30*DO6,7)</f>
        <v>-1.04E-2</v>
      </c>
      <c r="CX6">
        <f>ROUND(Y6*Source!I30,7)</f>
        <v>-1.04E-2</v>
      </c>
      <c r="CY6">
        <f>AB6</f>
        <v>57.47</v>
      </c>
      <c r="CZ6">
        <f>AF6</f>
        <v>37.32</v>
      </c>
      <c r="DA6">
        <f>AJ6</f>
        <v>1.54</v>
      </c>
      <c r="DB6">
        <f t="shared" si="1"/>
        <v>-2.99</v>
      </c>
      <c r="DC6">
        <f t="shared" si="2"/>
        <v>-51.3</v>
      </c>
      <c r="DD6" t="s">
        <v>3</v>
      </c>
      <c r="DE6" t="s">
        <v>3</v>
      </c>
      <c r="DF6">
        <f t="shared" si="3"/>
        <v>0</v>
      </c>
      <c r="DG6">
        <f>ROUND(ROUND(AF6*AJ6,2)*CX6,2)</f>
        <v>-0.6</v>
      </c>
      <c r="DH6">
        <f t="shared" si="4"/>
        <v>-6.67</v>
      </c>
      <c r="DI6">
        <f t="shared" si="5"/>
        <v>0</v>
      </c>
      <c r="DJ6">
        <f>DG6+DH6</f>
        <v>-7.27</v>
      </c>
      <c r="DK6">
        <v>0</v>
      </c>
      <c r="DL6" t="s">
        <v>544</v>
      </c>
      <c r="DM6">
        <v>3</v>
      </c>
      <c r="DN6" t="s">
        <v>541</v>
      </c>
      <c r="DO6">
        <v>1</v>
      </c>
    </row>
    <row r="7" spans="1:119" x14ac:dyDescent="0.2">
      <c r="A7">
        <f>ROW(Source!A32)</f>
        <v>32</v>
      </c>
      <c r="B7">
        <v>85997836</v>
      </c>
      <c r="C7">
        <v>85998147</v>
      </c>
      <c r="D7">
        <v>84164528</v>
      </c>
      <c r="E7">
        <v>117</v>
      </c>
      <c r="F7">
        <v>1</v>
      </c>
      <c r="G7">
        <v>1</v>
      </c>
      <c r="H7">
        <v>1</v>
      </c>
      <c r="I7" t="s">
        <v>539</v>
      </c>
      <c r="J7" t="s">
        <v>3</v>
      </c>
      <c r="K7" t="s">
        <v>540</v>
      </c>
      <c r="L7">
        <v>1191</v>
      </c>
      <c r="N7">
        <v>1013</v>
      </c>
      <c r="O7" t="s">
        <v>541</v>
      </c>
      <c r="P7" t="s">
        <v>541</v>
      </c>
      <c r="Q7">
        <v>1</v>
      </c>
      <c r="W7">
        <v>0</v>
      </c>
      <c r="X7">
        <v>370475345</v>
      </c>
      <c r="Y7">
        <f t="shared" si="0"/>
        <v>5.84</v>
      </c>
      <c r="AA7">
        <v>0</v>
      </c>
      <c r="AB7">
        <v>0</v>
      </c>
      <c r="AC7">
        <v>0</v>
      </c>
      <c r="AD7">
        <v>587.34</v>
      </c>
      <c r="AE7">
        <v>0</v>
      </c>
      <c r="AF7">
        <v>0</v>
      </c>
      <c r="AG7">
        <v>0</v>
      </c>
      <c r="AH7">
        <v>587.34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5.84</v>
      </c>
      <c r="AU7" t="s">
        <v>3</v>
      </c>
      <c r="AV7">
        <v>1</v>
      </c>
      <c r="AW7">
        <v>2</v>
      </c>
      <c r="AX7">
        <v>85998149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3430.0655999999999</v>
      </c>
      <c r="BN7">
        <v>5.84</v>
      </c>
      <c r="BO7">
        <v>0</v>
      </c>
      <c r="BP7">
        <v>1</v>
      </c>
      <c r="BQ7">
        <v>0</v>
      </c>
      <c r="BR7">
        <v>0</v>
      </c>
      <c r="BS7">
        <v>0</v>
      </c>
      <c r="BT7">
        <v>3430.0655999999999</v>
      </c>
      <c r="BU7">
        <v>5.84</v>
      </c>
      <c r="BV7">
        <v>0</v>
      </c>
      <c r="BW7">
        <v>1</v>
      </c>
      <c r="CU7">
        <f>ROUND(AT7*Source!I32*AH7*AL7,2)</f>
        <v>720.31</v>
      </c>
      <c r="CV7">
        <f>ROUND(Y7*Source!I32,7)</f>
        <v>1.2263999999999999</v>
      </c>
      <c r="CW7">
        <v>0</v>
      </c>
      <c r="CX7">
        <f>ROUND(Y7*Source!I32,7)</f>
        <v>1.2263999999999999</v>
      </c>
      <c r="CY7">
        <f>AD7</f>
        <v>587.34</v>
      </c>
      <c r="CZ7">
        <f>AH7</f>
        <v>587.34</v>
      </c>
      <c r="DA7">
        <f>AL7</f>
        <v>1</v>
      </c>
      <c r="DB7">
        <f t="shared" si="1"/>
        <v>3430.07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 t="shared" ref="DG7:DG25" si="6">ROUND(ROUND(AF7,2)*CX7,2)</f>
        <v>0</v>
      </c>
      <c r="DH7">
        <f t="shared" si="4"/>
        <v>0</v>
      </c>
      <c r="DI7">
        <f t="shared" si="5"/>
        <v>720.31</v>
      </c>
      <c r="DJ7">
        <f>DI7</f>
        <v>720.31</v>
      </c>
      <c r="DK7">
        <v>1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ROW(Source!A33)</f>
        <v>33</v>
      </c>
      <c r="B8">
        <v>85997836</v>
      </c>
      <c r="C8">
        <v>85998150</v>
      </c>
      <c r="D8">
        <v>84164586</v>
      </c>
      <c r="E8">
        <v>117</v>
      </c>
      <c r="F8">
        <v>1</v>
      </c>
      <c r="G8">
        <v>1</v>
      </c>
      <c r="H8">
        <v>1</v>
      </c>
      <c r="I8" t="s">
        <v>547</v>
      </c>
      <c r="J8" t="s">
        <v>3</v>
      </c>
      <c r="K8" t="s">
        <v>548</v>
      </c>
      <c r="L8">
        <v>1191</v>
      </c>
      <c r="N8">
        <v>1013</v>
      </c>
      <c r="O8" t="s">
        <v>541</v>
      </c>
      <c r="P8" t="s">
        <v>541</v>
      </c>
      <c r="Q8">
        <v>1</v>
      </c>
      <c r="W8">
        <v>0</v>
      </c>
      <c r="X8">
        <v>44848675</v>
      </c>
      <c r="Y8">
        <f>(AT8*ROUND(0.3,7))</f>
        <v>0.89999999999999991</v>
      </c>
      <c r="AA8">
        <v>0</v>
      </c>
      <c r="AB8">
        <v>0</v>
      </c>
      <c r="AC8">
        <v>0</v>
      </c>
      <c r="AD8">
        <v>705.88</v>
      </c>
      <c r="AE8">
        <v>0</v>
      </c>
      <c r="AF8">
        <v>0</v>
      </c>
      <c r="AG8">
        <v>0</v>
      </c>
      <c r="AH8">
        <v>705.88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3</v>
      </c>
      <c r="AU8" t="s">
        <v>47</v>
      </c>
      <c r="AV8">
        <v>1</v>
      </c>
      <c r="AW8">
        <v>2</v>
      </c>
      <c r="AX8">
        <v>85998167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2117.64</v>
      </c>
      <c r="BN8">
        <v>3</v>
      </c>
      <c r="BO8">
        <v>0</v>
      </c>
      <c r="BP8">
        <v>1</v>
      </c>
      <c r="BQ8">
        <v>0</v>
      </c>
      <c r="BR8">
        <v>0</v>
      </c>
      <c r="BS8">
        <v>0</v>
      </c>
      <c r="BT8">
        <v>635.29199999999992</v>
      </c>
      <c r="BU8">
        <v>0.89999999999999991</v>
      </c>
      <c r="BV8">
        <v>0</v>
      </c>
      <c r="BW8">
        <v>1</v>
      </c>
      <c r="CU8">
        <f>ROUND(AT8*Source!I33*AH8*AL8,2)</f>
        <v>2117.64</v>
      </c>
      <c r="CV8">
        <f>ROUND(Y8*Source!I33,7)</f>
        <v>0.9</v>
      </c>
      <c r="CW8">
        <v>0</v>
      </c>
      <c r="CX8">
        <f>ROUND(Y8*Source!I33,7)</f>
        <v>0.9</v>
      </c>
      <c r="CY8">
        <f>AD8</f>
        <v>705.88</v>
      </c>
      <c r="CZ8">
        <f>AH8</f>
        <v>705.88</v>
      </c>
      <c r="DA8">
        <f>AL8</f>
        <v>1</v>
      </c>
      <c r="DB8">
        <f>ROUND((ROUND(AT8*CZ8,2)*ROUND(0.3,7)),6)</f>
        <v>635.29200000000003</v>
      </c>
      <c r="DC8">
        <f>ROUND((ROUND(AT8*AG8,2)*ROUND(0.3,7)),6)</f>
        <v>0</v>
      </c>
      <c r="DD8" t="s">
        <v>3</v>
      </c>
      <c r="DE8" t="s">
        <v>3</v>
      </c>
      <c r="DF8">
        <f t="shared" si="3"/>
        <v>0</v>
      </c>
      <c r="DG8">
        <f t="shared" si="6"/>
        <v>0</v>
      </c>
      <c r="DH8">
        <f t="shared" si="4"/>
        <v>0</v>
      </c>
      <c r="DI8">
        <f t="shared" si="5"/>
        <v>635.29</v>
      </c>
      <c r="DJ8">
        <f>DI8</f>
        <v>635.29</v>
      </c>
      <c r="DK8">
        <v>1</v>
      </c>
      <c r="DL8" t="s">
        <v>3</v>
      </c>
      <c r="DM8">
        <v>0</v>
      </c>
      <c r="DN8" t="s">
        <v>3</v>
      </c>
      <c r="DO8">
        <v>0</v>
      </c>
    </row>
    <row r="9" spans="1:119" x14ac:dyDescent="0.2">
      <c r="A9">
        <f>ROW(Source!A33)</f>
        <v>33</v>
      </c>
      <c r="B9">
        <v>85997836</v>
      </c>
      <c r="C9">
        <v>85998150</v>
      </c>
      <c r="D9">
        <v>84172342</v>
      </c>
      <c r="E9">
        <v>1</v>
      </c>
      <c r="F9">
        <v>1</v>
      </c>
      <c r="G9">
        <v>1</v>
      </c>
      <c r="H9">
        <v>2</v>
      </c>
      <c r="I9" t="s">
        <v>549</v>
      </c>
      <c r="J9" t="s">
        <v>550</v>
      </c>
      <c r="K9" t="s">
        <v>551</v>
      </c>
      <c r="L9">
        <v>1368</v>
      </c>
      <c r="N9">
        <v>1011</v>
      </c>
      <c r="O9" t="s">
        <v>29</v>
      </c>
      <c r="P9" t="s">
        <v>29</v>
      </c>
      <c r="Q9">
        <v>1</v>
      </c>
      <c r="W9">
        <v>0</v>
      </c>
      <c r="X9">
        <v>303316554</v>
      </c>
      <c r="Y9">
        <f>(AT9*ROUND(0.3,7))</f>
        <v>6.3899999999999998E-2</v>
      </c>
      <c r="AA9">
        <v>0</v>
      </c>
      <c r="AB9">
        <v>32.26</v>
      </c>
      <c r="AC9">
        <v>0</v>
      </c>
      <c r="AD9">
        <v>0</v>
      </c>
      <c r="AE9">
        <v>0</v>
      </c>
      <c r="AF9">
        <v>32.26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0.21299999999999999</v>
      </c>
      <c r="AU9" t="s">
        <v>47</v>
      </c>
      <c r="AV9">
        <v>1</v>
      </c>
      <c r="AW9">
        <v>2</v>
      </c>
      <c r="AX9">
        <v>85998168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6.8713799999999994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2.0614139999999996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ROUND(Y9*Source!I33*DO9,7)</f>
        <v>0</v>
      </c>
      <c r="CX9">
        <f>ROUND(Y9*Source!I33,7)</f>
        <v>6.3899999999999998E-2</v>
      </c>
      <c r="CY9">
        <f>AB9</f>
        <v>32.26</v>
      </c>
      <c r="CZ9">
        <f>AF9</f>
        <v>32.26</v>
      </c>
      <c r="DA9">
        <f>AJ9</f>
        <v>1</v>
      </c>
      <c r="DB9">
        <f>ROUND((ROUND(AT9*CZ9,2)*ROUND(0.3,7)),6)</f>
        <v>2.0609999999999999</v>
      </c>
      <c r="DC9">
        <f>ROUND((ROUND(AT9*AG9,2)*ROUND(0.3,7)),6)</f>
        <v>0</v>
      </c>
      <c r="DD9" t="s">
        <v>3</v>
      </c>
      <c r="DE9" t="s">
        <v>3</v>
      </c>
      <c r="DF9">
        <f t="shared" si="3"/>
        <v>0</v>
      </c>
      <c r="DG9">
        <f t="shared" si="6"/>
        <v>2.06</v>
      </c>
      <c r="DH9">
        <f t="shared" si="4"/>
        <v>0</v>
      </c>
      <c r="DI9">
        <f t="shared" si="5"/>
        <v>0</v>
      </c>
      <c r="DJ9">
        <f>DG9+DH9</f>
        <v>2.06</v>
      </c>
      <c r="DK9">
        <v>1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ROW(Source!A33)</f>
        <v>33</v>
      </c>
      <c r="B10">
        <v>85997836</v>
      </c>
      <c r="C10">
        <v>85998150</v>
      </c>
      <c r="D10">
        <v>84236848</v>
      </c>
      <c r="E10">
        <v>1</v>
      </c>
      <c r="F10">
        <v>1</v>
      </c>
      <c r="G10">
        <v>1</v>
      </c>
      <c r="H10">
        <v>3</v>
      </c>
      <c r="I10" t="s">
        <v>552</v>
      </c>
      <c r="J10" t="s">
        <v>553</v>
      </c>
      <c r="K10" t="s">
        <v>554</v>
      </c>
      <c r="L10">
        <v>1346</v>
      </c>
      <c r="N10">
        <v>1009</v>
      </c>
      <c r="O10" t="s">
        <v>170</v>
      </c>
      <c r="P10" t="s">
        <v>170</v>
      </c>
      <c r="Q10">
        <v>1</v>
      </c>
      <c r="W10">
        <v>0</v>
      </c>
      <c r="X10">
        <v>819855318</v>
      </c>
      <c r="Y10">
        <f t="shared" ref="Y10:Y22" si="7">(AT10*ROUND(0,7))</f>
        <v>0</v>
      </c>
      <c r="AA10">
        <v>240.06</v>
      </c>
      <c r="AB10">
        <v>0</v>
      </c>
      <c r="AC10">
        <v>0</v>
      </c>
      <c r="AD10">
        <v>0</v>
      </c>
      <c r="AE10">
        <v>150.04</v>
      </c>
      <c r="AF10">
        <v>0</v>
      </c>
      <c r="AG10">
        <v>0</v>
      </c>
      <c r="AH10">
        <v>0</v>
      </c>
      <c r="AI10">
        <v>1.6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0.02</v>
      </c>
      <c r="AU10" t="s">
        <v>46</v>
      </c>
      <c r="AV10">
        <v>0</v>
      </c>
      <c r="AW10">
        <v>2</v>
      </c>
      <c r="AX10">
        <v>85998169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3.0007999999999999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ROUND(Y10*Source!I33,7)</f>
        <v>0</v>
      </c>
      <c r="CY10">
        <f t="shared" ref="CY10:CY23" si="8">AA10</f>
        <v>240.06</v>
      </c>
      <c r="CZ10">
        <f t="shared" ref="CZ10:CZ23" si="9">AE10</f>
        <v>150.04</v>
      </c>
      <c r="DA10">
        <f t="shared" ref="DA10:DA23" si="10">AI10</f>
        <v>1.6</v>
      </c>
      <c r="DB10">
        <f t="shared" ref="DB10:DB22" si="11">ROUND((ROUND(AT10*CZ10,2)*ROUND(0,7)),6)</f>
        <v>0</v>
      </c>
      <c r="DC10">
        <f t="shared" ref="DC10:DC22" si="12">ROUND((ROUND(AT10*AG10,2)*ROUND(0,7)),6)</f>
        <v>0</v>
      </c>
      <c r="DD10" t="s">
        <v>3</v>
      </c>
      <c r="DE10" t="s">
        <v>3</v>
      </c>
      <c r="DF10">
        <f>ROUND(ROUND(AE10*AI10,2)*CX10,2)</f>
        <v>0</v>
      </c>
      <c r="DG10">
        <f t="shared" si="6"/>
        <v>0</v>
      </c>
      <c r="DH10">
        <f t="shared" si="4"/>
        <v>0</v>
      </c>
      <c r="DI10">
        <f t="shared" si="5"/>
        <v>0</v>
      </c>
      <c r="DJ10">
        <f t="shared" ref="DJ10:DJ23" si="13">DF10</f>
        <v>0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 x14ac:dyDescent="0.2">
      <c r="A11">
        <f>ROW(Source!A33)</f>
        <v>33</v>
      </c>
      <c r="B11">
        <v>85997836</v>
      </c>
      <c r="C11">
        <v>85998150</v>
      </c>
      <c r="D11">
        <v>84238890</v>
      </c>
      <c r="E11">
        <v>1</v>
      </c>
      <c r="F11">
        <v>1</v>
      </c>
      <c r="G11">
        <v>1</v>
      </c>
      <c r="H11">
        <v>3</v>
      </c>
      <c r="I11" t="s">
        <v>555</v>
      </c>
      <c r="J11" t="s">
        <v>556</v>
      </c>
      <c r="K11" t="s">
        <v>557</v>
      </c>
      <c r="L11">
        <v>1346</v>
      </c>
      <c r="N11">
        <v>1009</v>
      </c>
      <c r="O11" t="s">
        <v>170</v>
      </c>
      <c r="P11" t="s">
        <v>170</v>
      </c>
      <c r="Q11">
        <v>1</v>
      </c>
      <c r="W11">
        <v>0</v>
      </c>
      <c r="X11">
        <v>-559691286</v>
      </c>
      <c r="Y11">
        <f t="shared" si="7"/>
        <v>0</v>
      </c>
      <c r="AA11">
        <v>164.89</v>
      </c>
      <c r="AB11">
        <v>0</v>
      </c>
      <c r="AC11">
        <v>0</v>
      </c>
      <c r="AD11">
        <v>0</v>
      </c>
      <c r="AE11">
        <v>187.38</v>
      </c>
      <c r="AF11">
        <v>0</v>
      </c>
      <c r="AG11">
        <v>0</v>
      </c>
      <c r="AH11">
        <v>0</v>
      </c>
      <c r="AI11">
        <v>0.88</v>
      </c>
      <c r="AJ11">
        <v>1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4.0000000000000001E-3</v>
      </c>
      <c r="AU11" t="s">
        <v>46</v>
      </c>
      <c r="AV11">
        <v>0</v>
      </c>
      <c r="AW11">
        <v>2</v>
      </c>
      <c r="AX11">
        <v>85998170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0.74951999999999996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ROUND(Y11*Source!I33,7)</f>
        <v>0</v>
      </c>
      <c r="CY11">
        <f t="shared" si="8"/>
        <v>164.89</v>
      </c>
      <c r="CZ11">
        <f t="shared" si="9"/>
        <v>187.38</v>
      </c>
      <c r="DA11">
        <f t="shared" si="10"/>
        <v>0.88</v>
      </c>
      <c r="DB11">
        <f t="shared" si="11"/>
        <v>0</v>
      </c>
      <c r="DC11">
        <f t="shared" si="12"/>
        <v>0</v>
      </c>
      <c r="DD11" t="s">
        <v>3</v>
      </c>
      <c r="DE11" t="s">
        <v>3</v>
      </c>
      <c r="DF11">
        <f>ROUND(ROUND(AE11*AI11,2)*CX11,2)</f>
        <v>0</v>
      </c>
      <c r="DG11">
        <f t="shared" si="6"/>
        <v>0</v>
      </c>
      <c r="DH11">
        <f t="shared" si="4"/>
        <v>0</v>
      </c>
      <c r="DI11">
        <f t="shared" si="5"/>
        <v>0</v>
      </c>
      <c r="DJ11">
        <f t="shared" si="13"/>
        <v>0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ROW(Source!A33)</f>
        <v>33</v>
      </c>
      <c r="B12">
        <v>85997836</v>
      </c>
      <c r="C12">
        <v>85998150</v>
      </c>
      <c r="D12">
        <v>84238914</v>
      </c>
      <c r="E12">
        <v>1</v>
      </c>
      <c r="F12">
        <v>1</v>
      </c>
      <c r="G12">
        <v>1</v>
      </c>
      <c r="H12">
        <v>3</v>
      </c>
      <c r="I12" t="s">
        <v>558</v>
      </c>
      <c r="J12" t="s">
        <v>559</v>
      </c>
      <c r="K12" t="s">
        <v>560</v>
      </c>
      <c r="L12">
        <v>1383</v>
      </c>
      <c r="N12">
        <v>1013</v>
      </c>
      <c r="O12" t="s">
        <v>561</v>
      </c>
      <c r="P12" t="s">
        <v>561</v>
      </c>
      <c r="Q12">
        <v>1</v>
      </c>
      <c r="W12">
        <v>0</v>
      </c>
      <c r="X12">
        <v>1840299850</v>
      </c>
      <c r="Y12">
        <f t="shared" si="7"/>
        <v>0</v>
      </c>
      <c r="AA12">
        <v>6.78</v>
      </c>
      <c r="AB12">
        <v>0</v>
      </c>
      <c r="AC12">
        <v>0</v>
      </c>
      <c r="AD12">
        <v>0</v>
      </c>
      <c r="AE12">
        <v>6.78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2.0799999999999999E-2</v>
      </c>
      <c r="AU12" t="s">
        <v>46</v>
      </c>
      <c r="AV12">
        <v>0</v>
      </c>
      <c r="AW12">
        <v>2</v>
      </c>
      <c r="AX12">
        <v>85998171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0.14102400000000001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ROUND(Y12*Source!I33,7)</f>
        <v>0</v>
      </c>
      <c r="CY12">
        <f t="shared" si="8"/>
        <v>6.78</v>
      </c>
      <c r="CZ12">
        <f t="shared" si="9"/>
        <v>6.78</v>
      </c>
      <c r="DA12">
        <f t="shared" si="10"/>
        <v>1</v>
      </c>
      <c r="DB12">
        <f t="shared" si="11"/>
        <v>0</v>
      </c>
      <c r="DC12">
        <f t="shared" si="12"/>
        <v>0</v>
      </c>
      <c r="DD12" t="s">
        <v>3</v>
      </c>
      <c r="DE12" t="s">
        <v>3</v>
      </c>
      <c r="DF12">
        <f>ROUND(ROUND(AE12,2)*CX12,2)</f>
        <v>0</v>
      </c>
      <c r="DG12">
        <f t="shared" si="6"/>
        <v>0</v>
      </c>
      <c r="DH12">
        <f t="shared" si="4"/>
        <v>0</v>
      </c>
      <c r="DI12">
        <f t="shared" si="5"/>
        <v>0</v>
      </c>
      <c r="DJ12">
        <f t="shared" si="13"/>
        <v>0</v>
      </c>
      <c r="DK12">
        <v>1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ROW(Source!A33)</f>
        <v>33</v>
      </c>
      <c r="B13">
        <v>85997836</v>
      </c>
      <c r="C13">
        <v>85998150</v>
      </c>
      <c r="D13">
        <v>84239073</v>
      </c>
      <c r="E13">
        <v>1</v>
      </c>
      <c r="F13">
        <v>1</v>
      </c>
      <c r="G13">
        <v>1</v>
      </c>
      <c r="H13">
        <v>3</v>
      </c>
      <c r="I13" t="s">
        <v>562</v>
      </c>
      <c r="J13" t="s">
        <v>563</v>
      </c>
      <c r="K13" t="s">
        <v>564</v>
      </c>
      <c r="L13">
        <v>1301</v>
      </c>
      <c r="N13">
        <v>1003</v>
      </c>
      <c r="O13" t="s">
        <v>364</v>
      </c>
      <c r="P13" t="s">
        <v>364</v>
      </c>
      <c r="Q13">
        <v>1</v>
      </c>
      <c r="W13">
        <v>0</v>
      </c>
      <c r="X13">
        <v>-1499427467</v>
      </c>
      <c r="Y13">
        <f t="shared" si="7"/>
        <v>0</v>
      </c>
      <c r="AA13">
        <v>5.17</v>
      </c>
      <c r="AB13">
        <v>0</v>
      </c>
      <c r="AC13">
        <v>0</v>
      </c>
      <c r="AD13">
        <v>0</v>
      </c>
      <c r="AE13">
        <v>5.87</v>
      </c>
      <c r="AF13">
        <v>0</v>
      </c>
      <c r="AG13">
        <v>0</v>
      </c>
      <c r="AH13">
        <v>0</v>
      </c>
      <c r="AI13">
        <v>0.88</v>
      </c>
      <c r="AJ13">
        <v>1</v>
      </c>
      <c r="AK13">
        <v>1</v>
      </c>
      <c r="AL13">
        <v>1</v>
      </c>
      <c r="AM13">
        <v>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3.33</v>
      </c>
      <c r="AU13" t="s">
        <v>46</v>
      </c>
      <c r="AV13">
        <v>0</v>
      </c>
      <c r="AW13">
        <v>2</v>
      </c>
      <c r="AX13">
        <v>85998172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19.5471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ROUND(Y13*Source!I33,7)</f>
        <v>0</v>
      </c>
      <c r="CY13">
        <f t="shared" si="8"/>
        <v>5.17</v>
      </c>
      <c r="CZ13">
        <f t="shared" si="9"/>
        <v>5.87</v>
      </c>
      <c r="DA13">
        <f t="shared" si="10"/>
        <v>0.88</v>
      </c>
      <c r="DB13">
        <f t="shared" si="11"/>
        <v>0</v>
      </c>
      <c r="DC13">
        <f t="shared" si="12"/>
        <v>0</v>
      </c>
      <c r="DD13" t="s">
        <v>3</v>
      </c>
      <c r="DE13" t="s">
        <v>3</v>
      </c>
      <c r="DF13">
        <f t="shared" ref="DF13:DF22" si="14">ROUND(ROUND(AE13*AI13,2)*CX13,2)</f>
        <v>0</v>
      </c>
      <c r="DG13">
        <f t="shared" si="6"/>
        <v>0</v>
      </c>
      <c r="DH13">
        <f t="shared" si="4"/>
        <v>0</v>
      </c>
      <c r="DI13">
        <f t="shared" si="5"/>
        <v>0</v>
      </c>
      <c r="DJ13">
        <f t="shared" si="13"/>
        <v>0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ROW(Source!A33)</f>
        <v>33</v>
      </c>
      <c r="B14">
        <v>85997836</v>
      </c>
      <c r="C14">
        <v>85998150</v>
      </c>
      <c r="D14">
        <v>84239655</v>
      </c>
      <c r="E14">
        <v>1</v>
      </c>
      <c r="F14">
        <v>1</v>
      </c>
      <c r="G14">
        <v>1</v>
      </c>
      <c r="H14">
        <v>3</v>
      </c>
      <c r="I14" t="s">
        <v>565</v>
      </c>
      <c r="J14" t="s">
        <v>566</v>
      </c>
      <c r="K14" t="s">
        <v>567</v>
      </c>
      <c r="L14">
        <v>1346</v>
      </c>
      <c r="N14">
        <v>1009</v>
      </c>
      <c r="O14" t="s">
        <v>170</v>
      </c>
      <c r="P14" t="s">
        <v>170</v>
      </c>
      <c r="Q14">
        <v>1</v>
      </c>
      <c r="W14">
        <v>0</v>
      </c>
      <c r="X14">
        <v>-163259778</v>
      </c>
      <c r="Y14">
        <f t="shared" si="7"/>
        <v>0</v>
      </c>
      <c r="AA14">
        <v>121.39</v>
      </c>
      <c r="AB14">
        <v>0</v>
      </c>
      <c r="AC14">
        <v>0</v>
      </c>
      <c r="AD14">
        <v>0</v>
      </c>
      <c r="AE14">
        <v>155.63</v>
      </c>
      <c r="AF14">
        <v>0</v>
      </c>
      <c r="AG14">
        <v>0</v>
      </c>
      <c r="AH14">
        <v>0</v>
      </c>
      <c r="AI14">
        <v>0.78</v>
      </c>
      <c r="AJ14">
        <v>1</v>
      </c>
      <c r="AK14">
        <v>1</v>
      </c>
      <c r="AL14">
        <v>1</v>
      </c>
      <c r="AM14">
        <v>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7.0000000000000007E-2</v>
      </c>
      <c r="AU14" t="s">
        <v>46</v>
      </c>
      <c r="AV14">
        <v>0</v>
      </c>
      <c r="AW14">
        <v>2</v>
      </c>
      <c r="AX14">
        <v>85998173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10.8941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V14">
        <v>0</v>
      </c>
      <c r="CW14">
        <v>0</v>
      </c>
      <c r="CX14">
        <f>ROUND(Y14*Source!I33,7)</f>
        <v>0</v>
      </c>
      <c r="CY14">
        <f t="shared" si="8"/>
        <v>121.39</v>
      </c>
      <c r="CZ14">
        <f t="shared" si="9"/>
        <v>155.63</v>
      </c>
      <c r="DA14">
        <f t="shared" si="10"/>
        <v>0.78</v>
      </c>
      <c r="DB14">
        <f t="shared" si="11"/>
        <v>0</v>
      </c>
      <c r="DC14">
        <f t="shared" si="12"/>
        <v>0</v>
      </c>
      <c r="DD14" t="s">
        <v>3</v>
      </c>
      <c r="DE14" t="s">
        <v>3</v>
      </c>
      <c r="DF14">
        <f t="shared" si="14"/>
        <v>0</v>
      </c>
      <c r="DG14">
        <f t="shared" si="6"/>
        <v>0</v>
      </c>
      <c r="DH14">
        <f t="shared" si="4"/>
        <v>0</v>
      </c>
      <c r="DI14">
        <f t="shared" si="5"/>
        <v>0</v>
      </c>
      <c r="DJ14">
        <f t="shared" si="13"/>
        <v>0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 x14ac:dyDescent="0.2">
      <c r="A15">
        <f>ROW(Source!A33)</f>
        <v>33</v>
      </c>
      <c r="B15">
        <v>85997836</v>
      </c>
      <c r="C15">
        <v>85998150</v>
      </c>
      <c r="D15">
        <v>84240416</v>
      </c>
      <c r="E15">
        <v>1</v>
      </c>
      <c r="F15">
        <v>1</v>
      </c>
      <c r="G15">
        <v>1</v>
      </c>
      <c r="H15">
        <v>3</v>
      </c>
      <c r="I15" t="s">
        <v>301</v>
      </c>
      <c r="J15" t="s">
        <v>303</v>
      </c>
      <c r="K15" t="s">
        <v>302</v>
      </c>
      <c r="L15">
        <v>1346</v>
      </c>
      <c r="N15">
        <v>1009</v>
      </c>
      <c r="O15" t="s">
        <v>170</v>
      </c>
      <c r="P15" t="s">
        <v>170</v>
      </c>
      <c r="Q15">
        <v>1</v>
      </c>
      <c r="W15">
        <v>0</v>
      </c>
      <c r="X15">
        <v>-1131385474</v>
      </c>
      <c r="Y15">
        <f t="shared" si="7"/>
        <v>0</v>
      </c>
      <c r="AA15">
        <v>190.67</v>
      </c>
      <c r="AB15">
        <v>0</v>
      </c>
      <c r="AC15">
        <v>0</v>
      </c>
      <c r="AD15">
        <v>0</v>
      </c>
      <c r="AE15">
        <v>174.93</v>
      </c>
      <c r="AF15">
        <v>0</v>
      </c>
      <c r="AG15">
        <v>0</v>
      </c>
      <c r="AH15">
        <v>0</v>
      </c>
      <c r="AI15">
        <v>1.0900000000000001</v>
      </c>
      <c r="AJ15">
        <v>1</v>
      </c>
      <c r="AK15">
        <v>1</v>
      </c>
      <c r="AL15">
        <v>1</v>
      </c>
      <c r="AM15">
        <v>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4.9000000000000002E-2</v>
      </c>
      <c r="AU15" t="s">
        <v>46</v>
      </c>
      <c r="AV15">
        <v>0</v>
      </c>
      <c r="AW15">
        <v>2</v>
      </c>
      <c r="AX15">
        <v>85998174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8.5715700000000012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1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ROUND(Y15*Source!I33,7)</f>
        <v>0</v>
      </c>
      <c r="CY15">
        <f t="shared" si="8"/>
        <v>190.67</v>
      </c>
      <c r="CZ15">
        <f t="shared" si="9"/>
        <v>174.93</v>
      </c>
      <c r="DA15">
        <f t="shared" si="10"/>
        <v>1.0900000000000001</v>
      </c>
      <c r="DB15">
        <f t="shared" si="11"/>
        <v>0</v>
      </c>
      <c r="DC15">
        <f t="shared" si="12"/>
        <v>0</v>
      </c>
      <c r="DD15" t="s">
        <v>3</v>
      </c>
      <c r="DE15" t="s">
        <v>3</v>
      </c>
      <c r="DF15">
        <f t="shared" si="14"/>
        <v>0</v>
      </c>
      <c r="DG15">
        <f t="shared" si="6"/>
        <v>0</v>
      </c>
      <c r="DH15">
        <f t="shared" si="4"/>
        <v>0</v>
      </c>
      <c r="DI15">
        <f t="shared" si="5"/>
        <v>0</v>
      </c>
      <c r="DJ15">
        <f t="shared" si="13"/>
        <v>0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ROW(Source!A33)</f>
        <v>33</v>
      </c>
      <c r="B16">
        <v>85997836</v>
      </c>
      <c r="C16">
        <v>85998150</v>
      </c>
      <c r="D16">
        <v>84240482</v>
      </c>
      <c r="E16">
        <v>1</v>
      </c>
      <c r="F16">
        <v>1</v>
      </c>
      <c r="G16">
        <v>1</v>
      </c>
      <c r="H16">
        <v>3</v>
      </c>
      <c r="I16" t="s">
        <v>568</v>
      </c>
      <c r="J16" t="s">
        <v>569</v>
      </c>
      <c r="K16" t="s">
        <v>570</v>
      </c>
      <c r="L16">
        <v>1425</v>
      </c>
      <c r="N16">
        <v>1013</v>
      </c>
      <c r="O16" t="s">
        <v>20</v>
      </c>
      <c r="P16" t="s">
        <v>20</v>
      </c>
      <c r="Q16">
        <v>1</v>
      </c>
      <c r="W16">
        <v>0</v>
      </c>
      <c r="X16">
        <v>-1956790874</v>
      </c>
      <c r="Y16">
        <f t="shared" si="7"/>
        <v>0</v>
      </c>
      <c r="AA16">
        <v>53.81</v>
      </c>
      <c r="AB16">
        <v>0</v>
      </c>
      <c r="AC16">
        <v>0</v>
      </c>
      <c r="AD16">
        <v>0</v>
      </c>
      <c r="AE16">
        <v>41.71</v>
      </c>
      <c r="AF16">
        <v>0</v>
      </c>
      <c r="AG16">
        <v>0</v>
      </c>
      <c r="AH16">
        <v>0</v>
      </c>
      <c r="AI16">
        <v>1.29</v>
      </c>
      <c r="AJ16">
        <v>1</v>
      </c>
      <c r="AK16">
        <v>1</v>
      </c>
      <c r="AL16">
        <v>1</v>
      </c>
      <c r="AM16">
        <v>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1.4E-2</v>
      </c>
      <c r="AU16" t="s">
        <v>46</v>
      </c>
      <c r="AV16">
        <v>0</v>
      </c>
      <c r="AW16">
        <v>2</v>
      </c>
      <c r="AX16">
        <v>85998175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0.58394000000000001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ROUND(Y16*Source!I33,7)</f>
        <v>0</v>
      </c>
      <c r="CY16">
        <f t="shared" si="8"/>
        <v>53.81</v>
      </c>
      <c r="CZ16">
        <f t="shared" si="9"/>
        <v>41.71</v>
      </c>
      <c r="DA16">
        <f t="shared" si="10"/>
        <v>1.29</v>
      </c>
      <c r="DB16">
        <f t="shared" si="11"/>
        <v>0</v>
      </c>
      <c r="DC16">
        <f t="shared" si="12"/>
        <v>0</v>
      </c>
      <c r="DD16" t="s">
        <v>3</v>
      </c>
      <c r="DE16" t="s">
        <v>3</v>
      </c>
      <c r="DF16">
        <f t="shared" si="14"/>
        <v>0</v>
      </c>
      <c r="DG16">
        <f t="shared" si="6"/>
        <v>0</v>
      </c>
      <c r="DH16">
        <f t="shared" si="4"/>
        <v>0</v>
      </c>
      <c r="DI16">
        <f t="shared" si="5"/>
        <v>0</v>
      </c>
      <c r="DJ16">
        <f t="shared" si="13"/>
        <v>0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ROW(Source!A33)</f>
        <v>33</v>
      </c>
      <c r="B17">
        <v>85997836</v>
      </c>
      <c r="C17">
        <v>85998150</v>
      </c>
      <c r="D17">
        <v>84241538</v>
      </c>
      <c r="E17">
        <v>1</v>
      </c>
      <c r="F17">
        <v>1</v>
      </c>
      <c r="G17">
        <v>1</v>
      </c>
      <c r="H17">
        <v>3</v>
      </c>
      <c r="I17" t="s">
        <v>571</v>
      </c>
      <c r="J17" t="s">
        <v>572</v>
      </c>
      <c r="K17" t="s">
        <v>573</v>
      </c>
      <c r="L17">
        <v>1346</v>
      </c>
      <c r="N17">
        <v>1009</v>
      </c>
      <c r="O17" t="s">
        <v>170</v>
      </c>
      <c r="P17" t="s">
        <v>170</v>
      </c>
      <c r="Q17">
        <v>1</v>
      </c>
      <c r="W17">
        <v>0</v>
      </c>
      <c r="X17">
        <v>-390590286</v>
      </c>
      <c r="Y17">
        <f t="shared" si="7"/>
        <v>0</v>
      </c>
      <c r="AA17">
        <v>609.29999999999995</v>
      </c>
      <c r="AB17">
        <v>0</v>
      </c>
      <c r="AC17">
        <v>0</v>
      </c>
      <c r="AD17">
        <v>0</v>
      </c>
      <c r="AE17">
        <v>395.65</v>
      </c>
      <c r="AF17">
        <v>0</v>
      </c>
      <c r="AG17">
        <v>0</v>
      </c>
      <c r="AH17">
        <v>0</v>
      </c>
      <c r="AI17">
        <v>1.54</v>
      </c>
      <c r="AJ17">
        <v>1</v>
      </c>
      <c r="AK17">
        <v>1</v>
      </c>
      <c r="AL17">
        <v>1</v>
      </c>
      <c r="AM17">
        <v>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2E-3</v>
      </c>
      <c r="AU17" t="s">
        <v>46</v>
      </c>
      <c r="AV17">
        <v>0</v>
      </c>
      <c r="AW17">
        <v>2</v>
      </c>
      <c r="AX17">
        <v>85998176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0.7913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ROUND(Y17*Source!I33,7)</f>
        <v>0</v>
      </c>
      <c r="CY17">
        <f t="shared" si="8"/>
        <v>609.29999999999995</v>
      </c>
      <c r="CZ17">
        <f t="shared" si="9"/>
        <v>395.65</v>
      </c>
      <c r="DA17">
        <f t="shared" si="10"/>
        <v>1.54</v>
      </c>
      <c r="DB17">
        <f t="shared" si="11"/>
        <v>0</v>
      </c>
      <c r="DC17">
        <f t="shared" si="12"/>
        <v>0</v>
      </c>
      <c r="DD17" t="s">
        <v>3</v>
      </c>
      <c r="DE17" t="s">
        <v>3</v>
      </c>
      <c r="DF17">
        <f t="shared" si="14"/>
        <v>0</v>
      </c>
      <c r="DG17">
        <f t="shared" si="6"/>
        <v>0</v>
      </c>
      <c r="DH17">
        <f t="shared" si="4"/>
        <v>0</v>
      </c>
      <c r="DI17">
        <f t="shared" si="5"/>
        <v>0</v>
      </c>
      <c r="DJ17">
        <f t="shared" si="13"/>
        <v>0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ROW(Source!A33)</f>
        <v>33</v>
      </c>
      <c r="B18">
        <v>85997836</v>
      </c>
      <c r="C18">
        <v>85998150</v>
      </c>
      <c r="D18">
        <v>84245562</v>
      </c>
      <c r="E18">
        <v>1</v>
      </c>
      <c r="F18">
        <v>1</v>
      </c>
      <c r="G18">
        <v>1</v>
      </c>
      <c r="H18">
        <v>3</v>
      </c>
      <c r="I18" t="s">
        <v>574</v>
      </c>
      <c r="J18" t="s">
        <v>575</v>
      </c>
      <c r="K18" t="s">
        <v>576</v>
      </c>
      <c r="L18">
        <v>1348</v>
      </c>
      <c r="N18">
        <v>1009</v>
      </c>
      <c r="O18" t="s">
        <v>165</v>
      </c>
      <c r="P18" t="s">
        <v>165</v>
      </c>
      <c r="Q18">
        <v>1000</v>
      </c>
      <c r="W18">
        <v>0</v>
      </c>
      <c r="X18">
        <v>-854471770</v>
      </c>
      <c r="Y18">
        <f t="shared" si="7"/>
        <v>0</v>
      </c>
      <c r="AA18">
        <v>136862.45000000001</v>
      </c>
      <c r="AB18">
        <v>0</v>
      </c>
      <c r="AC18">
        <v>0</v>
      </c>
      <c r="AD18">
        <v>0</v>
      </c>
      <c r="AE18">
        <v>105278.81</v>
      </c>
      <c r="AF18">
        <v>0</v>
      </c>
      <c r="AG18">
        <v>0</v>
      </c>
      <c r="AH18">
        <v>0</v>
      </c>
      <c r="AI18">
        <v>1.3</v>
      </c>
      <c r="AJ18">
        <v>1</v>
      </c>
      <c r="AK18">
        <v>1</v>
      </c>
      <c r="AL18">
        <v>1</v>
      </c>
      <c r="AM18">
        <v>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2E-3</v>
      </c>
      <c r="AU18" t="s">
        <v>46</v>
      </c>
      <c r="AV18">
        <v>0</v>
      </c>
      <c r="AW18">
        <v>2</v>
      </c>
      <c r="AX18">
        <v>85998177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210.55761999999999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V18">
        <v>0</v>
      </c>
      <c r="CW18">
        <v>0</v>
      </c>
      <c r="CX18">
        <f>ROUND(Y18*Source!I33,7)</f>
        <v>0</v>
      </c>
      <c r="CY18">
        <f t="shared" si="8"/>
        <v>136862.45000000001</v>
      </c>
      <c r="CZ18">
        <f t="shared" si="9"/>
        <v>105278.81</v>
      </c>
      <c r="DA18">
        <f t="shared" si="10"/>
        <v>1.3</v>
      </c>
      <c r="DB18">
        <f t="shared" si="11"/>
        <v>0</v>
      </c>
      <c r="DC18">
        <f t="shared" si="12"/>
        <v>0</v>
      </c>
      <c r="DD18" t="s">
        <v>3</v>
      </c>
      <c r="DE18" t="s">
        <v>3</v>
      </c>
      <c r="DF18">
        <f t="shared" si="14"/>
        <v>0</v>
      </c>
      <c r="DG18">
        <f t="shared" si="6"/>
        <v>0</v>
      </c>
      <c r="DH18">
        <f t="shared" si="4"/>
        <v>0</v>
      </c>
      <c r="DI18">
        <f t="shared" si="5"/>
        <v>0</v>
      </c>
      <c r="DJ18">
        <f t="shared" si="13"/>
        <v>0</v>
      </c>
      <c r="DK18">
        <v>0</v>
      </c>
      <c r="DL18" t="s">
        <v>3</v>
      </c>
      <c r="DM18">
        <v>0</v>
      </c>
      <c r="DN18" t="s">
        <v>3</v>
      </c>
      <c r="DO18">
        <v>0</v>
      </c>
    </row>
    <row r="19" spans="1:119" x14ac:dyDescent="0.2">
      <c r="A19">
        <f>ROW(Source!A33)</f>
        <v>33</v>
      </c>
      <c r="B19">
        <v>85997836</v>
      </c>
      <c r="C19">
        <v>85998150</v>
      </c>
      <c r="D19">
        <v>84257608</v>
      </c>
      <c r="E19">
        <v>1</v>
      </c>
      <c r="F19">
        <v>1</v>
      </c>
      <c r="G19">
        <v>1</v>
      </c>
      <c r="H19">
        <v>3</v>
      </c>
      <c r="I19" t="s">
        <v>577</v>
      </c>
      <c r="J19" t="s">
        <v>578</v>
      </c>
      <c r="K19" t="s">
        <v>579</v>
      </c>
      <c r="L19">
        <v>1346</v>
      </c>
      <c r="N19">
        <v>1009</v>
      </c>
      <c r="O19" t="s">
        <v>170</v>
      </c>
      <c r="P19" t="s">
        <v>170</v>
      </c>
      <c r="Q19">
        <v>1</v>
      </c>
      <c r="W19">
        <v>0</v>
      </c>
      <c r="X19">
        <v>291254868</v>
      </c>
      <c r="Y19">
        <f t="shared" si="7"/>
        <v>0</v>
      </c>
      <c r="AA19">
        <v>111.83</v>
      </c>
      <c r="AB19">
        <v>0</v>
      </c>
      <c r="AC19">
        <v>0</v>
      </c>
      <c r="AD19">
        <v>0</v>
      </c>
      <c r="AE19">
        <v>79.88</v>
      </c>
      <c r="AF19">
        <v>0</v>
      </c>
      <c r="AG19">
        <v>0</v>
      </c>
      <c r="AH19">
        <v>0</v>
      </c>
      <c r="AI19">
        <v>1.4</v>
      </c>
      <c r="AJ19">
        <v>1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0.03</v>
      </c>
      <c r="AU19" t="s">
        <v>46</v>
      </c>
      <c r="AV19">
        <v>0</v>
      </c>
      <c r="AW19">
        <v>2</v>
      </c>
      <c r="AX19">
        <v>85998178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2.3963999999999999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v>0</v>
      </c>
      <c r="CX19">
        <f>ROUND(Y19*Source!I33,7)</f>
        <v>0</v>
      </c>
      <c r="CY19">
        <f t="shared" si="8"/>
        <v>111.83</v>
      </c>
      <c r="CZ19">
        <f t="shared" si="9"/>
        <v>79.88</v>
      </c>
      <c r="DA19">
        <f t="shared" si="10"/>
        <v>1.4</v>
      </c>
      <c r="DB19">
        <f t="shared" si="11"/>
        <v>0</v>
      </c>
      <c r="DC19">
        <f t="shared" si="12"/>
        <v>0</v>
      </c>
      <c r="DD19" t="s">
        <v>3</v>
      </c>
      <c r="DE19" t="s">
        <v>3</v>
      </c>
      <c r="DF19">
        <f t="shared" si="14"/>
        <v>0</v>
      </c>
      <c r="DG19">
        <f t="shared" si="6"/>
        <v>0</v>
      </c>
      <c r="DH19">
        <f t="shared" si="4"/>
        <v>0</v>
      </c>
      <c r="DI19">
        <f t="shared" si="5"/>
        <v>0</v>
      </c>
      <c r="DJ19">
        <f t="shared" si="13"/>
        <v>0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ROW(Source!A33)</f>
        <v>33</v>
      </c>
      <c r="B20">
        <v>85997836</v>
      </c>
      <c r="C20">
        <v>85998150</v>
      </c>
      <c r="D20">
        <v>84257654</v>
      </c>
      <c r="E20">
        <v>1</v>
      </c>
      <c r="F20">
        <v>1</v>
      </c>
      <c r="G20">
        <v>1</v>
      </c>
      <c r="H20">
        <v>3</v>
      </c>
      <c r="I20" t="s">
        <v>580</v>
      </c>
      <c r="J20" t="s">
        <v>581</v>
      </c>
      <c r="K20" t="s">
        <v>582</v>
      </c>
      <c r="L20">
        <v>1346</v>
      </c>
      <c r="N20">
        <v>1009</v>
      </c>
      <c r="O20" t="s">
        <v>170</v>
      </c>
      <c r="P20" t="s">
        <v>170</v>
      </c>
      <c r="Q20">
        <v>1</v>
      </c>
      <c r="W20">
        <v>0</v>
      </c>
      <c r="X20">
        <v>940570589</v>
      </c>
      <c r="Y20">
        <f t="shared" si="7"/>
        <v>0</v>
      </c>
      <c r="AA20">
        <v>188.93</v>
      </c>
      <c r="AB20">
        <v>0</v>
      </c>
      <c r="AC20">
        <v>0</v>
      </c>
      <c r="AD20">
        <v>0</v>
      </c>
      <c r="AE20">
        <v>157.44</v>
      </c>
      <c r="AF20">
        <v>0</v>
      </c>
      <c r="AG20">
        <v>0</v>
      </c>
      <c r="AH20">
        <v>0</v>
      </c>
      <c r="AI20">
        <v>1.2</v>
      </c>
      <c r="AJ20">
        <v>1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0.02</v>
      </c>
      <c r="AU20" t="s">
        <v>46</v>
      </c>
      <c r="AV20">
        <v>0</v>
      </c>
      <c r="AW20">
        <v>2</v>
      </c>
      <c r="AX20">
        <v>85998179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3.1488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ROUND(Y20*Source!I33,7)</f>
        <v>0</v>
      </c>
      <c r="CY20">
        <f t="shared" si="8"/>
        <v>188.93</v>
      </c>
      <c r="CZ20">
        <f t="shared" si="9"/>
        <v>157.44</v>
      </c>
      <c r="DA20">
        <f t="shared" si="10"/>
        <v>1.2</v>
      </c>
      <c r="DB20">
        <f t="shared" si="11"/>
        <v>0</v>
      </c>
      <c r="DC20">
        <f t="shared" si="12"/>
        <v>0</v>
      </c>
      <c r="DD20" t="s">
        <v>3</v>
      </c>
      <c r="DE20" t="s">
        <v>3</v>
      </c>
      <c r="DF20">
        <f t="shared" si="14"/>
        <v>0</v>
      </c>
      <c r="DG20">
        <f t="shared" si="6"/>
        <v>0</v>
      </c>
      <c r="DH20">
        <f t="shared" si="4"/>
        <v>0</v>
      </c>
      <c r="DI20">
        <f t="shared" si="5"/>
        <v>0</v>
      </c>
      <c r="DJ20">
        <f t="shared" si="13"/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ROW(Source!A33)</f>
        <v>33</v>
      </c>
      <c r="B21">
        <v>85997836</v>
      </c>
      <c r="C21">
        <v>85998150</v>
      </c>
      <c r="D21">
        <v>84265124</v>
      </c>
      <c r="E21">
        <v>1</v>
      </c>
      <c r="F21">
        <v>1</v>
      </c>
      <c r="G21">
        <v>1</v>
      </c>
      <c r="H21">
        <v>3</v>
      </c>
      <c r="I21" t="s">
        <v>583</v>
      </c>
      <c r="J21" t="s">
        <v>584</v>
      </c>
      <c r="K21" t="s">
        <v>585</v>
      </c>
      <c r="L21">
        <v>1455</v>
      </c>
      <c r="N21">
        <v>1013</v>
      </c>
      <c r="O21" t="s">
        <v>586</v>
      </c>
      <c r="P21" t="s">
        <v>586</v>
      </c>
      <c r="Q21">
        <v>1</v>
      </c>
      <c r="W21">
        <v>0</v>
      </c>
      <c r="X21">
        <v>-1775048380</v>
      </c>
      <c r="Y21">
        <f t="shared" si="7"/>
        <v>0</v>
      </c>
      <c r="AA21">
        <v>1303.67</v>
      </c>
      <c r="AB21">
        <v>0</v>
      </c>
      <c r="AC21">
        <v>0</v>
      </c>
      <c r="AD21">
        <v>0</v>
      </c>
      <c r="AE21">
        <v>944.69</v>
      </c>
      <c r="AF21">
        <v>0</v>
      </c>
      <c r="AG21">
        <v>0</v>
      </c>
      <c r="AH21">
        <v>0</v>
      </c>
      <c r="AI21">
        <v>1.38</v>
      </c>
      <c r="AJ21">
        <v>1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0.1</v>
      </c>
      <c r="AU21" t="s">
        <v>46</v>
      </c>
      <c r="AV21">
        <v>0</v>
      </c>
      <c r="AW21">
        <v>2</v>
      </c>
      <c r="AX21">
        <v>85998180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94.469000000000008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V21">
        <v>0</v>
      </c>
      <c r="CW21">
        <v>0</v>
      </c>
      <c r="CX21">
        <f>ROUND(Y21*Source!I33,7)</f>
        <v>0</v>
      </c>
      <c r="CY21">
        <f t="shared" si="8"/>
        <v>1303.67</v>
      </c>
      <c r="CZ21">
        <f t="shared" si="9"/>
        <v>944.69</v>
      </c>
      <c r="DA21">
        <f t="shared" si="10"/>
        <v>1.38</v>
      </c>
      <c r="DB21">
        <f t="shared" si="11"/>
        <v>0</v>
      </c>
      <c r="DC21">
        <f t="shared" si="12"/>
        <v>0</v>
      </c>
      <c r="DD21" t="s">
        <v>3</v>
      </c>
      <c r="DE21" t="s">
        <v>3</v>
      </c>
      <c r="DF21">
        <f t="shared" si="14"/>
        <v>0</v>
      </c>
      <c r="DG21">
        <f t="shared" si="6"/>
        <v>0</v>
      </c>
      <c r="DH21">
        <f t="shared" si="4"/>
        <v>0</v>
      </c>
      <c r="DI21">
        <f t="shared" si="5"/>
        <v>0</v>
      </c>
      <c r="DJ21">
        <f t="shared" si="13"/>
        <v>0</v>
      </c>
      <c r="DK21">
        <v>0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ROW(Source!A33)</f>
        <v>33</v>
      </c>
      <c r="B22">
        <v>85997836</v>
      </c>
      <c r="C22">
        <v>85998150</v>
      </c>
      <c r="D22">
        <v>84283124</v>
      </c>
      <c r="E22">
        <v>1</v>
      </c>
      <c r="F22">
        <v>1</v>
      </c>
      <c r="G22">
        <v>1</v>
      </c>
      <c r="H22">
        <v>3</v>
      </c>
      <c r="I22" t="s">
        <v>587</v>
      </c>
      <c r="J22" t="s">
        <v>588</v>
      </c>
      <c r="K22" t="s">
        <v>589</v>
      </c>
      <c r="L22">
        <v>1425</v>
      </c>
      <c r="N22">
        <v>1013</v>
      </c>
      <c r="O22" t="s">
        <v>20</v>
      </c>
      <c r="P22" t="s">
        <v>20</v>
      </c>
      <c r="Q22">
        <v>1</v>
      </c>
      <c r="W22">
        <v>0</v>
      </c>
      <c r="X22">
        <v>1904922673</v>
      </c>
      <c r="Y22">
        <f t="shared" si="7"/>
        <v>0</v>
      </c>
      <c r="AA22">
        <v>623.11</v>
      </c>
      <c r="AB22">
        <v>0</v>
      </c>
      <c r="AC22">
        <v>0</v>
      </c>
      <c r="AD22">
        <v>0</v>
      </c>
      <c r="AE22">
        <v>655.9</v>
      </c>
      <c r="AF22">
        <v>0</v>
      </c>
      <c r="AG22">
        <v>0</v>
      </c>
      <c r="AH22">
        <v>0</v>
      </c>
      <c r="AI22">
        <v>0.95</v>
      </c>
      <c r="AJ22">
        <v>1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0.2</v>
      </c>
      <c r="AU22" t="s">
        <v>46</v>
      </c>
      <c r="AV22">
        <v>0</v>
      </c>
      <c r="AW22">
        <v>2</v>
      </c>
      <c r="AX22">
        <v>85998181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131.18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1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V22">
        <v>0</v>
      </c>
      <c r="CW22">
        <v>0</v>
      </c>
      <c r="CX22">
        <f>ROUND(Y22*Source!I33,7)</f>
        <v>0</v>
      </c>
      <c r="CY22">
        <f t="shared" si="8"/>
        <v>623.11</v>
      </c>
      <c r="CZ22">
        <f t="shared" si="9"/>
        <v>655.9</v>
      </c>
      <c r="DA22">
        <f t="shared" si="10"/>
        <v>0.95</v>
      </c>
      <c r="DB22">
        <f t="shared" si="11"/>
        <v>0</v>
      </c>
      <c r="DC22">
        <f t="shared" si="12"/>
        <v>0</v>
      </c>
      <c r="DD22" t="s">
        <v>3</v>
      </c>
      <c r="DE22" t="s">
        <v>3</v>
      </c>
      <c r="DF22">
        <f t="shared" si="14"/>
        <v>0</v>
      </c>
      <c r="DG22">
        <f t="shared" si="6"/>
        <v>0</v>
      </c>
      <c r="DH22">
        <f t="shared" si="4"/>
        <v>0</v>
      </c>
      <c r="DI22">
        <f t="shared" si="5"/>
        <v>0</v>
      </c>
      <c r="DJ22">
        <f t="shared" si="13"/>
        <v>0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 x14ac:dyDescent="0.2">
      <c r="A23">
        <f>ROW(Source!A33)</f>
        <v>33</v>
      </c>
      <c r="B23">
        <v>85997836</v>
      </c>
      <c r="C23">
        <v>85998150</v>
      </c>
      <c r="D23">
        <v>84170596</v>
      </c>
      <c r="E23">
        <v>117</v>
      </c>
      <c r="F23">
        <v>1</v>
      </c>
      <c r="G23">
        <v>1</v>
      </c>
      <c r="H23">
        <v>3</v>
      </c>
      <c r="I23" t="s">
        <v>55</v>
      </c>
      <c r="J23" t="s">
        <v>3</v>
      </c>
      <c r="K23" t="s">
        <v>56</v>
      </c>
      <c r="L23">
        <v>3277935</v>
      </c>
      <c r="N23">
        <v>1013</v>
      </c>
      <c r="O23" t="s">
        <v>57</v>
      </c>
      <c r="P23" t="s">
        <v>57</v>
      </c>
      <c r="Q23">
        <v>1</v>
      </c>
      <c r="W23">
        <v>0</v>
      </c>
      <c r="X23">
        <v>274903907</v>
      </c>
      <c r="Y23">
        <f>AT23</f>
        <v>2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0</v>
      </c>
      <c r="AQ23">
        <v>0</v>
      </c>
      <c r="AR23">
        <v>0</v>
      </c>
      <c r="AS23" t="s">
        <v>3</v>
      </c>
      <c r="AT23">
        <v>2</v>
      </c>
      <c r="AU23" t="s">
        <v>3</v>
      </c>
      <c r="AV23">
        <v>0</v>
      </c>
      <c r="AW23">
        <v>2</v>
      </c>
      <c r="AX23">
        <v>85998182</v>
      </c>
      <c r="AY23">
        <v>1</v>
      </c>
      <c r="AZ23">
        <v>2048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ROUND(Y23*Source!I33,7)</f>
        <v>2</v>
      </c>
      <c r="CY23">
        <f t="shared" si="8"/>
        <v>0</v>
      </c>
      <c r="CZ23">
        <f t="shared" si="9"/>
        <v>0</v>
      </c>
      <c r="DA23">
        <f t="shared" si="10"/>
        <v>1</v>
      </c>
      <c r="DB23">
        <f>ROUND(ROUND(AT23*CZ23,2),6)</f>
        <v>0</v>
      </c>
      <c r="DC23">
        <f>ROUND(ROUND(AT23*AG23,2),6)</f>
        <v>0</v>
      </c>
      <c r="DD23" t="s">
        <v>3</v>
      </c>
      <c r="DE23" t="s">
        <v>3</v>
      </c>
      <c r="DF23">
        <f>ROUND(ROUND(AE23,2)*CX23,2)</f>
        <v>0</v>
      </c>
      <c r="DG23">
        <f t="shared" si="6"/>
        <v>0</v>
      </c>
      <c r="DH23">
        <f t="shared" si="4"/>
        <v>0</v>
      </c>
      <c r="DI23">
        <f t="shared" si="5"/>
        <v>0</v>
      </c>
      <c r="DJ23">
        <f t="shared" si="13"/>
        <v>0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ROW(Source!A35)</f>
        <v>35</v>
      </c>
      <c r="B24">
        <v>85997836</v>
      </c>
      <c r="C24">
        <v>86000313</v>
      </c>
      <c r="D24">
        <v>37070202</v>
      </c>
      <c r="E24">
        <v>117</v>
      </c>
      <c r="F24">
        <v>1</v>
      </c>
      <c r="G24">
        <v>1</v>
      </c>
      <c r="H24">
        <v>1</v>
      </c>
      <c r="I24" t="s">
        <v>590</v>
      </c>
      <c r="J24" t="s">
        <v>3</v>
      </c>
      <c r="K24" t="s">
        <v>591</v>
      </c>
      <c r="L24">
        <v>1191</v>
      </c>
      <c r="N24">
        <v>1013</v>
      </c>
      <c r="O24" t="s">
        <v>541</v>
      </c>
      <c r="P24" t="s">
        <v>541</v>
      </c>
      <c r="Q24">
        <v>1</v>
      </c>
      <c r="W24">
        <v>0</v>
      </c>
      <c r="X24">
        <v>-1088579471</v>
      </c>
      <c r="Y24">
        <f>(AT24*ROUND(0.3,7))</f>
        <v>4.8869999999999996</v>
      </c>
      <c r="AA24">
        <v>0</v>
      </c>
      <c r="AB24">
        <v>0</v>
      </c>
      <c r="AC24">
        <v>0</v>
      </c>
      <c r="AD24">
        <v>713.96</v>
      </c>
      <c r="AE24">
        <v>0</v>
      </c>
      <c r="AF24">
        <v>0</v>
      </c>
      <c r="AG24">
        <v>0</v>
      </c>
      <c r="AH24">
        <v>713.96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16.29</v>
      </c>
      <c r="AU24" t="s">
        <v>47</v>
      </c>
      <c r="AV24">
        <v>1</v>
      </c>
      <c r="AW24">
        <v>2</v>
      </c>
      <c r="AX24">
        <v>86000321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11630.4084</v>
      </c>
      <c r="BN24">
        <v>16.29</v>
      </c>
      <c r="BO24">
        <v>0</v>
      </c>
      <c r="BP24">
        <v>1</v>
      </c>
      <c r="BQ24">
        <v>0</v>
      </c>
      <c r="BR24">
        <v>0</v>
      </c>
      <c r="BS24">
        <v>0</v>
      </c>
      <c r="BT24">
        <v>3489.1225199999999</v>
      </c>
      <c r="BU24">
        <v>4.8869999999999996</v>
      </c>
      <c r="BV24">
        <v>0</v>
      </c>
      <c r="BW24">
        <v>1</v>
      </c>
      <c r="CU24">
        <f>ROUND(AT24*Source!I35*AH24*AL24,2)</f>
        <v>9304.33</v>
      </c>
      <c r="CV24">
        <f>ROUND(Y24*Source!I35,7)</f>
        <v>3.9096000000000002</v>
      </c>
      <c r="CW24">
        <v>0</v>
      </c>
      <c r="CX24">
        <f>ROUND(Y24*Source!I35,7)</f>
        <v>3.9096000000000002</v>
      </c>
      <c r="CY24">
        <f>AD24</f>
        <v>713.96</v>
      </c>
      <c r="CZ24">
        <f>AH24</f>
        <v>713.96</v>
      </c>
      <c r="DA24">
        <f>AL24</f>
        <v>1</v>
      </c>
      <c r="DB24">
        <f>ROUND((ROUND(AT24*CZ24,2)*ROUND(0.3,7)),6)</f>
        <v>3489.123</v>
      </c>
      <c r="DC24">
        <f>ROUND((ROUND(AT24*AG24,2)*ROUND(0.3,7)),6)</f>
        <v>0</v>
      </c>
      <c r="DD24" t="s">
        <v>3</v>
      </c>
      <c r="DE24" t="s">
        <v>3</v>
      </c>
      <c r="DF24">
        <f>ROUND(ROUND(AE24,2)*CX24,2)</f>
        <v>0</v>
      </c>
      <c r="DG24">
        <f t="shared" si="6"/>
        <v>0</v>
      </c>
      <c r="DH24">
        <f t="shared" si="4"/>
        <v>0</v>
      </c>
      <c r="DI24">
        <f t="shared" si="5"/>
        <v>2791.3</v>
      </c>
      <c r="DJ24">
        <f>DI24</f>
        <v>2791.3</v>
      </c>
      <c r="DK24">
        <v>1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ROW(Source!A35)</f>
        <v>35</v>
      </c>
      <c r="B25">
        <v>85997836</v>
      </c>
      <c r="C25">
        <v>86000313</v>
      </c>
      <c r="D25">
        <v>37064876</v>
      </c>
      <c r="E25">
        <v>117</v>
      </c>
      <c r="F25">
        <v>1</v>
      </c>
      <c r="G25">
        <v>1</v>
      </c>
      <c r="H25">
        <v>1</v>
      </c>
      <c r="I25" t="s">
        <v>542</v>
      </c>
      <c r="J25" t="s">
        <v>3</v>
      </c>
      <c r="K25" t="s">
        <v>543</v>
      </c>
      <c r="L25">
        <v>1191</v>
      </c>
      <c r="N25">
        <v>1013</v>
      </c>
      <c r="O25" t="s">
        <v>541</v>
      </c>
      <c r="P25" t="s">
        <v>541</v>
      </c>
      <c r="Q25">
        <v>1</v>
      </c>
      <c r="W25">
        <v>0</v>
      </c>
      <c r="X25">
        <v>-1417349443</v>
      </c>
      <c r="Y25">
        <f>(AT25*ROUND(0.3,7))</f>
        <v>3.0000000000000001E-3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0.01</v>
      </c>
      <c r="AU25" t="s">
        <v>47</v>
      </c>
      <c r="AV25">
        <v>2</v>
      </c>
      <c r="AW25">
        <v>2</v>
      </c>
      <c r="AX25">
        <v>86000322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ROUND(Y25*Source!I35,7)</f>
        <v>2.3999999999999998E-3</v>
      </c>
      <c r="CY25">
        <f>AD25</f>
        <v>0</v>
      </c>
      <c r="CZ25">
        <f>AH25</f>
        <v>0</v>
      </c>
      <c r="DA25">
        <f>AL25</f>
        <v>1</v>
      </c>
      <c r="DB25">
        <f>ROUND((ROUND(AT25*CZ25,2)*ROUND(0.3,7)),6)</f>
        <v>0</v>
      </c>
      <c r="DC25">
        <f>ROUND((ROUND(AT25*AG25,2)*ROUND(0.3,7)),6)</f>
        <v>0</v>
      </c>
      <c r="DD25" t="s">
        <v>3</v>
      </c>
      <c r="DE25" t="s">
        <v>3</v>
      </c>
      <c r="DF25">
        <f>ROUND(ROUND(AE25,2)*CX25,2)</f>
        <v>0</v>
      </c>
      <c r="DG25">
        <f t="shared" si="6"/>
        <v>0</v>
      </c>
      <c r="DH25">
        <f t="shared" si="4"/>
        <v>0</v>
      </c>
      <c r="DI25">
        <f t="shared" si="5"/>
        <v>0</v>
      </c>
      <c r="DJ25">
        <f>DI25</f>
        <v>0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ROW(Source!A35)</f>
        <v>35</v>
      </c>
      <c r="B26">
        <v>85997836</v>
      </c>
      <c r="C26">
        <v>86000313</v>
      </c>
      <c r="D26">
        <v>84171438</v>
      </c>
      <c r="E26">
        <v>1</v>
      </c>
      <c r="F26">
        <v>1</v>
      </c>
      <c r="G26">
        <v>1</v>
      </c>
      <c r="H26">
        <v>2</v>
      </c>
      <c r="I26" t="s">
        <v>27</v>
      </c>
      <c r="J26" t="s">
        <v>30</v>
      </c>
      <c r="K26" t="s">
        <v>28</v>
      </c>
      <c r="L26">
        <v>1368</v>
      </c>
      <c r="N26">
        <v>1011</v>
      </c>
      <c r="O26" t="s">
        <v>29</v>
      </c>
      <c r="P26" t="s">
        <v>29</v>
      </c>
      <c r="Q26">
        <v>1</v>
      </c>
      <c r="W26">
        <v>0</v>
      </c>
      <c r="X26">
        <v>945201097</v>
      </c>
      <c r="Y26">
        <f>AT26</f>
        <v>-3.0000000000000001E-3</v>
      </c>
      <c r="AA26">
        <v>0</v>
      </c>
      <c r="AB26">
        <v>57.47</v>
      </c>
      <c r="AC26">
        <v>641.22</v>
      </c>
      <c r="AD26">
        <v>0</v>
      </c>
      <c r="AE26">
        <v>0</v>
      </c>
      <c r="AF26">
        <v>37.32</v>
      </c>
      <c r="AG26">
        <v>641.22</v>
      </c>
      <c r="AH26">
        <v>0</v>
      </c>
      <c r="AI26">
        <v>1</v>
      </c>
      <c r="AJ26">
        <v>1.54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1</v>
      </c>
      <c r="AQ26">
        <v>0</v>
      </c>
      <c r="AR26">
        <v>0</v>
      </c>
      <c r="AS26" t="s">
        <v>3</v>
      </c>
      <c r="AT26">
        <v>-3.0000000000000001E-3</v>
      </c>
      <c r="AU26" t="s">
        <v>3</v>
      </c>
      <c r="AV26">
        <v>1</v>
      </c>
      <c r="AW26">
        <v>2</v>
      </c>
      <c r="AX26">
        <v>86000323</v>
      </c>
      <c r="AY26">
        <v>1</v>
      </c>
      <c r="AZ26">
        <v>6144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f>ROUND(Y26*Source!I35*DO26,7)</f>
        <v>-2.3999999999999998E-3</v>
      </c>
      <c r="CX26">
        <f>ROUND(Y26*Source!I35,7)</f>
        <v>-2.3999999999999998E-3</v>
      </c>
      <c r="CY26">
        <f>AB26</f>
        <v>57.47</v>
      </c>
      <c r="CZ26">
        <f>AF26</f>
        <v>37.32</v>
      </c>
      <c r="DA26">
        <f>AJ26</f>
        <v>1.54</v>
      </c>
      <c r="DB26">
        <f>ROUND(ROUND(AT26*CZ26,2),6)</f>
        <v>-0.11</v>
      </c>
      <c r="DC26">
        <f>ROUND(ROUND(AT26*AG26,2),6)</f>
        <v>-1.92</v>
      </c>
      <c r="DD26" t="s">
        <v>3</v>
      </c>
      <c r="DE26" t="s">
        <v>3</v>
      </c>
      <c r="DF26">
        <f>ROUND(ROUND(AE26,2)*CX26,2)</f>
        <v>0</v>
      </c>
      <c r="DG26">
        <f>ROUND(ROUND(AF26*AJ26,2)*CX26,2)</f>
        <v>-0.14000000000000001</v>
      </c>
      <c r="DH26">
        <f t="shared" si="4"/>
        <v>-1.54</v>
      </c>
      <c r="DI26">
        <f t="shared" si="5"/>
        <v>0</v>
      </c>
      <c r="DJ26">
        <f>DG26+DH26</f>
        <v>-1.6800000000000002</v>
      </c>
      <c r="DK26">
        <v>0</v>
      </c>
      <c r="DL26" t="s">
        <v>544</v>
      </c>
      <c r="DM26">
        <v>3</v>
      </c>
      <c r="DN26" t="s">
        <v>541</v>
      </c>
      <c r="DO26">
        <v>1</v>
      </c>
    </row>
    <row r="27" spans="1:119" x14ac:dyDescent="0.2">
      <c r="A27">
        <f>ROW(Source!A35)</f>
        <v>35</v>
      </c>
      <c r="B27">
        <v>85997836</v>
      </c>
      <c r="C27">
        <v>86000313</v>
      </c>
      <c r="D27">
        <v>84238914</v>
      </c>
      <c r="E27">
        <v>1</v>
      </c>
      <c r="F27">
        <v>1</v>
      </c>
      <c r="G27">
        <v>1</v>
      </c>
      <c r="H27">
        <v>3</v>
      </c>
      <c r="I27" t="s">
        <v>558</v>
      </c>
      <c r="J27" t="s">
        <v>559</v>
      </c>
      <c r="K27" t="s">
        <v>560</v>
      </c>
      <c r="L27">
        <v>1383</v>
      </c>
      <c r="N27">
        <v>1013</v>
      </c>
      <c r="O27" t="s">
        <v>561</v>
      </c>
      <c r="P27" t="s">
        <v>561</v>
      </c>
      <c r="Q27">
        <v>1</v>
      </c>
      <c r="W27">
        <v>0</v>
      </c>
      <c r="X27">
        <v>1840299850</v>
      </c>
      <c r="Y27">
        <f>(AT27*ROUND(0,7))</f>
        <v>0</v>
      </c>
      <c r="AA27">
        <v>6.78</v>
      </c>
      <c r="AB27">
        <v>0</v>
      </c>
      <c r="AC27">
        <v>0</v>
      </c>
      <c r="AD27">
        <v>0</v>
      </c>
      <c r="AE27">
        <v>6.78</v>
      </c>
      <c r="AF27">
        <v>0</v>
      </c>
      <c r="AG27">
        <v>0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6.5663999999999998</v>
      </c>
      <c r="AU27" t="s">
        <v>46</v>
      </c>
      <c r="AV27">
        <v>0</v>
      </c>
      <c r="AW27">
        <v>2</v>
      </c>
      <c r="AX27">
        <v>86000324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44.520192000000002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V27">
        <v>0</v>
      </c>
      <c r="CW27">
        <v>0</v>
      </c>
      <c r="CX27">
        <f>ROUND(Y27*Source!I35,7)</f>
        <v>0</v>
      </c>
      <c r="CY27">
        <f>AA27</f>
        <v>6.78</v>
      </c>
      <c r="CZ27">
        <f>AE27</f>
        <v>6.78</v>
      </c>
      <c r="DA27">
        <f>AI27</f>
        <v>1</v>
      </c>
      <c r="DB27">
        <f>ROUND((ROUND(AT27*CZ27,2)*ROUND(0,7)),6)</f>
        <v>0</v>
      </c>
      <c r="DC27">
        <f>ROUND((ROUND(AT27*AG27,2)*ROUND(0,7)),6)</f>
        <v>0</v>
      </c>
      <c r="DD27" t="s">
        <v>3</v>
      </c>
      <c r="DE27" t="s">
        <v>3</v>
      </c>
      <c r="DF27">
        <f>ROUND(ROUND(AE27,2)*CX27,2)</f>
        <v>0</v>
      </c>
      <c r="DG27">
        <f t="shared" ref="DG27:DG32" si="15">ROUND(ROUND(AF27,2)*CX27,2)</f>
        <v>0</v>
      </c>
      <c r="DH27">
        <f t="shared" si="4"/>
        <v>0</v>
      </c>
      <c r="DI27">
        <f t="shared" si="5"/>
        <v>0</v>
      </c>
      <c r="DJ27">
        <f>DF27</f>
        <v>0</v>
      </c>
      <c r="DK27">
        <v>1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ROW(Source!A35)</f>
        <v>35</v>
      </c>
      <c r="B28">
        <v>85997836</v>
      </c>
      <c r="C28">
        <v>86000313</v>
      </c>
      <c r="D28">
        <v>84240484</v>
      </c>
      <c r="E28">
        <v>1</v>
      </c>
      <c r="F28">
        <v>1</v>
      </c>
      <c r="G28">
        <v>1</v>
      </c>
      <c r="H28">
        <v>3</v>
      </c>
      <c r="I28" t="s">
        <v>592</v>
      </c>
      <c r="J28" t="s">
        <v>593</v>
      </c>
      <c r="K28" t="s">
        <v>594</v>
      </c>
      <c r="L28">
        <v>1407</v>
      </c>
      <c r="N28">
        <v>1013</v>
      </c>
      <c r="O28" t="s">
        <v>595</v>
      </c>
      <c r="P28" t="s">
        <v>595</v>
      </c>
      <c r="Q28">
        <v>1</v>
      </c>
      <c r="W28">
        <v>0</v>
      </c>
      <c r="X28">
        <v>-239864327</v>
      </c>
      <c r="Y28">
        <f>(AT28*ROUND(0,7))</f>
        <v>0</v>
      </c>
      <c r="AA28">
        <v>336.81</v>
      </c>
      <c r="AB28">
        <v>0</v>
      </c>
      <c r="AC28">
        <v>0</v>
      </c>
      <c r="AD28">
        <v>0</v>
      </c>
      <c r="AE28">
        <v>261.08999999999997</v>
      </c>
      <c r="AF28">
        <v>0</v>
      </c>
      <c r="AG28">
        <v>0</v>
      </c>
      <c r="AH28">
        <v>0</v>
      </c>
      <c r="AI28">
        <v>1.29</v>
      </c>
      <c r="AJ28">
        <v>1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0.2</v>
      </c>
      <c r="AU28" t="s">
        <v>46</v>
      </c>
      <c r="AV28">
        <v>0</v>
      </c>
      <c r="AW28">
        <v>2</v>
      </c>
      <c r="AX28">
        <v>86000325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52.217999999999996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ROUND(Y28*Source!I35,7)</f>
        <v>0</v>
      </c>
      <c r="CY28">
        <f>AA28</f>
        <v>336.81</v>
      </c>
      <c r="CZ28">
        <f>AE28</f>
        <v>261.08999999999997</v>
      </c>
      <c r="DA28">
        <f>AI28</f>
        <v>1.29</v>
      </c>
      <c r="DB28">
        <f>ROUND((ROUND(AT28*CZ28,2)*ROUND(0,7)),6)</f>
        <v>0</v>
      </c>
      <c r="DC28">
        <f>ROUND((ROUND(AT28*AG28,2)*ROUND(0,7)),6)</f>
        <v>0</v>
      </c>
      <c r="DD28" t="s">
        <v>3</v>
      </c>
      <c r="DE28" t="s">
        <v>3</v>
      </c>
      <c r="DF28">
        <f>ROUND(ROUND(AE28*AI28,2)*CX28,2)</f>
        <v>0</v>
      </c>
      <c r="DG28">
        <f t="shared" si="15"/>
        <v>0</v>
      </c>
      <c r="DH28">
        <f t="shared" si="4"/>
        <v>0</v>
      </c>
      <c r="DI28">
        <f t="shared" si="5"/>
        <v>0</v>
      </c>
      <c r="DJ28">
        <f>DF28</f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ROW(Source!A35)</f>
        <v>35</v>
      </c>
      <c r="B29">
        <v>85997836</v>
      </c>
      <c r="C29">
        <v>86000313</v>
      </c>
      <c r="D29">
        <v>84240761</v>
      </c>
      <c r="E29">
        <v>1</v>
      </c>
      <c r="F29">
        <v>1</v>
      </c>
      <c r="G29">
        <v>1</v>
      </c>
      <c r="H29">
        <v>3</v>
      </c>
      <c r="I29" t="s">
        <v>596</v>
      </c>
      <c r="J29" t="s">
        <v>597</v>
      </c>
      <c r="K29" t="s">
        <v>598</v>
      </c>
      <c r="L29">
        <v>1348</v>
      </c>
      <c r="N29">
        <v>1009</v>
      </c>
      <c r="O29" t="s">
        <v>165</v>
      </c>
      <c r="P29" t="s">
        <v>165</v>
      </c>
      <c r="Q29">
        <v>1000</v>
      </c>
      <c r="W29">
        <v>0</v>
      </c>
      <c r="X29">
        <v>-312996078</v>
      </c>
      <c r="Y29">
        <f>(AT29*ROUND(0,7))</f>
        <v>0</v>
      </c>
      <c r="AA29">
        <v>127956.34</v>
      </c>
      <c r="AB29">
        <v>0</v>
      </c>
      <c r="AC29">
        <v>0</v>
      </c>
      <c r="AD29">
        <v>0</v>
      </c>
      <c r="AE29">
        <v>99190.96</v>
      </c>
      <c r="AF29">
        <v>0</v>
      </c>
      <c r="AG29">
        <v>0</v>
      </c>
      <c r="AH29">
        <v>0</v>
      </c>
      <c r="AI29">
        <v>1.29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1E-3</v>
      </c>
      <c r="AU29" t="s">
        <v>46</v>
      </c>
      <c r="AV29">
        <v>0</v>
      </c>
      <c r="AW29">
        <v>2</v>
      </c>
      <c r="AX29">
        <v>86000326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99.190960000000004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V29">
        <v>0</v>
      </c>
      <c r="CW29">
        <v>0</v>
      </c>
      <c r="CX29">
        <f>ROUND(Y29*Source!I35,7)</f>
        <v>0</v>
      </c>
      <c r="CY29">
        <f>AA29</f>
        <v>127956.34</v>
      </c>
      <c r="CZ29">
        <f>AE29</f>
        <v>99190.96</v>
      </c>
      <c r="DA29">
        <f>AI29</f>
        <v>1.29</v>
      </c>
      <c r="DB29">
        <f>ROUND((ROUND(AT29*CZ29,2)*ROUND(0,7)),6)</f>
        <v>0</v>
      </c>
      <c r="DC29">
        <f>ROUND((ROUND(AT29*AG29,2)*ROUND(0,7)),6)</f>
        <v>0</v>
      </c>
      <c r="DD29" t="s">
        <v>3</v>
      </c>
      <c r="DE29" t="s">
        <v>3</v>
      </c>
      <c r="DF29">
        <f>ROUND(ROUND(AE29*AI29,2)*CX29,2)</f>
        <v>0</v>
      </c>
      <c r="DG29">
        <f t="shared" si="15"/>
        <v>0</v>
      </c>
      <c r="DH29">
        <f t="shared" si="4"/>
        <v>0</v>
      </c>
      <c r="DI29">
        <f t="shared" si="5"/>
        <v>0</v>
      </c>
      <c r="DJ29">
        <f>DF29</f>
        <v>0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 x14ac:dyDescent="0.2">
      <c r="A30">
        <f>ROW(Source!A35)</f>
        <v>35</v>
      </c>
      <c r="B30">
        <v>85997836</v>
      </c>
      <c r="C30">
        <v>86000313</v>
      </c>
      <c r="D30">
        <v>84170596</v>
      </c>
      <c r="E30">
        <v>117</v>
      </c>
      <c r="F30">
        <v>1</v>
      </c>
      <c r="G30">
        <v>1</v>
      </c>
      <c r="H30">
        <v>3</v>
      </c>
      <c r="I30" t="s">
        <v>55</v>
      </c>
      <c r="J30" t="s">
        <v>3</v>
      </c>
      <c r="K30" t="s">
        <v>56</v>
      </c>
      <c r="L30">
        <v>3277935</v>
      </c>
      <c r="N30">
        <v>1013</v>
      </c>
      <c r="O30" t="s">
        <v>57</v>
      </c>
      <c r="P30" t="s">
        <v>57</v>
      </c>
      <c r="Q30">
        <v>1</v>
      </c>
      <c r="W30">
        <v>0</v>
      </c>
      <c r="X30">
        <v>274903907</v>
      </c>
      <c r="Y30">
        <f t="shared" ref="Y30:Y61" si="16">AT30</f>
        <v>2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0</v>
      </c>
      <c r="AQ30">
        <v>0</v>
      </c>
      <c r="AR30">
        <v>0</v>
      </c>
      <c r="AS30" t="s">
        <v>3</v>
      </c>
      <c r="AT30">
        <v>2</v>
      </c>
      <c r="AU30" t="s">
        <v>3</v>
      </c>
      <c r="AV30">
        <v>0</v>
      </c>
      <c r="AW30">
        <v>2</v>
      </c>
      <c r="AX30">
        <v>86000327</v>
      </c>
      <c r="AY30">
        <v>1</v>
      </c>
      <c r="AZ30">
        <v>2048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ROUND(Y30*Source!I35,7)</f>
        <v>1.6</v>
      </c>
      <c r="CY30">
        <f>AA30</f>
        <v>0</v>
      </c>
      <c r="CZ30">
        <f>AE30</f>
        <v>0</v>
      </c>
      <c r="DA30">
        <f>AI30</f>
        <v>1</v>
      </c>
      <c r="DB30">
        <f t="shared" ref="DB30:DB61" si="17">ROUND(ROUND(AT30*CZ30,2),6)</f>
        <v>0</v>
      </c>
      <c r="DC30">
        <f t="shared" ref="DC30:DC61" si="18">ROUND(ROUND(AT30*AG30,2),6)</f>
        <v>0</v>
      </c>
      <c r="DD30" t="s">
        <v>3</v>
      </c>
      <c r="DE30" t="s">
        <v>3</v>
      </c>
      <c r="DF30">
        <f t="shared" ref="DF30:DF37" si="19">ROUND(ROUND(AE30,2)*CX30,2)</f>
        <v>0</v>
      </c>
      <c r="DG30">
        <f t="shared" si="15"/>
        <v>0</v>
      </c>
      <c r="DH30">
        <f t="shared" si="4"/>
        <v>0</v>
      </c>
      <c r="DI30">
        <f t="shared" si="5"/>
        <v>0</v>
      </c>
      <c r="DJ30">
        <f>DF30</f>
        <v>0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 x14ac:dyDescent="0.2">
      <c r="A31">
        <f>ROW(Source!A38)</f>
        <v>38</v>
      </c>
      <c r="B31">
        <v>85997836</v>
      </c>
      <c r="C31">
        <v>85998184</v>
      </c>
      <c r="D31">
        <v>84164528</v>
      </c>
      <c r="E31">
        <v>117</v>
      </c>
      <c r="F31">
        <v>1</v>
      </c>
      <c r="G31">
        <v>1</v>
      </c>
      <c r="H31">
        <v>1</v>
      </c>
      <c r="I31" t="s">
        <v>539</v>
      </c>
      <c r="J31" t="s">
        <v>3</v>
      </c>
      <c r="K31" t="s">
        <v>540</v>
      </c>
      <c r="L31">
        <v>1191</v>
      </c>
      <c r="N31">
        <v>1013</v>
      </c>
      <c r="O31" t="s">
        <v>541</v>
      </c>
      <c r="P31" t="s">
        <v>541</v>
      </c>
      <c r="Q31">
        <v>1</v>
      </c>
      <c r="W31">
        <v>0</v>
      </c>
      <c r="X31">
        <v>370475345</v>
      </c>
      <c r="Y31">
        <f t="shared" si="16"/>
        <v>9.64</v>
      </c>
      <c r="AA31">
        <v>0</v>
      </c>
      <c r="AB31">
        <v>0</v>
      </c>
      <c r="AC31">
        <v>0</v>
      </c>
      <c r="AD31">
        <v>587.34</v>
      </c>
      <c r="AE31">
        <v>0</v>
      </c>
      <c r="AF31">
        <v>0</v>
      </c>
      <c r="AG31">
        <v>0</v>
      </c>
      <c r="AH31">
        <v>587.34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9.64</v>
      </c>
      <c r="AU31" t="s">
        <v>3</v>
      </c>
      <c r="AV31">
        <v>1</v>
      </c>
      <c r="AW31">
        <v>2</v>
      </c>
      <c r="AX31">
        <v>85998188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5661.9576000000006</v>
      </c>
      <c r="BN31">
        <v>9.64</v>
      </c>
      <c r="BO31">
        <v>0</v>
      </c>
      <c r="BP31">
        <v>1</v>
      </c>
      <c r="BQ31">
        <v>0</v>
      </c>
      <c r="BR31">
        <v>0</v>
      </c>
      <c r="BS31">
        <v>0</v>
      </c>
      <c r="BT31">
        <v>5661.9576000000006</v>
      </c>
      <c r="BU31">
        <v>9.64</v>
      </c>
      <c r="BV31">
        <v>0</v>
      </c>
      <c r="BW31">
        <v>1</v>
      </c>
      <c r="CU31">
        <f>ROUND(AT31*Source!I38*AH31*AL31,2)</f>
        <v>4529.57</v>
      </c>
      <c r="CV31">
        <f>ROUND(Y31*Source!I38,7)</f>
        <v>7.7119999999999997</v>
      </c>
      <c r="CW31">
        <v>0</v>
      </c>
      <c r="CX31">
        <f>ROUND(Y31*Source!I38,7)</f>
        <v>7.7119999999999997</v>
      </c>
      <c r="CY31">
        <f>AD31</f>
        <v>587.34</v>
      </c>
      <c r="CZ31">
        <f>AH31</f>
        <v>587.34</v>
      </c>
      <c r="DA31">
        <f>AL31</f>
        <v>1</v>
      </c>
      <c r="DB31">
        <f t="shared" si="17"/>
        <v>5661.96</v>
      </c>
      <c r="DC31">
        <f t="shared" si="18"/>
        <v>0</v>
      </c>
      <c r="DD31" t="s">
        <v>3</v>
      </c>
      <c r="DE31" t="s">
        <v>3</v>
      </c>
      <c r="DF31">
        <f t="shared" si="19"/>
        <v>0</v>
      </c>
      <c r="DG31">
        <f t="shared" si="15"/>
        <v>0</v>
      </c>
      <c r="DH31">
        <f t="shared" si="4"/>
        <v>0</v>
      </c>
      <c r="DI31">
        <f t="shared" si="5"/>
        <v>4529.57</v>
      </c>
      <c r="DJ31">
        <f>DI31</f>
        <v>4529.57</v>
      </c>
      <c r="DK31">
        <v>1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ROW(Source!A38)</f>
        <v>38</v>
      </c>
      <c r="B32">
        <v>85997836</v>
      </c>
      <c r="C32">
        <v>85998184</v>
      </c>
      <c r="D32">
        <v>84164762</v>
      </c>
      <c r="E32">
        <v>117</v>
      </c>
      <c r="F32">
        <v>1</v>
      </c>
      <c r="G32">
        <v>1</v>
      </c>
      <c r="H32">
        <v>1</v>
      </c>
      <c r="I32" t="s">
        <v>542</v>
      </c>
      <c r="J32" t="s">
        <v>3</v>
      </c>
      <c r="K32" t="s">
        <v>543</v>
      </c>
      <c r="L32">
        <v>1191</v>
      </c>
      <c r="N32">
        <v>1013</v>
      </c>
      <c r="O32" t="s">
        <v>541</v>
      </c>
      <c r="P32" t="s">
        <v>541</v>
      </c>
      <c r="Q32">
        <v>1</v>
      </c>
      <c r="W32">
        <v>0</v>
      </c>
      <c r="X32">
        <v>-1417349443</v>
      </c>
      <c r="Y32">
        <f t="shared" si="16"/>
        <v>0.01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0.01</v>
      </c>
      <c r="AU32" t="s">
        <v>3</v>
      </c>
      <c r="AV32">
        <v>2</v>
      </c>
      <c r="AW32">
        <v>2</v>
      </c>
      <c r="AX32">
        <v>85998189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V32">
        <v>0</v>
      </c>
      <c r="CW32">
        <v>0</v>
      </c>
      <c r="CX32">
        <f>ROUND(Y32*Source!I38,7)</f>
        <v>8.0000000000000002E-3</v>
      </c>
      <c r="CY32">
        <f>AD32</f>
        <v>0</v>
      </c>
      <c r="CZ32">
        <f>AH32</f>
        <v>0</v>
      </c>
      <c r="DA32">
        <f>AL32</f>
        <v>1</v>
      </c>
      <c r="DB32">
        <f t="shared" si="17"/>
        <v>0</v>
      </c>
      <c r="DC32">
        <f t="shared" si="18"/>
        <v>0</v>
      </c>
      <c r="DD32" t="s">
        <v>3</v>
      </c>
      <c r="DE32" t="s">
        <v>3</v>
      </c>
      <c r="DF32">
        <f t="shared" si="19"/>
        <v>0</v>
      </c>
      <c r="DG32">
        <f t="shared" si="15"/>
        <v>0</v>
      </c>
      <c r="DH32">
        <f t="shared" si="4"/>
        <v>0</v>
      </c>
      <c r="DI32">
        <f t="shared" si="5"/>
        <v>0</v>
      </c>
      <c r="DJ32">
        <f>DI32</f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ROW(Source!A38)</f>
        <v>38</v>
      </c>
      <c r="B33">
        <v>85997836</v>
      </c>
      <c r="C33">
        <v>85998184</v>
      </c>
      <c r="D33">
        <v>84171438</v>
      </c>
      <c r="E33">
        <v>1</v>
      </c>
      <c r="F33">
        <v>1</v>
      </c>
      <c r="G33">
        <v>1</v>
      </c>
      <c r="H33">
        <v>2</v>
      </c>
      <c r="I33" t="s">
        <v>27</v>
      </c>
      <c r="J33" t="s">
        <v>30</v>
      </c>
      <c r="K33" t="s">
        <v>28</v>
      </c>
      <c r="L33">
        <v>1368</v>
      </c>
      <c r="N33">
        <v>1011</v>
      </c>
      <c r="O33" t="s">
        <v>29</v>
      </c>
      <c r="P33" t="s">
        <v>29</v>
      </c>
      <c r="Q33">
        <v>1</v>
      </c>
      <c r="W33">
        <v>0</v>
      </c>
      <c r="X33">
        <v>945201097</v>
      </c>
      <c r="Y33">
        <f t="shared" si="16"/>
        <v>-0.01</v>
      </c>
      <c r="AA33">
        <v>0</v>
      </c>
      <c r="AB33">
        <v>57.47</v>
      </c>
      <c r="AC33">
        <v>641.22</v>
      </c>
      <c r="AD33">
        <v>0</v>
      </c>
      <c r="AE33">
        <v>0</v>
      </c>
      <c r="AF33">
        <v>37.32</v>
      </c>
      <c r="AG33">
        <v>641.22</v>
      </c>
      <c r="AH33">
        <v>0</v>
      </c>
      <c r="AI33">
        <v>1</v>
      </c>
      <c r="AJ33">
        <v>1.54</v>
      </c>
      <c r="AK33">
        <v>1</v>
      </c>
      <c r="AL33">
        <v>1</v>
      </c>
      <c r="AM33">
        <v>2</v>
      </c>
      <c r="AN33">
        <v>0</v>
      </c>
      <c r="AO33">
        <v>0</v>
      </c>
      <c r="AP33">
        <v>1</v>
      </c>
      <c r="AQ33">
        <v>0</v>
      </c>
      <c r="AR33">
        <v>0</v>
      </c>
      <c r="AS33" t="s">
        <v>3</v>
      </c>
      <c r="AT33">
        <v>-0.01</v>
      </c>
      <c r="AU33" t="s">
        <v>3</v>
      </c>
      <c r="AV33">
        <v>1</v>
      </c>
      <c r="AW33">
        <v>2</v>
      </c>
      <c r="AX33">
        <v>85998190</v>
      </c>
      <c r="AY33">
        <v>1</v>
      </c>
      <c r="AZ33">
        <v>6144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f>ROUND(Y33*Source!I38*DO33,7)</f>
        <v>-8.0000000000000002E-3</v>
      </c>
      <c r="CX33">
        <f>ROUND(Y33*Source!I38,7)</f>
        <v>-8.0000000000000002E-3</v>
      </c>
      <c r="CY33">
        <f>AB33</f>
        <v>57.47</v>
      </c>
      <c r="CZ33">
        <f>AF33</f>
        <v>37.32</v>
      </c>
      <c r="DA33">
        <f>AJ33</f>
        <v>1.54</v>
      </c>
      <c r="DB33">
        <f t="shared" si="17"/>
        <v>-0.37</v>
      </c>
      <c r="DC33">
        <f t="shared" si="18"/>
        <v>-6.41</v>
      </c>
      <c r="DD33" t="s">
        <v>3</v>
      </c>
      <c r="DE33" t="s">
        <v>3</v>
      </c>
      <c r="DF33">
        <f t="shared" si="19"/>
        <v>0</v>
      </c>
      <c r="DG33">
        <f>ROUND(ROUND(AF33*AJ33,2)*CX33,2)</f>
        <v>-0.46</v>
      </c>
      <c r="DH33">
        <f t="shared" si="4"/>
        <v>-5.13</v>
      </c>
      <c r="DI33">
        <f t="shared" si="5"/>
        <v>0</v>
      </c>
      <c r="DJ33">
        <f>DG33+DH33</f>
        <v>-5.59</v>
      </c>
      <c r="DK33">
        <v>0</v>
      </c>
      <c r="DL33" t="s">
        <v>544</v>
      </c>
      <c r="DM33">
        <v>3</v>
      </c>
      <c r="DN33" t="s">
        <v>541</v>
      </c>
      <c r="DO33">
        <v>1</v>
      </c>
    </row>
    <row r="34" spans="1:119" x14ac:dyDescent="0.2">
      <c r="A34">
        <f>ROW(Source!A40)</f>
        <v>40</v>
      </c>
      <c r="B34">
        <v>85997836</v>
      </c>
      <c r="C34">
        <v>85998207</v>
      </c>
      <c r="D34">
        <v>84164590</v>
      </c>
      <c r="E34">
        <v>117</v>
      </c>
      <c r="F34">
        <v>1</v>
      </c>
      <c r="G34">
        <v>1</v>
      </c>
      <c r="H34">
        <v>1</v>
      </c>
      <c r="I34" t="s">
        <v>590</v>
      </c>
      <c r="J34" t="s">
        <v>3</v>
      </c>
      <c r="K34" t="s">
        <v>591</v>
      </c>
      <c r="L34">
        <v>1191</v>
      </c>
      <c r="N34">
        <v>1013</v>
      </c>
      <c r="O34" t="s">
        <v>541</v>
      </c>
      <c r="P34" t="s">
        <v>541</v>
      </c>
      <c r="Q34">
        <v>1</v>
      </c>
      <c r="W34">
        <v>0</v>
      </c>
      <c r="X34">
        <v>-1088579471</v>
      </c>
      <c r="Y34">
        <f t="shared" si="16"/>
        <v>16.29</v>
      </c>
      <c r="AA34">
        <v>0</v>
      </c>
      <c r="AB34">
        <v>0</v>
      </c>
      <c r="AC34">
        <v>0</v>
      </c>
      <c r="AD34">
        <v>713.96</v>
      </c>
      <c r="AE34">
        <v>0</v>
      </c>
      <c r="AF34">
        <v>0</v>
      </c>
      <c r="AG34">
        <v>0</v>
      </c>
      <c r="AH34">
        <v>713.96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16.29</v>
      </c>
      <c r="AU34" t="s">
        <v>3</v>
      </c>
      <c r="AV34">
        <v>1</v>
      </c>
      <c r="AW34">
        <v>2</v>
      </c>
      <c r="AX34">
        <v>85998216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11630.4084</v>
      </c>
      <c r="BN34">
        <v>16.29</v>
      </c>
      <c r="BO34">
        <v>0</v>
      </c>
      <c r="BP34">
        <v>1</v>
      </c>
      <c r="BQ34">
        <v>0</v>
      </c>
      <c r="BR34">
        <v>0</v>
      </c>
      <c r="BS34">
        <v>0</v>
      </c>
      <c r="BT34">
        <v>11630.4084</v>
      </c>
      <c r="BU34">
        <v>16.29</v>
      </c>
      <c r="BV34">
        <v>0</v>
      </c>
      <c r="BW34">
        <v>1</v>
      </c>
      <c r="CU34">
        <f>ROUND(AT34*Source!I40*AH34*AL34,2)</f>
        <v>6978.25</v>
      </c>
      <c r="CV34">
        <f>ROUND(Y34*Source!I40,7)</f>
        <v>9.7739999999999991</v>
      </c>
      <c r="CW34">
        <v>0</v>
      </c>
      <c r="CX34">
        <f>ROUND(Y34*Source!I40,7)</f>
        <v>9.7739999999999991</v>
      </c>
      <c r="CY34">
        <f>AD34</f>
        <v>713.96</v>
      </c>
      <c r="CZ34">
        <f>AH34</f>
        <v>713.96</v>
      </c>
      <c r="DA34">
        <f>AL34</f>
        <v>1</v>
      </c>
      <c r="DB34">
        <f t="shared" si="17"/>
        <v>11630.41</v>
      </c>
      <c r="DC34">
        <f t="shared" si="18"/>
        <v>0</v>
      </c>
      <c r="DD34" t="s">
        <v>3</v>
      </c>
      <c r="DE34" t="s">
        <v>3</v>
      </c>
      <c r="DF34">
        <f t="shared" si="19"/>
        <v>0</v>
      </c>
      <c r="DG34">
        <f>ROUND(ROUND(AF34,2)*CX34,2)</f>
        <v>0</v>
      </c>
      <c r="DH34">
        <f t="shared" si="4"/>
        <v>0</v>
      </c>
      <c r="DI34">
        <f t="shared" si="5"/>
        <v>6978.25</v>
      </c>
      <c r="DJ34">
        <f>DI34</f>
        <v>6978.25</v>
      </c>
      <c r="DK34">
        <v>1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ROW(Source!A40)</f>
        <v>40</v>
      </c>
      <c r="B35">
        <v>85997836</v>
      </c>
      <c r="C35">
        <v>85998207</v>
      </c>
      <c r="D35">
        <v>84164762</v>
      </c>
      <c r="E35">
        <v>117</v>
      </c>
      <c r="F35">
        <v>1</v>
      </c>
      <c r="G35">
        <v>1</v>
      </c>
      <c r="H35">
        <v>1</v>
      </c>
      <c r="I35" t="s">
        <v>542</v>
      </c>
      <c r="J35" t="s">
        <v>3</v>
      </c>
      <c r="K35" t="s">
        <v>543</v>
      </c>
      <c r="L35">
        <v>1191</v>
      </c>
      <c r="N35">
        <v>1013</v>
      </c>
      <c r="O35" t="s">
        <v>541</v>
      </c>
      <c r="P35" t="s">
        <v>541</v>
      </c>
      <c r="Q35">
        <v>1</v>
      </c>
      <c r="W35">
        <v>0</v>
      </c>
      <c r="X35">
        <v>-1417349443</v>
      </c>
      <c r="Y35">
        <f t="shared" si="16"/>
        <v>0.01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3</v>
      </c>
      <c r="AT35">
        <v>0.01</v>
      </c>
      <c r="AU35" t="s">
        <v>3</v>
      </c>
      <c r="AV35">
        <v>2</v>
      </c>
      <c r="AW35">
        <v>2</v>
      </c>
      <c r="AX35">
        <v>85998217</v>
      </c>
      <c r="AY35">
        <v>1</v>
      </c>
      <c r="AZ35">
        <v>0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ROUND(Y35*Source!I40,7)</f>
        <v>6.0000000000000001E-3</v>
      </c>
      <c r="CY35">
        <f>AD35</f>
        <v>0</v>
      </c>
      <c r="CZ35">
        <f>AH35</f>
        <v>0</v>
      </c>
      <c r="DA35">
        <f>AL35</f>
        <v>1</v>
      </c>
      <c r="DB35">
        <f t="shared" si="17"/>
        <v>0</v>
      </c>
      <c r="DC35">
        <f t="shared" si="18"/>
        <v>0</v>
      </c>
      <c r="DD35" t="s">
        <v>3</v>
      </c>
      <c r="DE35" t="s">
        <v>3</v>
      </c>
      <c r="DF35">
        <f t="shared" si="19"/>
        <v>0</v>
      </c>
      <c r="DG35">
        <f>ROUND(ROUND(AF35,2)*CX35,2)</f>
        <v>0</v>
      </c>
      <c r="DH35">
        <f t="shared" si="4"/>
        <v>0</v>
      </c>
      <c r="DI35">
        <f t="shared" si="5"/>
        <v>0</v>
      </c>
      <c r="DJ35">
        <f>DI35</f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ROW(Source!A40)</f>
        <v>40</v>
      </c>
      <c r="B36">
        <v>85997836</v>
      </c>
      <c r="C36">
        <v>85998207</v>
      </c>
      <c r="D36">
        <v>84171438</v>
      </c>
      <c r="E36">
        <v>1</v>
      </c>
      <c r="F36">
        <v>1</v>
      </c>
      <c r="G36">
        <v>1</v>
      </c>
      <c r="H36">
        <v>2</v>
      </c>
      <c r="I36" t="s">
        <v>27</v>
      </c>
      <c r="J36" t="s">
        <v>30</v>
      </c>
      <c r="K36" t="s">
        <v>28</v>
      </c>
      <c r="L36">
        <v>1368</v>
      </c>
      <c r="N36">
        <v>1011</v>
      </c>
      <c r="O36" t="s">
        <v>29</v>
      </c>
      <c r="P36" t="s">
        <v>29</v>
      </c>
      <c r="Q36">
        <v>1</v>
      </c>
      <c r="W36">
        <v>0</v>
      </c>
      <c r="X36">
        <v>945201097</v>
      </c>
      <c r="Y36">
        <f t="shared" si="16"/>
        <v>-0.01</v>
      </c>
      <c r="AA36">
        <v>0</v>
      </c>
      <c r="AB36">
        <v>57.47</v>
      </c>
      <c r="AC36">
        <v>641.22</v>
      </c>
      <c r="AD36">
        <v>0</v>
      </c>
      <c r="AE36">
        <v>0</v>
      </c>
      <c r="AF36">
        <v>37.32</v>
      </c>
      <c r="AG36">
        <v>641.22</v>
      </c>
      <c r="AH36">
        <v>0</v>
      </c>
      <c r="AI36">
        <v>1</v>
      </c>
      <c r="AJ36">
        <v>1.54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0</v>
      </c>
      <c r="AR36">
        <v>0</v>
      </c>
      <c r="AS36" t="s">
        <v>3</v>
      </c>
      <c r="AT36">
        <v>-0.01</v>
      </c>
      <c r="AU36" t="s">
        <v>3</v>
      </c>
      <c r="AV36">
        <v>1</v>
      </c>
      <c r="AW36">
        <v>2</v>
      </c>
      <c r="AX36">
        <v>85998218</v>
      </c>
      <c r="AY36">
        <v>1</v>
      </c>
      <c r="AZ36">
        <v>6144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f>ROUND(Y36*Source!I40*DO36,7)</f>
        <v>-6.0000000000000001E-3</v>
      </c>
      <c r="CX36">
        <f>ROUND(Y36*Source!I40,7)</f>
        <v>-6.0000000000000001E-3</v>
      </c>
      <c r="CY36">
        <f>AB36</f>
        <v>57.47</v>
      </c>
      <c r="CZ36">
        <f>AF36</f>
        <v>37.32</v>
      </c>
      <c r="DA36">
        <f>AJ36</f>
        <v>1.54</v>
      </c>
      <c r="DB36">
        <f t="shared" si="17"/>
        <v>-0.37</v>
      </c>
      <c r="DC36">
        <f t="shared" si="18"/>
        <v>-6.41</v>
      </c>
      <c r="DD36" t="s">
        <v>3</v>
      </c>
      <c r="DE36" t="s">
        <v>3</v>
      </c>
      <c r="DF36">
        <f t="shared" si="19"/>
        <v>0</v>
      </c>
      <c r="DG36">
        <f>ROUND(ROUND(AF36*AJ36,2)*CX36,2)</f>
        <v>-0.34</v>
      </c>
      <c r="DH36">
        <f t="shared" si="4"/>
        <v>-3.85</v>
      </c>
      <c r="DI36">
        <f t="shared" si="5"/>
        <v>0</v>
      </c>
      <c r="DJ36">
        <f>DG36+DH36</f>
        <v>-4.1900000000000004</v>
      </c>
      <c r="DK36">
        <v>0</v>
      </c>
      <c r="DL36" t="s">
        <v>544</v>
      </c>
      <c r="DM36">
        <v>3</v>
      </c>
      <c r="DN36" t="s">
        <v>541</v>
      </c>
      <c r="DO36">
        <v>1</v>
      </c>
    </row>
    <row r="37" spans="1:119" x14ac:dyDescent="0.2">
      <c r="A37">
        <f>ROW(Source!A40)</f>
        <v>40</v>
      </c>
      <c r="B37">
        <v>85997836</v>
      </c>
      <c r="C37">
        <v>85998207</v>
      </c>
      <c r="D37">
        <v>84238914</v>
      </c>
      <c r="E37">
        <v>1</v>
      </c>
      <c r="F37">
        <v>1</v>
      </c>
      <c r="G37">
        <v>1</v>
      </c>
      <c r="H37">
        <v>3</v>
      </c>
      <c r="I37" t="s">
        <v>558</v>
      </c>
      <c r="J37" t="s">
        <v>559</v>
      </c>
      <c r="K37" t="s">
        <v>560</v>
      </c>
      <c r="L37">
        <v>1383</v>
      </c>
      <c r="N37">
        <v>1013</v>
      </c>
      <c r="O37" t="s">
        <v>561</v>
      </c>
      <c r="P37" t="s">
        <v>561</v>
      </c>
      <c r="Q37">
        <v>1</v>
      </c>
      <c r="W37">
        <v>0</v>
      </c>
      <c r="X37">
        <v>1840299850</v>
      </c>
      <c r="Y37">
        <f t="shared" si="16"/>
        <v>6.5663999999999998</v>
      </c>
      <c r="AA37">
        <v>6.78</v>
      </c>
      <c r="AB37">
        <v>0</v>
      </c>
      <c r="AC37">
        <v>0</v>
      </c>
      <c r="AD37">
        <v>0</v>
      </c>
      <c r="AE37">
        <v>6.78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</v>
      </c>
      <c r="AT37">
        <v>6.5663999999999998</v>
      </c>
      <c r="AU37" t="s">
        <v>3</v>
      </c>
      <c r="AV37">
        <v>0</v>
      </c>
      <c r="AW37">
        <v>2</v>
      </c>
      <c r="AX37">
        <v>85998219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44.520192000000002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1</v>
      </c>
      <c r="BQ37">
        <v>44.520192000000002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1</v>
      </c>
      <c r="CV37">
        <v>0</v>
      </c>
      <c r="CW37">
        <v>0</v>
      </c>
      <c r="CX37">
        <f>ROUND(Y37*Source!I40,7)</f>
        <v>3.9398399999999998</v>
      </c>
      <c r="CY37">
        <f>AA37</f>
        <v>6.78</v>
      </c>
      <c r="CZ37">
        <f>AE37</f>
        <v>6.78</v>
      </c>
      <c r="DA37">
        <f>AI37</f>
        <v>1</v>
      </c>
      <c r="DB37">
        <f t="shared" si="17"/>
        <v>44.52</v>
      </c>
      <c r="DC37">
        <f t="shared" si="18"/>
        <v>0</v>
      </c>
      <c r="DD37" t="s">
        <v>3</v>
      </c>
      <c r="DE37" t="s">
        <v>3</v>
      </c>
      <c r="DF37">
        <f t="shared" si="19"/>
        <v>26.71</v>
      </c>
      <c r="DG37">
        <f t="shared" ref="DG37:DG43" si="20">ROUND(ROUND(AF37,2)*CX37,2)</f>
        <v>0</v>
      </c>
      <c r="DH37">
        <f t="shared" si="4"/>
        <v>0</v>
      </c>
      <c r="DI37">
        <f t="shared" si="5"/>
        <v>0</v>
      </c>
      <c r="DJ37">
        <f>DF37</f>
        <v>26.71</v>
      </c>
      <c r="DK37">
        <v>1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ROW(Source!A40)</f>
        <v>40</v>
      </c>
      <c r="B38">
        <v>85997836</v>
      </c>
      <c r="C38">
        <v>85998207</v>
      </c>
      <c r="D38">
        <v>84240484</v>
      </c>
      <c r="E38">
        <v>1</v>
      </c>
      <c r="F38">
        <v>1</v>
      </c>
      <c r="G38">
        <v>1</v>
      </c>
      <c r="H38">
        <v>3</v>
      </c>
      <c r="I38" t="s">
        <v>592</v>
      </c>
      <c r="J38" t="s">
        <v>593</v>
      </c>
      <c r="K38" t="s">
        <v>594</v>
      </c>
      <c r="L38">
        <v>1407</v>
      </c>
      <c r="N38">
        <v>1013</v>
      </c>
      <c r="O38" t="s">
        <v>595</v>
      </c>
      <c r="P38" t="s">
        <v>595</v>
      </c>
      <c r="Q38">
        <v>1</v>
      </c>
      <c r="W38">
        <v>0</v>
      </c>
      <c r="X38">
        <v>-239864327</v>
      </c>
      <c r="Y38">
        <f t="shared" si="16"/>
        <v>0.2</v>
      </c>
      <c r="AA38">
        <v>336.81</v>
      </c>
      <c r="AB38">
        <v>0</v>
      </c>
      <c r="AC38">
        <v>0</v>
      </c>
      <c r="AD38">
        <v>0</v>
      </c>
      <c r="AE38">
        <v>261.08999999999997</v>
      </c>
      <c r="AF38">
        <v>0</v>
      </c>
      <c r="AG38">
        <v>0</v>
      </c>
      <c r="AH38">
        <v>0</v>
      </c>
      <c r="AI38">
        <v>1.29</v>
      </c>
      <c r="AJ38">
        <v>1</v>
      </c>
      <c r="AK38">
        <v>1</v>
      </c>
      <c r="AL38">
        <v>1</v>
      </c>
      <c r="AM38">
        <v>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3</v>
      </c>
      <c r="AT38">
        <v>0.2</v>
      </c>
      <c r="AU38" t="s">
        <v>3</v>
      </c>
      <c r="AV38">
        <v>0</v>
      </c>
      <c r="AW38">
        <v>2</v>
      </c>
      <c r="AX38">
        <v>85998220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52.217999999999996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1</v>
      </c>
      <c r="BQ38">
        <v>52.217999999999996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1</v>
      </c>
      <c r="CV38">
        <v>0</v>
      </c>
      <c r="CW38">
        <v>0</v>
      </c>
      <c r="CX38">
        <f>ROUND(Y38*Source!I40,7)</f>
        <v>0.12</v>
      </c>
      <c r="CY38">
        <f>AA38</f>
        <v>336.81</v>
      </c>
      <c r="CZ38">
        <f>AE38</f>
        <v>261.08999999999997</v>
      </c>
      <c r="DA38">
        <f>AI38</f>
        <v>1.29</v>
      </c>
      <c r="DB38">
        <f t="shared" si="17"/>
        <v>52.22</v>
      </c>
      <c r="DC38">
        <f t="shared" si="18"/>
        <v>0</v>
      </c>
      <c r="DD38" t="s">
        <v>3</v>
      </c>
      <c r="DE38" t="s">
        <v>3</v>
      </c>
      <c r="DF38">
        <f>ROUND(ROUND(AE38*AI38,2)*CX38,2)</f>
        <v>40.42</v>
      </c>
      <c r="DG38">
        <f t="shared" si="20"/>
        <v>0</v>
      </c>
      <c r="DH38">
        <f t="shared" si="4"/>
        <v>0</v>
      </c>
      <c r="DI38">
        <f t="shared" si="5"/>
        <v>0</v>
      </c>
      <c r="DJ38">
        <f>DF38</f>
        <v>40.42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ROW(Source!A40)</f>
        <v>40</v>
      </c>
      <c r="B39">
        <v>85997836</v>
      </c>
      <c r="C39">
        <v>85998207</v>
      </c>
      <c r="D39">
        <v>84240761</v>
      </c>
      <c r="E39">
        <v>1</v>
      </c>
      <c r="F39">
        <v>1</v>
      </c>
      <c r="G39">
        <v>1</v>
      </c>
      <c r="H39">
        <v>3</v>
      </c>
      <c r="I39" t="s">
        <v>596</v>
      </c>
      <c r="J39" t="s">
        <v>597</v>
      </c>
      <c r="K39" t="s">
        <v>598</v>
      </c>
      <c r="L39">
        <v>1348</v>
      </c>
      <c r="N39">
        <v>1009</v>
      </c>
      <c r="O39" t="s">
        <v>165</v>
      </c>
      <c r="P39" t="s">
        <v>165</v>
      </c>
      <c r="Q39">
        <v>1000</v>
      </c>
      <c r="W39">
        <v>0</v>
      </c>
      <c r="X39">
        <v>-312996078</v>
      </c>
      <c r="Y39">
        <f t="shared" si="16"/>
        <v>1E-3</v>
      </c>
      <c r="AA39">
        <v>127956.34</v>
      </c>
      <c r="AB39">
        <v>0</v>
      </c>
      <c r="AC39">
        <v>0</v>
      </c>
      <c r="AD39">
        <v>0</v>
      </c>
      <c r="AE39">
        <v>99190.96</v>
      </c>
      <c r="AF39">
        <v>0</v>
      </c>
      <c r="AG39">
        <v>0</v>
      </c>
      <c r="AH39">
        <v>0</v>
      </c>
      <c r="AI39">
        <v>1.29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1E-3</v>
      </c>
      <c r="AU39" t="s">
        <v>3</v>
      </c>
      <c r="AV39">
        <v>0</v>
      </c>
      <c r="AW39">
        <v>2</v>
      </c>
      <c r="AX39">
        <v>85998221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99.190960000000004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1</v>
      </c>
      <c r="BQ39">
        <v>99.190960000000004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1</v>
      </c>
      <c r="CV39">
        <v>0</v>
      </c>
      <c r="CW39">
        <v>0</v>
      </c>
      <c r="CX39">
        <f>ROUND(Y39*Source!I40,7)</f>
        <v>5.9999999999999995E-4</v>
      </c>
      <c r="CY39">
        <f>AA39</f>
        <v>127956.34</v>
      </c>
      <c r="CZ39">
        <f>AE39</f>
        <v>99190.96</v>
      </c>
      <c r="DA39">
        <f>AI39</f>
        <v>1.29</v>
      </c>
      <c r="DB39">
        <f t="shared" si="17"/>
        <v>99.19</v>
      </c>
      <c r="DC39">
        <f t="shared" si="18"/>
        <v>0</v>
      </c>
      <c r="DD39" t="s">
        <v>3</v>
      </c>
      <c r="DE39" t="s">
        <v>3</v>
      </c>
      <c r="DF39">
        <f>ROUND(ROUND(AE39*AI39,2)*CX39,2)</f>
        <v>76.77</v>
      </c>
      <c r="DG39">
        <f t="shared" si="20"/>
        <v>0</v>
      </c>
      <c r="DH39">
        <f t="shared" si="4"/>
        <v>0</v>
      </c>
      <c r="DI39">
        <f t="shared" si="5"/>
        <v>0</v>
      </c>
      <c r="DJ39">
        <f>DF39</f>
        <v>76.77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ROW(Source!A40)</f>
        <v>40</v>
      </c>
      <c r="B40">
        <v>85997836</v>
      </c>
      <c r="C40">
        <v>85998207</v>
      </c>
      <c r="D40">
        <v>84265871</v>
      </c>
      <c r="E40">
        <v>1</v>
      </c>
      <c r="F40">
        <v>1</v>
      </c>
      <c r="G40">
        <v>1</v>
      </c>
      <c r="H40">
        <v>3</v>
      </c>
      <c r="I40" t="s">
        <v>76</v>
      </c>
      <c r="J40" t="s">
        <v>78</v>
      </c>
      <c r="K40" t="s">
        <v>77</v>
      </c>
      <c r="L40">
        <v>1308</v>
      </c>
      <c r="N40">
        <v>1003</v>
      </c>
      <c r="O40" t="s">
        <v>61</v>
      </c>
      <c r="P40" t="s">
        <v>61</v>
      </c>
      <c r="Q40">
        <v>100</v>
      </c>
      <c r="W40">
        <v>0</v>
      </c>
      <c r="X40">
        <v>-1928667171</v>
      </c>
      <c r="Y40">
        <f t="shared" si="16"/>
        <v>1</v>
      </c>
      <c r="AA40">
        <v>6194.44</v>
      </c>
      <c r="AB40">
        <v>0</v>
      </c>
      <c r="AC40">
        <v>0</v>
      </c>
      <c r="AD40">
        <v>0</v>
      </c>
      <c r="AE40">
        <v>4995.5200000000004</v>
      </c>
      <c r="AF40">
        <v>0</v>
      </c>
      <c r="AG40">
        <v>0</v>
      </c>
      <c r="AH40">
        <v>0</v>
      </c>
      <c r="AI40">
        <v>1.24</v>
      </c>
      <c r="AJ40">
        <v>1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1</v>
      </c>
      <c r="AQ40">
        <v>0</v>
      </c>
      <c r="AR40">
        <v>0</v>
      </c>
      <c r="AS40" t="s">
        <v>3</v>
      </c>
      <c r="AT40">
        <v>1</v>
      </c>
      <c r="AU40" t="s">
        <v>3</v>
      </c>
      <c r="AV40">
        <v>0</v>
      </c>
      <c r="AW40">
        <v>1</v>
      </c>
      <c r="AX40">
        <v>-1</v>
      </c>
      <c r="AY40">
        <v>0</v>
      </c>
      <c r="AZ40">
        <v>0</v>
      </c>
      <c r="BA40" t="s">
        <v>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ROUND(Y40*Source!I40,7)</f>
        <v>0.6</v>
      </c>
      <c r="CY40">
        <f>AA40</f>
        <v>6194.44</v>
      </c>
      <c r="CZ40">
        <f>AE40</f>
        <v>4995.5200000000004</v>
      </c>
      <c r="DA40">
        <f>AI40</f>
        <v>1.24</v>
      </c>
      <c r="DB40">
        <f t="shared" si="17"/>
        <v>4995.5200000000004</v>
      </c>
      <c r="DC40">
        <f t="shared" si="18"/>
        <v>0</v>
      </c>
      <c r="DD40" t="s">
        <v>3</v>
      </c>
      <c r="DE40" t="s">
        <v>3</v>
      </c>
      <c r="DF40">
        <f>ROUND(ROUND(AE40*AI40,2)*CX40,2)</f>
        <v>3716.66</v>
      </c>
      <c r="DG40">
        <f t="shared" si="20"/>
        <v>0</v>
      </c>
      <c r="DH40">
        <f t="shared" si="4"/>
        <v>0</v>
      </c>
      <c r="DI40">
        <f t="shared" si="5"/>
        <v>0</v>
      </c>
      <c r="DJ40">
        <f>DF40</f>
        <v>3716.66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ROW(Source!A40)</f>
        <v>40</v>
      </c>
      <c r="B41">
        <v>85997836</v>
      </c>
      <c r="C41">
        <v>85998207</v>
      </c>
      <c r="D41">
        <v>84170596</v>
      </c>
      <c r="E41">
        <v>117</v>
      </c>
      <c r="F41">
        <v>1</v>
      </c>
      <c r="G41">
        <v>1</v>
      </c>
      <c r="H41">
        <v>3</v>
      </c>
      <c r="I41" t="s">
        <v>55</v>
      </c>
      <c r="J41" t="s">
        <v>3</v>
      </c>
      <c r="K41" t="s">
        <v>56</v>
      </c>
      <c r="L41">
        <v>3277935</v>
      </c>
      <c r="N41">
        <v>1013</v>
      </c>
      <c r="O41" t="s">
        <v>57</v>
      </c>
      <c r="P41" t="s">
        <v>57</v>
      </c>
      <c r="Q41">
        <v>1</v>
      </c>
      <c r="W41">
        <v>0</v>
      </c>
      <c r="X41">
        <v>274903907</v>
      </c>
      <c r="Y41">
        <f t="shared" si="16"/>
        <v>2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M41">
        <v>-2</v>
      </c>
      <c r="AN41">
        <v>0</v>
      </c>
      <c r="AO41">
        <v>0</v>
      </c>
      <c r="AP41">
        <v>0</v>
      </c>
      <c r="AQ41">
        <v>0</v>
      </c>
      <c r="AR41">
        <v>0</v>
      </c>
      <c r="AS41" t="s">
        <v>3</v>
      </c>
      <c r="AT41">
        <v>2</v>
      </c>
      <c r="AU41" t="s">
        <v>3</v>
      </c>
      <c r="AV41">
        <v>0</v>
      </c>
      <c r="AW41">
        <v>2</v>
      </c>
      <c r="AX41">
        <v>85998222</v>
      </c>
      <c r="AY41">
        <v>1</v>
      </c>
      <c r="AZ41">
        <v>0</v>
      </c>
      <c r="BA41">
        <v>40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ROUND(Y41*Source!I40,7)</f>
        <v>1.2</v>
      </c>
      <c r="CY41">
        <f>AA41</f>
        <v>0</v>
      </c>
      <c r="CZ41">
        <f>AE41</f>
        <v>0</v>
      </c>
      <c r="DA41">
        <f>AI41</f>
        <v>1</v>
      </c>
      <c r="DB41">
        <f t="shared" si="17"/>
        <v>0</v>
      </c>
      <c r="DC41">
        <f t="shared" si="18"/>
        <v>0</v>
      </c>
      <c r="DD41" t="s">
        <v>3</v>
      </c>
      <c r="DE41" t="s">
        <v>3</v>
      </c>
      <c r="DF41">
        <f>ROUND(ROUND(AE41,2)*CX41,2)</f>
        <v>0</v>
      </c>
      <c r="DG41">
        <f t="shared" si="20"/>
        <v>0</v>
      </c>
      <c r="DH41">
        <f t="shared" si="4"/>
        <v>0</v>
      </c>
      <c r="DI41">
        <f t="shared" si="5"/>
        <v>0</v>
      </c>
      <c r="DJ41">
        <f>DF41</f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ROW(Source!A44)</f>
        <v>44</v>
      </c>
      <c r="B42">
        <v>85997836</v>
      </c>
      <c r="C42">
        <v>85998225</v>
      </c>
      <c r="D42">
        <v>84164590</v>
      </c>
      <c r="E42">
        <v>117</v>
      </c>
      <c r="F42">
        <v>1</v>
      </c>
      <c r="G42">
        <v>1</v>
      </c>
      <c r="H42">
        <v>1</v>
      </c>
      <c r="I42" t="s">
        <v>590</v>
      </c>
      <c r="J42" t="s">
        <v>3</v>
      </c>
      <c r="K42" t="s">
        <v>591</v>
      </c>
      <c r="L42">
        <v>1191</v>
      </c>
      <c r="N42">
        <v>1013</v>
      </c>
      <c r="O42" t="s">
        <v>541</v>
      </c>
      <c r="P42" t="s">
        <v>541</v>
      </c>
      <c r="Q42">
        <v>1</v>
      </c>
      <c r="W42">
        <v>0</v>
      </c>
      <c r="X42">
        <v>-1088579471</v>
      </c>
      <c r="Y42">
        <f t="shared" si="16"/>
        <v>20.329999999999998</v>
      </c>
      <c r="AA42">
        <v>0</v>
      </c>
      <c r="AB42">
        <v>0</v>
      </c>
      <c r="AC42">
        <v>0</v>
      </c>
      <c r="AD42">
        <v>713.96</v>
      </c>
      <c r="AE42">
        <v>0</v>
      </c>
      <c r="AF42">
        <v>0</v>
      </c>
      <c r="AG42">
        <v>0</v>
      </c>
      <c r="AH42">
        <v>713.96</v>
      </c>
      <c r="AI42">
        <v>1</v>
      </c>
      <c r="AJ42">
        <v>1</v>
      </c>
      <c r="AK42">
        <v>1</v>
      </c>
      <c r="AL42">
        <v>1</v>
      </c>
      <c r="AM42">
        <v>-2</v>
      </c>
      <c r="AN42">
        <v>0</v>
      </c>
      <c r="AO42">
        <v>0</v>
      </c>
      <c r="AP42">
        <v>1</v>
      </c>
      <c r="AQ42">
        <v>1</v>
      </c>
      <c r="AR42">
        <v>0</v>
      </c>
      <c r="AS42" t="s">
        <v>3</v>
      </c>
      <c r="AT42">
        <v>20.329999999999998</v>
      </c>
      <c r="AU42" t="s">
        <v>3</v>
      </c>
      <c r="AV42">
        <v>1</v>
      </c>
      <c r="AW42">
        <v>2</v>
      </c>
      <c r="AX42">
        <v>85998238</v>
      </c>
      <c r="AY42">
        <v>1</v>
      </c>
      <c r="AZ42">
        <v>0</v>
      </c>
      <c r="BA42">
        <v>41</v>
      </c>
      <c r="BB42">
        <v>1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14514.8068</v>
      </c>
      <c r="BN42">
        <v>20.329999999999998</v>
      </c>
      <c r="BO42">
        <v>0</v>
      </c>
      <c r="BP42">
        <v>1</v>
      </c>
      <c r="BQ42">
        <v>0</v>
      </c>
      <c r="BR42">
        <v>0</v>
      </c>
      <c r="BS42">
        <v>0</v>
      </c>
      <c r="BT42">
        <v>14514.8068</v>
      </c>
      <c r="BU42">
        <v>20.329999999999998</v>
      </c>
      <c r="BV42">
        <v>0</v>
      </c>
      <c r="BW42">
        <v>1</v>
      </c>
      <c r="CU42">
        <f>ROUND(AT42*Source!I44*AH42*AL42,2)</f>
        <v>7257.4</v>
      </c>
      <c r="CV42">
        <f>ROUND(Y42*Source!I44,7)</f>
        <v>10.164999999999999</v>
      </c>
      <c r="CW42">
        <v>0</v>
      </c>
      <c r="CX42">
        <f>ROUND(Y42*Source!I44,7)</f>
        <v>10.164999999999999</v>
      </c>
      <c r="CY42">
        <f>AD42</f>
        <v>713.96</v>
      </c>
      <c r="CZ42">
        <f>AH42</f>
        <v>713.96</v>
      </c>
      <c r="DA42">
        <f>AL42</f>
        <v>1</v>
      </c>
      <c r="DB42">
        <f t="shared" si="17"/>
        <v>14514.81</v>
      </c>
      <c r="DC42">
        <f t="shared" si="18"/>
        <v>0</v>
      </c>
      <c r="DD42" t="s">
        <v>3</v>
      </c>
      <c r="DE42" t="s">
        <v>3</v>
      </c>
      <c r="DF42">
        <f>ROUND(ROUND(AE42,2)*CX42,2)</f>
        <v>0</v>
      </c>
      <c r="DG42">
        <f t="shared" si="20"/>
        <v>0</v>
      </c>
      <c r="DH42">
        <f t="shared" si="4"/>
        <v>0</v>
      </c>
      <c r="DI42">
        <f t="shared" si="5"/>
        <v>7257.4</v>
      </c>
      <c r="DJ42">
        <f>DI42</f>
        <v>7257.4</v>
      </c>
      <c r="DK42">
        <v>1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ROW(Source!A44)</f>
        <v>44</v>
      </c>
      <c r="B43">
        <v>85997836</v>
      </c>
      <c r="C43">
        <v>85998225</v>
      </c>
      <c r="D43">
        <v>84164762</v>
      </c>
      <c r="E43">
        <v>117</v>
      </c>
      <c r="F43">
        <v>1</v>
      </c>
      <c r="G43">
        <v>1</v>
      </c>
      <c r="H43">
        <v>1</v>
      </c>
      <c r="I43" t="s">
        <v>542</v>
      </c>
      <c r="J43" t="s">
        <v>3</v>
      </c>
      <c r="K43" t="s">
        <v>543</v>
      </c>
      <c r="L43">
        <v>1191</v>
      </c>
      <c r="N43">
        <v>1013</v>
      </c>
      <c r="O43" t="s">
        <v>541</v>
      </c>
      <c r="P43" t="s">
        <v>541</v>
      </c>
      <c r="Q43">
        <v>1</v>
      </c>
      <c r="W43">
        <v>0</v>
      </c>
      <c r="X43">
        <v>-1417349443</v>
      </c>
      <c r="Y43">
        <f t="shared" si="16"/>
        <v>0.01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-2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0.01</v>
      </c>
      <c r="AU43" t="s">
        <v>3</v>
      </c>
      <c r="AV43">
        <v>2</v>
      </c>
      <c r="AW43">
        <v>2</v>
      </c>
      <c r="AX43">
        <v>85998239</v>
      </c>
      <c r="AY43">
        <v>1</v>
      </c>
      <c r="AZ43">
        <v>0</v>
      </c>
      <c r="BA43">
        <v>42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ROUND(Y43*Source!I44,7)</f>
        <v>5.0000000000000001E-3</v>
      </c>
      <c r="CY43">
        <f>AD43</f>
        <v>0</v>
      </c>
      <c r="CZ43">
        <f>AH43</f>
        <v>0</v>
      </c>
      <c r="DA43">
        <f>AL43</f>
        <v>1</v>
      </c>
      <c r="DB43">
        <f t="shared" si="17"/>
        <v>0</v>
      </c>
      <c r="DC43">
        <f t="shared" si="18"/>
        <v>0</v>
      </c>
      <c r="DD43" t="s">
        <v>3</v>
      </c>
      <c r="DE43" t="s">
        <v>3</v>
      </c>
      <c r="DF43">
        <f>ROUND(ROUND(AE43,2)*CX43,2)</f>
        <v>0</v>
      </c>
      <c r="DG43">
        <f t="shared" si="20"/>
        <v>0</v>
      </c>
      <c r="DH43">
        <f t="shared" si="4"/>
        <v>0</v>
      </c>
      <c r="DI43">
        <f t="shared" si="5"/>
        <v>0</v>
      </c>
      <c r="DJ43">
        <f>DI43</f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ROW(Source!A44)</f>
        <v>44</v>
      </c>
      <c r="B44">
        <v>85997836</v>
      </c>
      <c r="C44">
        <v>85998225</v>
      </c>
      <c r="D44">
        <v>84171438</v>
      </c>
      <c r="E44">
        <v>1</v>
      </c>
      <c r="F44">
        <v>1</v>
      </c>
      <c r="G44">
        <v>1</v>
      </c>
      <c r="H44">
        <v>2</v>
      </c>
      <c r="I44" t="s">
        <v>27</v>
      </c>
      <c r="J44" t="s">
        <v>30</v>
      </c>
      <c r="K44" t="s">
        <v>28</v>
      </c>
      <c r="L44">
        <v>1368</v>
      </c>
      <c r="N44">
        <v>1011</v>
      </c>
      <c r="O44" t="s">
        <v>29</v>
      </c>
      <c r="P44" t="s">
        <v>29</v>
      </c>
      <c r="Q44">
        <v>1</v>
      </c>
      <c r="W44">
        <v>0</v>
      </c>
      <c r="X44">
        <v>945201097</v>
      </c>
      <c r="Y44">
        <f t="shared" si="16"/>
        <v>-0.01</v>
      </c>
      <c r="AA44">
        <v>0</v>
      </c>
      <c r="AB44">
        <v>57.47</v>
      </c>
      <c r="AC44">
        <v>641.22</v>
      </c>
      <c r="AD44">
        <v>0</v>
      </c>
      <c r="AE44">
        <v>0</v>
      </c>
      <c r="AF44">
        <v>37.32</v>
      </c>
      <c r="AG44">
        <v>641.22</v>
      </c>
      <c r="AH44">
        <v>0</v>
      </c>
      <c r="AI44">
        <v>1</v>
      </c>
      <c r="AJ44">
        <v>1.54</v>
      </c>
      <c r="AK44">
        <v>1</v>
      </c>
      <c r="AL44">
        <v>1</v>
      </c>
      <c r="AM44">
        <v>2</v>
      </c>
      <c r="AN44">
        <v>0</v>
      </c>
      <c r="AO44">
        <v>0</v>
      </c>
      <c r="AP44">
        <v>1</v>
      </c>
      <c r="AQ44">
        <v>0</v>
      </c>
      <c r="AR44">
        <v>0</v>
      </c>
      <c r="AS44" t="s">
        <v>3</v>
      </c>
      <c r="AT44">
        <v>-0.01</v>
      </c>
      <c r="AU44" t="s">
        <v>3</v>
      </c>
      <c r="AV44">
        <v>1</v>
      </c>
      <c r="AW44">
        <v>2</v>
      </c>
      <c r="AX44">
        <v>85998240</v>
      </c>
      <c r="AY44">
        <v>1</v>
      </c>
      <c r="AZ44">
        <v>6144</v>
      </c>
      <c r="BA44">
        <v>43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f>ROUND(Y44*Source!I44*DO44,7)</f>
        <v>-5.0000000000000001E-3</v>
      </c>
      <c r="CX44">
        <f>ROUND(Y44*Source!I44,7)</f>
        <v>-5.0000000000000001E-3</v>
      </c>
      <c r="CY44">
        <f>AB44</f>
        <v>57.47</v>
      </c>
      <c r="CZ44">
        <f>AF44</f>
        <v>37.32</v>
      </c>
      <c r="DA44">
        <f>AJ44</f>
        <v>1.54</v>
      </c>
      <c r="DB44">
        <f t="shared" si="17"/>
        <v>-0.37</v>
      </c>
      <c r="DC44">
        <f t="shared" si="18"/>
        <v>-6.41</v>
      </c>
      <c r="DD44" t="s">
        <v>3</v>
      </c>
      <c r="DE44" t="s">
        <v>3</v>
      </c>
      <c r="DF44">
        <f>ROUND(ROUND(AE44,2)*CX44,2)</f>
        <v>0</v>
      </c>
      <c r="DG44">
        <f>ROUND(ROUND(AF44*AJ44,2)*CX44,2)</f>
        <v>-0.28999999999999998</v>
      </c>
      <c r="DH44">
        <f t="shared" si="4"/>
        <v>-3.21</v>
      </c>
      <c r="DI44">
        <f t="shared" si="5"/>
        <v>0</v>
      </c>
      <c r="DJ44">
        <f>DG44+DH44</f>
        <v>-3.5</v>
      </c>
      <c r="DK44">
        <v>0</v>
      </c>
      <c r="DL44" t="s">
        <v>544</v>
      </c>
      <c r="DM44">
        <v>3</v>
      </c>
      <c r="DN44" t="s">
        <v>541</v>
      </c>
      <c r="DO44">
        <v>1</v>
      </c>
    </row>
    <row r="45" spans="1:119" x14ac:dyDescent="0.2">
      <c r="A45">
        <f>ROW(Source!A44)</f>
        <v>44</v>
      </c>
      <c r="B45">
        <v>85997836</v>
      </c>
      <c r="C45">
        <v>85998225</v>
      </c>
      <c r="D45">
        <v>84238914</v>
      </c>
      <c r="E45">
        <v>1</v>
      </c>
      <c r="F45">
        <v>1</v>
      </c>
      <c r="G45">
        <v>1</v>
      </c>
      <c r="H45">
        <v>3</v>
      </c>
      <c r="I45" t="s">
        <v>558</v>
      </c>
      <c r="J45" t="s">
        <v>559</v>
      </c>
      <c r="K45" t="s">
        <v>560</v>
      </c>
      <c r="L45">
        <v>1383</v>
      </c>
      <c r="N45">
        <v>1013</v>
      </c>
      <c r="O45" t="s">
        <v>561</v>
      </c>
      <c r="P45" t="s">
        <v>561</v>
      </c>
      <c r="Q45">
        <v>1</v>
      </c>
      <c r="W45">
        <v>0</v>
      </c>
      <c r="X45">
        <v>1840299850</v>
      </c>
      <c r="Y45">
        <f t="shared" si="16"/>
        <v>8.2403999999999993</v>
      </c>
      <c r="AA45">
        <v>6.78</v>
      </c>
      <c r="AB45">
        <v>0</v>
      </c>
      <c r="AC45">
        <v>0</v>
      </c>
      <c r="AD45">
        <v>0</v>
      </c>
      <c r="AE45">
        <v>6.78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8.2403999999999993</v>
      </c>
      <c r="AU45" t="s">
        <v>3</v>
      </c>
      <c r="AV45">
        <v>0</v>
      </c>
      <c r="AW45">
        <v>2</v>
      </c>
      <c r="AX45">
        <v>85998241</v>
      </c>
      <c r="AY45">
        <v>1</v>
      </c>
      <c r="AZ45">
        <v>0</v>
      </c>
      <c r="BA45">
        <v>44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55.869911999999999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1</v>
      </c>
      <c r="BQ45">
        <v>55.869911999999999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1</v>
      </c>
      <c r="CV45">
        <v>0</v>
      </c>
      <c r="CW45">
        <v>0</v>
      </c>
      <c r="CX45">
        <f>ROUND(Y45*Source!I44,7)</f>
        <v>4.1201999999999996</v>
      </c>
      <c r="CY45">
        <f t="shared" ref="CY45:CY53" si="21">AA45</f>
        <v>6.78</v>
      </c>
      <c r="CZ45">
        <f t="shared" ref="CZ45:CZ53" si="22">AE45</f>
        <v>6.78</v>
      </c>
      <c r="DA45">
        <f t="shared" ref="DA45:DA53" si="23">AI45</f>
        <v>1</v>
      </c>
      <c r="DB45">
        <f t="shared" si="17"/>
        <v>55.87</v>
      </c>
      <c r="DC45">
        <f t="shared" si="18"/>
        <v>0</v>
      </c>
      <c r="DD45" t="s">
        <v>3</v>
      </c>
      <c r="DE45" t="s">
        <v>3</v>
      </c>
      <c r="DF45">
        <f>ROUND(ROUND(AE45,2)*CX45,2)</f>
        <v>27.93</v>
      </c>
      <c r="DG45">
        <f t="shared" ref="DG45:DG75" si="24">ROUND(ROUND(AF45,2)*CX45,2)</f>
        <v>0</v>
      </c>
      <c r="DH45">
        <f t="shared" si="4"/>
        <v>0</v>
      </c>
      <c r="DI45">
        <f t="shared" si="5"/>
        <v>0</v>
      </c>
      <c r="DJ45">
        <f t="shared" ref="DJ45:DJ53" si="25">DF45</f>
        <v>27.93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ROW(Source!A44)</f>
        <v>44</v>
      </c>
      <c r="B46">
        <v>85997836</v>
      </c>
      <c r="C46">
        <v>85998225</v>
      </c>
      <c r="D46">
        <v>84240484</v>
      </c>
      <c r="E46">
        <v>1</v>
      </c>
      <c r="F46">
        <v>1</v>
      </c>
      <c r="G46">
        <v>1</v>
      </c>
      <c r="H46">
        <v>3</v>
      </c>
      <c r="I46" t="s">
        <v>592</v>
      </c>
      <c r="J46" t="s">
        <v>593</v>
      </c>
      <c r="K46" t="s">
        <v>594</v>
      </c>
      <c r="L46">
        <v>1407</v>
      </c>
      <c r="N46">
        <v>1013</v>
      </c>
      <c r="O46" t="s">
        <v>595</v>
      </c>
      <c r="P46" t="s">
        <v>595</v>
      </c>
      <c r="Q46">
        <v>1</v>
      </c>
      <c r="W46">
        <v>0</v>
      </c>
      <c r="X46">
        <v>-239864327</v>
      </c>
      <c r="Y46">
        <f t="shared" si="16"/>
        <v>0.4</v>
      </c>
      <c r="AA46">
        <v>336.81</v>
      </c>
      <c r="AB46">
        <v>0</v>
      </c>
      <c r="AC46">
        <v>0</v>
      </c>
      <c r="AD46">
        <v>0</v>
      </c>
      <c r="AE46">
        <v>261.08999999999997</v>
      </c>
      <c r="AF46">
        <v>0</v>
      </c>
      <c r="AG46">
        <v>0</v>
      </c>
      <c r="AH46">
        <v>0</v>
      </c>
      <c r="AI46">
        <v>1.29</v>
      </c>
      <c r="AJ46">
        <v>1</v>
      </c>
      <c r="AK46">
        <v>1</v>
      </c>
      <c r="AL46">
        <v>1</v>
      </c>
      <c r="AM46">
        <v>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0.4</v>
      </c>
      <c r="AU46" t="s">
        <v>3</v>
      </c>
      <c r="AV46">
        <v>0</v>
      </c>
      <c r="AW46">
        <v>2</v>
      </c>
      <c r="AX46">
        <v>85998242</v>
      </c>
      <c r="AY46">
        <v>1</v>
      </c>
      <c r="AZ46">
        <v>0</v>
      </c>
      <c r="BA46">
        <v>45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104.43599999999999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1</v>
      </c>
      <c r="BQ46">
        <v>104.43599999999999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1</v>
      </c>
      <c r="CV46">
        <v>0</v>
      </c>
      <c r="CW46">
        <v>0</v>
      </c>
      <c r="CX46">
        <f>ROUND(Y46*Source!I44,7)</f>
        <v>0.2</v>
      </c>
      <c r="CY46">
        <f t="shared" si="21"/>
        <v>336.81</v>
      </c>
      <c r="CZ46">
        <f t="shared" si="22"/>
        <v>261.08999999999997</v>
      </c>
      <c r="DA46">
        <f t="shared" si="23"/>
        <v>1.29</v>
      </c>
      <c r="DB46">
        <f t="shared" si="17"/>
        <v>104.44</v>
      </c>
      <c r="DC46">
        <f t="shared" si="18"/>
        <v>0</v>
      </c>
      <c r="DD46" t="s">
        <v>3</v>
      </c>
      <c r="DE46" t="s">
        <v>3</v>
      </c>
      <c r="DF46">
        <f t="shared" ref="DF46:DF52" si="26">ROUND(ROUND(AE46*AI46,2)*CX46,2)</f>
        <v>67.36</v>
      </c>
      <c r="DG46">
        <f t="shared" si="24"/>
        <v>0</v>
      </c>
      <c r="DH46">
        <f t="shared" si="4"/>
        <v>0</v>
      </c>
      <c r="DI46">
        <f t="shared" si="5"/>
        <v>0</v>
      </c>
      <c r="DJ46">
        <f t="shared" si="25"/>
        <v>67.36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ROW(Source!A44)</f>
        <v>44</v>
      </c>
      <c r="B47">
        <v>85997836</v>
      </c>
      <c r="C47">
        <v>85998225</v>
      </c>
      <c r="D47">
        <v>84240761</v>
      </c>
      <c r="E47">
        <v>1</v>
      </c>
      <c r="F47">
        <v>1</v>
      </c>
      <c r="G47">
        <v>1</v>
      </c>
      <c r="H47">
        <v>3</v>
      </c>
      <c r="I47" t="s">
        <v>596</v>
      </c>
      <c r="J47" t="s">
        <v>597</v>
      </c>
      <c r="K47" t="s">
        <v>598</v>
      </c>
      <c r="L47">
        <v>1348</v>
      </c>
      <c r="N47">
        <v>1009</v>
      </c>
      <c r="O47" t="s">
        <v>165</v>
      </c>
      <c r="P47" t="s">
        <v>165</v>
      </c>
      <c r="Q47">
        <v>1000</v>
      </c>
      <c r="W47">
        <v>0</v>
      </c>
      <c r="X47">
        <v>-312996078</v>
      </c>
      <c r="Y47">
        <f t="shared" si="16"/>
        <v>1.4E-3</v>
      </c>
      <c r="AA47">
        <v>127956.34</v>
      </c>
      <c r="AB47">
        <v>0</v>
      </c>
      <c r="AC47">
        <v>0</v>
      </c>
      <c r="AD47">
        <v>0</v>
      </c>
      <c r="AE47">
        <v>99190.96</v>
      </c>
      <c r="AF47">
        <v>0</v>
      </c>
      <c r="AG47">
        <v>0</v>
      </c>
      <c r="AH47">
        <v>0</v>
      </c>
      <c r="AI47">
        <v>1.29</v>
      </c>
      <c r="AJ47">
        <v>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1.4E-3</v>
      </c>
      <c r="AU47" t="s">
        <v>3</v>
      </c>
      <c r="AV47">
        <v>0</v>
      </c>
      <c r="AW47">
        <v>2</v>
      </c>
      <c r="AX47">
        <v>85998243</v>
      </c>
      <c r="AY47">
        <v>1</v>
      </c>
      <c r="AZ47">
        <v>0</v>
      </c>
      <c r="BA47">
        <v>46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138.867344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138.867344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v>0</v>
      </c>
      <c r="CX47">
        <f>ROUND(Y47*Source!I44,7)</f>
        <v>6.9999999999999999E-4</v>
      </c>
      <c r="CY47">
        <f t="shared" si="21"/>
        <v>127956.34</v>
      </c>
      <c r="CZ47">
        <f t="shared" si="22"/>
        <v>99190.96</v>
      </c>
      <c r="DA47">
        <f t="shared" si="23"/>
        <v>1.29</v>
      </c>
      <c r="DB47">
        <f t="shared" si="17"/>
        <v>138.87</v>
      </c>
      <c r="DC47">
        <f t="shared" si="18"/>
        <v>0</v>
      </c>
      <c r="DD47" t="s">
        <v>3</v>
      </c>
      <c r="DE47" t="s">
        <v>3</v>
      </c>
      <c r="DF47">
        <f t="shared" si="26"/>
        <v>89.57</v>
      </c>
      <c r="DG47">
        <f t="shared" si="24"/>
        <v>0</v>
      </c>
      <c r="DH47">
        <f t="shared" si="4"/>
        <v>0</v>
      </c>
      <c r="DI47">
        <f t="shared" si="5"/>
        <v>0</v>
      </c>
      <c r="DJ47">
        <f t="shared" si="25"/>
        <v>89.57</v>
      </c>
      <c r="DK47">
        <v>0</v>
      </c>
      <c r="DL47" t="s">
        <v>3</v>
      </c>
      <c r="DM47">
        <v>0</v>
      </c>
      <c r="DN47" t="s">
        <v>3</v>
      </c>
      <c r="DO47">
        <v>0</v>
      </c>
    </row>
    <row r="48" spans="1:119" x14ac:dyDescent="0.2">
      <c r="A48">
        <f>ROW(Source!A44)</f>
        <v>44</v>
      </c>
      <c r="B48">
        <v>85997836</v>
      </c>
      <c r="C48">
        <v>85998225</v>
      </c>
      <c r="D48">
        <v>84265841</v>
      </c>
      <c r="E48">
        <v>1</v>
      </c>
      <c r="F48">
        <v>1</v>
      </c>
      <c r="G48">
        <v>1</v>
      </c>
      <c r="H48">
        <v>3</v>
      </c>
      <c r="I48" t="s">
        <v>90</v>
      </c>
      <c r="J48" t="s">
        <v>92</v>
      </c>
      <c r="K48" t="s">
        <v>91</v>
      </c>
      <c r="L48">
        <v>1425</v>
      </c>
      <c r="N48">
        <v>1013</v>
      </c>
      <c r="O48" t="s">
        <v>20</v>
      </c>
      <c r="P48" t="s">
        <v>20</v>
      </c>
      <c r="Q48">
        <v>1</v>
      </c>
      <c r="W48">
        <v>0</v>
      </c>
      <c r="X48">
        <v>-879289817</v>
      </c>
      <c r="Y48">
        <f t="shared" si="16"/>
        <v>0.08</v>
      </c>
      <c r="AA48">
        <v>19302.75</v>
      </c>
      <c r="AB48">
        <v>0</v>
      </c>
      <c r="AC48">
        <v>0</v>
      </c>
      <c r="AD48">
        <v>0</v>
      </c>
      <c r="AE48">
        <v>15566.73</v>
      </c>
      <c r="AF48">
        <v>0</v>
      </c>
      <c r="AG48">
        <v>0</v>
      </c>
      <c r="AH48">
        <v>0</v>
      </c>
      <c r="AI48">
        <v>1.24</v>
      </c>
      <c r="AJ48">
        <v>1</v>
      </c>
      <c r="AK48">
        <v>1</v>
      </c>
      <c r="AL48">
        <v>1</v>
      </c>
      <c r="AM48">
        <v>2</v>
      </c>
      <c r="AN48">
        <v>0</v>
      </c>
      <c r="AO48">
        <v>0</v>
      </c>
      <c r="AP48">
        <v>1</v>
      </c>
      <c r="AQ48">
        <v>0</v>
      </c>
      <c r="AR48">
        <v>0</v>
      </c>
      <c r="AS48" t="s">
        <v>3</v>
      </c>
      <c r="AT48">
        <v>0.08</v>
      </c>
      <c r="AU48" t="s">
        <v>3</v>
      </c>
      <c r="AV48">
        <v>0</v>
      </c>
      <c r="AW48">
        <v>1</v>
      </c>
      <c r="AX48">
        <v>-1</v>
      </c>
      <c r="AY48">
        <v>0</v>
      </c>
      <c r="AZ48">
        <v>0</v>
      </c>
      <c r="BA48" t="s">
        <v>3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ROUND(Y48*Source!I44,7)</f>
        <v>0.04</v>
      </c>
      <c r="CY48">
        <f t="shared" si="21"/>
        <v>19302.75</v>
      </c>
      <c r="CZ48">
        <f t="shared" si="22"/>
        <v>15566.73</v>
      </c>
      <c r="DA48">
        <f t="shared" si="23"/>
        <v>1.24</v>
      </c>
      <c r="DB48">
        <f t="shared" si="17"/>
        <v>1245.3399999999999</v>
      </c>
      <c r="DC48">
        <f t="shared" si="18"/>
        <v>0</v>
      </c>
      <c r="DD48" t="s">
        <v>3</v>
      </c>
      <c r="DE48" t="s">
        <v>3</v>
      </c>
      <c r="DF48">
        <f t="shared" si="26"/>
        <v>772.11</v>
      </c>
      <c r="DG48">
        <f t="shared" si="24"/>
        <v>0</v>
      </c>
      <c r="DH48">
        <f t="shared" si="4"/>
        <v>0</v>
      </c>
      <c r="DI48">
        <f t="shared" si="5"/>
        <v>0</v>
      </c>
      <c r="DJ48">
        <f t="shared" si="25"/>
        <v>772.11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 x14ac:dyDescent="0.2">
      <c r="A49">
        <f>ROW(Source!A44)</f>
        <v>44</v>
      </c>
      <c r="B49">
        <v>85997836</v>
      </c>
      <c r="C49">
        <v>85998225</v>
      </c>
      <c r="D49">
        <v>84265877</v>
      </c>
      <c r="E49">
        <v>1</v>
      </c>
      <c r="F49">
        <v>1</v>
      </c>
      <c r="G49">
        <v>1</v>
      </c>
      <c r="H49">
        <v>3</v>
      </c>
      <c r="I49" t="s">
        <v>86</v>
      </c>
      <c r="J49" t="s">
        <v>88</v>
      </c>
      <c r="K49" t="s">
        <v>87</v>
      </c>
      <c r="L49">
        <v>1308</v>
      </c>
      <c r="N49">
        <v>1003</v>
      </c>
      <c r="O49" t="s">
        <v>61</v>
      </c>
      <c r="P49" t="s">
        <v>61</v>
      </c>
      <c r="Q49">
        <v>100</v>
      </c>
      <c r="W49">
        <v>0</v>
      </c>
      <c r="X49">
        <v>1929499894</v>
      </c>
      <c r="Y49">
        <f t="shared" si="16"/>
        <v>1</v>
      </c>
      <c r="AA49">
        <v>24286.65</v>
      </c>
      <c r="AB49">
        <v>0</v>
      </c>
      <c r="AC49">
        <v>0</v>
      </c>
      <c r="AD49">
        <v>0</v>
      </c>
      <c r="AE49">
        <v>19586.009999999998</v>
      </c>
      <c r="AF49">
        <v>0</v>
      </c>
      <c r="AG49">
        <v>0</v>
      </c>
      <c r="AH49">
        <v>0</v>
      </c>
      <c r="AI49">
        <v>1.24</v>
      </c>
      <c r="AJ49">
        <v>1</v>
      </c>
      <c r="AK49">
        <v>1</v>
      </c>
      <c r="AL49">
        <v>1</v>
      </c>
      <c r="AM49">
        <v>2</v>
      </c>
      <c r="AN49">
        <v>0</v>
      </c>
      <c r="AO49">
        <v>0</v>
      </c>
      <c r="AP49">
        <v>1</v>
      </c>
      <c r="AQ49">
        <v>0</v>
      </c>
      <c r="AR49">
        <v>0</v>
      </c>
      <c r="AS49" t="s">
        <v>3</v>
      </c>
      <c r="AT49">
        <v>1</v>
      </c>
      <c r="AU49" t="s">
        <v>3</v>
      </c>
      <c r="AV49">
        <v>0</v>
      </c>
      <c r="AW49">
        <v>1</v>
      </c>
      <c r="AX49">
        <v>-1</v>
      </c>
      <c r="AY49">
        <v>0</v>
      </c>
      <c r="AZ49">
        <v>0</v>
      </c>
      <c r="BA49" t="s">
        <v>3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V49">
        <v>0</v>
      </c>
      <c r="CW49">
        <v>0</v>
      </c>
      <c r="CX49">
        <f>ROUND(Y49*Source!I44,7)</f>
        <v>0.5</v>
      </c>
      <c r="CY49">
        <f t="shared" si="21"/>
        <v>24286.65</v>
      </c>
      <c r="CZ49">
        <f t="shared" si="22"/>
        <v>19586.009999999998</v>
      </c>
      <c r="DA49">
        <f t="shared" si="23"/>
        <v>1.24</v>
      </c>
      <c r="DB49">
        <f t="shared" si="17"/>
        <v>19586.009999999998</v>
      </c>
      <c r="DC49">
        <f t="shared" si="18"/>
        <v>0</v>
      </c>
      <c r="DD49" t="s">
        <v>3</v>
      </c>
      <c r="DE49" t="s">
        <v>3</v>
      </c>
      <c r="DF49">
        <f t="shared" si="26"/>
        <v>12143.33</v>
      </c>
      <c r="DG49">
        <f t="shared" si="24"/>
        <v>0</v>
      </c>
      <c r="DH49">
        <f t="shared" si="4"/>
        <v>0</v>
      </c>
      <c r="DI49">
        <f t="shared" si="5"/>
        <v>0</v>
      </c>
      <c r="DJ49">
        <f t="shared" si="25"/>
        <v>12143.33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ROW(Source!A44)</f>
        <v>44</v>
      </c>
      <c r="B50">
        <v>85997836</v>
      </c>
      <c r="C50">
        <v>85998225</v>
      </c>
      <c r="D50">
        <v>84265968</v>
      </c>
      <c r="E50">
        <v>1</v>
      </c>
      <c r="F50">
        <v>1</v>
      </c>
      <c r="G50">
        <v>1</v>
      </c>
      <c r="H50">
        <v>3</v>
      </c>
      <c r="I50" t="s">
        <v>98</v>
      </c>
      <c r="J50" t="s">
        <v>100</v>
      </c>
      <c r="K50" t="s">
        <v>99</v>
      </c>
      <c r="L50">
        <v>1425</v>
      </c>
      <c r="N50">
        <v>1013</v>
      </c>
      <c r="O50" t="s">
        <v>20</v>
      </c>
      <c r="P50" t="s">
        <v>20</v>
      </c>
      <c r="Q50">
        <v>1</v>
      </c>
      <c r="W50">
        <v>0</v>
      </c>
      <c r="X50">
        <v>554754660</v>
      </c>
      <c r="Y50">
        <f t="shared" si="16"/>
        <v>0.02</v>
      </c>
      <c r="AA50">
        <v>62121.25</v>
      </c>
      <c r="AB50">
        <v>0</v>
      </c>
      <c r="AC50">
        <v>0</v>
      </c>
      <c r="AD50">
        <v>0</v>
      </c>
      <c r="AE50">
        <v>50097.78</v>
      </c>
      <c r="AF50">
        <v>0</v>
      </c>
      <c r="AG50">
        <v>0</v>
      </c>
      <c r="AH50">
        <v>0</v>
      </c>
      <c r="AI50">
        <v>1.24</v>
      </c>
      <c r="AJ50">
        <v>1</v>
      </c>
      <c r="AK50">
        <v>1</v>
      </c>
      <c r="AL50">
        <v>1</v>
      </c>
      <c r="AM50">
        <v>2</v>
      </c>
      <c r="AN50">
        <v>0</v>
      </c>
      <c r="AO50">
        <v>0</v>
      </c>
      <c r="AP50">
        <v>1</v>
      </c>
      <c r="AQ50">
        <v>0</v>
      </c>
      <c r="AR50">
        <v>0</v>
      </c>
      <c r="AS50" t="s">
        <v>3</v>
      </c>
      <c r="AT50">
        <v>0.02</v>
      </c>
      <c r="AU50" t="s">
        <v>3</v>
      </c>
      <c r="AV50">
        <v>0</v>
      </c>
      <c r="AW50">
        <v>1</v>
      </c>
      <c r="AX50">
        <v>-1</v>
      </c>
      <c r="AY50">
        <v>0</v>
      </c>
      <c r="AZ50">
        <v>0</v>
      </c>
      <c r="BA50" t="s">
        <v>3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ROUND(Y50*Source!I44,7)</f>
        <v>0.01</v>
      </c>
      <c r="CY50">
        <f t="shared" si="21"/>
        <v>62121.25</v>
      </c>
      <c r="CZ50">
        <f t="shared" si="22"/>
        <v>50097.78</v>
      </c>
      <c r="DA50">
        <f t="shared" si="23"/>
        <v>1.24</v>
      </c>
      <c r="DB50">
        <f t="shared" si="17"/>
        <v>1001.96</v>
      </c>
      <c r="DC50">
        <f t="shared" si="18"/>
        <v>0</v>
      </c>
      <c r="DD50" t="s">
        <v>3</v>
      </c>
      <c r="DE50" t="s">
        <v>3</v>
      </c>
      <c r="DF50">
        <f t="shared" si="26"/>
        <v>621.21</v>
      </c>
      <c r="DG50">
        <f t="shared" si="24"/>
        <v>0</v>
      </c>
      <c r="DH50">
        <f t="shared" si="4"/>
        <v>0</v>
      </c>
      <c r="DI50">
        <f t="shared" si="5"/>
        <v>0</v>
      </c>
      <c r="DJ50">
        <f t="shared" si="25"/>
        <v>621.21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ROW(Source!A44)</f>
        <v>44</v>
      </c>
      <c r="B51">
        <v>85997836</v>
      </c>
      <c r="C51">
        <v>85998225</v>
      </c>
      <c r="D51">
        <v>84265986</v>
      </c>
      <c r="E51">
        <v>1</v>
      </c>
      <c r="F51">
        <v>1</v>
      </c>
      <c r="G51">
        <v>1</v>
      </c>
      <c r="H51">
        <v>3</v>
      </c>
      <c r="I51" t="s">
        <v>102</v>
      </c>
      <c r="J51" t="s">
        <v>104</v>
      </c>
      <c r="K51" t="s">
        <v>103</v>
      </c>
      <c r="L51">
        <v>1425</v>
      </c>
      <c r="N51">
        <v>1013</v>
      </c>
      <c r="O51" t="s">
        <v>20</v>
      </c>
      <c r="P51" t="s">
        <v>20</v>
      </c>
      <c r="Q51">
        <v>1</v>
      </c>
      <c r="W51">
        <v>0</v>
      </c>
      <c r="X51">
        <v>983944946</v>
      </c>
      <c r="Y51">
        <f t="shared" si="16"/>
        <v>0.12</v>
      </c>
      <c r="AA51">
        <v>13663.26</v>
      </c>
      <c r="AB51">
        <v>0</v>
      </c>
      <c r="AC51">
        <v>0</v>
      </c>
      <c r="AD51">
        <v>0</v>
      </c>
      <c r="AE51">
        <v>11018.76</v>
      </c>
      <c r="AF51">
        <v>0</v>
      </c>
      <c r="AG51">
        <v>0</v>
      </c>
      <c r="AH51">
        <v>0</v>
      </c>
      <c r="AI51">
        <v>1.24</v>
      </c>
      <c r="AJ51">
        <v>1</v>
      </c>
      <c r="AK51">
        <v>1</v>
      </c>
      <c r="AL51">
        <v>1</v>
      </c>
      <c r="AM51">
        <v>2</v>
      </c>
      <c r="AN51">
        <v>0</v>
      </c>
      <c r="AO51">
        <v>0</v>
      </c>
      <c r="AP51">
        <v>1</v>
      </c>
      <c r="AQ51">
        <v>0</v>
      </c>
      <c r="AR51">
        <v>0</v>
      </c>
      <c r="AS51" t="s">
        <v>3</v>
      </c>
      <c r="AT51">
        <v>0.12</v>
      </c>
      <c r="AU51" t="s">
        <v>3</v>
      </c>
      <c r="AV51">
        <v>0</v>
      </c>
      <c r="AW51">
        <v>1</v>
      </c>
      <c r="AX51">
        <v>-1</v>
      </c>
      <c r="AY51">
        <v>0</v>
      </c>
      <c r="AZ51">
        <v>0</v>
      </c>
      <c r="BA51" t="s">
        <v>3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ROUND(Y51*Source!I44,7)</f>
        <v>0.06</v>
      </c>
      <c r="CY51">
        <f t="shared" si="21"/>
        <v>13663.26</v>
      </c>
      <c r="CZ51">
        <f t="shared" si="22"/>
        <v>11018.76</v>
      </c>
      <c r="DA51">
        <f t="shared" si="23"/>
        <v>1.24</v>
      </c>
      <c r="DB51">
        <f t="shared" si="17"/>
        <v>1322.25</v>
      </c>
      <c r="DC51">
        <f t="shared" si="18"/>
        <v>0</v>
      </c>
      <c r="DD51" t="s">
        <v>3</v>
      </c>
      <c r="DE51" t="s">
        <v>3</v>
      </c>
      <c r="DF51">
        <f t="shared" si="26"/>
        <v>819.8</v>
      </c>
      <c r="DG51">
        <f t="shared" si="24"/>
        <v>0</v>
      </c>
      <c r="DH51">
        <f t="shared" si="4"/>
        <v>0</v>
      </c>
      <c r="DI51">
        <f t="shared" si="5"/>
        <v>0</v>
      </c>
      <c r="DJ51">
        <f t="shared" si="25"/>
        <v>819.8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ROW(Source!A44)</f>
        <v>44</v>
      </c>
      <c r="B52">
        <v>85997836</v>
      </c>
      <c r="C52">
        <v>85998225</v>
      </c>
      <c r="D52">
        <v>84266031</v>
      </c>
      <c r="E52">
        <v>1</v>
      </c>
      <c r="F52">
        <v>1</v>
      </c>
      <c r="G52">
        <v>1</v>
      </c>
      <c r="H52">
        <v>3</v>
      </c>
      <c r="I52" t="s">
        <v>94</v>
      </c>
      <c r="J52" t="s">
        <v>96</v>
      </c>
      <c r="K52" t="s">
        <v>95</v>
      </c>
      <c r="L52">
        <v>1425</v>
      </c>
      <c r="N52">
        <v>1013</v>
      </c>
      <c r="O52" t="s">
        <v>20</v>
      </c>
      <c r="P52" t="s">
        <v>20</v>
      </c>
      <c r="Q52">
        <v>1</v>
      </c>
      <c r="W52">
        <v>0</v>
      </c>
      <c r="X52">
        <v>1446221371</v>
      </c>
      <c r="Y52">
        <f t="shared" si="16"/>
        <v>0.08</v>
      </c>
      <c r="AA52">
        <v>6184.97</v>
      </c>
      <c r="AB52">
        <v>0</v>
      </c>
      <c r="AC52">
        <v>0</v>
      </c>
      <c r="AD52">
        <v>0</v>
      </c>
      <c r="AE52">
        <v>4987.88</v>
      </c>
      <c r="AF52">
        <v>0</v>
      </c>
      <c r="AG52">
        <v>0</v>
      </c>
      <c r="AH52">
        <v>0</v>
      </c>
      <c r="AI52">
        <v>1.24</v>
      </c>
      <c r="AJ52">
        <v>1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1</v>
      </c>
      <c r="AQ52">
        <v>0</v>
      </c>
      <c r="AR52">
        <v>0</v>
      </c>
      <c r="AS52" t="s">
        <v>3</v>
      </c>
      <c r="AT52">
        <v>0.08</v>
      </c>
      <c r="AU52" t="s">
        <v>3</v>
      </c>
      <c r="AV52">
        <v>0</v>
      </c>
      <c r="AW52">
        <v>1</v>
      </c>
      <c r="AX52">
        <v>-1</v>
      </c>
      <c r="AY52">
        <v>0</v>
      </c>
      <c r="AZ52">
        <v>0</v>
      </c>
      <c r="BA52" t="s">
        <v>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ROUND(Y52*Source!I44,7)</f>
        <v>0.04</v>
      </c>
      <c r="CY52">
        <f t="shared" si="21"/>
        <v>6184.97</v>
      </c>
      <c r="CZ52">
        <f t="shared" si="22"/>
        <v>4987.88</v>
      </c>
      <c r="DA52">
        <f t="shared" si="23"/>
        <v>1.24</v>
      </c>
      <c r="DB52">
        <f t="shared" si="17"/>
        <v>399.03</v>
      </c>
      <c r="DC52">
        <f t="shared" si="18"/>
        <v>0</v>
      </c>
      <c r="DD52" t="s">
        <v>3</v>
      </c>
      <c r="DE52" t="s">
        <v>3</v>
      </c>
      <c r="DF52">
        <f t="shared" si="26"/>
        <v>247.4</v>
      </c>
      <c r="DG52">
        <f t="shared" si="24"/>
        <v>0</v>
      </c>
      <c r="DH52">
        <f t="shared" si="4"/>
        <v>0</v>
      </c>
      <c r="DI52">
        <f t="shared" si="5"/>
        <v>0</v>
      </c>
      <c r="DJ52">
        <f t="shared" si="25"/>
        <v>247.4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ROW(Source!A44)</f>
        <v>44</v>
      </c>
      <c r="B53">
        <v>85997836</v>
      </c>
      <c r="C53">
        <v>85998225</v>
      </c>
      <c r="D53">
        <v>84170596</v>
      </c>
      <c r="E53">
        <v>117</v>
      </c>
      <c r="F53">
        <v>1</v>
      </c>
      <c r="G53">
        <v>1</v>
      </c>
      <c r="H53">
        <v>3</v>
      </c>
      <c r="I53" t="s">
        <v>55</v>
      </c>
      <c r="J53" t="s">
        <v>3</v>
      </c>
      <c r="K53" t="s">
        <v>56</v>
      </c>
      <c r="L53">
        <v>3277935</v>
      </c>
      <c r="N53">
        <v>1013</v>
      </c>
      <c r="O53" t="s">
        <v>57</v>
      </c>
      <c r="P53" t="s">
        <v>57</v>
      </c>
      <c r="Q53">
        <v>1</v>
      </c>
      <c r="W53">
        <v>0</v>
      </c>
      <c r="X53">
        <v>274903907</v>
      </c>
      <c r="Y53">
        <f t="shared" si="16"/>
        <v>2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0</v>
      </c>
      <c r="AQ53">
        <v>0</v>
      </c>
      <c r="AR53">
        <v>0</v>
      </c>
      <c r="AS53" t="s">
        <v>3</v>
      </c>
      <c r="AT53">
        <v>2</v>
      </c>
      <c r="AU53" t="s">
        <v>3</v>
      </c>
      <c r="AV53">
        <v>0</v>
      </c>
      <c r="AW53">
        <v>2</v>
      </c>
      <c r="AX53">
        <v>85998244</v>
      </c>
      <c r="AY53">
        <v>1</v>
      </c>
      <c r="AZ53">
        <v>0</v>
      </c>
      <c r="BA53">
        <v>47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ROUND(Y53*Source!I44,7)</f>
        <v>1</v>
      </c>
      <c r="CY53">
        <f t="shared" si="21"/>
        <v>0</v>
      </c>
      <c r="CZ53">
        <f t="shared" si="22"/>
        <v>0</v>
      </c>
      <c r="DA53">
        <f t="shared" si="23"/>
        <v>1</v>
      </c>
      <c r="DB53">
        <f t="shared" si="17"/>
        <v>0</v>
      </c>
      <c r="DC53">
        <f t="shared" si="18"/>
        <v>0</v>
      </c>
      <c r="DD53" t="s">
        <v>3</v>
      </c>
      <c r="DE53" t="s">
        <v>3</v>
      </c>
      <c r="DF53">
        <f>ROUND(ROUND(AE53,2)*CX53,2)</f>
        <v>0</v>
      </c>
      <c r="DG53">
        <f t="shared" si="24"/>
        <v>0</v>
      </c>
      <c r="DH53">
        <f t="shared" si="4"/>
        <v>0</v>
      </c>
      <c r="DI53">
        <f t="shared" si="5"/>
        <v>0</v>
      </c>
      <c r="DJ53">
        <f t="shared" si="25"/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ROW(Source!A52)</f>
        <v>52</v>
      </c>
      <c r="B54">
        <v>85997836</v>
      </c>
      <c r="C54">
        <v>86000378</v>
      </c>
      <c r="D54">
        <v>37064878</v>
      </c>
      <c r="E54">
        <v>117</v>
      </c>
      <c r="F54">
        <v>1</v>
      </c>
      <c r="G54">
        <v>1</v>
      </c>
      <c r="H54">
        <v>1</v>
      </c>
      <c r="I54" t="s">
        <v>547</v>
      </c>
      <c r="J54" t="s">
        <v>3</v>
      </c>
      <c r="K54" t="s">
        <v>548</v>
      </c>
      <c r="L54">
        <v>1191</v>
      </c>
      <c r="N54">
        <v>1013</v>
      </c>
      <c r="O54" t="s">
        <v>541</v>
      </c>
      <c r="P54" t="s">
        <v>541</v>
      </c>
      <c r="Q54">
        <v>1</v>
      </c>
      <c r="W54">
        <v>0</v>
      </c>
      <c r="X54">
        <v>44848675</v>
      </c>
      <c r="Y54">
        <f t="shared" si="16"/>
        <v>2.82</v>
      </c>
      <c r="AA54">
        <v>0</v>
      </c>
      <c r="AB54">
        <v>0</v>
      </c>
      <c r="AC54">
        <v>0</v>
      </c>
      <c r="AD54">
        <v>705.88</v>
      </c>
      <c r="AE54">
        <v>0</v>
      </c>
      <c r="AF54">
        <v>0</v>
      </c>
      <c r="AG54">
        <v>0</v>
      </c>
      <c r="AH54">
        <v>705.88</v>
      </c>
      <c r="AI54">
        <v>1</v>
      </c>
      <c r="AJ54">
        <v>1</v>
      </c>
      <c r="AK54">
        <v>1</v>
      </c>
      <c r="AL54">
        <v>1</v>
      </c>
      <c r="AM54">
        <v>-2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3</v>
      </c>
      <c r="AT54">
        <v>2.82</v>
      </c>
      <c r="AU54" t="s">
        <v>3</v>
      </c>
      <c r="AV54">
        <v>1</v>
      </c>
      <c r="AW54">
        <v>2</v>
      </c>
      <c r="AX54">
        <v>86000389</v>
      </c>
      <c r="AY54">
        <v>1</v>
      </c>
      <c r="AZ54">
        <v>0</v>
      </c>
      <c r="BA54">
        <v>48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1990.5816</v>
      </c>
      <c r="BN54">
        <v>2.82</v>
      </c>
      <c r="BO54">
        <v>0</v>
      </c>
      <c r="BP54">
        <v>1</v>
      </c>
      <c r="BQ54">
        <v>0</v>
      </c>
      <c r="BR54">
        <v>0</v>
      </c>
      <c r="BS54">
        <v>0</v>
      </c>
      <c r="BT54">
        <v>1990.5816</v>
      </c>
      <c r="BU54">
        <v>2.82</v>
      </c>
      <c r="BV54">
        <v>0</v>
      </c>
      <c r="BW54">
        <v>1</v>
      </c>
      <c r="CU54">
        <f>ROUND(AT54*Source!I52*AH54*AL54,2)</f>
        <v>7962.33</v>
      </c>
      <c r="CV54">
        <f>ROUND(Y54*Source!I52,7)</f>
        <v>11.28</v>
      </c>
      <c r="CW54">
        <v>0</v>
      </c>
      <c r="CX54">
        <f>ROUND(Y54*Source!I52,7)</f>
        <v>11.28</v>
      </c>
      <c r="CY54">
        <f>AD54</f>
        <v>705.88</v>
      </c>
      <c r="CZ54">
        <f>AH54</f>
        <v>705.88</v>
      </c>
      <c r="DA54">
        <f>AL54</f>
        <v>1</v>
      </c>
      <c r="DB54">
        <f t="shared" si="17"/>
        <v>1990.58</v>
      </c>
      <c r="DC54">
        <f t="shared" si="18"/>
        <v>0</v>
      </c>
      <c r="DD54" t="s">
        <v>3</v>
      </c>
      <c r="DE54" t="s">
        <v>3</v>
      </c>
      <c r="DF54">
        <f>ROUND(ROUND(AE54,2)*CX54,2)</f>
        <v>0</v>
      </c>
      <c r="DG54">
        <f t="shared" si="24"/>
        <v>0</v>
      </c>
      <c r="DH54">
        <f t="shared" si="4"/>
        <v>0</v>
      </c>
      <c r="DI54">
        <f t="shared" si="5"/>
        <v>7962.33</v>
      </c>
      <c r="DJ54">
        <f>DI54</f>
        <v>7962.33</v>
      </c>
      <c r="DK54">
        <v>1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ROW(Source!A52)</f>
        <v>52</v>
      </c>
      <c r="B55">
        <v>85997836</v>
      </c>
      <c r="C55">
        <v>86000378</v>
      </c>
      <c r="D55">
        <v>37064876</v>
      </c>
      <c r="E55">
        <v>117</v>
      </c>
      <c r="F55">
        <v>1</v>
      </c>
      <c r="G55">
        <v>1</v>
      </c>
      <c r="H55">
        <v>1</v>
      </c>
      <c r="I55" t="s">
        <v>542</v>
      </c>
      <c r="J55" t="s">
        <v>3</v>
      </c>
      <c r="K55" t="s">
        <v>543</v>
      </c>
      <c r="L55">
        <v>1191</v>
      </c>
      <c r="N55">
        <v>1013</v>
      </c>
      <c r="O55" t="s">
        <v>541</v>
      </c>
      <c r="P55" t="s">
        <v>541</v>
      </c>
      <c r="Q55">
        <v>1</v>
      </c>
      <c r="W55">
        <v>0</v>
      </c>
      <c r="X55">
        <v>-1417349443</v>
      </c>
      <c r="Y55">
        <f t="shared" si="16"/>
        <v>0.02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0.02</v>
      </c>
      <c r="AU55" t="s">
        <v>3</v>
      </c>
      <c r="AV55">
        <v>2</v>
      </c>
      <c r="AW55">
        <v>2</v>
      </c>
      <c r="AX55">
        <v>86000390</v>
      </c>
      <c r="AY55">
        <v>1</v>
      </c>
      <c r="AZ55">
        <v>0</v>
      </c>
      <c r="BA55">
        <v>49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ROUND(Y55*Source!I52,7)</f>
        <v>0.08</v>
      </c>
      <c r="CY55">
        <f>AD55</f>
        <v>0</v>
      </c>
      <c r="CZ55">
        <f>AH55</f>
        <v>0</v>
      </c>
      <c r="DA55">
        <f>AL55</f>
        <v>1</v>
      </c>
      <c r="DB55">
        <f t="shared" si="17"/>
        <v>0</v>
      </c>
      <c r="DC55">
        <f t="shared" si="18"/>
        <v>0</v>
      </c>
      <c r="DD55" t="s">
        <v>3</v>
      </c>
      <c r="DE55" t="s">
        <v>3</v>
      </c>
      <c r="DF55">
        <f>ROUND(ROUND(AE55,2)*CX55,2)</f>
        <v>0</v>
      </c>
      <c r="DG55">
        <f t="shared" si="24"/>
        <v>0</v>
      </c>
      <c r="DH55">
        <f t="shared" si="4"/>
        <v>0</v>
      </c>
      <c r="DI55">
        <f t="shared" si="5"/>
        <v>0</v>
      </c>
      <c r="DJ55">
        <f>DI55</f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ROW(Source!A52)</f>
        <v>52</v>
      </c>
      <c r="B56">
        <v>85997836</v>
      </c>
      <c r="C56">
        <v>86000378</v>
      </c>
      <c r="D56">
        <v>84171251</v>
      </c>
      <c r="E56">
        <v>1</v>
      </c>
      <c r="F56">
        <v>1</v>
      </c>
      <c r="G56">
        <v>1</v>
      </c>
      <c r="H56">
        <v>2</v>
      </c>
      <c r="I56" t="s">
        <v>123</v>
      </c>
      <c r="J56" t="s">
        <v>125</v>
      </c>
      <c r="K56" t="s">
        <v>124</v>
      </c>
      <c r="L56">
        <v>1368</v>
      </c>
      <c r="N56">
        <v>1011</v>
      </c>
      <c r="O56" t="s">
        <v>29</v>
      </c>
      <c r="P56" t="s">
        <v>29</v>
      </c>
      <c r="Q56">
        <v>1</v>
      </c>
      <c r="W56">
        <v>0</v>
      </c>
      <c r="X56">
        <v>639918019</v>
      </c>
      <c r="Y56">
        <f t="shared" si="16"/>
        <v>-0.01</v>
      </c>
      <c r="AA56">
        <v>0</v>
      </c>
      <c r="AB56">
        <v>1629.55</v>
      </c>
      <c r="AC56">
        <v>969.91</v>
      </c>
      <c r="AD56">
        <v>0</v>
      </c>
      <c r="AE56">
        <v>0</v>
      </c>
      <c r="AF56">
        <v>1629.55</v>
      </c>
      <c r="AG56">
        <v>969.91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0</v>
      </c>
      <c r="AP56">
        <v>1</v>
      </c>
      <c r="AQ56">
        <v>0</v>
      </c>
      <c r="AR56">
        <v>0</v>
      </c>
      <c r="AS56" t="s">
        <v>3</v>
      </c>
      <c r="AT56">
        <v>-0.01</v>
      </c>
      <c r="AU56" t="s">
        <v>3</v>
      </c>
      <c r="AV56">
        <v>1</v>
      </c>
      <c r="AW56">
        <v>2</v>
      </c>
      <c r="AX56">
        <v>86000391</v>
      </c>
      <c r="AY56">
        <v>1</v>
      </c>
      <c r="AZ56">
        <v>6144</v>
      </c>
      <c r="BA56">
        <v>50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f>ROUND(Y56*Source!I52*DO56,7)</f>
        <v>-0.04</v>
      </c>
      <c r="CX56">
        <f>ROUND(Y56*Source!I52,7)</f>
        <v>-0.04</v>
      </c>
      <c r="CY56">
        <f>AB56</f>
        <v>1629.55</v>
      </c>
      <c r="CZ56">
        <f>AF56</f>
        <v>1629.55</v>
      </c>
      <c r="DA56">
        <f>AJ56</f>
        <v>1</v>
      </c>
      <c r="DB56">
        <f t="shared" si="17"/>
        <v>-16.3</v>
      </c>
      <c r="DC56">
        <f t="shared" si="18"/>
        <v>-9.6999999999999993</v>
      </c>
      <c r="DD56" t="s">
        <v>3</v>
      </c>
      <c r="DE56" t="s">
        <v>3</v>
      </c>
      <c r="DF56">
        <f>ROUND(ROUND(AE56,2)*CX56,2)</f>
        <v>0</v>
      </c>
      <c r="DG56">
        <f t="shared" si="24"/>
        <v>-65.180000000000007</v>
      </c>
      <c r="DH56">
        <f t="shared" si="4"/>
        <v>-38.799999999999997</v>
      </c>
      <c r="DI56">
        <f t="shared" si="5"/>
        <v>0</v>
      </c>
      <c r="DJ56">
        <f>DG56+DH56</f>
        <v>-103.98</v>
      </c>
      <c r="DK56">
        <v>1</v>
      </c>
      <c r="DL56" t="s">
        <v>599</v>
      </c>
      <c r="DM56">
        <v>6</v>
      </c>
      <c r="DN56" t="s">
        <v>541</v>
      </c>
      <c r="DO56">
        <v>1</v>
      </c>
    </row>
    <row r="57" spans="1:119" x14ac:dyDescent="0.2">
      <c r="A57">
        <f>ROW(Source!A52)</f>
        <v>52</v>
      </c>
      <c r="B57">
        <v>85997836</v>
      </c>
      <c r="C57">
        <v>86000378</v>
      </c>
      <c r="D57">
        <v>84172146</v>
      </c>
      <c r="E57">
        <v>1</v>
      </c>
      <c r="F57">
        <v>1</v>
      </c>
      <c r="G57">
        <v>1</v>
      </c>
      <c r="H57">
        <v>2</v>
      </c>
      <c r="I57" t="s">
        <v>127</v>
      </c>
      <c r="J57" t="s">
        <v>129</v>
      </c>
      <c r="K57" t="s">
        <v>128</v>
      </c>
      <c r="L57">
        <v>1368</v>
      </c>
      <c r="N57">
        <v>1011</v>
      </c>
      <c r="O57" t="s">
        <v>29</v>
      </c>
      <c r="P57" t="s">
        <v>29</v>
      </c>
      <c r="Q57">
        <v>1</v>
      </c>
      <c r="W57">
        <v>0</v>
      </c>
      <c r="X57">
        <v>-849950259</v>
      </c>
      <c r="Y57">
        <f t="shared" si="16"/>
        <v>-0.01</v>
      </c>
      <c r="AA57">
        <v>0</v>
      </c>
      <c r="AB57">
        <v>643.29</v>
      </c>
      <c r="AC57">
        <v>722.05</v>
      </c>
      <c r="AD57">
        <v>0</v>
      </c>
      <c r="AE57">
        <v>0</v>
      </c>
      <c r="AF57">
        <v>643.29</v>
      </c>
      <c r="AG57">
        <v>722.05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0</v>
      </c>
      <c r="AP57">
        <v>1</v>
      </c>
      <c r="AQ57">
        <v>0</v>
      </c>
      <c r="AR57">
        <v>0</v>
      </c>
      <c r="AS57" t="s">
        <v>3</v>
      </c>
      <c r="AT57">
        <v>-0.01</v>
      </c>
      <c r="AU57" t="s">
        <v>3</v>
      </c>
      <c r="AV57">
        <v>1</v>
      </c>
      <c r="AW57">
        <v>2</v>
      </c>
      <c r="AX57">
        <v>86000392</v>
      </c>
      <c r="AY57">
        <v>1</v>
      </c>
      <c r="AZ57">
        <v>6144</v>
      </c>
      <c r="BA57">
        <v>51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f>ROUND(Y57*Source!I52*DO57,7)</f>
        <v>-0.04</v>
      </c>
      <c r="CX57">
        <f>ROUND(Y57*Source!I52,7)</f>
        <v>-0.04</v>
      </c>
      <c r="CY57">
        <f>AB57</f>
        <v>643.29</v>
      </c>
      <c r="CZ57">
        <f>AF57</f>
        <v>643.29</v>
      </c>
      <c r="DA57">
        <f>AJ57</f>
        <v>1</v>
      </c>
      <c r="DB57">
        <f t="shared" si="17"/>
        <v>-6.43</v>
      </c>
      <c r="DC57">
        <f t="shared" si="18"/>
        <v>-7.22</v>
      </c>
      <c r="DD57" t="s">
        <v>3</v>
      </c>
      <c r="DE57" t="s">
        <v>3</v>
      </c>
      <c r="DF57">
        <f>ROUND(ROUND(AE57,2)*CX57,2)</f>
        <v>0</v>
      </c>
      <c r="DG57">
        <f t="shared" si="24"/>
        <v>-25.73</v>
      </c>
      <c r="DH57">
        <f t="shared" si="4"/>
        <v>-28.88</v>
      </c>
      <c r="DI57">
        <f t="shared" si="5"/>
        <v>0</v>
      </c>
      <c r="DJ57">
        <f>DG57+DH57</f>
        <v>-54.61</v>
      </c>
      <c r="DK57">
        <v>1</v>
      </c>
      <c r="DL57" t="s">
        <v>600</v>
      </c>
      <c r="DM57">
        <v>4</v>
      </c>
      <c r="DN57" t="s">
        <v>541</v>
      </c>
      <c r="DO57">
        <v>1</v>
      </c>
    </row>
    <row r="58" spans="1:119" x14ac:dyDescent="0.2">
      <c r="A58">
        <f>ROW(Source!A52)</f>
        <v>52</v>
      </c>
      <c r="B58">
        <v>85997836</v>
      </c>
      <c r="C58">
        <v>86000378</v>
      </c>
      <c r="D58">
        <v>84239073</v>
      </c>
      <c r="E58">
        <v>1</v>
      </c>
      <c r="F58">
        <v>1</v>
      </c>
      <c r="G58">
        <v>1</v>
      </c>
      <c r="H58">
        <v>3</v>
      </c>
      <c r="I58" t="s">
        <v>562</v>
      </c>
      <c r="J58" t="s">
        <v>563</v>
      </c>
      <c r="K58" t="s">
        <v>564</v>
      </c>
      <c r="L58">
        <v>1301</v>
      </c>
      <c r="N58">
        <v>1003</v>
      </c>
      <c r="O58" t="s">
        <v>364</v>
      </c>
      <c r="P58" t="s">
        <v>364</v>
      </c>
      <c r="Q58">
        <v>1</v>
      </c>
      <c r="W58">
        <v>0</v>
      </c>
      <c r="X58">
        <v>-1499427467</v>
      </c>
      <c r="Y58">
        <f t="shared" si="16"/>
        <v>13.33</v>
      </c>
      <c r="AA58">
        <v>5.17</v>
      </c>
      <c r="AB58">
        <v>0</v>
      </c>
      <c r="AC58">
        <v>0</v>
      </c>
      <c r="AD58">
        <v>0</v>
      </c>
      <c r="AE58">
        <v>5.87</v>
      </c>
      <c r="AF58">
        <v>0</v>
      </c>
      <c r="AG58">
        <v>0</v>
      </c>
      <c r="AH58">
        <v>0</v>
      </c>
      <c r="AI58">
        <v>0.88</v>
      </c>
      <c r="AJ58">
        <v>1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13.33</v>
      </c>
      <c r="AU58" t="s">
        <v>3</v>
      </c>
      <c r="AV58">
        <v>0</v>
      </c>
      <c r="AW58">
        <v>2</v>
      </c>
      <c r="AX58">
        <v>86000393</v>
      </c>
      <c r="AY58">
        <v>1</v>
      </c>
      <c r="AZ58">
        <v>0</v>
      </c>
      <c r="BA58">
        <v>52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78.247100000000003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78.247100000000003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v>0</v>
      </c>
      <c r="CX58">
        <f>ROUND(Y58*Source!I52,7)</f>
        <v>53.32</v>
      </c>
      <c r="CY58">
        <f t="shared" ref="CY58:CY63" si="27">AA58</f>
        <v>5.17</v>
      </c>
      <c r="CZ58">
        <f t="shared" ref="CZ58:CZ63" si="28">AE58</f>
        <v>5.87</v>
      </c>
      <c r="DA58">
        <f t="shared" ref="DA58:DA63" si="29">AI58</f>
        <v>0.88</v>
      </c>
      <c r="DB58">
        <f t="shared" si="17"/>
        <v>78.25</v>
      </c>
      <c r="DC58">
        <f t="shared" si="18"/>
        <v>0</v>
      </c>
      <c r="DD58" t="s">
        <v>3</v>
      </c>
      <c r="DE58" t="s">
        <v>3</v>
      </c>
      <c r="DF58">
        <f>ROUND(ROUND(AE58*AI58,2)*CX58,2)</f>
        <v>275.66000000000003</v>
      </c>
      <c r="DG58">
        <f t="shared" si="24"/>
        <v>0</v>
      </c>
      <c r="DH58">
        <f t="shared" si="4"/>
        <v>0</v>
      </c>
      <c r="DI58">
        <f t="shared" si="5"/>
        <v>0</v>
      </c>
      <c r="DJ58">
        <f t="shared" ref="DJ58:DJ63" si="30">DF58</f>
        <v>275.66000000000003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ROW(Source!A52)</f>
        <v>52</v>
      </c>
      <c r="B59">
        <v>85997836</v>
      </c>
      <c r="C59">
        <v>86000378</v>
      </c>
      <c r="D59">
        <v>84239087</v>
      </c>
      <c r="E59">
        <v>1</v>
      </c>
      <c r="F59">
        <v>1</v>
      </c>
      <c r="G59">
        <v>1</v>
      </c>
      <c r="H59">
        <v>3</v>
      </c>
      <c r="I59" t="s">
        <v>601</v>
      </c>
      <c r="J59" t="s">
        <v>602</v>
      </c>
      <c r="K59" t="s">
        <v>603</v>
      </c>
      <c r="L59">
        <v>1302</v>
      </c>
      <c r="N59">
        <v>1003</v>
      </c>
      <c r="O59" t="s">
        <v>604</v>
      </c>
      <c r="P59" t="s">
        <v>604</v>
      </c>
      <c r="Q59">
        <v>10</v>
      </c>
      <c r="W59">
        <v>0</v>
      </c>
      <c r="X59">
        <v>530731316</v>
      </c>
      <c r="Y59">
        <f t="shared" si="16"/>
        <v>0.5</v>
      </c>
      <c r="AA59">
        <v>57.7</v>
      </c>
      <c r="AB59">
        <v>0</v>
      </c>
      <c r="AC59">
        <v>0</v>
      </c>
      <c r="AD59">
        <v>0</v>
      </c>
      <c r="AE59">
        <v>37.71</v>
      </c>
      <c r="AF59">
        <v>0</v>
      </c>
      <c r="AG59">
        <v>0</v>
      </c>
      <c r="AH59">
        <v>0</v>
      </c>
      <c r="AI59">
        <v>1.53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0.5</v>
      </c>
      <c r="AU59" t="s">
        <v>3</v>
      </c>
      <c r="AV59">
        <v>0</v>
      </c>
      <c r="AW59">
        <v>2</v>
      </c>
      <c r="AX59">
        <v>86000394</v>
      </c>
      <c r="AY59">
        <v>1</v>
      </c>
      <c r="AZ59">
        <v>0</v>
      </c>
      <c r="BA59">
        <v>53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18.855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1</v>
      </c>
      <c r="BQ59">
        <v>18.855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1</v>
      </c>
      <c r="CV59">
        <v>0</v>
      </c>
      <c r="CW59">
        <v>0</v>
      </c>
      <c r="CX59">
        <f>ROUND(Y59*Source!I52,7)</f>
        <v>2</v>
      </c>
      <c r="CY59">
        <f t="shared" si="27"/>
        <v>57.7</v>
      </c>
      <c r="CZ59">
        <f t="shared" si="28"/>
        <v>37.71</v>
      </c>
      <c r="DA59">
        <f t="shared" si="29"/>
        <v>1.53</v>
      </c>
      <c r="DB59">
        <f t="shared" si="17"/>
        <v>18.86</v>
      </c>
      <c r="DC59">
        <f t="shared" si="18"/>
        <v>0</v>
      </c>
      <c r="DD59" t="s">
        <v>3</v>
      </c>
      <c r="DE59" t="s">
        <v>3</v>
      </c>
      <c r="DF59">
        <f>ROUND(ROUND(AE59*AI59,2)*CX59,2)</f>
        <v>115.4</v>
      </c>
      <c r="DG59">
        <f t="shared" si="24"/>
        <v>0</v>
      </c>
      <c r="DH59">
        <f t="shared" si="4"/>
        <v>0</v>
      </c>
      <c r="DI59">
        <f t="shared" si="5"/>
        <v>0</v>
      </c>
      <c r="DJ59">
        <f t="shared" si="30"/>
        <v>115.4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ROW(Source!A52)</f>
        <v>52</v>
      </c>
      <c r="B60">
        <v>85997836</v>
      </c>
      <c r="C60">
        <v>86000378</v>
      </c>
      <c r="D60">
        <v>84257608</v>
      </c>
      <c r="E60">
        <v>1</v>
      </c>
      <c r="F60">
        <v>1</v>
      </c>
      <c r="G60">
        <v>1</v>
      </c>
      <c r="H60">
        <v>3</v>
      </c>
      <c r="I60" t="s">
        <v>577</v>
      </c>
      <c r="J60" t="s">
        <v>578</v>
      </c>
      <c r="K60" t="s">
        <v>579</v>
      </c>
      <c r="L60">
        <v>1346</v>
      </c>
      <c r="N60">
        <v>1009</v>
      </c>
      <c r="O60" t="s">
        <v>170</v>
      </c>
      <c r="P60" t="s">
        <v>170</v>
      </c>
      <c r="Q60">
        <v>1</v>
      </c>
      <c r="W60">
        <v>0</v>
      </c>
      <c r="X60">
        <v>291254868</v>
      </c>
      <c r="Y60">
        <f t="shared" si="16"/>
        <v>0.05</v>
      </c>
      <c r="AA60">
        <v>111.83</v>
      </c>
      <c r="AB60">
        <v>0</v>
      </c>
      <c r="AC60">
        <v>0</v>
      </c>
      <c r="AD60">
        <v>0</v>
      </c>
      <c r="AE60">
        <v>79.88</v>
      </c>
      <c r="AF60">
        <v>0</v>
      </c>
      <c r="AG60">
        <v>0</v>
      </c>
      <c r="AH60">
        <v>0</v>
      </c>
      <c r="AI60">
        <v>1.4</v>
      </c>
      <c r="AJ60">
        <v>1</v>
      </c>
      <c r="AK60">
        <v>1</v>
      </c>
      <c r="AL60">
        <v>1</v>
      </c>
      <c r="AM60">
        <v>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3</v>
      </c>
      <c r="AT60">
        <v>0.05</v>
      </c>
      <c r="AU60" t="s">
        <v>3</v>
      </c>
      <c r="AV60">
        <v>0</v>
      </c>
      <c r="AW60">
        <v>2</v>
      </c>
      <c r="AX60">
        <v>86000395</v>
      </c>
      <c r="AY60">
        <v>1</v>
      </c>
      <c r="AZ60">
        <v>0</v>
      </c>
      <c r="BA60">
        <v>54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3.9939999999999998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1</v>
      </c>
      <c r="BQ60">
        <v>3.9939999999999998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1</v>
      </c>
      <c r="CV60">
        <v>0</v>
      </c>
      <c r="CW60">
        <v>0</v>
      </c>
      <c r="CX60">
        <f>ROUND(Y60*Source!I52,7)</f>
        <v>0.2</v>
      </c>
      <c r="CY60">
        <f t="shared" si="27"/>
        <v>111.83</v>
      </c>
      <c r="CZ60">
        <f t="shared" si="28"/>
        <v>79.88</v>
      </c>
      <c r="DA60">
        <f t="shared" si="29"/>
        <v>1.4</v>
      </c>
      <c r="DB60">
        <f t="shared" si="17"/>
        <v>3.99</v>
      </c>
      <c r="DC60">
        <f t="shared" si="18"/>
        <v>0</v>
      </c>
      <c r="DD60" t="s">
        <v>3</v>
      </c>
      <c r="DE60" t="s">
        <v>3</v>
      </c>
      <c r="DF60">
        <f>ROUND(ROUND(AE60*AI60,2)*CX60,2)</f>
        <v>22.37</v>
      </c>
      <c r="DG60">
        <f t="shared" si="24"/>
        <v>0</v>
      </c>
      <c r="DH60">
        <f t="shared" si="4"/>
        <v>0</v>
      </c>
      <c r="DI60">
        <f t="shared" si="5"/>
        <v>0</v>
      </c>
      <c r="DJ60">
        <f t="shared" si="30"/>
        <v>22.37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ROW(Source!A52)</f>
        <v>52</v>
      </c>
      <c r="B61">
        <v>85997836</v>
      </c>
      <c r="C61">
        <v>86000378</v>
      </c>
      <c r="D61">
        <v>84270844</v>
      </c>
      <c r="E61">
        <v>1</v>
      </c>
      <c r="F61">
        <v>1</v>
      </c>
      <c r="G61">
        <v>1</v>
      </c>
      <c r="H61">
        <v>3</v>
      </c>
      <c r="I61" t="s">
        <v>112</v>
      </c>
      <c r="J61" t="s">
        <v>115</v>
      </c>
      <c r="K61" t="s">
        <v>113</v>
      </c>
      <c r="L61">
        <v>1477</v>
      </c>
      <c r="N61">
        <v>1013</v>
      </c>
      <c r="O61" t="s">
        <v>114</v>
      </c>
      <c r="P61" t="s">
        <v>116</v>
      </c>
      <c r="Q61">
        <v>1</v>
      </c>
      <c r="W61">
        <v>0</v>
      </c>
      <c r="X61">
        <v>-291009528</v>
      </c>
      <c r="Y61">
        <f t="shared" si="16"/>
        <v>0.05</v>
      </c>
      <c r="AA61">
        <v>45368.9</v>
      </c>
      <c r="AB61">
        <v>0</v>
      </c>
      <c r="AC61">
        <v>0</v>
      </c>
      <c r="AD61">
        <v>0</v>
      </c>
      <c r="AE61">
        <v>45368.9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0</v>
      </c>
      <c r="AR61">
        <v>0</v>
      </c>
      <c r="AS61" t="s">
        <v>3</v>
      </c>
      <c r="AT61">
        <v>0.05</v>
      </c>
      <c r="AU61" t="s">
        <v>3</v>
      </c>
      <c r="AV61">
        <v>0</v>
      </c>
      <c r="AW61">
        <v>1</v>
      </c>
      <c r="AX61">
        <v>-1</v>
      </c>
      <c r="AY61">
        <v>0</v>
      </c>
      <c r="AZ61">
        <v>0</v>
      </c>
      <c r="BA61" t="s">
        <v>3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ROUND(Y61*Source!I52,7)</f>
        <v>0.2</v>
      </c>
      <c r="CY61">
        <f t="shared" si="27"/>
        <v>45368.9</v>
      </c>
      <c r="CZ61">
        <f t="shared" si="28"/>
        <v>45368.9</v>
      </c>
      <c r="DA61">
        <f t="shared" si="29"/>
        <v>1</v>
      </c>
      <c r="DB61">
        <f t="shared" si="17"/>
        <v>2268.4499999999998</v>
      </c>
      <c r="DC61">
        <f t="shared" si="18"/>
        <v>0</v>
      </c>
      <c r="DD61" t="s">
        <v>3</v>
      </c>
      <c r="DE61" t="s">
        <v>3</v>
      </c>
      <c r="DF61">
        <f t="shared" ref="DF61:DF66" si="31">ROUND(ROUND(AE61,2)*CX61,2)</f>
        <v>9073.7800000000007</v>
      </c>
      <c r="DG61">
        <f t="shared" si="24"/>
        <v>0</v>
      </c>
      <c r="DH61">
        <f t="shared" si="4"/>
        <v>0</v>
      </c>
      <c r="DI61">
        <f t="shared" si="5"/>
        <v>0</v>
      </c>
      <c r="DJ61">
        <f t="shared" si="30"/>
        <v>9073.7800000000007</v>
      </c>
      <c r="DK61">
        <v>1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ROW(Source!A52)</f>
        <v>52</v>
      </c>
      <c r="B62">
        <v>85997836</v>
      </c>
      <c r="C62">
        <v>86000378</v>
      </c>
      <c r="D62">
        <v>84270845</v>
      </c>
      <c r="E62">
        <v>1</v>
      </c>
      <c r="F62">
        <v>1</v>
      </c>
      <c r="G62">
        <v>1</v>
      </c>
      <c r="H62">
        <v>3</v>
      </c>
      <c r="I62" t="s">
        <v>118</v>
      </c>
      <c r="J62" t="s">
        <v>120</v>
      </c>
      <c r="K62" t="s">
        <v>119</v>
      </c>
      <c r="L62">
        <v>1477</v>
      </c>
      <c r="N62">
        <v>1013</v>
      </c>
      <c r="O62" t="s">
        <v>114</v>
      </c>
      <c r="P62" t="s">
        <v>116</v>
      </c>
      <c r="Q62">
        <v>1</v>
      </c>
      <c r="W62">
        <v>0</v>
      </c>
      <c r="X62">
        <v>1901007357</v>
      </c>
      <c r="Y62">
        <f t="shared" ref="Y62:Y93" si="32">AT62</f>
        <v>0.05</v>
      </c>
      <c r="AA62">
        <v>70449.91</v>
      </c>
      <c r="AB62">
        <v>0</v>
      </c>
      <c r="AC62">
        <v>0</v>
      </c>
      <c r="AD62">
        <v>0</v>
      </c>
      <c r="AE62">
        <v>70449.91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-2</v>
      </c>
      <c r="AN62">
        <v>0</v>
      </c>
      <c r="AO62">
        <v>0</v>
      </c>
      <c r="AP62">
        <v>1</v>
      </c>
      <c r="AQ62">
        <v>0</v>
      </c>
      <c r="AR62">
        <v>0</v>
      </c>
      <c r="AS62" t="s">
        <v>3</v>
      </c>
      <c r="AT62">
        <v>0.05</v>
      </c>
      <c r="AU62" t="s">
        <v>3</v>
      </c>
      <c r="AV62">
        <v>0</v>
      </c>
      <c r="AW62">
        <v>1</v>
      </c>
      <c r="AX62">
        <v>-1</v>
      </c>
      <c r="AY62">
        <v>0</v>
      </c>
      <c r="AZ62">
        <v>0</v>
      </c>
      <c r="BA62" t="s">
        <v>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ROUND(Y62*Source!I52,7)</f>
        <v>0.2</v>
      </c>
      <c r="CY62">
        <f t="shared" si="27"/>
        <v>70449.91</v>
      </c>
      <c r="CZ62">
        <f t="shared" si="28"/>
        <v>70449.91</v>
      </c>
      <c r="DA62">
        <f t="shared" si="29"/>
        <v>1</v>
      </c>
      <c r="DB62">
        <f t="shared" ref="DB62:DB93" si="33">ROUND(ROUND(AT62*CZ62,2),6)</f>
        <v>3522.5</v>
      </c>
      <c r="DC62">
        <f t="shared" ref="DC62:DC93" si="34">ROUND(ROUND(AT62*AG62,2),6)</f>
        <v>0</v>
      </c>
      <c r="DD62" t="s">
        <v>3</v>
      </c>
      <c r="DE62" t="s">
        <v>3</v>
      </c>
      <c r="DF62">
        <f t="shared" si="31"/>
        <v>14089.98</v>
      </c>
      <c r="DG62">
        <f t="shared" si="24"/>
        <v>0</v>
      </c>
      <c r="DH62">
        <f t="shared" si="4"/>
        <v>0</v>
      </c>
      <c r="DI62">
        <f t="shared" si="5"/>
        <v>0</v>
      </c>
      <c r="DJ62">
        <f t="shared" si="30"/>
        <v>14089.98</v>
      </c>
      <c r="DK62">
        <v>1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ROW(Source!A52)</f>
        <v>52</v>
      </c>
      <c r="B63">
        <v>85997836</v>
      </c>
      <c r="C63">
        <v>86000378</v>
      </c>
      <c r="D63">
        <v>84170596</v>
      </c>
      <c r="E63">
        <v>117</v>
      </c>
      <c r="F63">
        <v>1</v>
      </c>
      <c r="G63">
        <v>1</v>
      </c>
      <c r="H63">
        <v>3</v>
      </c>
      <c r="I63" t="s">
        <v>55</v>
      </c>
      <c r="J63" t="s">
        <v>3</v>
      </c>
      <c r="K63" t="s">
        <v>56</v>
      </c>
      <c r="L63">
        <v>3277935</v>
      </c>
      <c r="N63">
        <v>1013</v>
      </c>
      <c r="O63" t="s">
        <v>57</v>
      </c>
      <c r="P63" t="s">
        <v>57</v>
      </c>
      <c r="Q63">
        <v>1</v>
      </c>
      <c r="W63">
        <v>0</v>
      </c>
      <c r="X63">
        <v>274903907</v>
      </c>
      <c r="Y63">
        <f t="shared" si="32"/>
        <v>2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0</v>
      </c>
      <c r="AQ63">
        <v>0</v>
      </c>
      <c r="AR63">
        <v>0</v>
      </c>
      <c r="AS63" t="s">
        <v>3</v>
      </c>
      <c r="AT63">
        <v>2</v>
      </c>
      <c r="AU63" t="s">
        <v>3</v>
      </c>
      <c r="AV63">
        <v>0</v>
      </c>
      <c r="AW63">
        <v>2</v>
      </c>
      <c r="AX63">
        <v>86000396</v>
      </c>
      <c r="AY63">
        <v>1</v>
      </c>
      <c r="AZ63">
        <v>0</v>
      </c>
      <c r="BA63">
        <v>55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V63">
        <v>0</v>
      </c>
      <c r="CW63">
        <v>0</v>
      </c>
      <c r="CX63">
        <f>ROUND(Y63*Source!I52,7)</f>
        <v>8</v>
      </c>
      <c r="CY63">
        <f t="shared" si="27"/>
        <v>0</v>
      </c>
      <c r="CZ63">
        <f t="shared" si="28"/>
        <v>0</v>
      </c>
      <c r="DA63">
        <f t="shared" si="29"/>
        <v>1</v>
      </c>
      <c r="DB63">
        <f t="shared" si="33"/>
        <v>0</v>
      </c>
      <c r="DC63">
        <f t="shared" si="34"/>
        <v>0</v>
      </c>
      <c r="DD63" t="s">
        <v>3</v>
      </c>
      <c r="DE63" t="s">
        <v>3</v>
      </c>
      <c r="DF63">
        <f t="shared" si="31"/>
        <v>0</v>
      </c>
      <c r="DG63">
        <f t="shared" si="24"/>
        <v>0</v>
      </c>
      <c r="DH63">
        <f t="shared" si="4"/>
        <v>0</v>
      </c>
      <c r="DI63">
        <f t="shared" si="5"/>
        <v>0</v>
      </c>
      <c r="DJ63">
        <f t="shared" si="30"/>
        <v>0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ROW(Source!A58)</f>
        <v>58</v>
      </c>
      <c r="B64">
        <v>85997836</v>
      </c>
      <c r="C64">
        <v>86000354</v>
      </c>
      <c r="D64">
        <v>37080781</v>
      </c>
      <c r="E64">
        <v>117</v>
      </c>
      <c r="F64">
        <v>1</v>
      </c>
      <c r="G64">
        <v>1</v>
      </c>
      <c r="H64">
        <v>1</v>
      </c>
      <c r="I64" t="s">
        <v>605</v>
      </c>
      <c r="J64" t="s">
        <v>3</v>
      </c>
      <c r="K64" t="s">
        <v>606</v>
      </c>
      <c r="L64">
        <v>1191</v>
      </c>
      <c r="N64">
        <v>1013</v>
      </c>
      <c r="O64" t="s">
        <v>541</v>
      </c>
      <c r="P64" t="s">
        <v>541</v>
      </c>
      <c r="Q64">
        <v>1</v>
      </c>
      <c r="W64">
        <v>0</v>
      </c>
      <c r="X64">
        <v>1522950421</v>
      </c>
      <c r="Y64">
        <f t="shared" si="32"/>
        <v>30.48</v>
      </c>
      <c r="AA64">
        <v>0</v>
      </c>
      <c r="AB64">
        <v>0</v>
      </c>
      <c r="AC64">
        <v>0</v>
      </c>
      <c r="AD64">
        <v>743.6</v>
      </c>
      <c r="AE64">
        <v>0</v>
      </c>
      <c r="AF64">
        <v>0</v>
      </c>
      <c r="AG64">
        <v>0</v>
      </c>
      <c r="AH64">
        <v>743.6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30.48</v>
      </c>
      <c r="AU64" t="s">
        <v>3</v>
      </c>
      <c r="AV64">
        <v>1</v>
      </c>
      <c r="AW64">
        <v>2</v>
      </c>
      <c r="AX64">
        <v>86000365</v>
      </c>
      <c r="AY64">
        <v>1</v>
      </c>
      <c r="AZ64">
        <v>0</v>
      </c>
      <c r="BA64">
        <v>56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22664.928</v>
      </c>
      <c r="BN64">
        <v>30.48</v>
      </c>
      <c r="BO64">
        <v>0</v>
      </c>
      <c r="BP64">
        <v>1</v>
      </c>
      <c r="BQ64">
        <v>0</v>
      </c>
      <c r="BR64">
        <v>0</v>
      </c>
      <c r="BS64">
        <v>0</v>
      </c>
      <c r="BT64">
        <v>22664.928</v>
      </c>
      <c r="BU64">
        <v>30.48</v>
      </c>
      <c r="BV64">
        <v>0</v>
      </c>
      <c r="BW64">
        <v>1</v>
      </c>
      <c r="CU64">
        <f>ROUND(AT64*Source!I58*AH64*AL64,2)</f>
        <v>12465.71</v>
      </c>
      <c r="CV64">
        <f>ROUND(Y64*Source!I58,7)</f>
        <v>16.763999999999999</v>
      </c>
      <c r="CW64">
        <v>0</v>
      </c>
      <c r="CX64">
        <f>ROUND(Y64*Source!I58,7)</f>
        <v>16.763999999999999</v>
      </c>
      <c r="CY64">
        <f>AD64</f>
        <v>743.6</v>
      </c>
      <c r="CZ64">
        <f>AH64</f>
        <v>743.6</v>
      </c>
      <c r="DA64">
        <f>AL64</f>
        <v>1</v>
      </c>
      <c r="DB64">
        <f t="shared" si="33"/>
        <v>22664.93</v>
      </c>
      <c r="DC64">
        <f t="shared" si="34"/>
        <v>0</v>
      </c>
      <c r="DD64" t="s">
        <v>3</v>
      </c>
      <c r="DE64" t="s">
        <v>3</v>
      </c>
      <c r="DF64">
        <f t="shared" si="31"/>
        <v>0</v>
      </c>
      <c r="DG64">
        <f t="shared" si="24"/>
        <v>0</v>
      </c>
      <c r="DH64">
        <f t="shared" si="4"/>
        <v>0</v>
      </c>
      <c r="DI64">
        <f t="shared" si="5"/>
        <v>12465.71</v>
      </c>
      <c r="DJ64">
        <f>DI64</f>
        <v>12465.71</v>
      </c>
      <c r="DK64">
        <v>1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ROW(Source!A58)</f>
        <v>58</v>
      </c>
      <c r="B65">
        <v>85997836</v>
      </c>
      <c r="C65">
        <v>86000354</v>
      </c>
      <c r="D65">
        <v>37064876</v>
      </c>
      <c r="E65">
        <v>117</v>
      </c>
      <c r="F65">
        <v>1</v>
      </c>
      <c r="G65">
        <v>1</v>
      </c>
      <c r="H65">
        <v>1</v>
      </c>
      <c r="I65" t="s">
        <v>542</v>
      </c>
      <c r="J65" t="s">
        <v>3</v>
      </c>
      <c r="K65" t="s">
        <v>543</v>
      </c>
      <c r="L65">
        <v>1191</v>
      </c>
      <c r="N65">
        <v>1013</v>
      </c>
      <c r="O65" t="s">
        <v>541</v>
      </c>
      <c r="P65" t="s">
        <v>541</v>
      </c>
      <c r="Q65">
        <v>1</v>
      </c>
      <c r="W65">
        <v>0</v>
      </c>
      <c r="X65">
        <v>-1417349443</v>
      </c>
      <c r="Y65">
        <f t="shared" si="32"/>
        <v>0.05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M65">
        <v>-2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0.05</v>
      </c>
      <c r="AU65" t="s">
        <v>3</v>
      </c>
      <c r="AV65">
        <v>2</v>
      </c>
      <c r="AW65">
        <v>2</v>
      </c>
      <c r="AX65">
        <v>86000366</v>
      </c>
      <c r="AY65">
        <v>1</v>
      </c>
      <c r="AZ65">
        <v>0</v>
      </c>
      <c r="BA65">
        <v>57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ROUND(Y65*Source!I58,7)</f>
        <v>2.75E-2</v>
      </c>
      <c r="CY65">
        <f>AD65</f>
        <v>0</v>
      </c>
      <c r="CZ65">
        <f>AH65</f>
        <v>0</v>
      </c>
      <c r="DA65">
        <f>AL65</f>
        <v>1</v>
      </c>
      <c r="DB65">
        <f t="shared" si="33"/>
        <v>0</v>
      </c>
      <c r="DC65">
        <f t="shared" si="34"/>
        <v>0</v>
      </c>
      <c r="DD65" t="s">
        <v>3</v>
      </c>
      <c r="DE65" t="s">
        <v>3</v>
      </c>
      <c r="DF65">
        <f t="shared" si="31"/>
        <v>0</v>
      </c>
      <c r="DG65">
        <f t="shared" si="24"/>
        <v>0</v>
      </c>
      <c r="DH65">
        <f t="shared" ref="DH65:DH128" si="35">ROUND(ROUND(AG65,2)*CX65,2)</f>
        <v>0</v>
      </c>
      <c r="DI65">
        <f t="shared" ref="DI65:DI128" si="36">ROUND(ROUND(AH65,2)*CX65,2)</f>
        <v>0</v>
      </c>
      <c r="DJ65">
        <f>DI65</f>
        <v>0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 x14ac:dyDescent="0.2">
      <c r="A66">
        <f>ROW(Source!A58)</f>
        <v>58</v>
      </c>
      <c r="B66">
        <v>85997836</v>
      </c>
      <c r="C66">
        <v>86000354</v>
      </c>
      <c r="D66">
        <v>84171251</v>
      </c>
      <c r="E66">
        <v>1</v>
      </c>
      <c r="F66">
        <v>1</v>
      </c>
      <c r="G66">
        <v>1</v>
      </c>
      <c r="H66">
        <v>2</v>
      </c>
      <c r="I66" t="s">
        <v>123</v>
      </c>
      <c r="J66" t="s">
        <v>125</v>
      </c>
      <c r="K66" t="s">
        <v>124</v>
      </c>
      <c r="L66">
        <v>1368</v>
      </c>
      <c r="N66">
        <v>1011</v>
      </c>
      <c r="O66" t="s">
        <v>29</v>
      </c>
      <c r="P66" t="s">
        <v>29</v>
      </c>
      <c r="Q66">
        <v>1</v>
      </c>
      <c r="W66">
        <v>0</v>
      </c>
      <c r="X66">
        <v>639918019</v>
      </c>
      <c r="Y66">
        <f t="shared" si="32"/>
        <v>0.03</v>
      </c>
      <c r="AA66">
        <v>0</v>
      </c>
      <c r="AB66">
        <v>1629.55</v>
      </c>
      <c r="AC66">
        <v>969.91</v>
      </c>
      <c r="AD66">
        <v>0</v>
      </c>
      <c r="AE66">
        <v>0</v>
      </c>
      <c r="AF66">
        <v>1629.55</v>
      </c>
      <c r="AG66">
        <v>969.91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-2</v>
      </c>
      <c r="AN66">
        <v>0</v>
      </c>
      <c r="AO66">
        <v>0</v>
      </c>
      <c r="AP66">
        <v>1</v>
      </c>
      <c r="AQ66">
        <v>0</v>
      </c>
      <c r="AR66">
        <v>0</v>
      </c>
      <c r="AS66" t="s">
        <v>3</v>
      </c>
      <c r="AT66">
        <v>0.03</v>
      </c>
      <c r="AU66" t="s">
        <v>3</v>
      </c>
      <c r="AV66">
        <v>1</v>
      </c>
      <c r="AW66">
        <v>2</v>
      </c>
      <c r="AX66">
        <v>86000367</v>
      </c>
      <c r="AY66">
        <v>1</v>
      </c>
      <c r="AZ66">
        <v>0</v>
      </c>
      <c r="BA66">
        <v>58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V66">
        <v>0</v>
      </c>
      <c r="CW66">
        <f>ROUND(Y66*Source!I58*DO66,7)</f>
        <v>1.6500000000000001E-2</v>
      </c>
      <c r="CX66">
        <f>ROUND(Y66*Source!I58,7)</f>
        <v>1.6500000000000001E-2</v>
      </c>
      <c r="CY66">
        <f>AB66</f>
        <v>1629.55</v>
      </c>
      <c r="CZ66">
        <f>AF66</f>
        <v>1629.55</v>
      </c>
      <c r="DA66">
        <f>AJ66</f>
        <v>1</v>
      </c>
      <c r="DB66">
        <f t="shared" si="33"/>
        <v>48.89</v>
      </c>
      <c r="DC66">
        <f t="shared" si="34"/>
        <v>29.1</v>
      </c>
      <c r="DD66" t="s">
        <v>3</v>
      </c>
      <c r="DE66" t="s">
        <v>3</v>
      </c>
      <c r="DF66">
        <f t="shared" si="31"/>
        <v>0</v>
      </c>
      <c r="DG66">
        <f t="shared" si="24"/>
        <v>26.89</v>
      </c>
      <c r="DH66">
        <f t="shared" si="35"/>
        <v>16</v>
      </c>
      <c r="DI66">
        <f t="shared" si="36"/>
        <v>0</v>
      </c>
      <c r="DJ66">
        <f>DG66+DH66</f>
        <v>42.89</v>
      </c>
      <c r="DK66">
        <v>1</v>
      </c>
      <c r="DL66" t="s">
        <v>599</v>
      </c>
      <c r="DM66">
        <v>6</v>
      </c>
      <c r="DN66" t="s">
        <v>541</v>
      </c>
      <c r="DO66">
        <v>1</v>
      </c>
    </row>
    <row r="67" spans="1:119" x14ac:dyDescent="0.2">
      <c r="A67">
        <f>ROW(Source!A58)</f>
        <v>58</v>
      </c>
      <c r="B67">
        <v>85997836</v>
      </c>
      <c r="C67">
        <v>86000354</v>
      </c>
      <c r="D67">
        <v>84239073</v>
      </c>
      <c r="E67">
        <v>1</v>
      </c>
      <c r="F67">
        <v>1</v>
      </c>
      <c r="G67">
        <v>1</v>
      </c>
      <c r="H67">
        <v>3</v>
      </c>
      <c r="I67" t="s">
        <v>562</v>
      </c>
      <c r="J67" t="s">
        <v>563</v>
      </c>
      <c r="K67" t="s">
        <v>564</v>
      </c>
      <c r="L67">
        <v>1301</v>
      </c>
      <c r="N67">
        <v>1003</v>
      </c>
      <c r="O67" t="s">
        <v>364</v>
      </c>
      <c r="P67" t="s">
        <v>364</v>
      </c>
      <c r="Q67">
        <v>1</v>
      </c>
      <c r="W67">
        <v>0</v>
      </c>
      <c r="X67">
        <v>-1499427467</v>
      </c>
      <c r="Y67">
        <f t="shared" si="32"/>
        <v>35</v>
      </c>
      <c r="AA67">
        <v>5.17</v>
      </c>
      <c r="AB67">
        <v>0</v>
      </c>
      <c r="AC67">
        <v>0</v>
      </c>
      <c r="AD67">
        <v>0</v>
      </c>
      <c r="AE67">
        <v>5.87</v>
      </c>
      <c r="AF67">
        <v>0</v>
      </c>
      <c r="AG67">
        <v>0</v>
      </c>
      <c r="AH67">
        <v>0</v>
      </c>
      <c r="AI67">
        <v>0.88</v>
      </c>
      <c r="AJ67">
        <v>1</v>
      </c>
      <c r="AK67">
        <v>1</v>
      </c>
      <c r="AL67">
        <v>1</v>
      </c>
      <c r="AM67">
        <v>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35</v>
      </c>
      <c r="AU67" t="s">
        <v>3</v>
      </c>
      <c r="AV67">
        <v>0</v>
      </c>
      <c r="AW67">
        <v>2</v>
      </c>
      <c r="AX67">
        <v>86000369</v>
      </c>
      <c r="AY67">
        <v>1</v>
      </c>
      <c r="AZ67">
        <v>0</v>
      </c>
      <c r="BA67">
        <v>60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205.45000000000002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205.45000000000002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CV67">
        <v>0</v>
      </c>
      <c r="CW67">
        <v>0</v>
      </c>
      <c r="CX67">
        <f>ROUND(Y67*Source!I58,7)</f>
        <v>19.25</v>
      </c>
      <c r="CY67">
        <f t="shared" ref="CY67:CY73" si="37">AA67</f>
        <v>5.17</v>
      </c>
      <c r="CZ67">
        <f t="shared" ref="CZ67:CZ73" si="38">AE67</f>
        <v>5.87</v>
      </c>
      <c r="DA67">
        <f t="shared" ref="DA67:DA73" si="39">AI67</f>
        <v>0.88</v>
      </c>
      <c r="DB67">
        <f t="shared" si="33"/>
        <v>205.45</v>
      </c>
      <c r="DC67">
        <f t="shared" si="34"/>
        <v>0</v>
      </c>
      <c r="DD67" t="s">
        <v>3</v>
      </c>
      <c r="DE67" t="s">
        <v>3</v>
      </c>
      <c r="DF67">
        <f t="shared" ref="DF67:DF72" si="40">ROUND(ROUND(AE67*AI67,2)*CX67,2)</f>
        <v>99.52</v>
      </c>
      <c r="DG67">
        <f t="shared" si="24"/>
        <v>0</v>
      </c>
      <c r="DH67">
        <f t="shared" si="35"/>
        <v>0</v>
      </c>
      <c r="DI67">
        <f t="shared" si="36"/>
        <v>0</v>
      </c>
      <c r="DJ67">
        <f t="shared" ref="DJ67:DJ73" si="41">DF67</f>
        <v>99.52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ROW(Source!A58)</f>
        <v>58</v>
      </c>
      <c r="B68">
        <v>85997836</v>
      </c>
      <c r="C68">
        <v>86000354</v>
      </c>
      <c r="D68">
        <v>84240416</v>
      </c>
      <c r="E68">
        <v>1</v>
      </c>
      <c r="F68">
        <v>1</v>
      </c>
      <c r="G68">
        <v>1</v>
      </c>
      <c r="H68">
        <v>3</v>
      </c>
      <c r="I68" t="s">
        <v>301</v>
      </c>
      <c r="J68" t="s">
        <v>303</v>
      </c>
      <c r="K68" t="s">
        <v>302</v>
      </c>
      <c r="L68">
        <v>1346</v>
      </c>
      <c r="N68">
        <v>1009</v>
      </c>
      <c r="O68" t="s">
        <v>170</v>
      </c>
      <c r="P68" t="s">
        <v>170</v>
      </c>
      <c r="Q68">
        <v>1</v>
      </c>
      <c r="W68">
        <v>0</v>
      </c>
      <c r="X68">
        <v>-1131385474</v>
      </c>
      <c r="Y68">
        <f t="shared" si="32"/>
        <v>1.5</v>
      </c>
      <c r="AA68">
        <v>190.67</v>
      </c>
      <c r="AB68">
        <v>0</v>
      </c>
      <c r="AC68">
        <v>0</v>
      </c>
      <c r="AD68">
        <v>0</v>
      </c>
      <c r="AE68">
        <v>174.93</v>
      </c>
      <c r="AF68">
        <v>0</v>
      </c>
      <c r="AG68">
        <v>0</v>
      </c>
      <c r="AH68">
        <v>0</v>
      </c>
      <c r="AI68">
        <v>1.0900000000000001</v>
      </c>
      <c r="AJ68">
        <v>1</v>
      </c>
      <c r="AK68">
        <v>1</v>
      </c>
      <c r="AL68">
        <v>1</v>
      </c>
      <c r="AM68">
        <v>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1.5</v>
      </c>
      <c r="AU68" t="s">
        <v>3</v>
      </c>
      <c r="AV68">
        <v>0</v>
      </c>
      <c r="AW68">
        <v>2</v>
      </c>
      <c r="AX68">
        <v>86000370</v>
      </c>
      <c r="AY68">
        <v>1</v>
      </c>
      <c r="AZ68">
        <v>0</v>
      </c>
      <c r="BA68">
        <v>61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262.39499999999998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262.39499999999998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1</v>
      </c>
      <c r="CV68">
        <v>0</v>
      </c>
      <c r="CW68">
        <v>0</v>
      </c>
      <c r="CX68">
        <f>ROUND(Y68*Source!I58,7)</f>
        <v>0.82499999999999996</v>
      </c>
      <c r="CY68">
        <f t="shared" si="37"/>
        <v>190.67</v>
      </c>
      <c r="CZ68">
        <f t="shared" si="38"/>
        <v>174.93</v>
      </c>
      <c r="DA68">
        <f t="shared" si="39"/>
        <v>1.0900000000000001</v>
      </c>
      <c r="DB68">
        <f t="shared" si="33"/>
        <v>262.39999999999998</v>
      </c>
      <c r="DC68">
        <f t="shared" si="34"/>
        <v>0</v>
      </c>
      <c r="DD68" t="s">
        <v>3</v>
      </c>
      <c r="DE68" t="s">
        <v>3</v>
      </c>
      <c r="DF68">
        <f t="shared" si="40"/>
        <v>157.30000000000001</v>
      </c>
      <c r="DG68">
        <f t="shared" si="24"/>
        <v>0</v>
      </c>
      <c r="DH68">
        <f t="shared" si="35"/>
        <v>0</v>
      </c>
      <c r="DI68">
        <f t="shared" si="36"/>
        <v>0</v>
      </c>
      <c r="DJ68">
        <f t="shared" si="41"/>
        <v>157.30000000000001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ROW(Source!A58)</f>
        <v>58</v>
      </c>
      <c r="B69">
        <v>85997836</v>
      </c>
      <c r="C69">
        <v>86000354</v>
      </c>
      <c r="D69">
        <v>84242262</v>
      </c>
      <c r="E69">
        <v>1</v>
      </c>
      <c r="F69">
        <v>1</v>
      </c>
      <c r="G69">
        <v>1</v>
      </c>
      <c r="H69">
        <v>3</v>
      </c>
      <c r="I69" t="s">
        <v>607</v>
      </c>
      <c r="J69" t="s">
        <v>608</v>
      </c>
      <c r="K69" t="s">
        <v>609</v>
      </c>
      <c r="L69">
        <v>1348</v>
      </c>
      <c r="N69">
        <v>1009</v>
      </c>
      <c r="O69" t="s">
        <v>165</v>
      </c>
      <c r="P69" t="s">
        <v>165</v>
      </c>
      <c r="Q69">
        <v>1000</v>
      </c>
      <c r="W69">
        <v>0</v>
      </c>
      <c r="X69">
        <v>-290124041</v>
      </c>
      <c r="Y69">
        <f t="shared" si="32"/>
        <v>3.15E-3</v>
      </c>
      <c r="AA69">
        <v>6073.58</v>
      </c>
      <c r="AB69">
        <v>0</v>
      </c>
      <c r="AC69">
        <v>0</v>
      </c>
      <c r="AD69">
        <v>0</v>
      </c>
      <c r="AE69">
        <v>4338.2700000000004</v>
      </c>
      <c r="AF69">
        <v>0</v>
      </c>
      <c r="AG69">
        <v>0</v>
      </c>
      <c r="AH69">
        <v>0</v>
      </c>
      <c r="AI69">
        <v>1.4</v>
      </c>
      <c r="AJ69">
        <v>1</v>
      </c>
      <c r="AK69">
        <v>1</v>
      </c>
      <c r="AL69">
        <v>1</v>
      </c>
      <c r="AM69">
        <v>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3</v>
      </c>
      <c r="AT69">
        <v>3.15E-3</v>
      </c>
      <c r="AU69" t="s">
        <v>3</v>
      </c>
      <c r="AV69">
        <v>0</v>
      </c>
      <c r="AW69">
        <v>2</v>
      </c>
      <c r="AX69">
        <v>86000371</v>
      </c>
      <c r="AY69">
        <v>1</v>
      </c>
      <c r="AZ69">
        <v>0</v>
      </c>
      <c r="BA69">
        <v>62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13.665550500000002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1</v>
      </c>
      <c r="BQ69">
        <v>13.665550500000002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1</v>
      </c>
      <c r="CV69">
        <v>0</v>
      </c>
      <c r="CW69">
        <v>0</v>
      </c>
      <c r="CX69">
        <f>ROUND(Y69*Source!I58,7)</f>
        <v>1.7325000000000001E-3</v>
      </c>
      <c r="CY69">
        <f t="shared" si="37"/>
        <v>6073.58</v>
      </c>
      <c r="CZ69">
        <f t="shared" si="38"/>
        <v>4338.2700000000004</v>
      </c>
      <c r="DA69">
        <f t="shared" si="39"/>
        <v>1.4</v>
      </c>
      <c r="DB69">
        <f t="shared" si="33"/>
        <v>13.67</v>
      </c>
      <c r="DC69">
        <f t="shared" si="34"/>
        <v>0</v>
      </c>
      <c r="DD69" t="s">
        <v>3</v>
      </c>
      <c r="DE69" t="s">
        <v>3</v>
      </c>
      <c r="DF69">
        <f t="shared" si="40"/>
        <v>10.52</v>
      </c>
      <c r="DG69">
        <f t="shared" si="24"/>
        <v>0</v>
      </c>
      <c r="DH69">
        <f t="shared" si="35"/>
        <v>0</v>
      </c>
      <c r="DI69">
        <f t="shared" si="36"/>
        <v>0</v>
      </c>
      <c r="DJ69">
        <f t="shared" si="41"/>
        <v>10.52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ROW(Source!A58)</f>
        <v>58</v>
      </c>
      <c r="B70">
        <v>85997836</v>
      </c>
      <c r="C70">
        <v>86000354</v>
      </c>
      <c r="D70">
        <v>84265246</v>
      </c>
      <c r="E70">
        <v>1</v>
      </c>
      <c r="F70">
        <v>1</v>
      </c>
      <c r="G70">
        <v>1</v>
      </c>
      <c r="H70">
        <v>3</v>
      </c>
      <c r="I70" t="s">
        <v>610</v>
      </c>
      <c r="J70" t="s">
        <v>611</v>
      </c>
      <c r="K70" t="s">
        <v>612</v>
      </c>
      <c r="L70">
        <v>1407</v>
      </c>
      <c r="N70">
        <v>1013</v>
      </c>
      <c r="O70" t="s">
        <v>595</v>
      </c>
      <c r="P70" t="s">
        <v>595</v>
      </c>
      <c r="Q70">
        <v>1</v>
      </c>
      <c r="W70">
        <v>0</v>
      </c>
      <c r="X70">
        <v>-675320531</v>
      </c>
      <c r="Y70">
        <f t="shared" si="32"/>
        <v>0.10199999999999999</v>
      </c>
      <c r="AA70">
        <v>5049.34</v>
      </c>
      <c r="AB70">
        <v>0</v>
      </c>
      <c r="AC70">
        <v>0</v>
      </c>
      <c r="AD70">
        <v>0</v>
      </c>
      <c r="AE70">
        <v>3658.94</v>
      </c>
      <c r="AF70">
        <v>0</v>
      </c>
      <c r="AG70">
        <v>0</v>
      </c>
      <c r="AH70">
        <v>0</v>
      </c>
      <c r="AI70">
        <v>1.38</v>
      </c>
      <c r="AJ70">
        <v>1</v>
      </c>
      <c r="AK70">
        <v>1</v>
      </c>
      <c r="AL70">
        <v>1</v>
      </c>
      <c r="AM70">
        <v>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0.10199999999999999</v>
      </c>
      <c r="AU70" t="s">
        <v>3</v>
      </c>
      <c r="AV70">
        <v>0</v>
      </c>
      <c r="AW70">
        <v>2</v>
      </c>
      <c r="AX70">
        <v>86000372</v>
      </c>
      <c r="AY70">
        <v>1</v>
      </c>
      <c r="AZ70">
        <v>0</v>
      </c>
      <c r="BA70">
        <v>63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373.21188000000001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1</v>
      </c>
      <c r="BQ70">
        <v>373.21188000000001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1</v>
      </c>
      <c r="CV70">
        <v>0</v>
      </c>
      <c r="CW70">
        <v>0</v>
      </c>
      <c r="CX70">
        <f>ROUND(Y70*Source!I58,7)</f>
        <v>5.6099999999999997E-2</v>
      </c>
      <c r="CY70">
        <f t="shared" si="37"/>
        <v>5049.34</v>
      </c>
      <c r="CZ70">
        <f t="shared" si="38"/>
        <v>3658.94</v>
      </c>
      <c r="DA70">
        <f t="shared" si="39"/>
        <v>1.38</v>
      </c>
      <c r="DB70">
        <f t="shared" si="33"/>
        <v>373.21</v>
      </c>
      <c r="DC70">
        <f t="shared" si="34"/>
        <v>0</v>
      </c>
      <c r="DD70" t="s">
        <v>3</v>
      </c>
      <c r="DE70" t="s">
        <v>3</v>
      </c>
      <c r="DF70">
        <f t="shared" si="40"/>
        <v>283.27</v>
      </c>
      <c r="DG70">
        <f t="shared" si="24"/>
        <v>0</v>
      </c>
      <c r="DH70">
        <f t="shared" si="35"/>
        <v>0</v>
      </c>
      <c r="DI70">
        <f t="shared" si="36"/>
        <v>0</v>
      </c>
      <c r="DJ70">
        <f t="shared" si="41"/>
        <v>283.27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ROW(Source!A58)</f>
        <v>58</v>
      </c>
      <c r="B71">
        <v>85997836</v>
      </c>
      <c r="C71">
        <v>86000354</v>
      </c>
      <c r="D71">
        <v>84267924</v>
      </c>
      <c r="E71">
        <v>1</v>
      </c>
      <c r="F71">
        <v>1</v>
      </c>
      <c r="G71">
        <v>1</v>
      </c>
      <c r="H71">
        <v>3</v>
      </c>
      <c r="I71" t="s">
        <v>139</v>
      </c>
      <c r="J71" t="s">
        <v>141</v>
      </c>
      <c r="K71" t="s">
        <v>140</v>
      </c>
      <c r="L71">
        <v>1425</v>
      </c>
      <c r="N71">
        <v>1013</v>
      </c>
      <c r="O71" t="s">
        <v>20</v>
      </c>
      <c r="P71" t="s">
        <v>20</v>
      </c>
      <c r="Q71">
        <v>1</v>
      </c>
      <c r="W71">
        <v>0</v>
      </c>
      <c r="X71">
        <v>1362774190</v>
      </c>
      <c r="Y71">
        <f t="shared" si="32"/>
        <v>9.0909090999999993</v>
      </c>
      <c r="AA71">
        <v>9600.4500000000007</v>
      </c>
      <c r="AB71">
        <v>0</v>
      </c>
      <c r="AC71">
        <v>0</v>
      </c>
      <c r="AD71">
        <v>0</v>
      </c>
      <c r="AE71">
        <v>10549.95</v>
      </c>
      <c r="AF71">
        <v>0</v>
      </c>
      <c r="AG71">
        <v>0</v>
      </c>
      <c r="AH71">
        <v>0</v>
      </c>
      <c r="AI71">
        <v>0.91</v>
      </c>
      <c r="AJ71">
        <v>1</v>
      </c>
      <c r="AK71">
        <v>1</v>
      </c>
      <c r="AL71">
        <v>1</v>
      </c>
      <c r="AM71">
        <v>0</v>
      </c>
      <c r="AN71">
        <v>0</v>
      </c>
      <c r="AO71">
        <v>0</v>
      </c>
      <c r="AP71">
        <v>1</v>
      </c>
      <c r="AQ71">
        <v>0</v>
      </c>
      <c r="AR71">
        <v>0</v>
      </c>
      <c r="AS71" t="s">
        <v>3</v>
      </c>
      <c r="AT71">
        <v>9.0909090999999993</v>
      </c>
      <c r="AU71" t="s">
        <v>3</v>
      </c>
      <c r="AV71">
        <v>0</v>
      </c>
      <c r="AW71">
        <v>1</v>
      </c>
      <c r="AX71">
        <v>-1</v>
      </c>
      <c r="AY71">
        <v>0</v>
      </c>
      <c r="AZ71">
        <v>0</v>
      </c>
      <c r="BA71" t="s">
        <v>3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ROUND(Y71*Source!I58,7)</f>
        <v>5</v>
      </c>
      <c r="CY71">
        <f t="shared" si="37"/>
        <v>9600.4500000000007</v>
      </c>
      <c r="CZ71">
        <f t="shared" si="38"/>
        <v>10549.95</v>
      </c>
      <c r="DA71">
        <f t="shared" si="39"/>
        <v>0.91</v>
      </c>
      <c r="DB71">
        <f t="shared" si="33"/>
        <v>95908.64</v>
      </c>
      <c r="DC71">
        <f t="shared" si="34"/>
        <v>0</v>
      </c>
      <c r="DD71" t="s">
        <v>3</v>
      </c>
      <c r="DE71" t="s">
        <v>3</v>
      </c>
      <c r="DF71">
        <f t="shared" si="40"/>
        <v>48002.25</v>
      </c>
      <c r="DG71">
        <f t="shared" si="24"/>
        <v>0</v>
      </c>
      <c r="DH71">
        <f t="shared" si="35"/>
        <v>0</v>
      </c>
      <c r="DI71">
        <f t="shared" si="36"/>
        <v>0</v>
      </c>
      <c r="DJ71">
        <f t="shared" si="41"/>
        <v>48002.25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ROW(Source!A58)</f>
        <v>58</v>
      </c>
      <c r="B72">
        <v>85997836</v>
      </c>
      <c r="C72">
        <v>86000354</v>
      </c>
      <c r="D72">
        <v>84267934</v>
      </c>
      <c r="E72">
        <v>1</v>
      </c>
      <c r="F72">
        <v>1</v>
      </c>
      <c r="G72">
        <v>1</v>
      </c>
      <c r="H72">
        <v>3</v>
      </c>
      <c r="I72" t="s">
        <v>135</v>
      </c>
      <c r="J72" t="s">
        <v>137</v>
      </c>
      <c r="K72" t="s">
        <v>136</v>
      </c>
      <c r="L72">
        <v>1371</v>
      </c>
      <c r="N72">
        <v>1013</v>
      </c>
      <c r="O72" t="s">
        <v>43</v>
      </c>
      <c r="P72" t="s">
        <v>43</v>
      </c>
      <c r="Q72">
        <v>1</v>
      </c>
      <c r="W72">
        <v>0</v>
      </c>
      <c r="X72">
        <v>547879322</v>
      </c>
      <c r="Y72">
        <f t="shared" si="32"/>
        <v>90.909090899999995</v>
      </c>
      <c r="AA72">
        <v>68.2</v>
      </c>
      <c r="AB72">
        <v>0</v>
      </c>
      <c r="AC72">
        <v>0</v>
      </c>
      <c r="AD72">
        <v>0</v>
      </c>
      <c r="AE72">
        <v>74.94</v>
      </c>
      <c r="AF72">
        <v>0</v>
      </c>
      <c r="AG72">
        <v>0</v>
      </c>
      <c r="AH72">
        <v>0</v>
      </c>
      <c r="AI72">
        <v>0.91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0</v>
      </c>
      <c r="AR72">
        <v>0</v>
      </c>
      <c r="AS72" t="s">
        <v>3</v>
      </c>
      <c r="AT72">
        <v>90.909090899999995</v>
      </c>
      <c r="AU72" t="s">
        <v>3</v>
      </c>
      <c r="AV72">
        <v>0</v>
      </c>
      <c r="AW72">
        <v>1</v>
      </c>
      <c r="AX72">
        <v>-1</v>
      </c>
      <c r="AY72">
        <v>0</v>
      </c>
      <c r="AZ72">
        <v>0</v>
      </c>
      <c r="BA72" t="s">
        <v>3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ROUND(Y72*Source!I58,7)</f>
        <v>50</v>
      </c>
      <c r="CY72">
        <f t="shared" si="37"/>
        <v>68.2</v>
      </c>
      <c r="CZ72">
        <f t="shared" si="38"/>
        <v>74.94</v>
      </c>
      <c r="DA72">
        <f t="shared" si="39"/>
        <v>0.91</v>
      </c>
      <c r="DB72">
        <f t="shared" si="33"/>
        <v>6812.73</v>
      </c>
      <c r="DC72">
        <f t="shared" si="34"/>
        <v>0</v>
      </c>
      <c r="DD72" t="s">
        <v>3</v>
      </c>
      <c r="DE72" t="s">
        <v>3</v>
      </c>
      <c r="DF72">
        <f t="shared" si="40"/>
        <v>3410</v>
      </c>
      <c r="DG72">
        <f t="shared" si="24"/>
        <v>0</v>
      </c>
      <c r="DH72">
        <f t="shared" si="35"/>
        <v>0</v>
      </c>
      <c r="DI72">
        <f t="shared" si="36"/>
        <v>0</v>
      </c>
      <c r="DJ72">
        <f t="shared" si="41"/>
        <v>3410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ROW(Source!A58)</f>
        <v>58</v>
      </c>
      <c r="B73">
        <v>85997836</v>
      </c>
      <c r="C73">
        <v>86000354</v>
      </c>
      <c r="D73">
        <v>84170596</v>
      </c>
      <c r="E73">
        <v>117</v>
      </c>
      <c r="F73">
        <v>1</v>
      </c>
      <c r="G73">
        <v>1</v>
      </c>
      <c r="H73">
        <v>3</v>
      </c>
      <c r="I73" t="s">
        <v>55</v>
      </c>
      <c r="J73" t="s">
        <v>3</v>
      </c>
      <c r="K73" t="s">
        <v>56</v>
      </c>
      <c r="L73">
        <v>3277935</v>
      </c>
      <c r="N73">
        <v>1013</v>
      </c>
      <c r="O73" t="s">
        <v>57</v>
      </c>
      <c r="P73" t="s">
        <v>57</v>
      </c>
      <c r="Q73">
        <v>1</v>
      </c>
      <c r="W73">
        <v>0</v>
      </c>
      <c r="X73">
        <v>274903907</v>
      </c>
      <c r="Y73">
        <f t="shared" si="32"/>
        <v>2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-2</v>
      </c>
      <c r="AN73">
        <v>0</v>
      </c>
      <c r="AO73">
        <v>0</v>
      </c>
      <c r="AP73">
        <v>0</v>
      </c>
      <c r="AQ73">
        <v>0</v>
      </c>
      <c r="AR73">
        <v>0</v>
      </c>
      <c r="AS73" t="s">
        <v>3</v>
      </c>
      <c r="AT73">
        <v>2</v>
      </c>
      <c r="AU73" t="s">
        <v>3</v>
      </c>
      <c r="AV73">
        <v>0</v>
      </c>
      <c r="AW73">
        <v>2</v>
      </c>
      <c r="AX73">
        <v>86000373</v>
      </c>
      <c r="AY73">
        <v>1</v>
      </c>
      <c r="AZ73">
        <v>0</v>
      </c>
      <c r="BA73">
        <v>64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ROUND(Y73*Source!I58,7)</f>
        <v>1.1000000000000001</v>
      </c>
      <c r="CY73">
        <f t="shared" si="37"/>
        <v>0</v>
      </c>
      <c r="CZ73">
        <f t="shared" si="38"/>
        <v>0</v>
      </c>
      <c r="DA73">
        <f t="shared" si="39"/>
        <v>1</v>
      </c>
      <c r="DB73">
        <f t="shared" si="33"/>
        <v>0</v>
      </c>
      <c r="DC73">
        <f t="shared" si="34"/>
        <v>0</v>
      </c>
      <c r="DD73" t="s">
        <v>3</v>
      </c>
      <c r="DE73" t="s">
        <v>3</v>
      </c>
      <c r="DF73">
        <f>ROUND(ROUND(AE73,2)*CX73,2)</f>
        <v>0</v>
      </c>
      <c r="DG73">
        <f t="shared" si="24"/>
        <v>0</v>
      </c>
      <c r="DH73">
        <f t="shared" si="35"/>
        <v>0</v>
      </c>
      <c r="DI73">
        <f t="shared" si="36"/>
        <v>0</v>
      </c>
      <c r="DJ73">
        <f t="shared" si="41"/>
        <v>0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ROW(Source!A63)</f>
        <v>63</v>
      </c>
      <c r="B74">
        <v>85997836</v>
      </c>
      <c r="C74">
        <v>85998251</v>
      </c>
      <c r="D74">
        <v>84164592</v>
      </c>
      <c r="E74">
        <v>117</v>
      </c>
      <c r="F74">
        <v>1</v>
      </c>
      <c r="G74">
        <v>1</v>
      </c>
      <c r="H74">
        <v>1</v>
      </c>
      <c r="I74" t="s">
        <v>613</v>
      </c>
      <c r="J74" t="s">
        <v>3</v>
      </c>
      <c r="K74" t="s">
        <v>614</v>
      </c>
      <c r="L74">
        <v>1191</v>
      </c>
      <c r="N74">
        <v>1013</v>
      </c>
      <c r="O74" t="s">
        <v>541</v>
      </c>
      <c r="P74" t="s">
        <v>541</v>
      </c>
      <c r="Q74">
        <v>1</v>
      </c>
      <c r="W74">
        <v>0</v>
      </c>
      <c r="X74">
        <v>888410196</v>
      </c>
      <c r="Y74">
        <f t="shared" si="32"/>
        <v>2</v>
      </c>
      <c r="AA74">
        <v>0</v>
      </c>
      <c r="AB74">
        <v>0</v>
      </c>
      <c r="AC74">
        <v>0</v>
      </c>
      <c r="AD74">
        <v>722.05</v>
      </c>
      <c r="AE74">
        <v>0</v>
      </c>
      <c r="AF74">
        <v>0</v>
      </c>
      <c r="AG74">
        <v>0</v>
      </c>
      <c r="AH74">
        <v>722.05</v>
      </c>
      <c r="AI74">
        <v>1</v>
      </c>
      <c r="AJ74">
        <v>1</v>
      </c>
      <c r="AK74">
        <v>1</v>
      </c>
      <c r="AL74">
        <v>1</v>
      </c>
      <c r="AM74">
        <v>-2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3</v>
      </c>
      <c r="AT74">
        <v>2</v>
      </c>
      <c r="AU74" t="s">
        <v>3</v>
      </c>
      <c r="AV74">
        <v>1</v>
      </c>
      <c r="AW74">
        <v>2</v>
      </c>
      <c r="AX74">
        <v>85999056</v>
      </c>
      <c r="AY74">
        <v>1</v>
      </c>
      <c r="AZ74">
        <v>0</v>
      </c>
      <c r="BA74">
        <v>65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1444.1</v>
      </c>
      <c r="BN74">
        <v>2</v>
      </c>
      <c r="BO74">
        <v>0</v>
      </c>
      <c r="BP74">
        <v>1</v>
      </c>
      <c r="BQ74">
        <v>0</v>
      </c>
      <c r="BR74">
        <v>0</v>
      </c>
      <c r="BS74">
        <v>0</v>
      </c>
      <c r="BT74">
        <v>1444.1</v>
      </c>
      <c r="BU74">
        <v>2</v>
      </c>
      <c r="BV74">
        <v>0</v>
      </c>
      <c r="BW74">
        <v>1</v>
      </c>
      <c r="CU74">
        <f>ROUND(AT74*Source!I63*AH74*AL74,2)</f>
        <v>4332.3</v>
      </c>
      <c r="CV74">
        <f>ROUND(Y74*Source!I63,7)</f>
        <v>6</v>
      </c>
      <c r="CW74">
        <v>0</v>
      </c>
      <c r="CX74">
        <f>ROUND(Y74*Source!I63,7)</f>
        <v>6</v>
      </c>
      <c r="CY74">
        <f>AD74</f>
        <v>722.05</v>
      </c>
      <c r="CZ74">
        <f>AH74</f>
        <v>722.05</v>
      </c>
      <c r="DA74">
        <f>AL74</f>
        <v>1</v>
      </c>
      <c r="DB74">
        <f t="shared" si="33"/>
        <v>1444.1</v>
      </c>
      <c r="DC74">
        <f t="shared" si="34"/>
        <v>0</v>
      </c>
      <c r="DD74" t="s">
        <v>3</v>
      </c>
      <c r="DE74" t="s">
        <v>3</v>
      </c>
      <c r="DF74">
        <f>ROUND(ROUND(AE74,2)*CX74,2)</f>
        <v>0</v>
      </c>
      <c r="DG74">
        <f t="shared" si="24"/>
        <v>0</v>
      </c>
      <c r="DH74">
        <f t="shared" si="35"/>
        <v>0</v>
      </c>
      <c r="DI74">
        <f t="shared" si="36"/>
        <v>4332.3</v>
      </c>
      <c r="DJ74">
        <f>DI74</f>
        <v>4332.3</v>
      </c>
      <c r="DK74">
        <v>1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ROW(Source!A63)</f>
        <v>63</v>
      </c>
      <c r="B75">
        <v>85997836</v>
      </c>
      <c r="C75">
        <v>85998251</v>
      </c>
      <c r="D75">
        <v>84164762</v>
      </c>
      <c r="E75">
        <v>117</v>
      </c>
      <c r="F75">
        <v>1</v>
      </c>
      <c r="G75">
        <v>1</v>
      </c>
      <c r="H75">
        <v>1</v>
      </c>
      <c r="I75" t="s">
        <v>542</v>
      </c>
      <c r="J75" t="s">
        <v>3</v>
      </c>
      <c r="K75" t="s">
        <v>543</v>
      </c>
      <c r="L75">
        <v>1191</v>
      </c>
      <c r="N75">
        <v>1013</v>
      </c>
      <c r="O75" t="s">
        <v>541</v>
      </c>
      <c r="P75" t="s">
        <v>541</v>
      </c>
      <c r="Q75">
        <v>1</v>
      </c>
      <c r="W75">
        <v>0</v>
      </c>
      <c r="X75">
        <v>-1417349443</v>
      </c>
      <c r="Y75">
        <f t="shared" si="32"/>
        <v>0.34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M75">
        <v>-2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0.34</v>
      </c>
      <c r="AU75" t="s">
        <v>3</v>
      </c>
      <c r="AV75">
        <v>2</v>
      </c>
      <c r="AW75">
        <v>2</v>
      </c>
      <c r="AX75">
        <v>85999057</v>
      </c>
      <c r="AY75">
        <v>1</v>
      </c>
      <c r="AZ75">
        <v>0</v>
      </c>
      <c r="BA75">
        <v>66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ROUND(Y75*Source!I63,7)</f>
        <v>1.02</v>
      </c>
      <c r="CY75">
        <f>AD75</f>
        <v>0</v>
      </c>
      <c r="CZ75">
        <f>AH75</f>
        <v>0</v>
      </c>
      <c r="DA75">
        <f>AL75</f>
        <v>1</v>
      </c>
      <c r="DB75">
        <f t="shared" si="33"/>
        <v>0</v>
      </c>
      <c r="DC75">
        <f t="shared" si="34"/>
        <v>0</v>
      </c>
      <c r="DD75" t="s">
        <v>3</v>
      </c>
      <c r="DE75" t="s">
        <v>3</v>
      </c>
      <c r="DF75">
        <f>ROUND(ROUND(AE75,2)*CX75,2)</f>
        <v>0</v>
      </c>
      <c r="DG75">
        <f t="shared" si="24"/>
        <v>0</v>
      </c>
      <c r="DH75">
        <f t="shared" si="35"/>
        <v>0</v>
      </c>
      <c r="DI75">
        <f t="shared" si="36"/>
        <v>0</v>
      </c>
      <c r="DJ75">
        <f>DI75</f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ROW(Source!A63)</f>
        <v>63</v>
      </c>
      <c r="B76">
        <v>85997836</v>
      </c>
      <c r="C76">
        <v>85998251</v>
      </c>
      <c r="D76">
        <v>84171993</v>
      </c>
      <c r="E76">
        <v>1</v>
      </c>
      <c r="F76">
        <v>1</v>
      </c>
      <c r="G76">
        <v>1</v>
      </c>
      <c r="H76">
        <v>2</v>
      </c>
      <c r="I76" t="s">
        <v>159</v>
      </c>
      <c r="J76" t="s">
        <v>161</v>
      </c>
      <c r="K76" t="s">
        <v>160</v>
      </c>
      <c r="L76">
        <v>1368</v>
      </c>
      <c r="N76">
        <v>1011</v>
      </c>
      <c r="O76" t="s">
        <v>29</v>
      </c>
      <c r="P76" t="s">
        <v>29</v>
      </c>
      <c r="Q76">
        <v>1</v>
      </c>
      <c r="W76">
        <v>0</v>
      </c>
      <c r="X76">
        <v>302479695</v>
      </c>
      <c r="Y76">
        <f t="shared" si="32"/>
        <v>-0.34</v>
      </c>
      <c r="AA76">
        <v>0</v>
      </c>
      <c r="AB76">
        <v>1274.25</v>
      </c>
      <c r="AC76">
        <v>829.81</v>
      </c>
      <c r="AD76">
        <v>0</v>
      </c>
      <c r="AE76">
        <v>0</v>
      </c>
      <c r="AF76">
        <v>995.51</v>
      </c>
      <c r="AG76">
        <v>829.81</v>
      </c>
      <c r="AH76">
        <v>0</v>
      </c>
      <c r="AI76">
        <v>1</v>
      </c>
      <c r="AJ76">
        <v>1.28</v>
      </c>
      <c r="AK76">
        <v>1</v>
      </c>
      <c r="AL76">
        <v>1</v>
      </c>
      <c r="AM76">
        <v>2</v>
      </c>
      <c r="AN76">
        <v>0</v>
      </c>
      <c r="AO76">
        <v>0</v>
      </c>
      <c r="AP76">
        <v>1</v>
      </c>
      <c r="AQ76">
        <v>0</v>
      </c>
      <c r="AR76">
        <v>0</v>
      </c>
      <c r="AS76" t="s">
        <v>3</v>
      </c>
      <c r="AT76">
        <v>-0.34</v>
      </c>
      <c r="AU76" t="s">
        <v>3</v>
      </c>
      <c r="AV76">
        <v>1</v>
      </c>
      <c r="AW76">
        <v>2</v>
      </c>
      <c r="AX76">
        <v>85999058</v>
      </c>
      <c r="AY76">
        <v>1</v>
      </c>
      <c r="AZ76">
        <v>6144</v>
      </c>
      <c r="BA76">
        <v>67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V76">
        <v>0</v>
      </c>
      <c r="CW76">
        <f>ROUND(Y76*Source!I63*DO76,7)</f>
        <v>-1.02</v>
      </c>
      <c r="CX76">
        <f>ROUND(Y76*Source!I63,7)</f>
        <v>-1.02</v>
      </c>
      <c r="CY76">
        <f>AB76</f>
        <v>1274.25</v>
      </c>
      <c r="CZ76">
        <f>AF76</f>
        <v>995.51</v>
      </c>
      <c r="DA76">
        <f>AJ76</f>
        <v>1.28</v>
      </c>
      <c r="DB76">
        <f t="shared" si="33"/>
        <v>-338.47</v>
      </c>
      <c r="DC76">
        <f t="shared" si="34"/>
        <v>-282.14</v>
      </c>
      <c r="DD76" t="s">
        <v>3</v>
      </c>
      <c r="DE76" t="s">
        <v>3</v>
      </c>
      <c r="DF76">
        <f>ROUND(ROUND(AE76,2)*CX76,2)</f>
        <v>0</v>
      </c>
      <c r="DG76">
        <f>ROUND(ROUND(AF76*AJ76,2)*CX76,2)</f>
        <v>-1299.74</v>
      </c>
      <c r="DH76">
        <f t="shared" si="35"/>
        <v>-846.41</v>
      </c>
      <c r="DI76">
        <f t="shared" si="36"/>
        <v>0</v>
      </c>
      <c r="DJ76">
        <f>DG76+DH76</f>
        <v>-2146.15</v>
      </c>
      <c r="DK76">
        <v>0</v>
      </c>
      <c r="DL76" t="s">
        <v>615</v>
      </c>
      <c r="DM76">
        <v>5</v>
      </c>
      <c r="DN76" t="s">
        <v>541</v>
      </c>
      <c r="DO76">
        <v>1</v>
      </c>
    </row>
    <row r="77" spans="1:119" x14ac:dyDescent="0.2">
      <c r="A77">
        <f>ROW(Source!A63)</f>
        <v>63</v>
      </c>
      <c r="B77">
        <v>85997836</v>
      </c>
      <c r="C77">
        <v>85998251</v>
      </c>
      <c r="D77">
        <v>84236841</v>
      </c>
      <c r="E77">
        <v>1</v>
      </c>
      <c r="F77">
        <v>1</v>
      </c>
      <c r="G77">
        <v>1</v>
      </c>
      <c r="H77">
        <v>3</v>
      </c>
      <c r="I77" t="s">
        <v>163</v>
      </c>
      <c r="J77" t="s">
        <v>166</v>
      </c>
      <c r="K77" t="s">
        <v>164</v>
      </c>
      <c r="L77">
        <v>1348</v>
      </c>
      <c r="N77">
        <v>1009</v>
      </c>
      <c r="O77" t="s">
        <v>165</v>
      </c>
      <c r="P77" t="s">
        <v>165</v>
      </c>
      <c r="Q77">
        <v>1000</v>
      </c>
      <c r="W77">
        <v>0</v>
      </c>
      <c r="X77">
        <v>-465588395</v>
      </c>
      <c r="Y77">
        <f t="shared" si="32"/>
        <v>-1.5E-3</v>
      </c>
      <c r="AA77">
        <v>150218.85</v>
      </c>
      <c r="AB77">
        <v>0</v>
      </c>
      <c r="AC77">
        <v>0</v>
      </c>
      <c r="AD77">
        <v>0</v>
      </c>
      <c r="AE77">
        <v>116448.72</v>
      </c>
      <c r="AF77">
        <v>0</v>
      </c>
      <c r="AG77">
        <v>0</v>
      </c>
      <c r="AH77">
        <v>0</v>
      </c>
      <c r="AI77">
        <v>1.29</v>
      </c>
      <c r="AJ77">
        <v>1</v>
      </c>
      <c r="AK77">
        <v>1</v>
      </c>
      <c r="AL77">
        <v>1</v>
      </c>
      <c r="AM77">
        <v>2</v>
      </c>
      <c r="AN77">
        <v>0</v>
      </c>
      <c r="AO77">
        <v>0</v>
      </c>
      <c r="AP77">
        <v>1</v>
      </c>
      <c r="AQ77">
        <v>0</v>
      </c>
      <c r="AR77">
        <v>0</v>
      </c>
      <c r="AS77" t="s">
        <v>3</v>
      </c>
      <c r="AT77">
        <v>-1.5E-3</v>
      </c>
      <c r="AU77" t="s">
        <v>3</v>
      </c>
      <c r="AV77">
        <v>0</v>
      </c>
      <c r="AW77">
        <v>2</v>
      </c>
      <c r="AX77">
        <v>85999059</v>
      </c>
      <c r="AY77">
        <v>1</v>
      </c>
      <c r="AZ77">
        <v>6144</v>
      </c>
      <c r="BA77">
        <v>68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ROUND(Y77*Source!I63,7)</f>
        <v>-4.4999999999999997E-3</v>
      </c>
      <c r="CY77">
        <f t="shared" ref="CY77:CY85" si="42">AA77</f>
        <v>150218.85</v>
      </c>
      <c r="CZ77">
        <f t="shared" ref="CZ77:CZ85" si="43">AE77</f>
        <v>116448.72</v>
      </c>
      <c r="DA77">
        <f t="shared" ref="DA77:DA85" si="44">AI77</f>
        <v>1.29</v>
      </c>
      <c r="DB77">
        <f t="shared" si="33"/>
        <v>-174.67</v>
      </c>
      <c r="DC77">
        <f t="shared" si="34"/>
        <v>0</v>
      </c>
      <c r="DD77" t="s">
        <v>3</v>
      </c>
      <c r="DE77" t="s">
        <v>3</v>
      </c>
      <c r="DF77">
        <f t="shared" ref="DF77:DF84" si="45">ROUND(ROUND(AE77*AI77,2)*CX77,2)</f>
        <v>-675.98</v>
      </c>
      <c r="DG77">
        <f t="shared" ref="DG77:DG108" si="46">ROUND(ROUND(AF77,2)*CX77,2)</f>
        <v>0</v>
      </c>
      <c r="DH77">
        <f t="shared" si="35"/>
        <v>0</v>
      </c>
      <c r="DI77">
        <f t="shared" si="36"/>
        <v>0</v>
      </c>
      <c r="DJ77">
        <f t="shared" ref="DJ77:DJ85" si="47">DF77</f>
        <v>-675.98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ROW(Source!A63)</f>
        <v>63</v>
      </c>
      <c r="B78">
        <v>85997836</v>
      </c>
      <c r="C78">
        <v>85998251</v>
      </c>
      <c r="D78">
        <v>84236922</v>
      </c>
      <c r="E78">
        <v>1</v>
      </c>
      <c r="F78">
        <v>1</v>
      </c>
      <c r="G78">
        <v>1</v>
      </c>
      <c r="H78">
        <v>3</v>
      </c>
      <c r="I78" t="s">
        <v>168</v>
      </c>
      <c r="J78" t="s">
        <v>171</v>
      </c>
      <c r="K78" t="s">
        <v>169</v>
      </c>
      <c r="L78">
        <v>1346</v>
      </c>
      <c r="N78">
        <v>1009</v>
      </c>
      <c r="O78" t="s">
        <v>170</v>
      </c>
      <c r="P78" t="s">
        <v>170</v>
      </c>
      <c r="Q78">
        <v>1</v>
      </c>
      <c r="W78">
        <v>0</v>
      </c>
      <c r="X78">
        <v>-1568219933</v>
      </c>
      <c r="Y78">
        <f t="shared" si="32"/>
        <v>-0.10299999999999999</v>
      </c>
      <c r="AA78">
        <v>57.93</v>
      </c>
      <c r="AB78">
        <v>0</v>
      </c>
      <c r="AC78">
        <v>0</v>
      </c>
      <c r="AD78">
        <v>0</v>
      </c>
      <c r="AE78">
        <v>41.38</v>
      </c>
      <c r="AF78">
        <v>0</v>
      </c>
      <c r="AG78">
        <v>0</v>
      </c>
      <c r="AH78">
        <v>0</v>
      </c>
      <c r="AI78">
        <v>1.4</v>
      </c>
      <c r="AJ78">
        <v>1</v>
      </c>
      <c r="AK78">
        <v>1</v>
      </c>
      <c r="AL78">
        <v>1</v>
      </c>
      <c r="AM78">
        <v>2</v>
      </c>
      <c r="AN78">
        <v>0</v>
      </c>
      <c r="AO78">
        <v>0</v>
      </c>
      <c r="AP78">
        <v>1</v>
      </c>
      <c r="AQ78">
        <v>0</v>
      </c>
      <c r="AR78">
        <v>0</v>
      </c>
      <c r="AS78" t="s">
        <v>3</v>
      </c>
      <c r="AT78">
        <v>-0.10299999999999999</v>
      </c>
      <c r="AU78" t="s">
        <v>3</v>
      </c>
      <c r="AV78">
        <v>0</v>
      </c>
      <c r="AW78">
        <v>2</v>
      </c>
      <c r="AX78">
        <v>85999060</v>
      </c>
      <c r="AY78">
        <v>1</v>
      </c>
      <c r="AZ78">
        <v>6144</v>
      </c>
      <c r="BA78">
        <v>69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ROUND(Y78*Source!I63,7)</f>
        <v>-0.309</v>
      </c>
      <c r="CY78">
        <f t="shared" si="42"/>
        <v>57.93</v>
      </c>
      <c r="CZ78">
        <f t="shared" si="43"/>
        <v>41.38</v>
      </c>
      <c r="DA78">
        <f t="shared" si="44"/>
        <v>1.4</v>
      </c>
      <c r="DB78">
        <f t="shared" si="33"/>
        <v>-4.26</v>
      </c>
      <c r="DC78">
        <f t="shared" si="34"/>
        <v>0</v>
      </c>
      <c r="DD78" t="s">
        <v>3</v>
      </c>
      <c r="DE78" t="s">
        <v>3</v>
      </c>
      <c r="DF78">
        <f t="shared" si="45"/>
        <v>-17.899999999999999</v>
      </c>
      <c r="DG78">
        <f t="shared" si="46"/>
        <v>0</v>
      </c>
      <c r="DH78">
        <f t="shared" si="35"/>
        <v>0</v>
      </c>
      <c r="DI78">
        <f t="shared" si="36"/>
        <v>0</v>
      </c>
      <c r="DJ78">
        <f t="shared" si="47"/>
        <v>-17.899999999999999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ROW(Source!A63)</f>
        <v>63</v>
      </c>
      <c r="B79">
        <v>85997836</v>
      </c>
      <c r="C79">
        <v>85998251</v>
      </c>
      <c r="D79">
        <v>84237050</v>
      </c>
      <c r="E79">
        <v>1</v>
      </c>
      <c r="F79">
        <v>1</v>
      </c>
      <c r="G79">
        <v>1</v>
      </c>
      <c r="H79">
        <v>3</v>
      </c>
      <c r="I79" t="s">
        <v>173</v>
      </c>
      <c r="J79" t="s">
        <v>175</v>
      </c>
      <c r="K79" t="s">
        <v>174</v>
      </c>
      <c r="L79">
        <v>1346</v>
      </c>
      <c r="N79">
        <v>1009</v>
      </c>
      <c r="O79" t="s">
        <v>170</v>
      </c>
      <c r="P79" t="s">
        <v>170</v>
      </c>
      <c r="Q79">
        <v>1</v>
      </c>
      <c r="W79">
        <v>0</v>
      </c>
      <c r="X79">
        <v>-1746966143</v>
      </c>
      <c r="Y79">
        <f t="shared" si="32"/>
        <v>-0.02</v>
      </c>
      <c r="AA79">
        <v>409.18</v>
      </c>
      <c r="AB79">
        <v>0</v>
      </c>
      <c r="AC79">
        <v>0</v>
      </c>
      <c r="AD79">
        <v>0</v>
      </c>
      <c r="AE79">
        <v>284.14999999999998</v>
      </c>
      <c r="AF79">
        <v>0</v>
      </c>
      <c r="AG79">
        <v>0</v>
      </c>
      <c r="AH79">
        <v>0</v>
      </c>
      <c r="AI79">
        <v>1.44</v>
      </c>
      <c r="AJ79">
        <v>1</v>
      </c>
      <c r="AK79">
        <v>1</v>
      </c>
      <c r="AL79">
        <v>1</v>
      </c>
      <c r="AM79">
        <v>2</v>
      </c>
      <c r="AN79">
        <v>0</v>
      </c>
      <c r="AO79">
        <v>0</v>
      </c>
      <c r="AP79">
        <v>1</v>
      </c>
      <c r="AQ79">
        <v>0</v>
      </c>
      <c r="AR79">
        <v>0</v>
      </c>
      <c r="AS79" t="s">
        <v>3</v>
      </c>
      <c r="AT79">
        <v>-0.02</v>
      </c>
      <c r="AU79" t="s">
        <v>3</v>
      </c>
      <c r="AV79">
        <v>0</v>
      </c>
      <c r="AW79">
        <v>2</v>
      </c>
      <c r="AX79">
        <v>85999061</v>
      </c>
      <c r="AY79">
        <v>1</v>
      </c>
      <c r="AZ79">
        <v>6144</v>
      </c>
      <c r="BA79">
        <v>70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ROUND(Y79*Source!I63,7)</f>
        <v>-0.06</v>
      </c>
      <c r="CY79">
        <f t="shared" si="42"/>
        <v>409.18</v>
      </c>
      <c r="CZ79">
        <f t="shared" si="43"/>
        <v>284.14999999999998</v>
      </c>
      <c r="DA79">
        <f t="shared" si="44"/>
        <v>1.44</v>
      </c>
      <c r="DB79">
        <f t="shared" si="33"/>
        <v>-5.68</v>
      </c>
      <c r="DC79">
        <f t="shared" si="34"/>
        <v>0</v>
      </c>
      <c r="DD79" t="s">
        <v>3</v>
      </c>
      <c r="DE79" t="s">
        <v>3</v>
      </c>
      <c r="DF79">
        <f t="shared" si="45"/>
        <v>-24.55</v>
      </c>
      <c r="DG79">
        <f t="shared" si="46"/>
        <v>0</v>
      </c>
      <c r="DH79">
        <f t="shared" si="35"/>
        <v>0</v>
      </c>
      <c r="DI79">
        <f t="shared" si="36"/>
        <v>0</v>
      </c>
      <c r="DJ79">
        <f t="shared" si="47"/>
        <v>-24.55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ROW(Source!A63)</f>
        <v>63</v>
      </c>
      <c r="B80">
        <v>85997836</v>
      </c>
      <c r="C80">
        <v>85998251</v>
      </c>
      <c r="D80">
        <v>84239059</v>
      </c>
      <c r="E80">
        <v>1</v>
      </c>
      <c r="F80">
        <v>1</v>
      </c>
      <c r="G80">
        <v>1</v>
      </c>
      <c r="H80">
        <v>3</v>
      </c>
      <c r="I80" t="s">
        <v>616</v>
      </c>
      <c r="J80" t="s">
        <v>617</v>
      </c>
      <c r="K80" t="s">
        <v>618</v>
      </c>
      <c r="L80">
        <v>1346</v>
      </c>
      <c r="N80">
        <v>1009</v>
      </c>
      <c r="O80" t="s">
        <v>170</v>
      </c>
      <c r="P80" t="s">
        <v>170</v>
      </c>
      <c r="Q80">
        <v>1</v>
      </c>
      <c r="W80">
        <v>0</v>
      </c>
      <c r="X80">
        <v>1088305857</v>
      </c>
      <c r="Y80">
        <f t="shared" si="32"/>
        <v>0.02</v>
      </c>
      <c r="AA80">
        <v>1032.77</v>
      </c>
      <c r="AB80">
        <v>0</v>
      </c>
      <c r="AC80">
        <v>0</v>
      </c>
      <c r="AD80">
        <v>0</v>
      </c>
      <c r="AE80">
        <v>675.01</v>
      </c>
      <c r="AF80">
        <v>0</v>
      </c>
      <c r="AG80">
        <v>0</v>
      </c>
      <c r="AH80">
        <v>0</v>
      </c>
      <c r="AI80">
        <v>1.53</v>
      </c>
      <c r="AJ80">
        <v>1</v>
      </c>
      <c r="AK80">
        <v>1</v>
      </c>
      <c r="AL80">
        <v>1</v>
      </c>
      <c r="AM80">
        <v>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3</v>
      </c>
      <c r="AT80">
        <v>0.02</v>
      </c>
      <c r="AU80" t="s">
        <v>3</v>
      </c>
      <c r="AV80">
        <v>0</v>
      </c>
      <c r="AW80">
        <v>2</v>
      </c>
      <c r="AX80">
        <v>85999062</v>
      </c>
      <c r="AY80">
        <v>1</v>
      </c>
      <c r="AZ80">
        <v>0</v>
      </c>
      <c r="BA80">
        <v>71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13.5002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</v>
      </c>
      <c r="BQ80">
        <v>13.5002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1</v>
      </c>
      <c r="CV80">
        <v>0</v>
      </c>
      <c r="CW80">
        <v>0</v>
      </c>
      <c r="CX80">
        <f>ROUND(Y80*Source!I63,7)</f>
        <v>0.06</v>
      </c>
      <c r="CY80">
        <f t="shared" si="42"/>
        <v>1032.77</v>
      </c>
      <c r="CZ80">
        <f t="shared" si="43"/>
        <v>675.01</v>
      </c>
      <c r="DA80">
        <f t="shared" si="44"/>
        <v>1.53</v>
      </c>
      <c r="DB80">
        <f t="shared" si="33"/>
        <v>13.5</v>
      </c>
      <c r="DC80">
        <f t="shared" si="34"/>
        <v>0</v>
      </c>
      <c r="DD80" t="s">
        <v>3</v>
      </c>
      <c r="DE80" t="s">
        <v>3</v>
      </c>
      <c r="DF80">
        <f t="shared" si="45"/>
        <v>61.97</v>
      </c>
      <c r="DG80">
        <f t="shared" si="46"/>
        <v>0</v>
      </c>
      <c r="DH80">
        <f t="shared" si="35"/>
        <v>0</v>
      </c>
      <c r="DI80">
        <f t="shared" si="36"/>
        <v>0</v>
      </c>
      <c r="DJ80">
        <f t="shared" si="47"/>
        <v>61.97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ROW(Source!A63)</f>
        <v>63</v>
      </c>
      <c r="B81">
        <v>85997836</v>
      </c>
      <c r="C81">
        <v>85998251</v>
      </c>
      <c r="D81">
        <v>84241536</v>
      </c>
      <c r="E81">
        <v>1</v>
      </c>
      <c r="F81">
        <v>1</v>
      </c>
      <c r="G81">
        <v>1</v>
      </c>
      <c r="H81">
        <v>3</v>
      </c>
      <c r="I81" t="s">
        <v>619</v>
      </c>
      <c r="J81" t="s">
        <v>620</v>
      </c>
      <c r="K81" t="s">
        <v>621</v>
      </c>
      <c r="L81">
        <v>1346</v>
      </c>
      <c r="N81">
        <v>1009</v>
      </c>
      <c r="O81" t="s">
        <v>170</v>
      </c>
      <c r="P81" t="s">
        <v>170</v>
      </c>
      <c r="Q81">
        <v>1</v>
      </c>
      <c r="W81">
        <v>0</v>
      </c>
      <c r="X81">
        <v>-211094116</v>
      </c>
      <c r="Y81">
        <f t="shared" si="32"/>
        <v>4.0000000000000001E-3</v>
      </c>
      <c r="AA81">
        <v>575.55999999999995</v>
      </c>
      <c r="AB81">
        <v>0</v>
      </c>
      <c r="AC81">
        <v>0</v>
      </c>
      <c r="AD81">
        <v>0</v>
      </c>
      <c r="AE81">
        <v>373.74</v>
      </c>
      <c r="AF81">
        <v>0</v>
      </c>
      <c r="AG81">
        <v>0</v>
      </c>
      <c r="AH81">
        <v>0</v>
      </c>
      <c r="AI81">
        <v>1.54</v>
      </c>
      <c r="AJ81">
        <v>1</v>
      </c>
      <c r="AK81">
        <v>1</v>
      </c>
      <c r="AL81">
        <v>1</v>
      </c>
      <c r="AM81">
        <v>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3</v>
      </c>
      <c r="AT81">
        <v>4.0000000000000001E-3</v>
      </c>
      <c r="AU81" t="s">
        <v>3</v>
      </c>
      <c r="AV81">
        <v>0</v>
      </c>
      <c r="AW81">
        <v>2</v>
      </c>
      <c r="AX81">
        <v>85999063</v>
      </c>
      <c r="AY81">
        <v>1</v>
      </c>
      <c r="AZ81">
        <v>0</v>
      </c>
      <c r="BA81">
        <v>72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1.4949600000000001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1.4949600000000001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ROUND(Y81*Source!I63,7)</f>
        <v>1.2E-2</v>
      </c>
      <c r="CY81">
        <f t="shared" si="42"/>
        <v>575.55999999999995</v>
      </c>
      <c r="CZ81">
        <f t="shared" si="43"/>
        <v>373.74</v>
      </c>
      <c r="DA81">
        <f t="shared" si="44"/>
        <v>1.54</v>
      </c>
      <c r="DB81">
        <f t="shared" si="33"/>
        <v>1.49</v>
      </c>
      <c r="DC81">
        <f t="shared" si="34"/>
        <v>0</v>
      </c>
      <c r="DD81" t="s">
        <v>3</v>
      </c>
      <c r="DE81" t="s">
        <v>3</v>
      </c>
      <c r="DF81">
        <f t="shared" si="45"/>
        <v>6.91</v>
      </c>
      <c r="DG81">
        <f t="shared" si="46"/>
        <v>0</v>
      </c>
      <c r="DH81">
        <f t="shared" si="35"/>
        <v>0</v>
      </c>
      <c r="DI81">
        <f t="shared" si="36"/>
        <v>0</v>
      </c>
      <c r="DJ81">
        <f t="shared" si="47"/>
        <v>6.91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ROW(Source!A63)</f>
        <v>63</v>
      </c>
      <c r="B82">
        <v>85997836</v>
      </c>
      <c r="C82">
        <v>85998251</v>
      </c>
      <c r="D82">
        <v>84249427</v>
      </c>
      <c r="E82">
        <v>1</v>
      </c>
      <c r="F82">
        <v>1</v>
      </c>
      <c r="G82">
        <v>1</v>
      </c>
      <c r="H82">
        <v>3</v>
      </c>
      <c r="I82" t="s">
        <v>622</v>
      </c>
      <c r="J82" t="s">
        <v>623</v>
      </c>
      <c r="K82" t="s">
        <v>624</v>
      </c>
      <c r="L82">
        <v>1346</v>
      </c>
      <c r="N82">
        <v>1009</v>
      </c>
      <c r="O82" t="s">
        <v>170</v>
      </c>
      <c r="P82" t="s">
        <v>170</v>
      </c>
      <c r="Q82">
        <v>1</v>
      </c>
      <c r="W82">
        <v>0</v>
      </c>
      <c r="X82">
        <v>1865769342</v>
      </c>
      <c r="Y82">
        <f t="shared" si="32"/>
        <v>0.02</v>
      </c>
      <c r="AA82">
        <v>1499.09</v>
      </c>
      <c r="AB82">
        <v>0</v>
      </c>
      <c r="AC82">
        <v>0</v>
      </c>
      <c r="AD82">
        <v>0</v>
      </c>
      <c r="AE82">
        <v>931.11</v>
      </c>
      <c r="AF82">
        <v>0</v>
      </c>
      <c r="AG82">
        <v>0</v>
      </c>
      <c r="AH82">
        <v>0</v>
      </c>
      <c r="AI82">
        <v>1.61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0.02</v>
      </c>
      <c r="AU82" t="s">
        <v>3</v>
      </c>
      <c r="AV82">
        <v>0</v>
      </c>
      <c r="AW82">
        <v>2</v>
      </c>
      <c r="AX82">
        <v>85999064</v>
      </c>
      <c r="AY82">
        <v>1</v>
      </c>
      <c r="AZ82">
        <v>0</v>
      </c>
      <c r="BA82">
        <v>73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18.622199999999999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18.622199999999999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ROUND(Y82*Source!I63,7)</f>
        <v>0.06</v>
      </c>
      <c r="CY82">
        <f t="shared" si="42"/>
        <v>1499.09</v>
      </c>
      <c r="CZ82">
        <f t="shared" si="43"/>
        <v>931.11</v>
      </c>
      <c r="DA82">
        <f t="shared" si="44"/>
        <v>1.61</v>
      </c>
      <c r="DB82">
        <f t="shared" si="33"/>
        <v>18.62</v>
      </c>
      <c r="DC82">
        <f t="shared" si="34"/>
        <v>0</v>
      </c>
      <c r="DD82" t="s">
        <v>3</v>
      </c>
      <c r="DE82" t="s">
        <v>3</v>
      </c>
      <c r="DF82">
        <f t="shared" si="45"/>
        <v>89.95</v>
      </c>
      <c r="DG82">
        <f t="shared" si="46"/>
        <v>0</v>
      </c>
      <c r="DH82">
        <f t="shared" si="35"/>
        <v>0</v>
      </c>
      <c r="DI82">
        <f t="shared" si="36"/>
        <v>0</v>
      </c>
      <c r="DJ82">
        <f t="shared" si="47"/>
        <v>89.95</v>
      </c>
      <c r="DK82">
        <v>0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ROW(Source!A63)</f>
        <v>63</v>
      </c>
      <c r="B83">
        <v>85997836</v>
      </c>
      <c r="C83">
        <v>85998251</v>
      </c>
      <c r="D83">
        <v>84257640</v>
      </c>
      <c r="E83">
        <v>1</v>
      </c>
      <c r="F83">
        <v>1</v>
      </c>
      <c r="G83">
        <v>1</v>
      </c>
      <c r="H83">
        <v>3</v>
      </c>
      <c r="I83" t="s">
        <v>625</v>
      </c>
      <c r="J83" t="s">
        <v>626</v>
      </c>
      <c r="K83" t="s">
        <v>627</v>
      </c>
      <c r="L83">
        <v>1348</v>
      </c>
      <c r="N83">
        <v>1009</v>
      </c>
      <c r="O83" t="s">
        <v>165</v>
      </c>
      <c r="P83" t="s">
        <v>165</v>
      </c>
      <c r="Q83">
        <v>1000</v>
      </c>
      <c r="W83">
        <v>0</v>
      </c>
      <c r="X83">
        <v>-615866360</v>
      </c>
      <c r="Y83">
        <f t="shared" si="32"/>
        <v>2.0000000000000002E-5</v>
      </c>
      <c r="AA83">
        <v>103227.06</v>
      </c>
      <c r="AB83">
        <v>0</v>
      </c>
      <c r="AC83">
        <v>0</v>
      </c>
      <c r="AD83">
        <v>0</v>
      </c>
      <c r="AE83">
        <v>80020.98</v>
      </c>
      <c r="AF83">
        <v>0</v>
      </c>
      <c r="AG83">
        <v>0</v>
      </c>
      <c r="AH83">
        <v>0</v>
      </c>
      <c r="AI83">
        <v>1.29</v>
      </c>
      <c r="AJ83">
        <v>1</v>
      </c>
      <c r="AK83">
        <v>1</v>
      </c>
      <c r="AL83">
        <v>1</v>
      </c>
      <c r="AM83">
        <v>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3</v>
      </c>
      <c r="AT83">
        <v>2.0000000000000002E-5</v>
      </c>
      <c r="AU83" t="s">
        <v>3</v>
      </c>
      <c r="AV83">
        <v>0</v>
      </c>
      <c r="AW83">
        <v>2</v>
      </c>
      <c r="AX83">
        <v>85999065</v>
      </c>
      <c r="AY83">
        <v>1</v>
      </c>
      <c r="AZ83">
        <v>0</v>
      </c>
      <c r="BA83">
        <v>74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1.6004195999999999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1</v>
      </c>
      <c r="BQ83">
        <v>1.6004195999999999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1</v>
      </c>
      <c r="CV83">
        <v>0</v>
      </c>
      <c r="CW83">
        <v>0</v>
      </c>
      <c r="CX83">
        <f>ROUND(Y83*Source!I63,7)</f>
        <v>6.0000000000000002E-5</v>
      </c>
      <c r="CY83">
        <f t="shared" si="42"/>
        <v>103227.06</v>
      </c>
      <c r="CZ83">
        <f t="shared" si="43"/>
        <v>80020.98</v>
      </c>
      <c r="DA83">
        <f t="shared" si="44"/>
        <v>1.29</v>
      </c>
      <c r="DB83">
        <f t="shared" si="33"/>
        <v>1.6</v>
      </c>
      <c r="DC83">
        <f t="shared" si="34"/>
        <v>0</v>
      </c>
      <c r="DD83" t="s">
        <v>3</v>
      </c>
      <c r="DE83" t="s">
        <v>3</v>
      </c>
      <c r="DF83">
        <f t="shared" si="45"/>
        <v>6.19</v>
      </c>
      <c r="DG83">
        <f t="shared" si="46"/>
        <v>0</v>
      </c>
      <c r="DH83">
        <f t="shared" si="35"/>
        <v>0</v>
      </c>
      <c r="DI83">
        <f t="shared" si="36"/>
        <v>0</v>
      </c>
      <c r="DJ83">
        <f t="shared" si="47"/>
        <v>6.19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ROW(Source!A63)</f>
        <v>63</v>
      </c>
      <c r="B84">
        <v>85997836</v>
      </c>
      <c r="C84">
        <v>85998251</v>
      </c>
      <c r="D84">
        <v>84268132</v>
      </c>
      <c r="E84">
        <v>1</v>
      </c>
      <c r="F84">
        <v>1</v>
      </c>
      <c r="G84">
        <v>1</v>
      </c>
      <c r="H84">
        <v>3</v>
      </c>
      <c r="I84" t="s">
        <v>154</v>
      </c>
      <c r="J84" t="s">
        <v>156</v>
      </c>
      <c r="K84" t="s">
        <v>155</v>
      </c>
      <c r="L84">
        <v>1371</v>
      </c>
      <c r="N84">
        <v>1013</v>
      </c>
      <c r="O84" t="s">
        <v>43</v>
      </c>
      <c r="P84" t="s">
        <v>43</v>
      </c>
      <c r="Q84">
        <v>1</v>
      </c>
      <c r="W84">
        <v>0</v>
      </c>
      <c r="X84">
        <v>-754861497</v>
      </c>
      <c r="Y84">
        <f t="shared" si="32"/>
        <v>1</v>
      </c>
      <c r="AA84">
        <v>89.72</v>
      </c>
      <c r="AB84">
        <v>0</v>
      </c>
      <c r="AC84">
        <v>0</v>
      </c>
      <c r="AD84">
        <v>0</v>
      </c>
      <c r="AE84">
        <v>98.59</v>
      </c>
      <c r="AF84">
        <v>0</v>
      </c>
      <c r="AG84">
        <v>0</v>
      </c>
      <c r="AH84">
        <v>0</v>
      </c>
      <c r="AI84">
        <v>0.91</v>
      </c>
      <c r="AJ84">
        <v>1</v>
      </c>
      <c r="AK84">
        <v>1</v>
      </c>
      <c r="AL84">
        <v>1</v>
      </c>
      <c r="AM84">
        <v>0</v>
      </c>
      <c r="AN84">
        <v>0</v>
      </c>
      <c r="AO84">
        <v>0</v>
      </c>
      <c r="AP84">
        <v>1</v>
      </c>
      <c r="AQ84">
        <v>0</v>
      </c>
      <c r="AR84">
        <v>0</v>
      </c>
      <c r="AS84" t="s">
        <v>3</v>
      </c>
      <c r="AT84">
        <v>1</v>
      </c>
      <c r="AU84" t="s">
        <v>3</v>
      </c>
      <c r="AV84">
        <v>0</v>
      </c>
      <c r="AW84">
        <v>1</v>
      </c>
      <c r="AX84">
        <v>-1</v>
      </c>
      <c r="AY84">
        <v>0</v>
      </c>
      <c r="AZ84">
        <v>0</v>
      </c>
      <c r="BA84" t="s">
        <v>3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V84">
        <v>0</v>
      </c>
      <c r="CW84">
        <v>0</v>
      </c>
      <c r="CX84">
        <f>ROUND(Y84*Source!I63,7)</f>
        <v>3</v>
      </c>
      <c r="CY84">
        <f t="shared" si="42"/>
        <v>89.72</v>
      </c>
      <c r="CZ84">
        <f t="shared" si="43"/>
        <v>98.59</v>
      </c>
      <c r="DA84">
        <f t="shared" si="44"/>
        <v>0.91</v>
      </c>
      <c r="DB84">
        <f t="shared" si="33"/>
        <v>98.59</v>
      </c>
      <c r="DC84">
        <f t="shared" si="34"/>
        <v>0</v>
      </c>
      <c r="DD84" t="s">
        <v>3</v>
      </c>
      <c r="DE84" t="s">
        <v>3</v>
      </c>
      <c r="DF84">
        <f t="shared" si="45"/>
        <v>269.16000000000003</v>
      </c>
      <c r="DG84">
        <f t="shared" si="46"/>
        <v>0</v>
      </c>
      <c r="DH84">
        <f t="shared" si="35"/>
        <v>0</v>
      </c>
      <c r="DI84">
        <f t="shared" si="36"/>
        <v>0</v>
      </c>
      <c r="DJ84">
        <f t="shared" si="47"/>
        <v>269.16000000000003</v>
      </c>
      <c r="DK84">
        <v>0</v>
      </c>
      <c r="DL84" t="s">
        <v>3</v>
      </c>
      <c r="DM84">
        <v>0</v>
      </c>
      <c r="DN84" t="s">
        <v>3</v>
      </c>
      <c r="DO84">
        <v>0</v>
      </c>
    </row>
    <row r="85" spans="1:119" x14ac:dyDescent="0.2">
      <c r="A85">
        <f>ROW(Source!A63)</f>
        <v>63</v>
      </c>
      <c r="B85">
        <v>85997836</v>
      </c>
      <c r="C85">
        <v>85998251</v>
      </c>
      <c r="D85">
        <v>84170596</v>
      </c>
      <c r="E85">
        <v>117</v>
      </c>
      <c r="F85">
        <v>1</v>
      </c>
      <c r="G85">
        <v>1</v>
      </c>
      <c r="H85">
        <v>3</v>
      </c>
      <c r="I85" t="s">
        <v>55</v>
      </c>
      <c r="J85" t="s">
        <v>3</v>
      </c>
      <c r="K85" t="s">
        <v>56</v>
      </c>
      <c r="L85">
        <v>3277935</v>
      </c>
      <c r="N85">
        <v>1013</v>
      </c>
      <c r="O85" t="s">
        <v>57</v>
      </c>
      <c r="P85" t="s">
        <v>57</v>
      </c>
      <c r="Q85">
        <v>1</v>
      </c>
      <c r="W85">
        <v>0</v>
      </c>
      <c r="X85">
        <v>274903907</v>
      </c>
      <c r="Y85">
        <f t="shared" si="32"/>
        <v>2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 t="s">
        <v>3</v>
      </c>
      <c r="AT85">
        <v>2</v>
      </c>
      <c r="AU85" t="s">
        <v>3</v>
      </c>
      <c r="AV85">
        <v>0</v>
      </c>
      <c r="AW85">
        <v>2</v>
      </c>
      <c r="AX85">
        <v>85999066</v>
      </c>
      <c r="AY85">
        <v>1</v>
      </c>
      <c r="AZ85">
        <v>0</v>
      </c>
      <c r="BA85">
        <v>75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V85">
        <v>0</v>
      </c>
      <c r="CW85">
        <v>0</v>
      </c>
      <c r="CX85">
        <f>ROUND(Y85*Source!I63,7)</f>
        <v>6</v>
      </c>
      <c r="CY85">
        <f t="shared" si="42"/>
        <v>0</v>
      </c>
      <c r="CZ85">
        <f t="shared" si="43"/>
        <v>0</v>
      </c>
      <c r="DA85">
        <f t="shared" si="44"/>
        <v>1</v>
      </c>
      <c r="DB85">
        <f t="shared" si="33"/>
        <v>0</v>
      </c>
      <c r="DC85">
        <f t="shared" si="34"/>
        <v>0</v>
      </c>
      <c r="DD85" t="s">
        <v>3</v>
      </c>
      <c r="DE85" t="s">
        <v>3</v>
      </c>
      <c r="DF85">
        <f>ROUND(ROUND(AE85,2)*CX85,2)</f>
        <v>0</v>
      </c>
      <c r="DG85">
        <f t="shared" si="46"/>
        <v>0</v>
      </c>
      <c r="DH85">
        <f t="shared" si="35"/>
        <v>0</v>
      </c>
      <c r="DI85">
        <f t="shared" si="36"/>
        <v>0</v>
      </c>
      <c r="DJ85">
        <f t="shared" si="47"/>
        <v>0</v>
      </c>
      <c r="DK85">
        <v>0</v>
      </c>
      <c r="DL85" t="s">
        <v>3</v>
      </c>
      <c r="DM85">
        <v>0</v>
      </c>
      <c r="DN85" t="s">
        <v>3</v>
      </c>
      <c r="DO85">
        <v>0</v>
      </c>
    </row>
    <row r="86" spans="1:119" x14ac:dyDescent="0.2">
      <c r="A86">
        <f>ROW(Source!A70)</f>
        <v>70</v>
      </c>
      <c r="B86">
        <v>85997836</v>
      </c>
      <c r="C86">
        <v>85998323</v>
      </c>
      <c r="D86">
        <v>84164598</v>
      </c>
      <c r="E86">
        <v>117</v>
      </c>
      <c r="F86">
        <v>1</v>
      </c>
      <c r="G86">
        <v>1</v>
      </c>
      <c r="H86">
        <v>1</v>
      </c>
      <c r="I86" t="s">
        <v>605</v>
      </c>
      <c r="J86" t="s">
        <v>3</v>
      </c>
      <c r="K86" t="s">
        <v>606</v>
      </c>
      <c r="L86">
        <v>1191</v>
      </c>
      <c r="N86">
        <v>1013</v>
      </c>
      <c r="O86" t="s">
        <v>541</v>
      </c>
      <c r="P86" t="s">
        <v>541</v>
      </c>
      <c r="Q86">
        <v>1</v>
      </c>
      <c r="W86">
        <v>0</v>
      </c>
      <c r="X86">
        <v>1522950421</v>
      </c>
      <c r="Y86">
        <f t="shared" si="32"/>
        <v>25.76</v>
      </c>
      <c r="AA86">
        <v>0</v>
      </c>
      <c r="AB86">
        <v>0</v>
      </c>
      <c r="AC86">
        <v>0</v>
      </c>
      <c r="AD86">
        <v>743.6</v>
      </c>
      <c r="AE86">
        <v>0</v>
      </c>
      <c r="AF86">
        <v>0</v>
      </c>
      <c r="AG86">
        <v>0</v>
      </c>
      <c r="AH86">
        <v>743.6</v>
      </c>
      <c r="AI86">
        <v>1</v>
      </c>
      <c r="AJ86">
        <v>1</v>
      </c>
      <c r="AK86">
        <v>1</v>
      </c>
      <c r="AL86">
        <v>1</v>
      </c>
      <c r="AM86">
        <v>-2</v>
      </c>
      <c r="AN86">
        <v>0</v>
      </c>
      <c r="AO86">
        <v>0</v>
      </c>
      <c r="AP86">
        <v>1</v>
      </c>
      <c r="AQ86">
        <v>1</v>
      </c>
      <c r="AR86">
        <v>0</v>
      </c>
      <c r="AS86" t="s">
        <v>3</v>
      </c>
      <c r="AT86">
        <v>25.76</v>
      </c>
      <c r="AU86" t="s">
        <v>3</v>
      </c>
      <c r="AV86">
        <v>1</v>
      </c>
      <c r="AW86">
        <v>2</v>
      </c>
      <c r="AX86">
        <v>85998332</v>
      </c>
      <c r="AY86">
        <v>1</v>
      </c>
      <c r="AZ86">
        <v>0</v>
      </c>
      <c r="BA86">
        <v>76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19155.136000000002</v>
      </c>
      <c r="BN86">
        <v>25.76</v>
      </c>
      <c r="BO86">
        <v>0</v>
      </c>
      <c r="BP86">
        <v>1</v>
      </c>
      <c r="BQ86">
        <v>0</v>
      </c>
      <c r="BR86">
        <v>0</v>
      </c>
      <c r="BS86">
        <v>0</v>
      </c>
      <c r="BT86">
        <v>19155.136000000002</v>
      </c>
      <c r="BU86">
        <v>25.76</v>
      </c>
      <c r="BV86">
        <v>0</v>
      </c>
      <c r="BW86">
        <v>1</v>
      </c>
      <c r="CU86">
        <f>ROUND(AT86*Source!I70*AH86*AL86,2)</f>
        <v>574.65</v>
      </c>
      <c r="CV86">
        <f>ROUND(Y86*Source!I70,7)</f>
        <v>0.77280000000000004</v>
      </c>
      <c r="CW86">
        <v>0</v>
      </c>
      <c r="CX86">
        <f>ROUND(Y86*Source!I70,7)</f>
        <v>0.77280000000000004</v>
      </c>
      <c r="CY86">
        <f>AD86</f>
        <v>743.6</v>
      </c>
      <c r="CZ86">
        <f>AH86</f>
        <v>743.6</v>
      </c>
      <c r="DA86">
        <f>AL86</f>
        <v>1</v>
      </c>
      <c r="DB86">
        <f t="shared" si="33"/>
        <v>19155.14</v>
      </c>
      <c r="DC86">
        <f t="shared" si="34"/>
        <v>0</v>
      </c>
      <c r="DD86" t="s">
        <v>3</v>
      </c>
      <c r="DE86" t="s">
        <v>3</v>
      </c>
      <c r="DF86">
        <f>ROUND(ROUND(AE86,2)*CX86,2)</f>
        <v>0</v>
      </c>
      <c r="DG86">
        <f t="shared" si="46"/>
        <v>0</v>
      </c>
      <c r="DH86">
        <f t="shared" si="35"/>
        <v>0</v>
      </c>
      <c r="DI86">
        <f t="shared" si="36"/>
        <v>574.65</v>
      </c>
      <c r="DJ86">
        <f>DI86</f>
        <v>574.65</v>
      </c>
      <c r="DK86">
        <v>1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ROW(Source!A70)</f>
        <v>70</v>
      </c>
      <c r="B87">
        <v>85997836</v>
      </c>
      <c r="C87">
        <v>85998323</v>
      </c>
      <c r="D87">
        <v>84164762</v>
      </c>
      <c r="E87">
        <v>117</v>
      </c>
      <c r="F87">
        <v>1</v>
      </c>
      <c r="G87">
        <v>1</v>
      </c>
      <c r="H87">
        <v>1</v>
      </c>
      <c r="I87" t="s">
        <v>542</v>
      </c>
      <c r="J87" t="s">
        <v>3</v>
      </c>
      <c r="K87" t="s">
        <v>543</v>
      </c>
      <c r="L87">
        <v>1191</v>
      </c>
      <c r="N87">
        <v>1013</v>
      </c>
      <c r="O87" t="s">
        <v>541</v>
      </c>
      <c r="P87" t="s">
        <v>541</v>
      </c>
      <c r="Q87">
        <v>1</v>
      </c>
      <c r="W87">
        <v>0</v>
      </c>
      <c r="X87">
        <v>-1417349443</v>
      </c>
      <c r="Y87">
        <f t="shared" si="32"/>
        <v>0.05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M87">
        <v>-2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0.05</v>
      </c>
      <c r="AU87" t="s">
        <v>3</v>
      </c>
      <c r="AV87">
        <v>2</v>
      </c>
      <c r="AW87">
        <v>2</v>
      </c>
      <c r="AX87">
        <v>85998333</v>
      </c>
      <c r="AY87">
        <v>1</v>
      </c>
      <c r="AZ87">
        <v>0</v>
      </c>
      <c r="BA87">
        <v>77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V87">
        <v>0</v>
      </c>
      <c r="CW87">
        <v>0</v>
      </c>
      <c r="CX87">
        <f>ROUND(Y87*Source!I70,7)</f>
        <v>1.5E-3</v>
      </c>
      <c r="CY87">
        <f>AD87</f>
        <v>0</v>
      </c>
      <c r="CZ87">
        <f>AH87</f>
        <v>0</v>
      </c>
      <c r="DA87">
        <f>AL87</f>
        <v>1</v>
      </c>
      <c r="DB87">
        <f t="shared" si="33"/>
        <v>0</v>
      </c>
      <c r="DC87">
        <f t="shared" si="34"/>
        <v>0</v>
      </c>
      <c r="DD87" t="s">
        <v>3</v>
      </c>
      <c r="DE87" t="s">
        <v>3</v>
      </c>
      <c r="DF87">
        <f>ROUND(ROUND(AE87,2)*CX87,2)</f>
        <v>0</v>
      </c>
      <c r="DG87">
        <f t="shared" si="46"/>
        <v>0</v>
      </c>
      <c r="DH87">
        <f t="shared" si="35"/>
        <v>0</v>
      </c>
      <c r="DI87">
        <f t="shared" si="36"/>
        <v>0</v>
      </c>
      <c r="DJ87">
        <f>DI87</f>
        <v>0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ROW(Source!A70)</f>
        <v>70</v>
      </c>
      <c r="B88">
        <v>85997836</v>
      </c>
      <c r="C88">
        <v>85998323</v>
      </c>
      <c r="D88">
        <v>84171251</v>
      </c>
      <c r="E88">
        <v>1</v>
      </c>
      <c r="F88">
        <v>1</v>
      </c>
      <c r="G88">
        <v>1</v>
      </c>
      <c r="H88">
        <v>2</v>
      </c>
      <c r="I88" t="s">
        <v>123</v>
      </c>
      <c r="J88" t="s">
        <v>125</v>
      </c>
      <c r="K88" t="s">
        <v>124</v>
      </c>
      <c r="L88">
        <v>1368</v>
      </c>
      <c r="N88">
        <v>1011</v>
      </c>
      <c r="O88" t="s">
        <v>29</v>
      </c>
      <c r="P88" t="s">
        <v>29</v>
      </c>
      <c r="Q88">
        <v>1</v>
      </c>
      <c r="W88">
        <v>0</v>
      </c>
      <c r="X88">
        <v>639918019</v>
      </c>
      <c r="Y88">
        <f t="shared" si="32"/>
        <v>-0.03</v>
      </c>
      <c r="AA88">
        <v>0</v>
      </c>
      <c r="AB88">
        <v>1629.55</v>
      </c>
      <c r="AC88">
        <v>969.91</v>
      </c>
      <c r="AD88">
        <v>0</v>
      </c>
      <c r="AE88">
        <v>0</v>
      </c>
      <c r="AF88">
        <v>1629.55</v>
      </c>
      <c r="AG88">
        <v>969.91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-2</v>
      </c>
      <c r="AN88">
        <v>0</v>
      </c>
      <c r="AO88">
        <v>0</v>
      </c>
      <c r="AP88">
        <v>1</v>
      </c>
      <c r="AQ88">
        <v>0</v>
      </c>
      <c r="AR88">
        <v>0</v>
      </c>
      <c r="AS88" t="s">
        <v>3</v>
      </c>
      <c r="AT88">
        <v>-0.03</v>
      </c>
      <c r="AU88" t="s">
        <v>3</v>
      </c>
      <c r="AV88">
        <v>1</v>
      </c>
      <c r="AW88">
        <v>2</v>
      </c>
      <c r="AX88">
        <v>85998334</v>
      </c>
      <c r="AY88">
        <v>1</v>
      </c>
      <c r="AZ88">
        <v>6144</v>
      </c>
      <c r="BA88">
        <v>78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f>ROUND(Y88*Source!I70*DO88,7)</f>
        <v>-8.9999999999999998E-4</v>
      </c>
      <c r="CX88">
        <f>ROUND(Y88*Source!I70,7)</f>
        <v>-8.9999999999999998E-4</v>
      </c>
      <c r="CY88">
        <f>AB88</f>
        <v>1629.55</v>
      </c>
      <c r="CZ88">
        <f>AF88</f>
        <v>1629.55</v>
      </c>
      <c r="DA88">
        <f>AJ88</f>
        <v>1</v>
      </c>
      <c r="DB88">
        <f t="shared" si="33"/>
        <v>-48.89</v>
      </c>
      <c r="DC88">
        <f t="shared" si="34"/>
        <v>-29.1</v>
      </c>
      <c r="DD88" t="s">
        <v>3</v>
      </c>
      <c r="DE88" t="s">
        <v>3</v>
      </c>
      <c r="DF88">
        <f>ROUND(ROUND(AE88,2)*CX88,2)</f>
        <v>0</v>
      </c>
      <c r="DG88">
        <f t="shared" si="46"/>
        <v>-1.47</v>
      </c>
      <c r="DH88">
        <f t="shared" si="35"/>
        <v>-0.87</v>
      </c>
      <c r="DI88">
        <f t="shared" si="36"/>
        <v>0</v>
      </c>
      <c r="DJ88">
        <f>DG88+DH88</f>
        <v>-2.34</v>
      </c>
      <c r="DK88">
        <v>1</v>
      </c>
      <c r="DL88" t="s">
        <v>599</v>
      </c>
      <c r="DM88">
        <v>6</v>
      </c>
      <c r="DN88" t="s">
        <v>541</v>
      </c>
      <c r="DO88">
        <v>1</v>
      </c>
    </row>
    <row r="89" spans="1:119" x14ac:dyDescent="0.2">
      <c r="A89">
        <f>ROW(Source!A70)</f>
        <v>70</v>
      </c>
      <c r="B89">
        <v>85997836</v>
      </c>
      <c r="C89">
        <v>85998323</v>
      </c>
      <c r="D89">
        <v>84172146</v>
      </c>
      <c r="E89">
        <v>1</v>
      </c>
      <c r="F89">
        <v>1</v>
      </c>
      <c r="G89">
        <v>1</v>
      </c>
      <c r="H89">
        <v>2</v>
      </c>
      <c r="I89" t="s">
        <v>127</v>
      </c>
      <c r="J89" t="s">
        <v>129</v>
      </c>
      <c r="K89" t="s">
        <v>128</v>
      </c>
      <c r="L89">
        <v>1368</v>
      </c>
      <c r="N89">
        <v>1011</v>
      </c>
      <c r="O89" t="s">
        <v>29</v>
      </c>
      <c r="P89" t="s">
        <v>29</v>
      </c>
      <c r="Q89">
        <v>1</v>
      </c>
      <c r="W89">
        <v>0</v>
      </c>
      <c r="X89">
        <v>-849950259</v>
      </c>
      <c r="Y89">
        <f t="shared" si="32"/>
        <v>-0.02</v>
      </c>
      <c r="AA89">
        <v>0</v>
      </c>
      <c r="AB89">
        <v>643.29</v>
      </c>
      <c r="AC89">
        <v>722.05</v>
      </c>
      <c r="AD89">
        <v>0</v>
      </c>
      <c r="AE89">
        <v>0</v>
      </c>
      <c r="AF89">
        <v>643.29</v>
      </c>
      <c r="AG89">
        <v>722.05</v>
      </c>
      <c r="AH89">
        <v>0</v>
      </c>
      <c r="AI89">
        <v>1</v>
      </c>
      <c r="AJ89">
        <v>1</v>
      </c>
      <c r="AK89">
        <v>1</v>
      </c>
      <c r="AL89">
        <v>1</v>
      </c>
      <c r="AM89">
        <v>-2</v>
      </c>
      <c r="AN89">
        <v>0</v>
      </c>
      <c r="AO89">
        <v>0</v>
      </c>
      <c r="AP89">
        <v>1</v>
      </c>
      <c r="AQ89">
        <v>0</v>
      </c>
      <c r="AR89">
        <v>0</v>
      </c>
      <c r="AS89" t="s">
        <v>3</v>
      </c>
      <c r="AT89">
        <v>-0.02</v>
      </c>
      <c r="AU89" t="s">
        <v>3</v>
      </c>
      <c r="AV89">
        <v>1</v>
      </c>
      <c r="AW89">
        <v>2</v>
      </c>
      <c r="AX89">
        <v>85998335</v>
      </c>
      <c r="AY89">
        <v>1</v>
      </c>
      <c r="AZ89">
        <v>6144</v>
      </c>
      <c r="BA89">
        <v>79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V89">
        <v>0</v>
      </c>
      <c r="CW89">
        <f>ROUND(Y89*Source!I70*DO89,7)</f>
        <v>-5.9999999999999995E-4</v>
      </c>
      <c r="CX89">
        <f>ROUND(Y89*Source!I70,7)</f>
        <v>-5.9999999999999995E-4</v>
      </c>
      <c r="CY89">
        <f>AB89</f>
        <v>643.29</v>
      </c>
      <c r="CZ89">
        <f>AF89</f>
        <v>643.29</v>
      </c>
      <c r="DA89">
        <f>AJ89</f>
        <v>1</v>
      </c>
      <c r="DB89">
        <f t="shared" si="33"/>
        <v>-12.87</v>
      </c>
      <c r="DC89">
        <f t="shared" si="34"/>
        <v>-14.44</v>
      </c>
      <c r="DD89" t="s">
        <v>3</v>
      </c>
      <c r="DE89" t="s">
        <v>3</v>
      </c>
      <c r="DF89">
        <f>ROUND(ROUND(AE89,2)*CX89,2)</f>
        <v>0</v>
      </c>
      <c r="DG89">
        <f t="shared" si="46"/>
        <v>-0.39</v>
      </c>
      <c r="DH89">
        <f t="shared" si="35"/>
        <v>-0.43</v>
      </c>
      <c r="DI89">
        <f t="shared" si="36"/>
        <v>0</v>
      </c>
      <c r="DJ89">
        <f>DG89+DH89</f>
        <v>-0.82000000000000006</v>
      </c>
      <c r="DK89">
        <v>1</v>
      </c>
      <c r="DL89" t="s">
        <v>600</v>
      </c>
      <c r="DM89">
        <v>4</v>
      </c>
      <c r="DN89" t="s">
        <v>541</v>
      </c>
      <c r="DO89">
        <v>1</v>
      </c>
    </row>
    <row r="90" spans="1:119" x14ac:dyDescent="0.2">
      <c r="A90">
        <f>ROW(Source!A70)</f>
        <v>70</v>
      </c>
      <c r="B90">
        <v>85997836</v>
      </c>
      <c r="C90">
        <v>85998323</v>
      </c>
      <c r="D90">
        <v>84242262</v>
      </c>
      <c r="E90">
        <v>1</v>
      </c>
      <c r="F90">
        <v>1</v>
      </c>
      <c r="G90">
        <v>1</v>
      </c>
      <c r="H90">
        <v>3</v>
      </c>
      <c r="I90" t="s">
        <v>607</v>
      </c>
      <c r="J90" t="s">
        <v>608</v>
      </c>
      <c r="K90" t="s">
        <v>609</v>
      </c>
      <c r="L90">
        <v>1348</v>
      </c>
      <c r="N90">
        <v>1009</v>
      </c>
      <c r="O90" t="s">
        <v>165</v>
      </c>
      <c r="P90" t="s">
        <v>165</v>
      </c>
      <c r="Q90">
        <v>1000</v>
      </c>
      <c r="W90">
        <v>0</v>
      </c>
      <c r="X90">
        <v>-290124041</v>
      </c>
      <c r="Y90">
        <f t="shared" si="32"/>
        <v>3.15E-3</v>
      </c>
      <c r="AA90">
        <v>6073.58</v>
      </c>
      <c r="AB90">
        <v>0</v>
      </c>
      <c r="AC90">
        <v>0</v>
      </c>
      <c r="AD90">
        <v>0</v>
      </c>
      <c r="AE90">
        <v>4338.2700000000004</v>
      </c>
      <c r="AF90">
        <v>0</v>
      </c>
      <c r="AG90">
        <v>0</v>
      </c>
      <c r="AH90">
        <v>0</v>
      </c>
      <c r="AI90">
        <v>1.4</v>
      </c>
      <c r="AJ90">
        <v>1</v>
      </c>
      <c r="AK90">
        <v>1</v>
      </c>
      <c r="AL90">
        <v>1</v>
      </c>
      <c r="AM90">
        <v>2</v>
      </c>
      <c r="AN90">
        <v>0</v>
      </c>
      <c r="AO90">
        <v>0</v>
      </c>
      <c r="AP90">
        <v>1</v>
      </c>
      <c r="AQ90">
        <v>1</v>
      </c>
      <c r="AR90">
        <v>0</v>
      </c>
      <c r="AS90" t="s">
        <v>3</v>
      </c>
      <c r="AT90">
        <v>3.15E-3</v>
      </c>
      <c r="AU90" t="s">
        <v>3</v>
      </c>
      <c r="AV90">
        <v>0</v>
      </c>
      <c r="AW90">
        <v>2</v>
      </c>
      <c r="AX90">
        <v>85998336</v>
      </c>
      <c r="AY90">
        <v>1</v>
      </c>
      <c r="AZ90">
        <v>0</v>
      </c>
      <c r="BA90">
        <v>80</v>
      </c>
      <c r="BB90">
        <v>1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13.665550500000002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1</v>
      </c>
      <c r="BQ90">
        <v>13.665550500000002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1</v>
      </c>
      <c r="CV90">
        <v>0</v>
      </c>
      <c r="CW90">
        <v>0</v>
      </c>
      <c r="CX90">
        <f>ROUND(Y90*Source!I70,7)</f>
        <v>9.4500000000000007E-5</v>
      </c>
      <c r="CY90">
        <f>AA90</f>
        <v>6073.58</v>
      </c>
      <c r="CZ90">
        <f>AE90</f>
        <v>4338.2700000000004</v>
      </c>
      <c r="DA90">
        <f>AI90</f>
        <v>1.4</v>
      </c>
      <c r="DB90">
        <f t="shared" si="33"/>
        <v>13.67</v>
      </c>
      <c r="DC90">
        <f t="shared" si="34"/>
        <v>0</v>
      </c>
      <c r="DD90" t="s">
        <v>3</v>
      </c>
      <c r="DE90" t="s">
        <v>3</v>
      </c>
      <c r="DF90">
        <f>ROUND(ROUND(AE90*AI90,2)*CX90,2)</f>
        <v>0.56999999999999995</v>
      </c>
      <c r="DG90">
        <f t="shared" si="46"/>
        <v>0</v>
      </c>
      <c r="DH90">
        <f t="shared" si="35"/>
        <v>0</v>
      </c>
      <c r="DI90">
        <f t="shared" si="36"/>
        <v>0</v>
      </c>
      <c r="DJ90">
        <f>DF90</f>
        <v>0.56999999999999995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ROW(Source!A70)</f>
        <v>70</v>
      </c>
      <c r="B91">
        <v>85997836</v>
      </c>
      <c r="C91">
        <v>85998323</v>
      </c>
      <c r="D91">
        <v>84265246</v>
      </c>
      <c r="E91">
        <v>1</v>
      </c>
      <c r="F91">
        <v>1</v>
      </c>
      <c r="G91">
        <v>1</v>
      </c>
      <c r="H91">
        <v>3</v>
      </c>
      <c r="I91" t="s">
        <v>610</v>
      </c>
      <c r="J91" t="s">
        <v>611</v>
      </c>
      <c r="K91" t="s">
        <v>612</v>
      </c>
      <c r="L91">
        <v>1407</v>
      </c>
      <c r="N91">
        <v>1013</v>
      </c>
      <c r="O91" t="s">
        <v>595</v>
      </c>
      <c r="P91" t="s">
        <v>595</v>
      </c>
      <c r="Q91">
        <v>1</v>
      </c>
      <c r="W91">
        <v>0</v>
      </c>
      <c r="X91">
        <v>-675320531</v>
      </c>
      <c r="Y91">
        <f t="shared" si="32"/>
        <v>0.10199999999999999</v>
      </c>
      <c r="AA91">
        <v>5049.34</v>
      </c>
      <c r="AB91">
        <v>0</v>
      </c>
      <c r="AC91">
        <v>0</v>
      </c>
      <c r="AD91">
        <v>0</v>
      </c>
      <c r="AE91">
        <v>3658.94</v>
      </c>
      <c r="AF91">
        <v>0</v>
      </c>
      <c r="AG91">
        <v>0</v>
      </c>
      <c r="AH91">
        <v>0</v>
      </c>
      <c r="AI91">
        <v>1.38</v>
      </c>
      <c r="AJ91">
        <v>1</v>
      </c>
      <c r="AK91">
        <v>1</v>
      </c>
      <c r="AL91">
        <v>1</v>
      </c>
      <c r="AM91">
        <v>2</v>
      </c>
      <c r="AN91">
        <v>0</v>
      </c>
      <c r="AO91">
        <v>0</v>
      </c>
      <c r="AP91">
        <v>1</v>
      </c>
      <c r="AQ91">
        <v>1</v>
      </c>
      <c r="AR91">
        <v>0</v>
      </c>
      <c r="AS91" t="s">
        <v>3</v>
      </c>
      <c r="AT91">
        <v>0.10199999999999999</v>
      </c>
      <c r="AU91" t="s">
        <v>3</v>
      </c>
      <c r="AV91">
        <v>0</v>
      </c>
      <c r="AW91">
        <v>2</v>
      </c>
      <c r="AX91">
        <v>85998337</v>
      </c>
      <c r="AY91">
        <v>1</v>
      </c>
      <c r="AZ91">
        <v>0</v>
      </c>
      <c r="BA91">
        <v>81</v>
      </c>
      <c r="BB91">
        <v>1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373.21188000000001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373.21188000000001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1</v>
      </c>
      <c r="CV91">
        <v>0</v>
      </c>
      <c r="CW91">
        <v>0</v>
      </c>
      <c r="CX91">
        <f>ROUND(Y91*Source!I70,7)</f>
        <v>3.0599999999999998E-3</v>
      </c>
      <c r="CY91">
        <f>AA91</f>
        <v>5049.34</v>
      </c>
      <c r="CZ91">
        <f>AE91</f>
        <v>3658.94</v>
      </c>
      <c r="DA91">
        <f>AI91</f>
        <v>1.38</v>
      </c>
      <c r="DB91">
        <f t="shared" si="33"/>
        <v>373.21</v>
      </c>
      <c r="DC91">
        <f t="shared" si="34"/>
        <v>0</v>
      </c>
      <c r="DD91" t="s">
        <v>3</v>
      </c>
      <c r="DE91" t="s">
        <v>3</v>
      </c>
      <c r="DF91">
        <f>ROUND(ROUND(AE91*AI91,2)*CX91,2)</f>
        <v>15.45</v>
      </c>
      <c r="DG91">
        <f t="shared" si="46"/>
        <v>0</v>
      </c>
      <c r="DH91">
        <f t="shared" si="35"/>
        <v>0</v>
      </c>
      <c r="DI91">
        <f t="shared" si="36"/>
        <v>0</v>
      </c>
      <c r="DJ91">
        <f>DF91</f>
        <v>15.45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ROW(Source!A70)</f>
        <v>70</v>
      </c>
      <c r="B92">
        <v>85997836</v>
      </c>
      <c r="C92">
        <v>85998323</v>
      </c>
      <c r="D92">
        <v>84267698</v>
      </c>
      <c r="E92">
        <v>1</v>
      </c>
      <c r="F92">
        <v>1</v>
      </c>
      <c r="G92">
        <v>1</v>
      </c>
      <c r="H92">
        <v>3</v>
      </c>
      <c r="I92" t="s">
        <v>181</v>
      </c>
      <c r="J92" t="s">
        <v>183</v>
      </c>
      <c r="K92" t="s">
        <v>182</v>
      </c>
      <c r="L92">
        <v>1371</v>
      </c>
      <c r="N92">
        <v>1013</v>
      </c>
      <c r="O92" t="s">
        <v>43</v>
      </c>
      <c r="P92" t="s">
        <v>43</v>
      </c>
      <c r="Q92">
        <v>1</v>
      </c>
      <c r="W92">
        <v>0</v>
      </c>
      <c r="X92">
        <v>910537666</v>
      </c>
      <c r="Y92">
        <f t="shared" si="32"/>
        <v>100</v>
      </c>
      <c r="AA92">
        <v>53.22</v>
      </c>
      <c r="AB92">
        <v>0</v>
      </c>
      <c r="AC92">
        <v>0</v>
      </c>
      <c r="AD92">
        <v>0</v>
      </c>
      <c r="AE92">
        <v>53.22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-2</v>
      </c>
      <c r="AN92">
        <v>0</v>
      </c>
      <c r="AO92">
        <v>0</v>
      </c>
      <c r="AP92">
        <v>1</v>
      </c>
      <c r="AQ92">
        <v>0</v>
      </c>
      <c r="AR92">
        <v>0</v>
      </c>
      <c r="AS92" t="s">
        <v>3</v>
      </c>
      <c r="AT92">
        <v>100</v>
      </c>
      <c r="AU92" t="s">
        <v>3</v>
      </c>
      <c r="AV92">
        <v>0</v>
      </c>
      <c r="AW92">
        <v>1</v>
      </c>
      <c r="AX92">
        <v>-1</v>
      </c>
      <c r="AY92">
        <v>0</v>
      </c>
      <c r="AZ92">
        <v>0</v>
      </c>
      <c r="BA92" t="s">
        <v>3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ROUND(Y92*Source!I70,7)</f>
        <v>3</v>
      </c>
      <c r="CY92">
        <f>AA92</f>
        <v>53.22</v>
      </c>
      <c r="CZ92">
        <f>AE92</f>
        <v>53.22</v>
      </c>
      <c r="DA92">
        <f>AI92</f>
        <v>1</v>
      </c>
      <c r="DB92">
        <f t="shared" si="33"/>
        <v>5322</v>
      </c>
      <c r="DC92">
        <f t="shared" si="34"/>
        <v>0</v>
      </c>
      <c r="DD92" t="s">
        <v>3</v>
      </c>
      <c r="DE92" t="s">
        <v>3</v>
      </c>
      <c r="DF92">
        <f>ROUND(ROUND(AE92,2)*CX92,2)</f>
        <v>159.66</v>
      </c>
      <c r="DG92">
        <f t="shared" si="46"/>
        <v>0</v>
      </c>
      <c r="DH92">
        <f t="shared" si="35"/>
        <v>0</v>
      </c>
      <c r="DI92">
        <f t="shared" si="36"/>
        <v>0</v>
      </c>
      <c r="DJ92">
        <f>DF92</f>
        <v>159.66</v>
      </c>
      <c r="DK92">
        <v>1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ROW(Source!A70)</f>
        <v>70</v>
      </c>
      <c r="B93">
        <v>85997836</v>
      </c>
      <c r="C93">
        <v>85998323</v>
      </c>
      <c r="D93">
        <v>84170596</v>
      </c>
      <c r="E93">
        <v>117</v>
      </c>
      <c r="F93">
        <v>1</v>
      </c>
      <c r="G93">
        <v>1</v>
      </c>
      <c r="H93">
        <v>3</v>
      </c>
      <c r="I93" t="s">
        <v>55</v>
      </c>
      <c r="J93" t="s">
        <v>3</v>
      </c>
      <c r="K93" t="s">
        <v>56</v>
      </c>
      <c r="L93">
        <v>3277935</v>
      </c>
      <c r="N93">
        <v>1013</v>
      </c>
      <c r="O93" t="s">
        <v>57</v>
      </c>
      <c r="P93" t="s">
        <v>57</v>
      </c>
      <c r="Q93">
        <v>1</v>
      </c>
      <c r="W93">
        <v>0</v>
      </c>
      <c r="X93">
        <v>274903907</v>
      </c>
      <c r="Y93">
        <f t="shared" si="32"/>
        <v>2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-2</v>
      </c>
      <c r="AN93">
        <v>0</v>
      </c>
      <c r="AO93">
        <v>0</v>
      </c>
      <c r="AP93">
        <v>0</v>
      </c>
      <c r="AQ93">
        <v>0</v>
      </c>
      <c r="AR93">
        <v>0</v>
      </c>
      <c r="AS93" t="s">
        <v>3</v>
      </c>
      <c r="AT93">
        <v>2</v>
      </c>
      <c r="AU93" t="s">
        <v>3</v>
      </c>
      <c r="AV93">
        <v>0</v>
      </c>
      <c r="AW93">
        <v>2</v>
      </c>
      <c r="AX93">
        <v>85998338</v>
      </c>
      <c r="AY93">
        <v>1</v>
      </c>
      <c r="AZ93">
        <v>0</v>
      </c>
      <c r="BA93">
        <v>82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v>0</v>
      </c>
      <c r="CX93">
        <f>ROUND(Y93*Source!I70,7)</f>
        <v>0.06</v>
      </c>
      <c r="CY93">
        <f>AA93</f>
        <v>0</v>
      </c>
      <c r="CZ93">
        <f>AE93</f>
        <v>0</v>
      </c>
      <c r="DA93">
        <f>AI93</f>
        <v>1</v>
      </c>
      <c r="DB93">
        <f t="shared" si="33"/>
        <v>0</v>
      </c>
      <c r="DC93">
        <f t="shared" si="34"/>
        <v>0</v>
      </c>
      <c r="DD93" t="s">
        <v>3</v>
      </c>
      <c r="DE93" t="s">
        <v>3</v>
      </c>
      <c r="DF93">
        <f>ROUND(ROUND(AE93,2)*CX93,2)</f>
        <v>0</v>
      </c>
      <c r="DG93">
        <f t="shared" si="46"/>
        <v>0</v>
      </c>
      <c r="DH93">
        <f t="shared" si="35"/>
        <v>0</v>
      </c>
      <c r="DI93">
        <f t="shared" si="36"/>
        <v>0</v>
      </c>
      <c r="DJ93">
        <f>DF93</f>
        <v>0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ROW(Source!A75)</f>
        <v>75</v>
      </c>
      <c r="B94">
        <v>85997836</v>
      </c>
      <c r="C94">
        <v>85998341</v>
      </c>
      <c r="D94">
        <v>84164590</v>
      </c>
      <c r="E94">
        <v>117</v>
      </c>
      <c r="F94">
        <v>1</v>
      </c>
      <c r="G94">
        <v>1</v>
      </c>
      <c r="H94">
        <v>1</v>
      </c>
      <c r="I94" t="s">
        <v>590</v>
      </c>
      <c r="J94" t="s">
        <v>3</v>
      </c>
      <c r="K94" t="s">
        <v>591</v>
      </c>
      <c r="L94">
        <v>1191</v>
      </c>
      <c r="N94">
        <v>1013</v>
      </c>
      <c r="O94" t="s">
        <v>541</v>
      </c>
      <c r="P94" t="s">
        <v>541</v>
      </c>
      <c r="Q94">
        <v>1</v>
      </c>
      <c r="W94">
        <v>0</v>
      </c>
      <c r="X94">
        <v>-1088579471</v>
      </c>
      <c r="Y94">
        <f t="shared" ref="Y94:Y121" si="48">AT94</f>
        <v>1.34</v>
      </c>
      <c r="AA94">
        <v>0</v>
      </c>
      <c r="AB94">
        <v>0</v>
      </c>
      <c r="AC94">
        <v>0</v>
      </c>
      <c r="AD94">
        <v>713.96</v>
      </c>
      <c r="AE94">
        <v>0</v>
      </c>
      <c r="AF94">
        <v>0</v>
      </c>
      <c r="AG94">
        <v>0</v>
      </c>
      <c r="AH94">
        <v>713.96</v>
      </c>
      <c r="AI94">
        <v>1</v>
      </c>
      <c r="AJ94">
        <v>1</v>
      </c>
      <c r="AK94">
        <v>1</v>
      </c>
      <c r="AL94">
        <v>1</v>
      </c>
      <c r="AM94">
        <v>-2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</v>
      </c>
      <c r="AT94">
        <v>1.34</v>
      </c>
      <c r="AU94" t="s">
        <v>3</v>
      </c>
      <c r="AV94">
        <v>1</v>
      </c>
      <c r="AW94">
        <v>2</v>
      </c>
      <c r="AX94">
        <v>85998359</v>
      </c>
      <c r="AY94">
        <v>1</v>
      </c>
      <c r="AZ94">
        <v>0</v>
      </c>
      <c r="BA94">
        <v>83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956.70640000000014</v>
      </c>
      <c r="BN94">
        <v>1.34</v>
      </c>
      <c r="BO94">
        <v>0</v>
      </c>
      <c r="BP94">
        <v>1</v>
      </c>
      <c r="BQ94">
        <v>0</v>
      </c>
      <c r="BR94">
        <v>0</v>
      </c>
      <c r="BS94">
        <v>0</v>
      </c>
      <c r="BT94">
        <v>956.70640000000014</v>
      </c>
      <c r="BU94">
        <v>1.34</v>
      </c>
      <c r="BV94">
        <v>0</v>
      </c>
      <c r="BW94">
        <v>1</v>
      </c>
      <c r="CU94">
        <f>ROUND(AT94*Source!I75*AH94*AL94,2)</f>
        <v>5740.24</v>
      </c>
      <c r="CV94">
        <f>ROUND(Y94*Source!I75,7)</f>
        <v>8.0399999999999991</v>
      </c>
      <c r="CW94">
        <v>0</v>
      </c>
      <c r="CX94">
        <f>ROUND(Y94*Source!I75,7)</f>
        <v>8.0399999999999991</v>
      </c>
      <c r="CY94">
        <f>AD94</f>
        <v>713.96</v>
      </c>
      <c r="CZ94">
        <f>AH94</f>
        <v>713.96</v>
      </c>
      <c r="DA94">
        <f>AL94</f>
        <v>1</v>
      </c>
      <c r="DB94">
        <f t="shared" ref="DB94:DB121" si="49">ROUND(ROUND(AT94*CZ94,2),6)</f>
        <v>956.71</v>
      </c>
      <c r="DC94">
        <f t="shared" ref="DC94:DC121" si="50">ROUND(ROUND(AT94*AG94,2),6)</f>
        <v>0</v>
      </c>
      <c r="DD94" t="s">
        <v>3</v>
      </c>
      <c r="DE94" t="s">
        <v>3</v>
      </c>
      <c r="DF94">
        <f>ROUND(ROUND(AE94,2)*CX94,2)</f>
        <v>0</v>
      </c>
      <c r="DG94">
        <f t="shared" si="46"/>
        <v>0</v>
      </c>
      <c r="DH94">
        <f t="shared" si="35"/>
        <v>0</v>
      </c>
      <c r="DI94">
        <f t="shared" si="36"/>
        <v>5740.24</v>
      </c>
      <c r="DJ94">
        <f>DI94</f>
        <v>5740.24</v>
      </c>
      <c r="DK94">
        <v>1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ROW(Source!A75)</f>
        <v>75</v>
      </c>
      <c r="B95">
        <v>85997836</v>
      </c>
      <c r="C95">
        <v>85998341</v>
      </c>
      <c r="D95">
        <v>84172342</v>
      </c>
      <c r="E95">
        <v>1</v>
      </c>
      <c r="F95">
        <v>1</v>
      </c>
      <c r="G95">
        <v>1</v>
      </c>
      <c r="H95">
        <v>2</v>
      </c>
      <c r="I95" t="s">
        <v>549</v>
      </c>
      <c r="J95" t="s">
        <v>550</v>
      </c>
      <c r="K95" t="s">
        <v>551</v>
      </c>
      <c r="L95">
        <v>1368</v>
      </c>
      <c r="N95">
        <v>1011</v>
      </c>
      <c r="O95" t="s">
        <v>29</v>
      </c>
      <c r="P95" t="s">
        <v>29</v>
      </c>
      <c r="Q95">
        <v>1</v>
      </c>
      <c r="W95">
        <v>0</v>
      </c>
      <c r="X95">
        <v>303316554</v>
      </c>
      <c r="Y95">
        <f t="shared" si="48"/>
        <v>0.108</v>
      </c>
      <c r="AA95">
        <v>0</v>
      </c>
      <c r="AB95">
        <v>32.26</v>
      </c>
      <c r="AC95">
        <v>0</v>
      </c>
      <c r="AD95">
        <v>0</v>
      </c>
      <c r="AE95">
        <v>0</v>
      </c>
      <c r="AF95">
        <v>32.26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M95">
        <v>-2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3</v>
      </c>
      <c r="AT95">
        <v>0.108</v>
      </c>
      <c r="AU95" t="s">
        <v>3</v>
      </c>
      <c r="AV95">
        <v>1</v>
      </c>
      <c r="AW95">
        <v>2</v>
      </c>
      <c r="AX95">
        <v>85998360</v>
      </c>
      <c r="AY95">
        <v>1</v>
      </c>
      <c r="AZ95">
        <v>0</v>
      </c>
      <c r="BA95">
        <v>84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3.4840799999999996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0</v>
      </c>
      <c r="BR95">
        <v>3.4840799999999996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f>ROUND(Y95*Source!I75*DO95,7)</f>
        <v>0</v>
      </c>
      <c r="CX95">
        <f>ROUND(Y95*Source!I75,7)</f>
        <v>0.64800000000000002</v>
      </c>
      <c r="CY95">
        <f>AB95</f>
        <v>32.26</v>
      </c>
      <c r="CZ95">
        <f>AF95</f>
        <v>32.26</v>
      </c>
      <c r="DA95">
        <f>AJ95</f>
        <v>1</v>
      </c>
      <c r="DB95">
        <f t="shared" si="49"/>
        <v>3.48</v>
      </c>
      <c r="DC95">
        <f t="shared" si="50"/>
        <v>0</v>
      </c>
      <c r="DD95" t="s">
        <v>3</v>
      </c>
      <c r="DE95" t="s">
        <v>3</v>
      </c>
      <c r="DF95">
        <f>ROUND(ROUND(AE95,2)*CX95,2)</f>
        <v>0</v>
      </c>
      <c r="DG95">
        <f t="shared" si="46"/>
        <v>20.9</v>
      </c>
      <c r="DH95">
        <f t="shared" si="35"/>
        <v>0</v>
      </c>
      <c r="DI95">
        <f t="shared" si="36"/>
        <v>0</v>
      </c>
      <c r="DJ95">
        <f>DG95+DH95</f>
        <v>20.9</v>
      </c>
      <c r="DK95">
        <v>1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ROW(Source!A75)</f>
        <v>75</v>
      </c>
      <c r="B96">
        <v>85997836</v>
      </c>
      <c r="C96">
        <v>85998341</v>
      </c>
      <c r="D96">
        <v>84236848</v>
      </c>
      <c r="E96">
        <v>1</v>
      </c>
      <c r="F96">
        <v>1</v>
      </c>
      <c r="G96">
        <v>1</v>
      </c>
      <c r="H96">
        <v>3</v>
      </c>
      <c r="I96" t="s">
        <v>552</v>
      </c>
      <c r="J96" t="s">
        <v>553</v>
      </c>
      <c r="K96" t="s">
        <v>554</v>
      </c>
      <c r="L96">
        <v>1346</v>
      </c>
      <c r="N96">
        <v>1009</v>
      </c>
      <c r="O96" t="s">
        <v>170</v>
      </c>
      <c r="P96" t="s">
        <v>170</v>
      </c>
      <c r="Q96">
        <v>1</v>
      </c>
      <c r="W96">
        <v>0</v>
      </c>
      <c r="X96">
        <v>819855318</v>
      </c>
      <c r="Y96">
        <f t="shared" si="48"/>
        <v>6.0000000000000001E-3</v>
      </c>
      <c r="AA96">
        <v>240.06</v>
      </c>
      <c r="AB96">
        <v>0</v>
      </c>
      <c r="AC96">
        <v>0</v>
      </c>
      <c r="AD96">
        <v>0</v>
      </c>
      <c r="AE96">
        <v>150.04</v>
      </c>
      <c r="AF96">
        <v>0</v>
      </c>
      <c r="AG96">
        <v>0</v>
      </c>
      <c r="AH96">
        <v>0</v>
      </c>
      <c r="AI96">
        <v>1.6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3</v>
      </c>
      <c r="AT96">
        <v>6.0000000000000001E-3</v>
      </c>
      <c r="AU96" t="s">
        <v>3</v>
      </c>
      <c r="AV96">
        <v>0</v>
      </c>
      <c r="AW96">
        <v>2</v>
      </c>
      <c r="AX96">
        <v>85998361</v>
      </c>
      <c r="AY96">
        <v>1</v>
      </c>
      <c r="AZ96">
        <v>0</v>
      </c>
      <c r="BA96">
        <v>85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0.90023999999999993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0.90023999999999993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1</v>
      </c>
      <c r="CV96">
        <v>0</v>
      </c>
      <c r="CW96">
        <v>0</v>
      </c>
      <c r="CX96">
        <f>ROUND(Y96*Source!I75,7)</f>
        <v>3.5999999999999997E-2</v>
      </c>
      <c r="CY96">
        <f t="shared" ref="CY96:CY110" si="51">AA96</f>
        <v>240.06</v>
      </c>
      <c r="CZ96">
        <f t="shared" ref="CZ96:CZ110" si="52">AE96</f>
        <v>150.04</v>
      </c>
      <c r="DA96">
        <f t="shared" ref="DA96:DA110" si="53">AI96</f>
        <v>1.6</v>
      </c>
      <c r="DB96">
        <f t="shared" si="49"/>
        <v>0.9</v>
      </c>
      <c r="DC96">
        <f t="shared" si="50"/>
        <v>0</v>
      </c>
      <c r="DD96" t="s">
        <v>3</v>
      </c>
      <c r="DE96" t="s">
        <v>3</v>
      </c>
      <c r="DF96">
        <f>ROUND(ROUND(AE96*AI96,2)*CX96,2)</f>
        <v>8.64</v>
      </c>
      <c r="DG96">
        <f t="shared" si="46"/>
        <v>0</v>
      </c>
      <c r="DH96">
        <f t="shared" si="35"/>
        <v>0</v>
      </c>
      <c r="DI96">
        <f t="shared" si="36"/>
        <v>0</v>
      </c>
      <c r="DJ96">
        <f t="shared" ref="DJ96:DJ110" si="54">DF96</f>
        <v>8.64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ROW(Source!A75)</f>
        <v>75</v>
      </c>
      <c r="B97">
        <v>85997836</v>
      </c>
      <c r="C97">
        <v>85998341</v>
      </c>
      <c r="D97">
        <v>84238890</v>
      </c>
      <c r="E97">
        <v>1</v>
      </c>
      <c r="F97">
        <v>1</v>
      </c>
      <c r="G97">
        <v>1</v>
      </c>
      <c r="H97">
        <v>3</v>
      </c>
      <c r="I97" t="s">
        <v>555</v>
      </c>
      <c r="J97" t="s">
        <v>556</v>
      </c>
      <c r="K97" t="s">
        <v>557</v>
      </c>
      <c r="L97">
        <v>1346</v>
      </c>
      <c r="N97">
        <v>1009</v>
      </c>
      <c r="O97" t="s">
        <v>170</v>
      </c>
      <c r="P97" t="s">
        <v>170</v>
      </c>
      <c r="Q97">
        <v>1</v>
      </c>
      <c r="W97">
        <v>0</v>
      </c>
      <c r="X97">
        <v>-559691286</v>
      </c>
      <c r="Y97">
        <f t="shared" si="48"/>
        <v>1E-3</v>
      </c>
      <c r="AA97">
        <v>164.89</v>
      </c>
      <c r="AB97">
        <v>0</v>
      </c>
      <c r="AC97">
        <v>0</v>
      </c>
      <c r="AD97">
        <v>0</v>
      </c>
      <c r="AE97">
        <v>187.38</v>
      </c>
      <c r="AF97">
        <v>0</v>
      </c>
      <c r="AG97">
        <v>0</v>
      </c>
      <c r="AH97">
        <v>0</v>
      </c>
      <c r="AI97">
        <v>0.88</v>
      </c>
      <c r="AJ97">
        <v>1</v>
      </c>
      <c r="AK97">
        <v>1</v>
      </c>
      <c r="AL97">
        <v>1</v>
      </c>
      <c r="AM97">
        <v>2</v>
      </c>
      <c r="AN97">
        <v>0</v>
      </c>
      <c r="AO97">
        <v>0</v>
      </c>
      <c r="AP97">
        <v>1</v>
      </c>
      <c r="AQ97">
        <v>1</v>
      </c>
      <c r="AR97">
        <v>0</v>
      </c>
      <c r="AS97" t="s">
        <v>3</v>
      </c>
      <c r="AT97">
        <v>1E-3</v>
      </c>
      <c r="AU97" t="s">
        <v>3</v>
      </c>
      <c r="AV97">
        <v>0</v>
      </c>
      <c r="AW97">
        <v>2</v>
      </c>
      <c r="AX97">
        <v>85998362</v>
      </c>
      <c r="AY97">
        <v>1</v>
      </c>
      <c r="AZ97">
        <v>0</v>
      </c>
      <c r="BA97">
        <v>86</v>
      </c>
      <c r="BB97">
        <v>1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0.18737999999999999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0.18737999999999999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1</v>
      </c>
      <c r="CV97">
        <v>0</v>
      </c>
      <c r="CW97">
        <v>0</v>
      </c>
      <c r="CX97">
        <f>ROUND(Y97*Source!I75,7)</f>
        <v>6.0000000000000001E-3</v>
      </c>
      <c r="CY97">
        <f t="shared" si="51"/>
        <v>164.89</v>
      </c>
      <c r="CZ97">
        <f t="shared" si="52"/>
        <v>187.38</v>
      </c>
      <c r="DA97">
        <f t="shared" si="53"/>
        <v>0.88</v>
      </c>
      <c r="DB97">
        <f t="shared" si="49"/>
        <v>0.19</v>
      </c>
      <c r="DC97">
        <f t="shared" si="50"/>
        <v>0</v>
      </c>
      <c r="DD97" t="s">
        <v>3</v>
      </c>
      <c r="DE97" t="s">
        <v>3</v>
      </c>
      <c r="DF97">
        <f>ROUND(ROUND(AE97*AI97,2)*CX97,2)</f>
        <v>0.99</v>
      </c>
      <c r="DG97">
        <f t="shared" si="46"/>
        <v>0</v>
      </c>
      <c r="DH97">
        <f t="shared" si="35"/>
        <v>0</v>
      </c>
      <c r="DI97">
        <f t="shared" si="36"/>
        <v>0</v>
      </c>
      <c r="DJ97">
        <f t="shared" si="54"/>
        <v>0.99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ROW(Source!A75)</f>
        <v>75</v>
      </c>
      <c r="B98">
        <v>85997836</v>
      </c>
      <c r="C98">
        <v>85998341</v>
      </c>
      <c r="D98">
        <v>84238914</v>
      </c>
      <c r="E98">
        <v>1</v>
      </c>
      <c r="F98">
        <v>1</v>
      </c>
      <c r="G98">
        <v>1</v>
      </c>
      <c r="H98">
        <v>3</v>
      </c>
      <c r="I98" t="s">
        <v>558</v>
      </c>
      <c r="J98" t="s">
        <v>559</v>
      </c>
      <c r="K98" t="s">
        <v>560</v>
      </c>
      <c r="L98">
        <v>1383</v>
      </c>
      <c r="N98">
        <v>1013</v>
      </c>
      <c r="O98" t="s">
        <v>561</v>
      </c>
      <c r="P98" t="s">
        <v>561</v>
      </c>
      <c r="Q98">
        <v>1</v>
      </c>
      <c r="W98">
        <v>0</v>
      </c>
      <c r="X98">
        <v>1840299850</v>
      </c>
      <c r="Y98">
        <f t="shared" si="48"/>
        <v>2.0799999999999999E-2</v>
      </c>
      <c r="AA98">
        <v>6.78</v>
      </c>
      <c r="AB98">
        <v>0</v>
      </c>
      <c r="AC98">
        <v>0</v>
      </c>
      <c r="AD98">
        <v>0</v>
      </c>
      <c r="AE98">
        <v>6.78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-2</v>
      </c>
      <c r="AN98">
        <v>0</v>
      </c>
      <c r="AO98">
        <v>0</v>
      </c>
      <c r="AP98">
        <v>1</v>
      </c>
      <c r="AQ98">
        <v>1</v>
      </c>
      <c r="AR98">
        <v>0</v>
      </c>
      <c r="AS98" t="s">
        <v>3</v>
      </c>
      <c r="AT98">
        <v>2.0799999999999999E-2</v>
      </c>
      <c r="AU98" t="s">
        <v>3</v>
      </c>
      <c r="AV98">
        <v>0</v>
      </c>
      <c r="AW98">
        <v>2</v>
      </c>
      <c r="AX98">
        <v>85998363</v>
      </c>
      <c r="AY98">
        <v>1</v>
      </c>
      <c r="AZ98">
        <v>0</v>
      </c>
      <c r="BA98">
        <v>87</v>
      </c>
      <c r="BB98">
        <v>1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0.14102400000000001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0.14102400000000001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1</v>
      </c>
      <c r="CV98">
        <v>0</v>
      </c>
      <c r="CW98">
        <v>0</v>
      </c>
      <c r="CX98">
        <f>ROUND(Y98*Source!I75,7)</f>
        <v>0.12479999999999999</v>
      </c>
      <c r="CY98">
        <f t="shared" si="51"/>
        <v>6.78</v>
      </c>
      <c r="CZ98">
        <f t="shared" si="52"/>
        <v>6.78</v>
      </c>
      <c r="DA98">
        <f t="shared" si="53"/>
        <v>1</v>
      </c>
      <c r="DB98">
        <f t="shared" si="49"/>
        <v>0.14000000000000001</v>
      </c>
      <c r="DC98">
        <f t="shared" si="50"/>
        <v>0</v>
      </c>
      <c r="DD98" t="s">
        <v>3</v>
      </c>
      <c r="DE98" t="s">
        <v>3</v>
      </c>
      <c r="DF98">
        <f>ROUND(ROUND(AE98,2)*CX98,2)</f>
        <v>0.85</v>
      </c>
      <c r="DG98">
        <f t="shared" si="46"/>
        <v>0</v>
      </c>
      <c r="DH98">
        <f t="shared" si="35"/>
        <v>0</v>
      </c>
      <c r="DI98">
        <f t="shared" si="36"/>
        <v>0</v>
      </c>
      <c r="DJ98">
        <f t="shared" si="54"/>
        <v>0.85</v>
      </c>
      <c r="DK98">
        <v>1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ROW(Source!A75)</f>
        <v>75</v>
      </c>
      <c r="B99">
        <v>85997836</v>
      </c>
      <c r="C99">
        <v>85998341</v>
      </c>
      <c r="D99">
        <v>84239073</v>
      </c>
      <c r="E99">
        <v>1</v>
      </c>
      <c r="F99">
        <v>1</v>
      </c>
      <c r="G99">
        <v>1</v>
      </c>
      <c r="H99">
        <v>3</v>
      </c>
      <c r="I99" t="s">
        <v>562</v>
      </c>
      <c r="J99" t="s">
        <v>563</v>
      </c>
      <c r="K99" t="s">
        <v>564</v>
      </c>
      <c r="L99">
        <v>1301</v>
      </c>
      <c r="N99">
        <v>1003</v>
      </c>
      <c r="O99" t="s">
        <v>364</v>
      </c>
      <c r="P99" t="s">
        <v>364</v>
      </c>
      <c r="Q99">
        <v>1</v>
      </c>
      <c r="W99">
        <v>0</v>
      </c>
      <c r="X99">
        <v>-1499427467</v>
      </c>
      <c r="Y99">
        <f t="shared" si="48"/>
        <v>1</v>
      </c>
      <c r="AA99">
        <v>5.17</v>
      </c>
      <c r="AB99">
        <v>0</v>
      </c>
      <c r="AC99">
        <v>0</v>
      </c>
      <c r="AD99">
        <v>0</v>
      </c>
      <c r="AE99">
        <v>5.87</v>
      </c>
      <c r="AF99">
        <v>0</v>
      </c>
      <c r="AG99">
        <v>0</v>
      </c>
      <c r="AH99">
        <v>0</v>
      </c>
      <c r="AI99">
        <v>0.88</v>
      </c>
      <c r="AJ99">
        <v>1</v>
      </c>
      <c r="AK99">
        <v>1</v>
      </c>
      <c r="AL99">
        <v>1</v>
      </c>
      <c r="AM99">
        <v>2</v>
      </c>
      <c r="AN99">
        <v>0</v>
      </c>
      <c r="AO99">
        <v>0</v>
      </c>
      <c r="AP99">
        <v>1</v>
      </c>
      <c r="AQ99">
        <v>1</v>
      </c>
      <c r="AR99">
        <v>0</v>
      </c>
      <c r="AS99" t="s">
        <v>3</v>
      </c>
      <c r="AT99">
        <v>1</v>
      </c>
      <c r="AU99" t="s">
        <v>3</v>
      </c>
      <c r="AV99">
        <v>0</v>
      </c>
      <c r="AW99">
        <v>2</v>
      </c>
      <c r="AX99">
        <v>85998364</v>
      </c>
      <c r="AY99">
        <v>1</v>
      </c>
      <c r="AZ99">
        <v>0</v>
      </c>
      <c r="BA99">
        <v>88</v>
      </c>
      <c r="BB99">
        <v>1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5.87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1</v>
      </c>
      <c r="BQ99">
        <v>5.87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1</v>
      </c>
      <c r="CV99">
        <v>0</v>
      </c>
      <c r="CW99">
        <v>0</v>
      </c>
      <c r="CX99">
        <f>ROUND(Y99*Source!I75,7)</f>
        <v>6</v>
      </c>
      <c r="CY99">
        <f t="shared" si="51"/>
        <v>5.17</v>
      </c>
      <c r="CZ99">
        <f t="shared" si="52"/>
        <v>5.87</v>
      </c>
      <c r="DA99">
        <f t="shared" si="53"/>
        <v>0.88</v>
      </c>
      <c r="DB99">
        <f t="shared" si="49"/>
        <v>5.87</v>
      </c>
      <c r="DC99">
        <f t="shared" si="50"/>
        <v>0</v>
      </c>
      <c r="DD99" t="s">
        <v>3</v>
      </c>
      <c r="DE99" t="s">
        <v>3</v>
      </c>
      <c r="DF99">
        <f t="shared" ref="DF99:DF107" si="55">ROUND(ROUND(AE99*AI99,2)*CX99,2)</f>
        <v>31.02</v>
      </c>
      <c r="DG99">
        <f t="shared" si="46"/>
        <v>0</v>
      </c>
      <c r="DH99">
        <f t="shared" si="35"/>
        <v>0</v>
      </c>
      <c r="DI99">
        <f t="shared" si="36"/>
        <v>0</v>
      </c>
      <c r="DJ99">
        <f t="shared" si="54"/>
        <v>31.02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ROW(Source!A75)</f>
        <v>75</v>
      </c>
      <c r="B100">
        <v>85997836</v>
      </c>
      <c r="C100">
        <v>85998341</v>
      </c>
      <c r="D100">
        <v>84239655</v>
      </c>
      <c r="E100">
        <v>1</v>
      </c>
      <c r="F100">
        <v>1</v>
      </c>
      <c r="G100">
        <v>1</v>
      </c>
      <c r="H100">
        <v>3</v>
      </c>
      <c r="I100" t="s">
        <v>565</v>
      </c>
      <c r="J100" t="s">
        <v>566</v>
      </c>
      <c r="K100" t="s">
        <v>567</v>
      </c>
      <c r="L100">
        <v>1346</v>
      </c>
      <c r="N100">
        <v>1009</v>
      </c>
      <c r="O100" t="s">
        <v>170</v>
      </c>
      <c r="P100" t="s">
        <v>170</v>
      </c>
      <c r="Q100">
        <v>1</v>
      </c>
      <c r="W100">
        <v>0</v>
      </c>
      <c r="X100">
        <v>-163259778</v>
      </c>
      <c r="Y100">
        <f t="shared" si="48"/>
        <v>7.0000000000000007E-2</v>
      </c>
      <c r="AA100">
        <v>121.39</v>
      </c>
      <c r="AB100">
        <v>0</v>
      </c>
      <c r="AC100">
        <v>0</v>
      </c>
      <c r="AD100">
        <v>0</v>
      </c>
      <c r="AE100">
        <v>155.63</v>
      </c>
      <c r="AF100">
        <v>0</v>
      </c>
      <c r="AG100">
        <v>0</v>
      </c>
      <c r="AH100">
        <v>0</v>
      </c>
      <c r="AI100">
        <v>0.78</v>
      </c>
      <c r="AJ100">
        <v>1</v>
      </c>
      <c r="AK100">
        <v>1</v>
      </c>
      <c r="AL100">
        <v>1</v>
      </c>
      <c r="AM100">
        <v>2</v>
      </c>
      <c r="AN100">
        <v>0</v>
      </c>
      <c r="AO100">
        <v>0</v>
      </c>
      <c r="AP100">
        <v>1</v>
      </c>
      <c r="AQ100">
        <v>1</v>
      </c>
      <c r="AR100">
        <v>0</v>
      </c>
      <c r="AS100" t="s">
        <v>3</v>
      </c>
      <c r="AT100">
        <v>7.0000000000000007E-2</v>
      </c>
      <c r="AU100" t="s">
        <v>3</v>
      </c>
      <c r="AV100">
        <v>0</v>
      </c>
      <c r="AW100">
        <v>2</v>
      </c>
      <c r="AX100">
        <v>85998365</v>
      </c>
      <c r="AY100">
        <v>1</v>
      </c>
      <c r="AZ100">
        <v>0</v>
      </c>
      <c r="BA100">
        <v>89</v>
      </c>
      <c r="BB100">
        <v>1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10.8941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1</v>
      </c>
      <c r="BQ100">
        <v>10.8941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1</v>
      </c>
      <c r="CV100">
        <v>0</v>
      </c>
      <c r="CW100">
        <v>0</v>
      </c>
      <c r="CX100">
        <f>ROUND(Y100*Source!I75,7)</f>
        <v>0.42</v>
      </c>
      <c r="CY100">
        <f t="shared" si="51"/>
        <v>121.39</v>
      </c>
      <c r="CZ100">
        <f t="shared" si="52"/>
        <v>155.63</v>
      </c>
      <c r="DA100">
        <f t="shared" si="53"/>
        <v>0.78</v>
      </c>
      <c r="DB100">
        <f t="shared" si="49"/>
        <v>10.89</v>
      </c>
      <c r="DC100">
        <f t="shared" si="50"/>
        <v>0</v>
      </c>
      <c r="DD100" t="s">
        <v>3</v>
      </c>
      <c r="DE100" t="s">
        <v>3</v>
      </c>
      <c r="DF100">
        <f t="shared" si="55"/>
        <v>50.98</v>
      </c>
      <c r="DG100">
        <f t="shared" si="46"/>
        <v>0</v>
      </c>
      <c r="DH100">
        <f t="shared" si="35"/>
        <v>0</v>
      </c>
      <c r="DI100">
        <f t="shared" si="36"/>
        <v>0</v>
      </c>
      <c r="DJ100">
        <f t="shared" si="54"/>
        <v>50.98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ROW(Source!A75)</f>
        <v>75</v>
      </c>
      <c r="B101">
        <v>85997836</v>
      </c>
      <c r="C101">
        <v>85998341</v>
      </c>
      <c r="D101">
        <v>84240416</v>
      </c>
      <c r="E101">
        <v>1</v>
      </c>
      <c r="F101">
        <v>1</v>
      </c>
      <c r="G101">
        <v>1</v>
      </c>
      <c r="H101">
        <v>3</v>
      </c>
      <c r="I101" t="s">
        <v>301</v>
      </c>
      <c r="J101" t="s">
        <v>303</v>
      </c>
      <c r="K101" t="s">
        <v>302</v>
      </c>
      <c r="L101">
        <v>1346</v>
      </c>
      <c r="N101">
        <v>1009</v>
      </c>
      <c r="O101" t="s">
        <v>170</v>
      </c>
      <c r="P101" t="s">
        <v>170</v>
      </c>
      <c r="Q101">
        <v>1</v>
      </c>
      <c r="W101">
        <v>0</v>
      </c>
      <c r="X101">
        <v>-1131385474</v>
      </c>
      <c r="Y101">
        <f t="shared" si="48"/>
        <v>4.9000000000000002E-2</v>
      </c>
      <c r="AA101">
        <v>190.67</v>
      </c>
      <c r="AB101">
        <v>0</v>
      </c>
      <c r="AC101">
        <v>0</v>
      </c>
      <c r="AD101">
        <v>0</v>
      </c>
      <c r="AE101">
        <v>174.93</v>
      </c>
      <c r="AF101">
        <v>0</v>
      </c>
      <c r="AG101">
        <v>0</v>
      </c>
      <c r="AH101">
        <v>0</v>
      </c>
      <c r="AI101">
        <v>1.0900000000000001</v>
      </c>
      <c r="AJ101">
        <v>1</v>
      </c>
      <c r="AK101">
        <v>1</v>
      </c>
      <c r="AL101">
        <v>1</v>
      </c>
      <c r="AM101">
        <v>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3</v>
      </c>
      <c r="AT101">
        <v>4.9000000000000002E-2</v>
      </c>
      <c r="AU101" t="s">
        <v>3</v>
      </c>
      <c r="AV101">
        <v>0</v>
      </c>
      <c r="AW101">
        <v>2</v>
      </c>
      <c r="AX101">
        <v>85998366</v>
      </c>
      <c r="AY101">
        <v>1</v>
      </c>
      <c r="AZ101">
        <v>0</v>
      </c>
      <c r="BA101">
        <v>90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8.5715700000000012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1</v>
      </c>
      <c r="BQ101">
        <v>8.5715700000000012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1</v>
      </c>
      <c r="CV101">
        <v>0</v>
      </c>
      <c r="CW101">
        <v>0</v>
      </c>
      <c r="CX101">
        <f>ROUND(Y101*Source!I75,7)</f>
        <v>0.29399999999999998</v>
      </c>
      <c r="CY101">
        <f t="shared" si="51"/>
        <v>190.67</v>
      </c>
      <c r="CZ101">
        <f t="shared" si="52"/>
        <v>174.93</v>
      </c>
      <c r="DA101">
        <f t="shared" si="53"/>
        <v>1.0900000000000001</v>
      </c>
      <c r="DB101">
        <f t="shared" si="49"/>
        <v>8.57</v>
      </c>
      <c r="DC101">
        <f t="shared" si="50"/>
        <v>0</v>
      </c>
      <c r="DD101" t="s">
        <v>3</v>
      </c>
      <c r="DE101" t="s">
        <v>3</v>
      </c>
      <c r="DF101">
        <f t="shared" si="55"/>
        <v>56.06</v>
      </c>
      <c r="DG101">
        <f t="shared" si="46"/>
        <v>0</v>
      </c>
      <c r="DH101">
        <f t="shared" si="35"/>
        <v>0</v>
      </c>
      <c r="DI101">
        <f t="shared" si="36"/>
        <v>0</v>
      </c>
      <c r="DJ101">
        <f t="shared" si="54"/>
        <v>56.06</v>
      </c>
      <c r="DK101">
        <v>0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ROW(Source!A75)</f>
        <v>75</v>
      </c>
      <c r="B102">
        <v>85997836</v>
      </c>
      <c r="C102">
        <v>85998341</v>
      </c>
      <c r="D102">
        <v>84240482</v>
      </c>
      <c r="E102">
        <v>1</v>
      </c>
      <c r="F102">
        <v>1</v>
      </c>
      <c r="G102">
        <v>1</v>
      </c>
      <c r="H102">
        <v>3</v>
      </c>
      <c r="I102" t="s">
        <v>568</v>
      </c>
      <c r="J102" t="s">
        <v>569</v>
      </c>
      <c r="K102" t="s">
        <v>570</v>
      </c>
      <c r="L102">
        <v>1425</v>
      </c>
      <c r="N102">
        <v>1013</v>
      </c>
      <c r="O102" t="s">
        <v>20</v>
      </c>
      <c r="P102" t="s">
        <v>20</v>
      </c>
      <c r="Q102">
        <v>1</v>
      </c>
      <c r="W102">
        <v>0</v>
      </c>
      <c r="X102">
        <v>-1956790874</v>
      </c>
      <c r="Y102">
        <f t="shared" si="48"/>
        <v>1.4E-2</v>
      </c>
      <c r="AA102">
        <v>53.81</v>
      </c>
      <c r="AB102">
        <v>0</v>
      </c>
      <c r="AC102">
        <v>0</v>
      </c>
      <c r="AD102">
        <v>0</v>
      </c>
      <c r="AE102">
        <v>41.71</v>
      </c>
      <c r="AF102">
        <v>0</v>
      </c>
      <c r="AG102">
        <v>0</v>
      </c>
      <c r="AH102">
        <v>0</v>
      </c>
      <c r="AI102">
        <v>1.29</v>
      </c>
      <c r="AJ102">
        <v>1</v>
      </c>
      <c r="AK102">
        <v>1</v>
      </c>
      <c r="AL102">
        <v>1</v>
      </c>
      <c r="AM102">
        <v>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3</v>
      </c>
      <c r="AT102">
        <v>1.4E-2</v>
      </c>
      <c r="AU102" t="s">
        <v>3</v>
      </c>
      <c r="AV102">
        <v>0</v>
      </c>
      <c r="AW102">
        <v>2</v>
      </c>
      <c r="AX102">
        <v>85998367</v>
      </c>
      <c r="AY102">
        <v>1</v>
      </c>
      <c r="AZ102">
        <v>0</v>
      </c>
      <c r="BA102">
        <v>91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0.58394000000000001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1</v>
      </c>
      <c r="BQ102">
        <v>0.58394000000000001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1</v>
      </c>
      <c r="CV102">
        <v>0</v>
      </c>
      <c r="CW102">
        <v>0</v>
      </c>
      <c r="CX102">
        <f>ROUND(Y102*Source!I75,7)</f>
        <v>8.4000000000000005E-2</v>
      </c>
      <c r="CY102">
        <f t="shared" si="51"/>
        <v>53.81</v>
      </c>
      <c r="CZ102">
        <f t="shared" si="52"/>
        <v>41.71</v>
      </c>
      <c r="DA102">
        <f t="shared" si="53"/>
        <v>1.29</v>
      </c>
      <c r="DB102">
        <f t="shared" si="49"/>
        <v>0.57999999999999996</v>
      </c>
      <c r="DC102">
        <f t="shared" si="50"/>
        <v>0</v>
      </c>
      <c r="DD102" t="s">
        <v>3</v>
      </c>
      <c r="DE102" t="s">
        <v>3</v>
      </c>
      <c r="DF102">
        <f t="shared" si="55"/>
        <v>4.5199999999999996</v>
      </c>
      <c r="DG102">
        <f t="shared" si="46"/>
        <v>0</v>
      </c>
      <c r="DH102">
        <f t="shared" si="35"/>
        <v>0</v>
      </c>
      <c r="DI102">
        <f t="shared" si="36"/>
        <v>0</v>
      </c>
      <c r="DJ102">
        <f t="shared" si="54"/>
        <v>4.5199999999999996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ROW(Source!A75)</f>
        <v>75</v>
      </c>
      <c r="B103">
        <v>85997836</v>
      </c>
      <c r="C103">
        <v>85998341</v>
      </c>
      <c r="D103">
        <v>84241538</v>
      </c>
      <c r="E103">
        <v>1</v>
      </c>
      <c r="F103">
        <v>1</v>
      </c>
      <c r="G103">
        <v>1</v>
      </c>
      <c r="H103">
        <v>3</v>
      </c>
      <c r="I103" t="s">
        <v>571</v>
      </c>
      <c r="J103" t="s">
        <v>572</v>
      </c>
      <c r="K103" t="s">
        <v>573</v>
      </c>
      <c r="L103">
        <v>1346</v>
      </c>
      <c r="N103">
        <v>1009</v>
      </c>
      <c r="O103" t="s">
        <v>170</v>
      </c>
      <c r="P103" t="s">
        <v>170</v>
      </c>
      <c r="Q103">
        <v>1</v>
      </c>
      <c r="W103">
        <v>0</v>
      </c>
      <c r="X103">
        <v>-390590286</v>
      </c>
      <c r="Y103">
        <f t="shared" si="48"/>
        <v>1E-3</v>
      </c>
      <c r="AA103">
        <v>609.29999999999995</v>
      </c>
      <c r="AB103">
        <v>0</v>
      </c>
      <c r="AC103">
        <v>0</v>
      </c>
      <c r="AD103">
        <v>0</v>
      </c>
      <c r="AE103">
        <v>395.65</v>
      </c>
      <c r="AF103">
        <v>0</v>
      </c>
      <c r="AG103">
        <v>0</v>
      </c>
      <c r="AH103">
        <v>0</v>
      </c>
      <c r="AI103">
        <v>1.54</v>
      </c>
      <c r="AJ103">
        <v>1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</v>
      </c>
      <c r="AT103">
        <v>1E-3</v>
      </c>
      <c r="AU103" t="s">
        <v>3</v>
      </c>
      <c r="AV103">
        <v>0</v>
      </c>
      <c r="AW103">
        <v>2</v>
      </c>
      <c r="AX103">
        <v>85998368</v>
      </c>
      <c r="AY103">
        <v>1</v>
      </c>
      <c r="AZ103">
        <v>0</v>
      </c>
      <c r="BA103">
        <v>92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0.39565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1</v>
      </c>
      <c r="BQ103">
        <v>0.39565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1</v>
      </c>
      <c r="CV103">
        <v>0</v>
      </c>
      <c r="CW103">
        <v>0</v>
      </c>
      <c r="CX103">
        <f>ROUND(Y103*Source!I75,7)</f>
        <v>6.0000000000000001E-3</v>
      </c>
      <c r="CY103">
        <f t="shared" si="51"/>
        <v>609.29999999999995</v>
      </c>
      <c r="CZ103">
        <f t="shared" si="52"/>
        <v>395.65</v>
      </c>
      <c r="DA103">
        <f t="shared" si="53"/>
        <v>1.54</v>
      </c>
      <c r="DB103">
        <f t="shared" si="49"/>
        <v>0.4</v>
      </c>
      <c r="DC103">
        <f t="shared" si="50"/>
        <v>0</v>
      </c>
      <c r="DD103" t="s">
        <v>3</v>
      </c>
      <c r="DE103" t="s">
        <v>3</v>
      </c>
      <c r="DF103">
        <f t="shared" si="55"/>
        <v>3.66</v>
      </c>
      <c r="DG103">
        <f t="shared" si="46"/>
        <v>0</v>
      </c>
      <c r="DH103">
        <f t="shared" si="35"/>
        <v>0</v>
      </c>
      <c r="DI103">
        <f t="shared" si="36"/>
        <v>0</v>
      </c>
      <c r="DJ103">
        <f t="shared" si="54"/>
        <v>3.66</v>
      </c>
      <c r="DK103">
        <v>0</v>
      </c>
      <c r="DL103" t="s">
        <v>3</v>
      </c>
      <c r="DM103">
        <v>0</v>
      </c>
      <c r="DN103" t="s">
        <v>3</v>
      </c>
      <c r="DO103">
        <v>0</v>
      </c>
    </row>
    <row r="104" spans="1:119" x14ac:dyDescent="0.2">
      <c r="A104">
        <f>ROW(Source!A75)</f>
        <v>75</v>
      </c>
      <c r="B104">
        <v>85997836</v>
      </c>
      <c r="C104">
        <v>85998341</v>
      </c>
      <c r="D104">
        <v>84245562</v>
      </c>
      <c r="E104">
        <v>1</v>
      </c>
      <c r="F104">
        <v>1</v>
      </c>
      <c r="G104">
        <v>1</v>
      </c>
      <c r="H104">
        <v>3</v>
      </c>
      <c r="I104" t="s">
        <v>574</v>
      </c>
      <c r="J104" t="s">
        <v>575</v>
      </c>
      <c r="K104" t="s">
        <v>576</v>
      </c>
      <c r="L104">
        <v>1348</v>
      </c>
      <c r="N104">
        <v>1009</v>
      </c>
      <c r="O104" t="s">
        <v>165</v>
      </c>
      <c r="P104" t="s">
        <v>165</v>
      </c>
      <c r="Q104">
        <v>1000</v>
      </c>
      <c r="W104">
        <v>0</v>
      </c>
      <c r="X104">
        <v>-854471770</v>
      </c>
      <c r="Y104">
        <f t="shared" si="48"/>
        <v>1E-3</v>
      </c>
      <c r="AA104">
        <v>136862.45000000001</v>
      </c>
      <c r="AB104">
        <v>0</v>
      </c>
      <c r="AC104">
        <v>0</v>
      </c>
      <c r="AD104">
        <v>0</v>
      </c>
      <c r="AE104">
        <v>105278.81</v>
      </c>
      <c r="AF104">
        <v>0</v>
      </c>
      <c r="AG104">
        <v>0</v>
      </c>
      <c r="AH104">
        <v>0</v>
      </c>
      <c r="AI104">
        <v>1.3</v>
      </c>
      <c r="AJ104">
        <v>1</v>
      </c>
      <c r="AK104">
        <v>1</v>
      </c>
      <c r="AL104">
        <v>1</v>
      </c>
      <c r="AM104">
        <v>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3</v>
      </c>
      <c r="AT104">
        <v>1E-3</v>
      </c>
      <c r="AU104" t="s">
        <v>3</v>
      </c>
      <c r="AV104">
        <v>0</v>
      </c>
      <c r="AW104">
        <v>2</v>
      </c>
      <c r="AX104">
        <v>85998369</v>
      </c>
      <c r="AY104">
        <v>1</v>
      </c>
      <c r="AZ104">
        <v>0</v>
      </c>
      <c r="BA104">
        <v>93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105.27880999999999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1</v>
      </c>
      <c r="BQ104">
        <v>105.27880999999999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1</v>
      </c>
      <c r="CV104">
        <v>0</v>
      </c>
      <c r="CW104">
        <v>0</v>
      </c>
      <c r="CX104">
        <f>ROUND(Y104*Source!I75,7)</f>
        <v>6.0000000000000001E-3</v>
      </c>
      <c r="CY104">
        <f t="shared" si="51"/>
        <v>136862.45000000001</v>
      </c>
      <c r="CZ104">
        <f t="shared" si="52"/>
        <v>105278.81</v>
      </c>
      <c r="DA104">
        <f t="shared" si="53"/>
        <v>1.3</v>
      </c>
      <c r="DB104">
        <f t="shared" si="49"/>
        <v>105.28</v>
      </c>
      <c r="DC104">
        <f t="shared" si="50"/>
        <v>0</v>
      </c>
      <c r="DD104" t="s">
        <v>3</v>
      </c>
      <c r="DE104" t="s">
        <v>3</v>
      </c>
      <c r="DF104">
        <f t="shared" si="55"/>
        <v>821.17</v>
      </c>
      <c r="DG104">
        <f t="shared" si="46"/>
        <v>0</v>
      </c>
      <c r="DH104">
        <f t="shared" si="35"/>
        <v>0</v>
      </c>
      <c r="DI104">
        <f t="shared" si="36"/>
        <v>0</v>
      </c>
      <c r="DJ104">
        <f t="shared" si="54"/>
        <v>821.17</v>
      </c>
      <c r="DK104">
        <v>0</v>
      </c>
      <c r="DL104" t="s">
        <v>3</v>
      </c>
      <c r="DM104">
        <v>0</v>
      </c>
      <c r="DN104" t="s">
        <v>3</v>
      </c>
      <c r="DO104">
        <v>0</v>
      </c>
    </row>
    <row r="105" spans="1:119" x14ac:dyDescent="0.2">
      <c r="A105">
        <f>ROW(Source!A75)</f>
        <v>75</v>
      </c>
      <c r="B105">
        <v>85997836</v>
      </c>
      <c r="C105">
        <v>85998341</v>
      </c>
      <c r="D105">
        <v>84257608</v>
      </c>
      <c r="E105">
        <v>1</v>
      </c>
      <c r="F105">
        <v>1</v>
      </c>
      <c r="G105">
        <v>1</v>
      </c>
      <c r="H105">
        <v>3</v>
      </c>
      <c r="I105" t="s">
        <v>577</v>
      </c>
      <c r="J105" t="s">
        <v>578</v>
      </c>
      <c r="K105" t="s">
        <v>579</v>
      </c>
      <c r="L105">
        <v>1346</v>
      </c>
      <c r="N105">
        <v>1009</v>
      </c>
      <c r="O105" t="s">
        <v>170</v>
      </c>
      <c r="P105" t="s">
        <v>170</v>
      </c>
      <c r="Q105">
        <v>1</v>
      </c>
      <c r="W105">
        <v>0</v>
      </c>
      <c r="X105">
        <v>291254868</v>
      </c>
      <c r="Y105">
        <f t="shared" si="48"/>
        <v>3.5999999999999997E-2</v>
      </c>
      <c r="AA105">
        <v>111.83</v>
      </c>
      <c r="AB105">
        <v>0</v>
      </c>
      <c r="AC105">
        <v>0</v>
      </c>
      <c r="AD105">
        <v>0</v>
      </c>
      <c r="AE105">
        <v>79.88</v>
      </c>
      <c r="AF105">
        <v>0</v>
      </c>
      <c r="AG105">
        <v>0</v>
      </c>
      <c r="AH105">
        <v>0</v>
      </c>
      <c r="AI105">
        <v>1.4</v>
      </c>
      <c r="AJ105">
        <v>1</v>
      </c>
      <c r="AK105">
        <v>1</v>
      </c>
      <c r="AL105">
        <v>1</v>
      </c>
      <c r="AM105">
        <v>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3</v>
      </c>
      <c r="AT105">
        <v>3.5999999999999997E-2</v>
      </c>
      <c r="AU105" t="s">
        <v>3</v>
      </c>
      <c r="AV105">
        <v>0</v>
      </c>
      <c r="AW105">
        <v>2</v>
      </c>
      <c r="AX105">
        <v>85998370</v>
      </c>
      <c r="AY105">
        <v>1</v>
      </c>
      <c r="AZ105">
        <v>0</v>
      </c>
      <c r="BA105">
        <v>94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2.8756799999999996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2.8756799999999996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v>0</v>
      </c>
      <c r="CX105">
        <f>ROUND(Y105*Source!I75,7)</f>
        <v>0.216</v>
      </c>
      <c r="CY105">
        <f t="shared" si="51"/>
        <v>111.83</v>
      </c>
      <c r="CZ105">
        <f t="shared" si="52"/>
        <v>79.88</v>
      </c>
      <c r="DA105">
        <f t="shared" si="53"/>
        <v>1.4</v>
      </c>
      <c r="DB105">
        <f t="shared" si="49"/>
        <v>2.88</v>
      </c>
      <c r="DC105">
        <f t="shared" si="50"/>
        <v>0</v>
      </c>
      <c r="DD105" t="s">
        <v>3</v>
      </c>
      <c r="DE105" t="s">
        <v>3</v>
      </c>
      <c r="DF105">
        <f t="shared" si="55"/>
        <v>24.16</v>
      </c>
      <c r="DG105">
        <f t="shared" si="46"/>
        <v>0</v>
      </c>
      <c r="DH105">
        <f t="shared" si="35"/>
        <v>0</v>
      </c>
      <c r="DI105">
        <f t="shared" si="36"/>
        <v>0</v>
      </c>
      <c r="DJ105">
        <f t="shared" si="54"/>
        <v>24.16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ROW(Source!A75)</f>
        <v>75</v>
      </c>
      <c r="B106">
        <v>85997836</v>
      </c>
      <c r="C106">
        <v>85998341</v>
      </c>
      <c r="D106">
        <v>84257654</v>
      </c>
      <c r="E106">
        <v>1</v>
      </c>
      <c r="F106">
        <v>1</v>
      </c>
      <c r="G106">
        <v>1</v>
      </c>
      <c r="H106">
        <v>3</v>
      </c>
      <c r="I106" t="s">
        <v>580</v>
      </c>
      <c r="J106" t="s">
        <v>581</v>
      </c>
      <c r="K106" t="s">
        <v>582</v>
      </c>
      <c r="L106">
        <v>1346</v>
      </c>
      <c r="N106">
        <v>1009</v>
      </c>
      <c r="O106" t="s">
        <v>170</v>
      </c>
      <c r="P106" t="s">
        <v>170</v>
      </c>
      <c r="Q106">
        <v>1</v>
      </c>
      <c r="W106">
        <v>0</v>
      </c>
      <c r="X106">
        <v>940570589</v>
      </c>
      <c r="Y106">
        <f t="shared" si="48"/>
        <v>6.0000000000000001E-3</v>
      </c>
      <c r="AA106">
        <v>188.93</v>
      </c>
      <c r="AB106">
        <v>0</v>
      </c>
      <c r="AC106">
        <v>0</v>
      </c>
      <c r="AD106">
        <v>0</v>
      </c>
      <c r="AE106">
        <v>157.44</v>
      </c>
      <c r="AF106">
        <v>0</v>
      </c>
      <c r="AG106">
        <v>0</v>
      </c>
      <c r="AH106">
        <v>0</v>
      </c>
      <c r="AI106">
        <v>1.2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3</v>
      </c>
      <c r="AT106">
        <v>6.0000000000000001E-3</v>
      </c>
      <c r="AU106" t="s">
        <v>3</v>
      </c>
      <c r="AV106">
        <v>0</v>
      </c>
      <c r="AW106">
        <v>2</v>
      </c>
      <c r="AX106">
        <v>85998371</v>
      </c>
      <c r="AY106">
        <v>1</v>
      </c>
      <c r="AZ106">
        <v>0</v>
      </c>
      <c r="BA106">
        <v>95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0.94464000000000004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0.94464000000000004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ROUND(Y106*Source!I75,7)</f>
        <v>3.5999999999999997E-2</v>
      </c>
      <c r="CY106">
        <f t="shared" si="51"/>
        <v>188.93</v>
      </c>
      <c r="CZ106">
        <f t="shared" si="52"/>
        <v>157.44</v>
      </c>
      <c r="DA106">
        <f t="shared" si="53"/>
        <v>1.2</v>
      </c>
      <c r="DB106">
        <f t="shared" si="49"/>
        <v>0.94</v>
      </c>
      <c r="DC106">
        <f t="shared" si="50"/>
        <v>0</v>
      </c>
      <c r="DD106" t="s">
        <v>3</v>
      </c>
      <c r="DE106" t="s">
        <v>3</v>
      </c>
      <c r="DF106">
        <f t="shared" si="55"/>
        <v>6.8</v>
      </c>
      <c r="DG106">
        <f t="shared" si="46"/>
        <v>0</v>
      </c>
      <c r="DH106">
        <f t="shared" si="35"/>
        <v>0</v>
      </c>
      <c r="DI106">
        <f t="shared" si="36"/>
        <v>0</v>
      </c>
      <c r="DJ106">
        <f t="shared" si="54"/>
        <v>6.8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ROW(Source!A75)</f>
        <v>75</v>
      </c>
      <c r="B107">
        <v>85997836</v>
      </c>
      <c r="C107">
        <v>85998341</v>
      </c>
      <c r="D107">
        <v>84265124</v>
      </c>
      <c r="E107">
        <v>1</v>
      </c>
      <c r="F107">
        <v>1</v>
      </c>
      <c r="G107">
        <v>1</v>
      </c>
      <c r="H107">
        <v>3</v>
      </c>
      <c r="I107" t="s">
        <v>583</v>
      </c>
      <c r="J107" t="s">
        <v>584</v>
      </c>
      <c r="K107" t="s">
        <v>585</v>
      </c>
      <c r="L107">
        <v>1455</v>
      </c>
      <c r="N107">
        <v>1013</v>
      </c>
      <c r="O107" t="s">
        <v>586</v>
      </c>
      <c r="P107" t="s">
        <v>586</v>
      </c>
      <c r="Q107">
        <v>1</v>
      </c>
      <c r="W107">
        <v>0</v>
      </c>
      <c r="X107">
        <v>-1775048380</v>
      </c>
      <c r="Y107">
        <f t="shared" si="48"/>
        <v>0.1</v>
      </c>
      <c r="AA107">
        <v>1303.67</v>
      </c>
      <c r="AB107">
        <v>0</v>
      </c>
      <c r="AC107">
        <v>0</v>
      </c>
      <c r="AD107">
        <v>0</v>
      </c>
      <c r="AE107">
        <v>944.69</v>
      </c>
      <c r="AF107">
        <v>0</v>
      </c>
      <c r="AG107">
        <v>0</v>
      </c>
      <c r="AH107">
        <v>0</v>
      </c>
      <c r="AI107">
        <v>1.38</v>
      </c>
      <c r="AJ107">
        <v>1</v>
      </c>
      <c r="AK107">
        <v>1</v>
      </c>
      <c r="AL107">
        <v>1</v>
      </c>
      <c r="AM107">
        <v>2</v>
      </c>
      <c r="AN107">
        <v>0</v>
      </c>
      <c r="AO107">
        <v>0</v>
      </c>
      <c r="AP107">
        <v>1</v>
      </c>
      <c r="AQ107">
        <v>1</v>
      </c>
      <c r="AR107">
        <v>0</v>
      </c>
      <c r="AS107" t="s">
        <v>3</v>
      </c>
      <c r="AT107">
        <v>0.1</v>
      </c>
      <c r="AU107" t="s">
        <v>3</v>
      </c>
      <c r="AV107">
        <v>0</v>
      </c>
      <c r="AW107">
        <v>2</v>
      </c>
      <c r="AX107">
        <v>85998372</v>
      </c>
      <c r="AY107">
        <v>1</v>
      </c>
      <c r="AZ107">
        <v>0</v>
      </c>
      <c r="BA107">
        <v>96</v>
      </c>
      <c r="BB107">
        <v>1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94.469000000000008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1</v>
      </c>
      <c r="BQ107">
        <v>94.469000000000008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1</v>
      </c>
      <c r="CV107">
        <v>0</v>
      </c>
      <c r="CW107">
        <v>0</v>
      </c>
      <c r="CX107">
        <f>ROUND(Y107*Source!I75,7)</f>
        <v>0.6</v>
      </c>
      <c r="CY107">
        <f t="shared" si="51"/>
        <v>1303.67</v>
      </c>
      <c r="CZ107">
        <f t="shared" si="52"/>
        <v>944.69</v>
      </c>
      <c r="DA107">
        <f t="shared" si="53"/>
        <v>1.38</v>
      </c>
      <c r="DB107">
        <f t="shared" si="49"/>
        <v>94.47</v>
      </c>
      <c r="DC107">
        <f t="shared" si="50"/>
        <v>0</v>
      </c>
      <c r="DD107" t="s">
        <v>3</v>
      </c>
      <c r="DE107" t="s">
        <v>3</v>
      </c>
      <c r="DF107">
        <f t="shared" si="55"/>
        <v>782.2</v>
      </c>
      <c r="DG107">
        <f t="shared" si="46"/>
        <v>0</v>
      </c>
      <c r="DH107">
        <f t="shared" si="35"/>
        <v>0</v>
      </c>
      <c r="DI107">
        <f t="shared" si="36"/>
        <v>0</v>
      </c>
      <c r="DJ107">
        <f t="shared" si="54"/>
        <v>782.2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ROW(Source!A75)</f>
        <v>75</v>
      </c>
      <c r="B108">
        <v>85997836</v>
      </c>
      <c r="C108">
        <v>85998341</v>
      </c>
      <c r="D108">
        <v>84170596</v>
      </c>
      <c r="E108">
        <v>117</v>
      </c>
      <c r="F108">
        <v>1</v>
      </c>
      <c r="G108">
        <v>1</v>
      </c>
      <c r="H108">
        <v>3</v>
      </c>
      <c r="I108" t="s">
        <v>55</v>
      </c>
      <c r="J108" t="s">
        <v>3</v>
      </c>
      <c r="K108" t="s">
        <v>56</v>
      </c>
      <c r="L108">
        <v>3277935</v>
      </c>
      <c r="N108">
        <v>1013</v>
      </c>
      <c r="O108" t="s">
        <v>57</v>
      </c>
      <c r="P108" t="s">
        <v>57</v>
      </c>
      <c r="Q108">
        <v>1</v>
      </c>
      <c r="W108">
        <v>0</v>
      </c>
      <c r="X108">
        <v>274903907</v>
      </c>
      <c r="Y108">
        <f t="shared" si="48"/>
        <v>2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M108">
        <v>-2</v>
      </c>
      <c r="AN108">
        <v>0</v>
      </c>
      <c r="AO108">
        <v>0</v>
      </c>
      <c r="AP108">
        <v>0</v>
      </c>
      <c r="AQ108">
        <v>0</v>
      </c>
      <c r="AR108">
        <v>0</v>
      </c>
      <c r="AS108" t="s">
        <v>3</v>
      </c>
      <c r="AT108">
        <v>2</v>
      </c>
      <c r="AU108" t="s">
        <v>3</v>
      </c>
      <c r="AV108">
        <v>0</v>
      </c>
      <c r="AW108">
        <v>2</v>
      </c>
      <c r="AX108">
        <v>85998373</v>
      </c>
      <c r="AY108">
        <v>1</v>
      </c>
      <c r="AZ108">
        <v>0</v>
      </c>
      <c r="BA108">
        <v>97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V108">
        <v>0</v>
      </c>
      <c r="CW108">
        <v>0</v>
      </c>
      <c r="CX108">
        <f>ROUND(Y108*Source!I75,7)</f>
        <v>12</v>
      </c>
      <c r="CY108">
        <f t="shared" si="51"/>
        <v>0</v>
      </c>
      <c r="CZ108">
        <f t="shared" si="52"/>
        <v>0</v>
      </c>
      <c r="DA108">
        <f t="shared" si="53"/>
        <v>1</v>
      </c>
      <c r="DB108">
        <f t="shared" si="49"/>
        <v>0</v>
      </c>
      <c r="DC108">
        <f t="shared" si="50"/>
        <v>0</v>
      </c>
      <c r="DD108" t="s">
        <v>3</v>
      </c>
      <c r="DE108" t="s">
        <v>3</v>
      </c>
      <c r="DF108">
        <f>ROUND(ROUND(AE108,2)*CX108,2)</f>
        <v>0</v>
      </c>
      <c r="DG108">
        <f t="shared" si="46"/>
        <v>0</v>
      </c>
      <c r="DH108">
        <f t="shared" si="35"/>
        <v>0</v>
      </c>
      <c r="DI108">
        <f t="shared" si="36"/>
        <v>0</v>
      </c>
      <c r="DJ108">
        <f t="shared" si="54"/>
        <v>0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ROW(Source!A75)</f>
        <v>75</v>
      </c>
      <c r="B109">
        <v>85997836</v>
      </c>
      <c r="C109">
        <v>85998341</v>
      </c>
      <c r="D109">
        <v>84284556</v>
      </c>
      <c r="E109">
        <v>1</v>
      </c>
      <c r="F109">
        <v>1</v>
      </c>
      <c r="G109">
        <v>1</v>
      </c>
      <c r="H109">
        <v>3</v>
      </c>
      <c r="I109" t="s">
        <v>192</v>
      </c>
      <c r="J109" t="s">
        <v>194</v>
      </c>
      <c r="K109" t="s">
        <v>193</v>
      </c>
      <c r="L109">
        <v>1371</v>
      </c>
      <c r="N109">
        <v>1013</v>
      </c>
      <c r="O109" t="s">
        <v>43</v>
      </c>
      <c r="P109" t="s">
        <v>43</v>
      </c>
      <c r="Q109">
        <v>1</v>
      </c>
      <c r="W109">
        <v>0</v>
      </c>
      <c r="X109">
        <v>-1954825680</v>
      </c>
      <c r="Y109">
        <f t="shared" si="48"/>
        <v>0.5</v>
      </c>
      <c r="AA109">
        <v>885.27</v>
      </c>
      <c r="AB109">
        <v>0</v>
      </c>
      <c r="AC109">
        <v>0</v>
      </c>
      <c r="AD109">
        <v>0</v>
      </c>
      <c r="AE109">
        <v>763.16</v>
      </c>
      <c r="AF109">
        <v>0</v>
      </c>
      <c r="AG109">
        <v>0</v>
      </c>
      <c r="AH109">
        <v>0</v>
      </c>
      <c r="AI109">
        <v>1.1599999999999999</v>
      </c>
      <c r="AJ109">
        <v>1</v>
      </c>
      <c r="AK109">
        <v>1</v>
      </c>
      <c r="AL109">
        <v>1</v>
      </c>
      <c r="AM109">
        <v>2</v>
      </c>
      <c r="AN109">
        <v>0</v>
      </c>
      <c r="AO109">
        <v>0</v>
      </c>
      <c r="AP109">
        <v>1</v>
      </c>
      <c r="AQ109">
        <v>0</v>
      </c>
      <c r="AR109">
        <v>0</v>
      </c>
      <c r="AS109" t="s">
        <v>3</v>
      </c>
      <c r="AT109">
        <v>0.5</v>
      </c>
      <c r="AU109" t="s">
        <v>3</v>
      </c>
      <c r="AV109">
        <v>0</v>
      </c>
      <c r="AW109">
        <v>1</v>
      </c>
      <c r="AX109">
        <v>-1</v>
      </c>
      <c r="AY109">
        <v>0</v>
      </c>
      <c r="AZ109">
        <v>0</v>
      </c>
      <c r="BA109" t="s">
        <v>3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ROUND(Y109*Source!I75,7)</f>
        <v>3</v>
      </c>
      <c r="CY109">
        <f t="shared" si="51"/>
        <v>885.27</v>
      </c>
      <c r="CZ109">
        <f t="shared" si="52"/>
        <v>763.16</v>
      </c>
      <c r="DA109">
        <f t="shared" si="53"/>
        <v>1.1599999999999999</v>
      </c>
      <c r="DB109">
        <f t="shared" si="49"/>
        <v>381.58</v>
      </c>
      <c r="DC109">
        <f t="shared" si="50"/>
        <v>0</v>
      </c>
      <c r="DD109" t="s">
        <v>3</v>
      </c>
      <c r="DE109" t="s">
        <v>3</v>
      </c>
      <c r="DF109">
        <f>ROUND(ROUND(AE109*AI109,2)*CX109,2)</f>
        <v>2655.81</v>
      </c>
      <c r="DG109">
        <f t="shared" ref="DG109:DG131" si="56">ROUND(ROUND(AF109,2)*CX109,2)</f>
        <v>0</v>
      </c>
      <c r="DH109">
        <f t="shared" si="35"/>
        <v>0</v>
      </c>
      <c r="DI109">
        <f t="shared" si="36"/>
        <v>0</v>
      </c>
      <c r="DJ109">
        <f t="shared" si="54"/>
        <v>2655.81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ROW(Source!A75)</f>
        <v>75</v>
      </c>
      <c r="B110">
        <v>85997836</v>
      </c>
      <c r="C110">
        <v>85998341</v>
      </c>
      <c r="D110">
        <v>84284834</v>
      </c>
      <c r="E110">
        <v>1</v>
      </c>
      <c r="F110">
        <v>1</v>
      </c>
      <c r="G110">
        <v>1</v>
      </c>
      <c r="H110">
        <v>3</v>
      </c>
      <c r="I110" t="s">
        <v>196</v>
      </c>
      <c r="J110" t="s">
        <v>198</v>
      </c>
      <c r="K110" t="s">
        <v>197</v>
      </c>
      <c r="L110">
        <v>1371</v>
      </c>
      <c r="N110">
        <v>1013</v>
      </c>
      <c r="O110" t="s">
        <v>43</v>
      </c>
      <c r="P110" t="s">
        <v>43</v>
      </c>
      <c r="Q110">
        <v>1</v>
      </c>
      <c r="W110">
        <v>0</v>
      </c>
      <c r="X110">
        <v>-1464127844</v>
      </c>
      <c r="Y110">
        <f t="shared" si="48"/>
        <v>0.5</v>
      </c>
      <c r="AA110">
        <v>856.5</v>
      </c>
      <c r="AB110">
        <v>0</v>
      </c>
      <c r="AC110">
        <v>0</v>
      </c>
      <c r="AD110">
        <v>0</v>
      </c>
      <c r="AE110">
        <v>738.36</v>
      </c>
      <c r="AF110">
        <v>0</v>
      </c>
      <c r="AG110">
        <v>0</v>
      </c>
      <c r="AH110">
        <v>0</v>
      </c>
      <c r="AI110">
        <v>1.1599999999999999</v>
      </c>
      <c r="AJ110">
        <v>1</v>
      </c>
      <c r="AK110">
        <v>1</v>
      </c>
      <c r="AL110">
        <v>1</v>
      </c>
      <c r="AM110">
        <v>2</v>
      </c>
      <c r="AN110">
        <v>0</v>
      </c>
      <c r="AO110">
        <v>0</v>
      </c>
      <c r="AP110">
        <v>1</v>
      </c>
      <c r="AQ110">
        <v>0</v>
      </c>
      <c r="AR110">
        <v>0</v>
      </c>
      <c r="AS110" t="s">
        <v>3</v>
      </c>
      <c r="AT110">
        <v>0.5</v>
      </c>
      <c r="AU110" t="s">
        <v>3</v>
      </c>
      <c r="AV110">
        <v>0</v>
      </c>
      <c r="AW110">
        <v>1</v>
      </c>
      <c r="AX110">
        <v>-1</v>
      </c>
      <c r="AY110">
        <v>0</v>
      </c>
      <c r="AZ110">
        <v>0</v>
      </c>
      <c r="BA110" t="s">
        <v>3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ROUND(Y110*Source!I75,7)</f>
        <v>3</v>
      </c>
      <c r="CY110">
        <f t="shared" si="51"/>
        <v>856.5</v>
      </c>
      <c r="CZ110">
        <f t="shared" si="52"/>
        <v>738.36</v>
      </c>
      <c r="DA110">
        <f t="shared" si="53"/>
        <v>1.1599999999999999</v>
      </c>
      <c r="DB110">
        <f t="shared" si="49"/>
        <v>369.18</v>
      </c>
      <c r="DC110">
        <f t="shared" si="50"/>
        <v>0</v>
      </c>
      <c r="DD110" t="s">
        <v>3</v>
      </c>
      <c r="DE110" t="s">
        <v>3</v>
      </c>
      <c r="DF110">
        <f>ROUND(ROUND(AE110*AI110,2)*CX110,2)</f>
        <v>2569.5</v>
      </c>
      <c r="DG110">
        <f t="shared" si="56"/>
        <v>0</v>
      </c>
      <c r="DH110">
        <f t="shared" si="35"/>
        <v>0</v>
      </c>
      <c r="DI110">
        <f t="shared" si="36"/>
        <v>0</v>
      </c>
      <c r="DJ110">
        <f t="shared" si="54"/>
        <v>2569.5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ROW(Source!A79)</f>
        <v>79</v>
      </c>
      <c r="B111">
        <v>85997836</v>
      </c>
      <c r="C111">
        <v>85998377</v>
      </c>
      <c r="D111">
        <v>84164716</v>
      </c>
      <c r="E111">
        <v>117</v>
      </c>
      <c r="F111">
        <v>1</v>
      </c>
      <c r="G111">
        <v>1</v>
      </c>
      <c r="H111">
        <v>1</v>
      </c>
      <c r="I111" t="s">
        <v>628</v>
      </c>
      <c r="J111" t="s">
        <v>3</v>
      </c>
      <c r="K111" t="s">
        <v>629</v>
      </c>
      <c r="L111">
        <v>1369</v>
      </c>
      <c r="N111">
        <v>1013</v>
      </c>
      <c r="O111" t="s">
        <v>630</v>
      </c>
      <c r="P111" t="s">
        <v>630</v>
      </c>
      <c r="Q111">
        <v>1</v>
      </c>
      <c r="W111">
        <v>0</v>
      </c>
      <c r="X111">
        <v>1187391579</v>
      </c>
      <c r="Y111">
        <f t="shared" si="48"/>
        <v>0.3</v>
      </c>
      <c r="AA111">
        <v>0</v>
      </c>
      <c r="AB111">
        <v>0</v>
      </c>
      <c r="AC111">
        <v>0</v>
      </c>
      <c r="AD111">
        <v>538.84</v>
      </c>
      <c r="AE111">
        <v>0</v>
      </c>
      <c r="AF111">
        <v>0</v>
      </c>
      <c r="AG111">
        <v>0</v>
      </c>
      <c r="AH111">
        <v>538.84</v>
      </c>
      <c r="AI111">
        <v>1</v>
      </c>
      <c r="AJ111">
        <v>1</v>
      </c>
      <c r="AK111">
        <v>1</v>
      </c>
      <c r="AL111">
        <v>1</v>
      </c>
      <c r="AM111">
        <v>-2</v>
      </c>
      <c r="AN111">
        <v>0</v>
      </c>
      <c r="AO111">
        <v>0</v>
      </c>
      <c r="AP111">
        <v>1</v>
      </c>
      <c r="AQ111">
        <v>1</v>
      </c>
      <c r="AR111">
        <v>0</v>
      </c>
      <c r="AS111" t="s">
        <v>3</v>
      </c>
      <c r="AT111">
        <v>0.3</v>
      </c>
      <c r="AU111" t="s">
        <v>3</v>
      </c>
      <c r="AV111">
        <v>1</v>
      </c>
      <c r="AW111">
        <v>2</v>
      </c>
      <c r="AX111">
        <v>85998389</v>
      </c>
      <c r="AY111">
        <v>1</v>
      </c>
      <c r="AZ111">
        <v>0</v>
      </c>
      <c r="BA111">
        <v>98</v>
      </c>
      <c r="BB111">
        <v>1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161.65200000000002</v>
      </c>
      <c r="BN111">
        <v>0.3</v>
      </c>
      <c r="BO111">
        <v>0</v>
      </c>
      <c r="BP111">
        <v>1</v>
      </c>
      <c r="BQ111">
        <v>0</v>
      </c>
      <c r="BR111">
        <v>0</v>
      </c>
      <c r="BS111">
        <v>0</v>
      </c>
      <c r="BT111">
        <v>161.65200000000002</v>
      </c>
      <c r="BU111">
        <v>0.3</v>
      </c>
      <c r="BV111">
        <v>0</v>
      </c>
      <c r="BW111">
        <v>1</v>
      </c>
      <c r="CU111">
        <f>ROUND(AT111*Source!I79*AH111*AL111,2)</f>
        <v>32.33</v>
      </c>
      <c r="CV111">
        <f>ROUND(Y111*Source!I79,7)</f>
        <v>0.06</v>
      </c>
      <c r="CW111">
        <v>0</v>
      </c>
      <c r="CX111">
        <f>ROUND(Y111*Source!I79,7)</f>
        <v>0.06</v>
      </c>
      <c r="CY111">
        <f>AD111</f>
        <v>538.84</v>
      </c>
      <c r="CZ111">
        <f>AH111</f>
        <v>538.84</v>
      </c>
      <c r="DA111">
        <f>AL111</f>
        <v>1</v>
      </c>
      <c r="DB111">
        <f t="shared" si="49"/>
        <v>161.65</v>
      </c>
      <c r="DC111">
        <f t="shared" si="50"/>
        <v>0</v>
      </c>
      <c r="DD111" t="s">
        <v>3</v>
      </c>
      <c r="DE111" t="s">
        <v>3</v>
      </c>
      <c r="DF111">
        <f t="shared" ref="DF111:DF116" si="57">ROUND(ROUND(AE111,2)*CX111,2)</f>
        <v>0</v>
      </c>
      <c r="DG111">
        <f t="shared" si="56"/>
        <v>0</v>
      </c>
      <c r="DH111">
        <f t="shared" si="35"/>
        <v>0</v>
      </c>
      <c r="DI111">
        <f t="shared" si="36"/>
        <v>32.33</v>
      </c>
      <c r="DJ111">
        <f>DI111</f>
        <v>32.33</v>
      </c>
      <c r="DK111">
        <v>1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ROW(Source!A79)</f>
        <v>79</v>
      </c>
      <c r="B112">
        <v>85997836</v>
      </c>
      <c r="C112">
        <v>85998377</v>
      </c>
      <c r="D112">
        <v>84164720</v>
      </c>
      <c r="E112">
        <v>117</v>
      </c>
      <c r="F112">
        <v>1</v>
      </c>
      <c r="G112">
        <v>1</v>
      </c>
      <c r="H112">
        <v>1</v>
      </c>
      <c r="I112" t="s">
        <v>631</v>
      </c>
      <c r="J112" t="s">
        <v>3</v>
      </c>
      <c r="K112" t="s">
        <v>632</v>
      </c>
      <c r="L112">
        <v>1369</v>
      </c>
      <c r="N112">
        <v>1013</v>
      </c>
      <c r="O112" t="s">
        <v>630</v>
      </c>
      <c r="P112" t="s">
        <v>630</v>
      </c>
      <c r="Q112">
        <v>1</v>
      </c>
      <c r="W112">
        <v>0</v>
      </c>
      <c r="X112">
        <v>-236928766</v>
      </c>
      <c r="Y112">
        <f t="shared" si="48"/>
        <v>29.74</v>
      </c>
      <c r="AA112">
        <v>0</v>
      </c>
      <c r="AB112">
        <v>0</v>
      </c>
      <c r="AC112">
        <v>0</v>
      </c>
      <c r="AD112">
        <v>587.34</v>
      </c>
      <c r="AE112">
        <v>0</v>
      </c>
      <c r="AF112">
        <v>0</v>
      </c>
      <c r="AG112">
        <v>0</v>
      </c>
      <c r="AH112">
        <v>587.34</v>
      </c>
      <c r="AI112">
        <v>1</v>
      </c>
      <c r="AJ112">
        <v>1</v>
      </c>
      <c r="AK112">
        <v>1</v>
      </c>
      <c r="AL112">
        <v>1</v>
      </c>
      <c r="AM112">
        <v>-2</v>
      </c>
      <c r="AN112">
        <v>0</v>
      </c>
      <c r="AO112">
        <v>0</v>
      </c>
      <c r="AP112">
        <v>1</v>
      </c>
      <c r="AQ112">
        <v>1</v>
      </c>
      <c r="AR112">
        <v>0</v>
      </c>
      <c r="AS112" t="s">
        <v>3</v>
      </c>
      <c r="AT112">
        <v>29.74</v>
      </c>
      <c r="AU112" t="s">
        <v>3</v>
      </c>
      <c r="AV112">
        <v>1</v>
      </c>
      <c r="AW112">
        <v>2</v>
      </c>
      <c r="AX112">
        <v>85998390</v>
      </c>
      <c r="AY112">
        <v>1</v>
      </c>
      <c r="AZ112">
        <v>0</v>
      </c>
      <c r="BA112">
        <v>99</v>
      </c>
      <c r="BB112">
        <v>1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17467.491600000001</v>
      </c>
      <c r="BN112">
        <v>29.74</v>
      </c>
      <c r="BO112">
        <v>0</v>
      </c>
      <c r="BP112">
        <v>1</v>
      </c>
      <c r="BQ112">
        <v>0</v>
      </c>
      <c r="BR112">
        <v>0</v>
      </c>
      <c r="BS112">
        <v>0</v>
      </c>
      <c r="BT112">
        <v>17467.491600000001</v>
      </c>
      <c r="BU112">
        <v>29.74</v>
      </c>
      <c r="BV112">
        <v>0</v>
      </c>
      <c r="BW112">
        <v>1</v>
      </c>
      <c r="CU112">
        <f>ROUND(AT112*Source!I79*AH112*AL112,2)</f>
        <v>3493.5</v>
      </c>
      <c r="CV112">
        <f>ROUND(Y112*Source!I79,7)</f>
        <v>5.9480000000000004</v>
      </c>
      <c r="CW112">
        <v>0</v>
      </c>
      <c r="CX112">
        <f>ROUND(Y112*Source!I79,7)</f>
        <v>5.9480000000000004</v>
      </c>
      <c r="CY112">
        <f>AD112</f>
        <v>587.34</v>
      </c>
      <c r="CZ112">
        <f>AH112</f>
        <v>587.34</v>
      </c>
      <c r="DA112">
        <f>AL112</f>
        <v>1</v>
      </c>
      <c r="DB112">
        <f t="shared" si="49"/>
        <v>17467.490000000002</v>
      </c>
      <c r="DC112">
        <f t="shared" si="50"/>
        <v>0</v>
      </c>
      <c r="DD112" t="s">
        <v>3</v>
      </c>
      <c r="DE112" t="s">
        <v>3</v>
      </c>
      <c r="DF112">
        <f t="shared" si="57"/>
        <v>0</v>
      </c>
      <c r="DG112">
        <f t="shared" si="56"/>
        <v>0</v>
      </c>
      <c r="DH112">
        <f t="shared" si="35"/>
        <v>0</v>
      </c>
      <c r="DI112">
        <f t="shared" si="36"/>
        <v>3493.5</v>
      </c>
      <c r="DJ112">
        <f>DI112</f>
        <v>3493.5</v>
      </c>
      <c r="DK112">
        <v>1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ROW(Source!A79)</f>
        <v>79</v>
      </c>
      <c r="B113">
        <v>85997836</v>
      </c>
      <c r="C113">
        <v>85998377</v>
      </c>
      <c r="D113">
        <v>84164726</v>
      </c>
      <c r="E113">
        <v>117</v>
      </c>
      <c r="F113">
        <v>1</v>
      </c>
      <c r="G113">
        <v>1</v>
      </c>
      <c r="H113">
        <v>1</v>
      </c>
      <c r="I113" t="s">
        <v>633</v>
      </c>
      <c r="J113" t="s">
        <v>3</v>
      </c>
      <c r="K113" t="s">
        <v>634</v>
      </c>
      <c r="L113">
        <v>1369</v>
      </c>
      <c r="N113">
        <v>1013</v>
      </c>
      <c r="O113" t="s">
        <v>630</v>
      </c>
      <c r="P113" t="s">
        <v>630</v>
      </c>
      <c r="Q113">
        <v>1</v>
      </c>
      <c r="W113">
        <v>0</v>
      </c>
      <c r="X113">
        <v>-512803540</v>
      </c>
      <c r="Y113">
        <f t="shared" si="48"/>
        <v>28.35</v>
      </c>
      <c r="AA113">
        <v>0</v>
      </c>
      <c r="AB113">
        <v>0</v>
      </c>
      <c r="AC113">
        <v>0</v>
      </c>
      <c r="AD113">
        <v>722.05</v>
      </c>
      <c r="AE113">
        <v>0</v>
      </c>
      <c r="AF113">
        <v>0</v>
      </c>
      <c r="AG113">
        <v>0</v>
      </c>
      <c r="AH113">
        <v>722.05</v>
      </c>
      <c r="AI113">
        <v>1</v>
      </c>
      <c r="AJ113">
        <v>1</v>
      </c>
      <c r="AK113">
        <v>1</v>
      </c>
      <c r="AL113">
        <v>1</v>
      </c>
      <c r="AM113">
        <v>-2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28.35</v>
      </c>
      <c r="AU113" t="s">
        <v>3</v>
      </c>
      <c r="AV113">
        <v>1</v>
      </c>
      <c r="AW113">
        <v>2</v>
      </c>
      <c r="AX113">
        <v>85998391</v>
      </c>
      <c r="AY113">
        <v>1</v>
      </c>
      <c r="AZ113">
        <v>0</v>
      </c>
      <c r="BA113">
        <v>100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20470.1175</v>
      </c>
      <c r="BN113">
        <v>28.35</v>
      </c>
      <c r="BO113">
        <v>0</v>
      </c>
      <c r="BP113">
        <v>1</v>
      </c>
      <c r="BQ113">
        <v>0</v>
      </c>
      <c r="BR113">
        <v>0</v>
      </c>
      <c r="BS113">
        <v>0</v>
      </c>
      <c r="BT113">
        <v>20470.1175</v>
      </c>
      <c r="BU113">
        <v>28.35</v>
      </c>
      <c r="BV113">
        <v>0</v>
      </c>
      <c r="BW113">
        <v>1</v>
      </c>
      <c r="CU113">
        <f>ROUND(AT113*Source!I79*AH113*AL113,2)</f>
        <v>4094.02</v>
      </c>
      <c r="CV113">
        <f>ROUND(Y113*Source!I79,7)</f>
        <v>5.67</v>
      </c>
      <c r="CW113">
        <v>0</v>
      </c>
      <c r="CX113">
        <f>ROUND(Y113*Source!I79,7)</f>
        <v>5.67</v>
      </c>
      <c r="CY113">
        <f>AD113</f>
        <v>722.05</v>
      </c>
      <c r="CZ113">
        <f>AH113</f>
        <v>722.05</v>
      </c>
      <c r="DA113">
        <f>AL113</f>
        <v>1</v>
      </c>
      <c r="DB113">
        <f t="shared" si="49"/>
        <v>20470.12</v>
      </c>
      <c r="DC113">
        <f t="shared" si="50"/>
        <v>0</v>
      </c>
      <c r="DD113" t="s">
        <v>3</v>
      </c>
      <c r="DE113" t="s">
        <v>3</v>
      </c>
      <c r="DF113">
        <f t="shared" si="57"/>
        <v>0</v>
      </c>
      <c r="DG113">
        <f t="shared" si="56"/>
        <v>0</v>
      </c>
      <c r="DH113">
        <f t="shared" si="35"/>
        <v>0</v>
      </c>
      <c r="DI113">
        <f t="shared" si="36"/>
        <v>4094.02</v>
      </c>
      <c r="DJ113">
        <f>DI113</f>
        <v>4094.02</v>
      </c>
      <c r="DK113">
        <v>1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ROW(Source!A79)</f>
        <v>79</v>
      </c>
      <c r="B114">
        <v>85997836</v>
      </c>
      <c r="C114">
        <v>85998377</v>
      </c>
      <c r="D114">
        <v>84164762</v>
      </c>
      <c r="E114">
        <v>117</v>
      </c>
      <c r="F114">
        <v>1</v>
      </c>
      <c r="G114">
        <v>1</v>
      </c>
      <c r="H114">
        <v>1</v>
      </c>
      <c r="I114" t="s">
        <v>542</v>
      </c>
      <c r="J114" t="s">
        <v>3</v>
      </c>
      <c r="K114" t="s">
        <v>543</v>
      </c>
      <c r="L114">
        <v>1191</v>
      </c>
      <c r="N114">
        <v>1013</v>
      </c>
      <c r="O114" t="s">
        <v>541</v>
      </c>
      <c r="P114" t="s">
        <v>541</v>
      </c>
      <c r="Q114">
        <v>1</v>
      </c>
      <c r="W114">
        <v>0</v>
      </c>
      <c r="X114">
        <v>-1417349443</v>
      </c>
      <c r="Y114">
        <f t="shared" si="48"/>
        <v>0.2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1</v>
      </c>
      <c r="AL114">
        <v>1</v>
      </c>
      <c r="AM114">
        <v>-2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0.2</v>
      </c>
      <c r="AU114" t="s">
        <v>3</v>
      </c>
      <c r="AV114">
        <v>2</v>
      </c>
      <c r="AW114">
        <v>2</v>
      </c>
      <c r="AX114">
        <v>85998392</v>
      </c>
      <c r="AY114">
        <v>1</v>
      </c>
      <c r="AZ114">
        <v>0</v>
      </c>
      <c r="BA114">
        <v>101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V114">
        <v>0</v>
      </c>
      <c r="CW114">
        <v>0</v>
      </c>
      <c r="CX114">
        <f>ROUND(Y114*Source!I79,7)</f>
        <v>0.04</v>
      </c>
      <c r="CY114">
        <f>AD114</f>
        <v>0</v>
      </c>
      <c r="CZ114">
        <f>AH114</f>
        <v>0</v>
      </c>
      <c r="DA114">
        <f>AL114</f>
        <v>1</v>
      </c>
      <c r="DB114">
        <f t="shared" si="49"/>
        <v>0</v>
      </c>
      <c r="DC114">
        <f t="shared" si="50"/>
        <v>0</v>
      </c>
      <c r="DD114" t="s">
        <v>3</v>
      </c>
      <c r="DE114" t="s">
        <v>3</v>
      </c>
      <c r="DF114">
        <f t="shared" si="57"/>
        <v>0</v>
      </c>
      <c r="DG114">
        <f t="shared" si="56"/>
        <v>0</v>
      </c>
      <c r="DH114">
        <f t="shared" si="35"/>
        <v>0</v>
      </c>
      <c r="DI114">
        <f t="shared" si="36"/>
        <v>0</v>
      </c>
      <c r="DJ114">
        <f>DI114</f>
        <v>0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ROW(Source!A79)</f>
        <v>79</v>
      </c>
      <c r="B115">
        <v>85997836</v>
      </c>
      <c r="C115">
        <v>85998377</v>
      </c>
      <c r="D115">
        <v>84172146</v>
      </c>
      <c r="E115">
        <v>1</v>
      </c>
      <c r="F115">
        <v>1</v>
      </c>
      <c r="G115">
        <v>1</v>
      </c>
      <c r="H115">
        <v>2</v>
      </c>
      <c r="I115" t="s">
        <v>127</v>
      </c>
      <c r="J115" t="s">
        <v>129</v>
      </c>
      <c r="K115" t="s">
        <v>128</v>
      </c>
      <c r="L115">
        <v>1368</v>
      </c>
      <c r="N115">
        <v>1011</v>
      </c>
      <c r="O115" t="s">
        <v>29</v>
      </c>
      <c r="P115" t="s">
        <v>29</v>
      </c>
      <c r="Q115">
        <v>1</v>
      </c>
      <c r="W115">
        <v>0</v>
      </c>
      <c r="X115">
        <v>-849950259</v>
      </c>
      <c r="Y115">
        <f t="shared" si="48"/>
        <v>0.2</v>
      </c>
      <c r="AA115">
        <v>0</v>
      </c>
      <c r="AB115">
        <v>643.29</v>
      </c>
      <c r="AC115">
        <v>722.05</v>
      </c>
      <c r="AD115">
        <v>0</v>
      </c>
      <c r="AE115">
        <v>0</v>
      </c>
      <c r="AF115">
        <v>643.29</v>
      </c>
      <c r="AG115">
        <v>722.05</v>
      </c>
      <c r="AH115">
        <v>0</v>
      </c>
      <c r="AI115">
        <v>1</v>
      </c>
      <c r="AJ115">
        <v>1</v>
      </c>
      <c r="AK115">
        <v>1</v>
      </c>
      <c r="AL115">
        <v>1</v>
      </c>
      <c r="AM115">
        <v>-2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0.2</v>
      </c>
      <c r="AU115" t="s">
        <v>3</v>
      </c>
      <c r="AV115">
        <v>1</v>
      </c>
      <c r="AW115">
        <v>2</v>
      </c>
      <c r="AX115">
        <v>85998393</v>
      </c>
      <c r="AY115">
        <v>1</v>
      </c>
      <c r="AZ115">
        <v>0</v>
      </c>
      <c r="BA115">
        <v>102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128.65799999999999</v>
      </c>
      <c r="BL115">
        <v>144.41</v>
      </c>
      <c r="BM115">
        <v>0</v>
      </c>
      <c r="BN115">
        <v>0</v>
      </c>
      <c r="BO115">
        <v>0.2</v>
      </c>
      <c r="BP115">
        <v>1</v>
      </c>
      <c r="BQ115">
        <v>0</v>
      </c>
      <c r="BR115">
        <v>128.65799999999999</v>
      </c>
      <c r="BS115">
        <v>144.41</v>
      </c>
      <c r="BT115">
        <v>0</v>
      </c>
      <c r="BU115">
        <v>0</v>
      </c>
      <c r="BV115">
        <v>0.2</v>
      </c>
      <c r="BW115">
        <v>1</v>
      </c>
      <c r="CV115">
        <v>0</v>
      </c>
      <c r="CW115">
        <f>ROUND(Y115*Source!I79*DO115,7)</f>
        <v>0.04</v>
      </c>
      <c r="CX115">
        <f>ROUND(Y115*Source!I79,7)</f>
        <v>0.04</v>
      </c>
      <c r="CY115">
        <f>AB115</f>
        <v>643.29</v>
      </c>
      <c r="CZ115">
        <f>AF115</f>
        <v>643.29</v>
      </c>
      <c r="DA115">
        <f>AJ115</f>
        <v>1</v>
      </c>
      <c r="DB115">
        <f t="shared" si="49"/>
        <v>128.66</v>
      </c>
      <c r="DC115">
        <f t="shared" si="50"/>
        <v>144.41</v>
      </c>
      <c r="DD115" t="s">
        <v>3</v>
      </c>
      <c r="DE115" t="s">
        <v>3</v>
      </c>
      <c r="DF115">
        <f t="shared" si="57"/>
        <v>0</v>
      </c>
      <c r="DG115">
        <f t="shared" si="56"/>
        <v>25.73</v>
      </c>
      <c r="DH115">
        <f t="shared" si="35"/>
        <v>28.88</v>
      </c>
      <c r="DI115">
        <f t="shared" si="36"/>
        <v>0</v>
      </c>
      <c r="DJ115">
        <f>DG115+DH115</f>
        <v>54.61</v>
      </c>
      <c r="DK115">
        <v>1</v>
      </c>
      <c r="DL115" t="s">
        <v>600</v>
      </c>
      <c r="DM115">
        <v>4</v>
      </c>
      <c r="DN115" t="s">
        <v>541</v>
      </c>
      <c r="DO115">
        <v>1</v>
      </c>
    </row>
    <row r="116" spans="1:119" x14ac:dyDescent="0.2">
      <c r="A116">
        <f>ROW(Source!A79)</f>
        <v>79</v>
      </c>
      <c r="B116">
        <v>85997836</v>
      </c>
      <c r="C116">
        <v>85998377</v>
      </c>
      <c r="D116">
        <v>84238914</v>
      </c>
      <c r="E116">
        <v>1</v>
      </c>
      <c r="F116">
        <v>1</v>
      </c>
      <c r="G116">
        <v>1</v>
      </c>
      <c r="H116">
        <v>3</v>
      </c>
      <c r="I116" t="s">
        <v>558</v>
      </c>
      <c r="J116" t="s">
        <v>559</v>
      </c>
      <c r="K116" t="s">
        <v>560</v>
      </c>
      <c r="L116">
        <v>1383</v>
      </c>
      <c r="N116">
        <v>1013</v>
      </c>
      <c r="O116" t="s">
        <v>561</v>
      </c>
      <c r="P116" t="s">
        <v>561</v>
      </c>
      <c r="Q116">
        <v>1</v>
      </c>
      <c r="W116">
        <v>0</v>
      </c>
      <c r="X116">
        <v>1840299850</v>
      </c>
      <c r="Y116">
        <f t="shared" si="48"/>
        <v>0.96799999999999997</v>
      </c>
      <c r="AA116">
        <v>6.78</v>
      </c>
      <c r="AB116">
        <v>0</v>
      </c>
      <c r="AC116">
        <v>0</v>
      </c>
      <c r="AD116">
        <v>0</v>
      </c>
      <c r="AE116">
        <v>6.78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-2</v>
      </c>
      <c r="AN116">
        <v>0</v>
      </c>
      <c r="AO116">
        <v>0</v>
      </c>
      <c r="AP116">
        <v>1</v>
      </c>
      <c r="AQ116">
        <v>1</v>
      </c>
      <c r="AR116">
        <v>0</v>
      </c>
      <c r="AS116" t="s">
        <v>3</v>
      </c>
      <c r="AT116">
        <v>0.96799999999999997</v>
      </c>
      <c r="AU116" t="s">
        <v>3</v>
      </c>
      <c r="AV116">
        <v>0</v>
      </c>
      <c r="AW116">
        <v>2</v>
      </c>
      <c r="AX116">
        <v>85998394</v>
      </c>
      <c r="AY116">
        <v>1</v>
      </c>
      <c r="AZ116">
        <v>0</v>
      </c>
      <c r="BA116">
        <v>103</v>
      </c>
      <c r="BB116">
        <v>1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6.56304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1</v>
      </c>
      <c r="BQ116">
        <v>6.56304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1</v>
      </c>
      <c r="CV116">
        <v>0</v>
      </c>
      <c r="CW116">
        <v>0</v>
      </c>
      <c r="CX116">
        <f>ROUND(Y116*Source!I79,7)</f>
        <v>0.19359999999999999</v>
      </c>
      <c r="CY116">
        <f t="shared" ref="CY116:CY121" si="58">AA116</f>
        <v>6.78</v>
      </c>
      <c r="CZ116">
        <f t="shared" ref="CZ116:CZ121" si="59">AE116</f>
        <v>6.78</v>
      </c>
      <c r="DA116">
        <f t="shared" ref="DA116:DA121" si="60">AI116</f>
        <v>1</v>
      </c>
      <c r="DB116">
        <f t="shared" si="49"/>
        <v>6.56</v>
      </c>
      <c r="DC116">
        <f t="shared" si="50"/>
        <v>0</v>
      </c>
      <c r="DD116" t="s">
        <v>3</v>
      </c>
      <c r="DE116" t="s">
        <v>3</v>
      </c>
      <c r="DF116">
        <f t="shared" si="57"/>
        <v>1.31</v>
      </c>
      <c r="DG116">
        <f t="shared" si="56"/>
        <v>0</v>
      </c>
      <c r="DH116">
        <f t="shared" si="35"/>
        <v>0</v>
      </c>
      <c r="DI116">
        <f t="shared" si="36"/>
        <v>0</v>
      </c>
      <c r="DJ116">
        <f t="shared" ref="DJ116:DJ121" si="61">DF116</f>
        <v>1.31</v>
      </c>
      <c r="DK116">
        <v>1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ROW(Source!A79)</f>
        <v>79</v>
      </c>
      <c r="B117">
        <v>85997836</v>
      </c>
      <c r="C117">
        <v>85998377</v>
      </c>
      <c r="D117">
        <v>84240483</v>
      </c>
      <c r="E117">
        <v>1</v>
      </c>
      <c r="F117">
        <v>1</v>
      </c>
      <c r="G117">
        <v>1</v>
      </c>
      <c r="H117">
        <v>3</v>
      </c>
      <c r="I117" t="s">
        <v>635</v>
      </c>
      <c r="J117" t="s">
        <v>636</v>
      </c>
      <c r="K117" t="s">
        <v>637</v>
      </c>
      <c r="L117">
        <v>1407</v>
      </c>
      <c r="N117">
        <v>1013</v>
      </c>
      <c r="O117" t="s">
        <v>595</v>
      </c>
      <c r="P117" t="s">
        <v>595</v>
      </c>
      <c r="Q117">
        <v>1</v>
      </c>
      <c r="W117">
        <v>0</v>
      </c>
      <c r="X117">
        <v>-923691264</v>
      </c>
      <c r="Y117">
        <f t="shared" si="48"/>
        <v>0.20200000000000001</v>
      </c>
      <c r="AA117">
        <v>224.63</v>
      </c>
      <c r="AB117">
        <v>0</v>
      </c>
      <c r="AC117">
        <v>0</v>
      </c>
      <c r="AD117">
        <v>0</v>
      </c>
      <c r="AE117">
        <v>174.13</v>
      </c>
      <c r="AF117">
        <v>0</v>
      </c>
      <c r="AG117">
        <v>0</v>
      </c>
      <c r="AH117">
        <v>0</v>
      </c>
      <c r="AI117">
        <v>1.29</v>
      </c>
      <c r="AJ117">
        <v>1</v>
      </c>
      <c r="AK117">
        <v>1</v>
      </c>
      <c r="AL117">
        <v>1</v>
      </c>
      <c r="AM117">
        <v>2</v>
      </c>
      <c r="AN117">
        <v>0</v>
      </c>
      <c r="AO117">
        <v>0</v>
      </c>
      <c r="AP117">
        <v>1</v>
      </c>
      <c r="AQ117">
        <v>1</v>
      </c>
      <c r="AR117">
        <v>0</v>
      </c>
      <c r="AS117" t="s">
        <v>3</v>
      </c>
      <c r="AT117">
        <v>0.20200000000000001</v>
      </c>
      <c r="AU117" t="s">
        <v>3</v>
      </c>
      <c r="AV117">
        <v>0</v>
      </c>
      <c r="AW117">
        <v>2</v>
      </c>
      <c r="AX117">
        <v>85998395</v>
      </c>
      <c r="AY117">
        <v>1</v>
      </c>
      <c r="AZ117">
        <v>0</v>
      </c>
      <c r="BA117">
        <v>104</v>
      </c>
      <c r="BB117">
        <v>1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35.174260000000004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1</v>
      </c>
      <c r="BQ117">
        <v>35.174260000000004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1</v>
      </c>
      <c r="CV117">
        <v>0</v>
      </c>
      <c r="CW117">
        <v>0</v>
      </c>
      <c r="CX117">
        <f>ROUND(Y117*Source!I79,7)</f>
        <v>4.0399999999999998E-2</v>
      </c>
      <c r="CY117">
        <f t="shared" si="58"/>
        <v>224.63</v>
      </c>
      <c r="CZ117">
        <f t="shared" si="59"/>
        <v>174.13</v>
      </c>
      <c r="DA117">
        <f t="shared" si="60"/>
        <v>1.29</v>
      </c>
      <c r="DB117">
        <f t="shared" si="49"/>
        <v>35.17</v>
      </c>
      <c r="DC117">
        <f t="shared" si="50"/>
        <v>0</v>
      </c>
      <c r="DD117" t="s">
        <v>3</v>
      </c>
      <c r="DE117" t="s">
        <v>3</v>
      </c>
      <c r="DF117">
        <f>ROUND(ROUND(AE117*AI117,2)*CX117,2)</f>
        <v>9.08</v>
      </c>
      <c r="DG117">
        <f t="shared" si="56"/>
        <v>0</v>
      </c>
      <c r="DH117">
        <f t="shared" si="35"/>
        <v>0</v>
      </c>
      <c r="DI117">
        <f t="shared" si="36"/>
        <v>0</v>
      </c>
      <c r="DJ117">
        <f t="shared" si="61"/>
        <v>9.08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ROW(Source!A79)</f>
        <v>79</v>
      </c>
      <c r="B118">
        <v>85997836</v>
      </c>
      <c r="C118">
        <v>85998377</v>
      </c>
      <c r="D118">
        <v>84240760</v>
      </c>
      <c r="E118">
        <v>1</v>
      </c>
      <c r="F118">
        <v>1</v>
      </c>
      <c r="G118">
        <v>1</v>
      </c>
      <c r="H118">
        <v>3</v>
      </c>
      <c r="I118" t="s">
        <v>638</v>
      </c>
      <c r="J118" t="s">
        <v>639</v>
      </c>
      <c r="K118" t="s">
        <v>640</v>
      </c>
      <c r="L118">
        <v>1346</v>
      </c>
      <c r="N118">
        <v>1009</v>
      </c>
      <c r="O118" t="s">
        <v>170</v>
      </c>
      <c r="P118" t="s">
        <v>170</v>
      </c>
      <c r="Q118">
        <v>1</v>
      </c>
      <c r="W118">
        <v>0</v>
      </c>
      <c r="X118">
        <v>1199624369</v>
      </c>
      <c r="Y118">
        <f t="shared" si="48"/>
        <v>0.2525</v>
      </c>
      <c r="AA118">
        <v>148.22</v>
      </c>
      <c r="AB118">
        <v>0</v>
      </c>
      <c r="AC118">
        <v>0</v>
      </c>
      <c r="AD118">
        <v>0</v>
      </c>
      <c r="AE118">
        <v>114.9</v>
      </c>
      <c r="AF118">
        <v>0</v>
      </c>
      <c r="AG118">
        <v>0</v>
      </c>
      <c r="AH118">
        <v>0</v>
      </c>
      <c r="AI118">
        <v>1.29</v>
      </c>
      <c r="AJ118">
        <v>1</v>
      </c>
      <c r="AK118">
        <v>1</v>
      </c>
      <c r="AL118">
        <v>1</v>
      </c>
      <c r="AM118">
        <v>2</v>
      </c>
      <c r="AN118">
        <v>0</v>
      </c>
      <c r="AO118">
        <v>0</v>
      </c>
      <c r="AP118">
        <v>1</v>
      </c>
      <c r="AQ118">
        <v>1</v>
      </c>
      <c r="AR118">
        <v>0</v>
      </c>
      <c r="AS118" t="s">
        <v>3</v>
      </c>
      <c r="AT118">
        <v>0.2525</v>
      </c>
      <c r="AU118" t="s">
        <v>3</v>
      </c>
      <c r="AV118">
        <v>0</v>
      </c>
      <c r="AW118">
        <v>2</v>
      </c>
      <c r="AX118">
        <v>85998396</v>
      </c>
      <c r="AY118">
        <v>1</v>
      </c>
      <c r="AZ118">
        <v>0</v>
      </c>
      <c r="BA118">
        <v>105</v>
      </c>
      <c r="BB118">
        <v>1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29.012250000000002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29.012250000000002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1</v>
      </c>
      <c r="CV118">
        <v>0</v>
      </c>
      <c r="CW118">
        <v>0</v>
      </c>
      <c r="CX118">
        <f>ROUND(Y118*Source!I79,7)</f>
        <v>5.0500000000000003E-2</v>
      </c>
      <c r="CY118">
        <f t="shared" si="58"/>
        <v>148.22</v>
      </c>
      <c r="CZ118">
        <f t="shared" si="59"/>
        <v>114.9</v>
      </c>
      <c r="DA118">
        <f t="shared" si="60"/>
        <v>1.29</v>
      </c>
      <c r="DB118">
        <f t="shared" si="49"/>
        <v>29.01</v>
      </c>
      <c r="DC118">
        <f t="shared" si="50"/>
        <v>0</v>
      </c>
      <c r="DD118" t="s">
        <v>3</v>
      </c>
      <c r="DE118" t="s">
        <v>3</v>
      </c>
      <c r="DF118">
        <f>ROUND(ROUND(AE118*AI118,2)*CX118,2)</f>
        <v>7.49</v>
      </c>
      <c r="DG118">
        <f t="shared" si="56"/>
        <v>0</v>
      </c>
      <c r="DH118">
        <f t="shared" si="35"/>
        <v>0</v>
      </c>
      <c r="DI118">
        <f t="shared" si="36"/>
        <v>0</v>
      </c>
      <c r="DJ118">
        <f t="shared" si="61"/>
        <v>7.49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ROW(Source!A79)</f>
        <v>79</v>
      </c>
      <c r="B119">
        <v>85997836</v>
      </c>
      <c r="C119">
        <v>85998377</v>
      </c>
      <c r="D119">
        <v>84241160</v>
      </c>
      <c r="E119">
        <v>1</v>
      </c>
      <c r="F119">
        <v>1</v>
      </c>
      <c r="G119">
        <v>1</v>
      </c>
      <c r="H119">
        <v>3</v>
      </c>
      <c r="I119" t="s">
        <v>641</v>
      </c>
      <c r="J119" t="s">
        <v>642</v>
      </c>
      <c r="K119" t="s">
        <v>643</v>
      </c>
      <c r="L119">
        <v>1371</v>
      </c>
      <c r="N119">
        <v>1013</v>
      </c>
      <c r="O119" t="s">
        <v>43</v>
      </c>
      <c r="P119" t="s">
        <v>43</v>
      </c>
      <c r="Q119">
        <v>1</v>
      </c>
      <c r="W119">
        <v>0</v>
      </c>
      <c r="X119">
        <v>-1891510545</v>
      </c>
      <c r="Y119">
        <f t="shared" si="48"/>
        <v>0.5</v>
      </c>
      <c r="AA119">
        <v>66.44</v>
      </c>
      <c r="AB119">
        <v>0</v>
      </c>
      <c r="AC119">
        <v>0</v>
      </c>
      <c r="AD119">
        <v>0</v>
      </c>
      <c r="AE119">
        <v>53.58</v>
      </c>
      <c r="AF119">
        <v>0</v>
      </c>
      <c r="AG119">
        <v>0</v>
      </c>
      <c r="AH119">
        <v>0</v>
      </c>
      <c r="AI119">
        <v>1.24</v>
      </c>
      <c r="AJ119">
        <v>1</v>
      </c>
      <c r="AK119">
        <v>1</v>
      </c>
      <c r="AL119">
        <v>1</v>
      </c>
      <c r="AM119">
        <v>2</v>
      </c>
      <c r="AN119">
        <v>0</v>
      </c>
      <c r="AO119">
        <v>0</v>
      </c>
      <c r="AP119">
        <v>1</v>
      </c>
      <c r="AQ119">
        <v>1</v>
      </c>
      <c r="AR119">
        <v>0</v>
      </c>
      <c r="AS119" t="s">
        <v>3</v>
      </c>
      <c r="AT119">
        <v>0.5</v>
      </c>
      <c r="AU119" t="s">
        <v>3</v>
      </c>
      <c r="AV119">
        <v>0</v>
      </c>
      <c r="AW119">
        <v>2</v>
      </c>
      <c r="AX119">
        <v>85998397</v>
      </c>
      <c r="AY119">
        <v>1</v>
      </c>
      <c r="AZ119">
        <v>0</v>
      </c>
      <c r="BA119">
        <v>106</v>
      </c>
      <c r="BB119">
        <v>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26.79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1</v>
      </c>
      <c r="BQ119">
        <v>26.79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1</v>
      </c>
      <c r="CV119">
        <v>0</v>
      </c>
      <c r="CW119">
        <v>0</v>
      </c>
      <c r="CX119">
        <f>ROUND(Y119*Source!I79,7)</f>
        <v>0.1</v>
      </c>
      <c r="CY119">
        <f t="shared" si="58"/>
        <v>66.44</v>
      </c>
      <c r="CZ119">
        <f t="shared" si="59"/>
        <v>53.58</v>
      </c>
      <c r="DA119">
        <f t="shared" si="60"/>
        <v>1.24</v>
      </c>
      <c r="DB119">
        <f t="shared" si="49"/>
        <v>26.79</v>
      </c>
      <c r="DC119">
        <f t="shared" si="50"/>
        <v>0</v>
      </c>
      <c r="DD119" t="s">
        <v>3</v>
      </c>
      <c r="DE119" t="s">
        <v>3</v>
      </c>
      <c r="DF119">
        <f>ROUND(ROUND(AE119*AI119,2)*CX119,2)</f>
        <v>6.64</v>
      </c>
      <c r="DG119">
        <f t="shared" si="56"/>
        <v>0</v>
      </c>
      <c r="DH119">
        <f t="shared" si="35"/>
        <v>0</v>
      </c>
      <c r="DI119">
        <f t="shared" si="36"/>
        <v>0</v>
      </c>
      <c r="DJ119">
        <f t="shared" si="61"/>
        <v>6.64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ROW(Source!A79)</f>
        <v>79</v>
      </c>
      <c r="B120">
        <v>85997836</v>
      </c>
      <c r="C120">
        <v>85998377</v>
      </c>
      <c r="D120">
        <v>84267489</v>
      </c>
      <c r="E120">
        <v>1</v>
      </c>
      <c r="F120">
        <v>1</v>
      </c>
      <c r="G120">
        <v>1</v>
      </c>
      <c r="H120">
        <v>3</v>
      </c>
      <c r="I120" t="s">
        <v>205</v>
      </c>
      <c r="J120" t="s">
        <v>206</v>
      </c>
      <c r="K120" t="s">
        <v>734</v>
      </c>
      <c r="L120">
        <v>1371</v>
      </c>
      <c r="N120">
        <v>1013</v>
      </c>
      <c r="O120" t="s">
        <v>43</v>
      </c>
      <c r="P120" t="s">
        <v>43</v>
      </c>
      <c r="Q120">
        <v>1</v>
      </c>
      <c r="W120">
        <v>0</v>
      </c>
      <c r="X120">
        <v>-426330565</v>
      </c>
      <c r="Y120">
        <f t="shared" si="48"/>
        <v>100</v>
      </c>
      <c r="AA120">
        <v>2784.38</v>
      </c>
      <c r="AB120">
        <v>0</v>
      </c>
      <c r="AC120">
        <v>0</v>
      </c>
      <c r="AD120">
        <v>0</v>
      </c>
      <c r="AE120">
        <v>3128.52</v>
      </c>
      <c r="AF120">
        <v>0</v>
      </c>
      <c r="AG120">
        <v>0</v>
      </c>
      <c r="AH120">
        <v>0</v>
      </c>
      <c r="AI120">
        <v>0.89</v>
      </c>
      <c r="AJ120">
        <v>1</v>
      </c>
      <c r="AK120">
        <v>1</v>
      </c>
      <c r="AL120">
        <v>1</v>
      </c>
      <c r="AM120">
        <v>0</v>
      </c>
      <c r="AN120">
        <v>0</v>
      </c>
      <c r="AO120">
        <v>0</v>
      </c>
      <c r="AP120">
        <v>1</v>
      </c>
      <c r="AQ120">
        <v>0</v>
      </c>
      <c r="AR120">
        <v>0</v>
      </c>
      <c r="AS120" t="s">
        <v>3</v>
      </c>
      <c r="AT120">
        <v>100</v>
      </c>
      <c r="AU120" t="s">
        <v>3</v>
      </c>
      <c r="AV120">
        <v>0</v>
      </c>
      <c r="AW120">
        <v>1</v>
      </c>
      <c r="AX120">
        <v>-1</v>
      </c>
      <c r="AY120">
        <v>0</v>
      </c>
      <c r="AZ120">
        <v>0</v>
      </c>
      <c r="BA120" t="s">
        <v>3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V120">
        <v>0</v>
      </c>
      <c r="CW120">
        <v>0</v>
      </c>
      <c r="CX120">
        <f>ROUND(Y120*Source!I79,7)</f>
        <v>20</v>
      </c>
      <c r="CY120">
        <f t="shared" si="58"/>
        <v>2784.38</v>
      </c>
      <c r="CZ120">
        <f t="shared" si="59"/>
        <v>3128.52</v>
      </c>
      <c r="DA120">
        <f t="shared" si="60"/>
        <v>0.89</v>
      </c>
      <c r="DB120">
        <f t="shared" si="49"/>
        <v>312852</v>
      </c>
      <c r="DC120">
        <f t="shared" si="50"/>
        <v>0</v>
      </c>
      <c r="DD120" t="s">
        <v>3</v>
      </c>
      <c r="DE120" t="s">
        <v>3</v>
      </c>
      <c r="DF120">
        <f>ROUND(ROUND(AE120*AI120,2)*CX120,2)</f>
        <v>55687.6</v>
      </c>
      <c r="DG120">
        <f t="shared" si="56"/>
        <v>0</v>
      </c>
      <c r="DH120">
        <f t="shared" si="35"/>
        <v>0</v>
      </c>
      <c r="DI120">
        <f t="shared" si="36"/>
        <v>0</v>
      </c>
      <c r="DJ120">
        <f t="shared" si="61"/>
        <v>55687.6</v>
      </c>
      <c r="DK120">
        <v>0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ROW(Source!A79)</f>
        <v>79</v>
      </c>
      <c r="B121">
        <v>85997836</v>
      </c>
      <c r="C121">
        <v>85998377</v>
      </c>
      <c r="D121">
        <v>84170596</v>
      </c>
      <c r="E121">
        <v>117</v>
      </c>
      <c r="F121">
        <v>1</v>
      </c>
      <c r="G121">
        <v>1</v>
      </c>
      <c r="H121">
        <v>3</v>
      </c>
      <c r="I121" t="s">
        <v>55</v>
      </c>
      <c r="J121" t="s">
        <v>3</v>
      </c>
      <c r="K121" t="s">
        <v>56</v>
      </c>
      <c r="L121">
        <v>3277935</v>
      </c>
      <c r="N121">
        <v>1013</v>
      </c>
      <c r="O121" t="s">
        <v>57</v>
      </c>
      <c r="P121" t="s">
        <v>57</v>
      </c>
      <c r="Q121">
        <v>1</v>
      </c>
      <c r="W121">
        <v>0</v>
      </c>
      <c r="X121">
        <v>274903907</v>
      </c>
      <c r="Y121">
        <f t="shared" si="48"/>
        <v>2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-2</v>
      </c>
      <c r="AN121">
        <v>0</v>
      </c>
      <c r="AO121">
        <v>0</v>
      </c>
      <c r="AP121">
        <v>0</v>
      </c>
      <c r="AQ121">
        <v>0</v>
      </c>
      <c r="AR121">
        <v>0</v>
      </c>
      <c r="AS121" t="s">
        <v>3</v>
      </c>
      <c r="AT121">
        <v>2</v>
      </c>
      <c r="AU121" t="s">
        <v>3</v>
      </c>
      <c r="AV121">
        <v>0</v>
      </c>
      <c r="AW121">
        <v>2</v>
      </c>
      <c r="AX121">
        <v>85998398</v>
      </c>
      <c r="AY121">
        <v>1</v>
      </c>
      <c r="AZ121">
        <v>0</v>
      </c>
      <c r="BA121">
        <v>107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ROUND(Y121*Source!I79,7)</f>
        <v>0.4</v>
      </c>
      <c r="CY121">
        <f t="shared" si="58"/>
        <v>0</v>
      </c>
      <c r="CZ121">
        <f t="shared" si="59"/>
        <v>0</v>
      </c>
      <c r="DA121">
        <f t="shared" si="60"/>
        <v>1</v>
      </c>
      <c r="DB121">
        <f t="shared" si="49"/>
        <v>0</v>
      </c>
      <c r="DC121">
        <f t="shared" si="50"/>
        <v>0</v>
      </c>
      <c r="DD121" t="s">
        <v>3</v>
      </c>
      <c r="DE121" t="s">
        <v>3</v>
      </c>
      <c r="DF121">
        <f t="shared" ref="DF121:DF126" si="62">ROUND(ROUND(AE121,2)*CX121,2)</f>
        <v>0</v>
      </c>
      <c r="DG121">
        <f t="shared" si="56"/>
        <v>0</v>
      </c>
      <c r="DH121">
        <f t="shared" si="35"/>
        <v>0</v>
      </c>
      <c r="DI121">
        <f t="shared" si="36"/>
        <v>0</v>
      </c>
      <c r="DJ121">
        <f t="shared" si="61"/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ROW(Source!A117)</f>
        <v>117</v>
      </c>
      <c r="B122">
        <v>85997836</v>
      </c>
      <c r="C122">
        <v>85998401</v>
      </c>
      <c r="D122">
        <v>84164576</v>
      </c>
      <c r="E122">
        <v>117</v>
      </c>
      <c r="F122">
        <v>1</v>
      </c>
      <c r="G122">
        <v>1</v>
      </c>
      <c r="H122">
        <v>1</v>
      </c>
      <c r="I122" t="s">
        <v>644</v>
      </c>
      <c r="J122" t="s">
        <v>3</v>
      </c>
      <c r="K122" t="s">
        <v>645</v>
      </c>
      <c r="L122">
        <v>1191</v>
      </c>
      <c r="N122">
        <v>1013</v>
      </c>
      <c r="O122" t="s">
        <v>541</v>
      </c>
      <c r="P122" t="s">
        <v>541</v>
      </c>
      <c r="Q122">
        <v>1</v>
      </c>
      <c r="W122">
        <v>0</v>
      </c>
      <c r="X122">
        <v>-1461236815</v>
      </c>
      <c r="Y122">
        <f>(AT122*ROUND((1.15*0.7),7))</f>
        <v>0.86135000000000006</v>
      </c>
      <c r="AA122">
        <v>0</v>
      </c>
      <c r="AB122">
        <v>0</v>
      </c>
      <c r="AC122">
        <v>0</v>
      </c>
      <c r="AD122">
        <v>673.55</v>
      </c>
      <c r="AE122">
        <v>0</v>
      </c>
      <c r="AF122">
        <v>0</v>
      </c>
      <c r="AG122">
        <v>0</v>
      </c>
      <c r="AH122">
        <v>673.55</v>
      </c>
      <c r="AI122">
        <v>1</v>
      </c>
      <c r="AJ122">
        <v>1</v>
      </c>
      <c r="AK122">
        <v>1</v>
      </c>
      <c r="AL122">
        <v>1</v>
      </c>
      <c r="AM122">
        <v>-2</v>
      </c>
      <c r="AN122">
        <v>0</v>
      </c>
      <c r="AO122">
        <v>0</v>
      </c>
      <c r="AP122">
        <v>1</v>
      </c>
      <c r="AQ122">
        <v>1</v>
      </c>
      <c r="AR122">
        <v>0</v>
      </c>
      <c r="AS122" t="s">
        <v>3</v>
      </c>
      <c r="AT122">
        <v>1.07</v>
      </c>
      <c r="AU122" t="s">
        <v>268</v>
      </c>
      <c r="AV122">
        <v>1</v>
      </c>
      <c r="AW122">
        <v>2</v>
      </c>
      <c r="AX122">
        <v>85998410</v>
      </c>
      <c r="AY122">
        <v>1</v>
      </c>
      <c r="AZ122">
        <v>0</v>
      </c>
      <c r="BA122">
        <v>108</v>
      </c>
      <c r="BB122">
        <v>1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720.69849999999997</v>
      </c>
      <c r="BN122">
        <v>1.07</v>
      </c>
      <c r="BO122">
        <v>0</v>
      </c>
      <c r="BP122">
        <v>1</v>
      </c>
      <c r="BQ122">
        <v>0</v>
      </c>
      <c r="BR122">
        <v>0</v>
      </c>
      <c r="BS122">
        <v>0</v>
      </c>
      <c r="BT122">
        <v>580.16229249999992</v>
      </c>
      <c r="BU122">
        <v>0.86134999999999995</v>
      </c>
      <c r="BV122">
        <v>0</v>
      </c>
      <c r="BW122">
        <v>1</v>
      </c>
      <c r="CU122">
        <f>ROUND(AT122*Source!I117*AH122*AL122,2)</f>
        <v>6486.29</v>
      </c>
      <c r="CV122">
        <f>ROUND(Y122*Source!I117,7)</f>
        <v>7.7521500000000003</v>
      </c>
      <c r="CW122">
        <v>0</v>
      </c>
      <c r="CX122">
        <f>ROUND(Y122*Source!I117,7)</f>
        <v>7.7521500000000003</v>
      </c>
      <c r="CY122">
        <f>AD122</f>
        <v>673.55</v>
      </c>
      <c r="CZ122">
        <f>AH122</f>
        <v>673.55</v>
      </c>
      <c r="DA122">
        <f>AL122</f>
        <v>1</v>
      </c>
      <c r="DB122">
        <f>ROUND((ROUND(AT122*CZ122,2)*ROUND((1.15*0.7),7)),6)</f>
        <v>580.1635</v>
      </c>
      <c r="DC122">
        <f>ROUND((ROUND(AT122*AG122,2)*ROUND((1.15*0.7),7)),6)</f>
        <v>0</v>
      </c>
      <c r="DD122" t="s">
        <v>3</v>
      </c>
      <c r="DE122" t="s">
        <v>3</v>
      </c>
      <c r="DF122">
        <f t="shared" si="62"/>
        <v>0</v>
      </c>
      <c r="DG122">
        <f t="shared" si="56"/>
        <v>0</v>
      </c>
      <c r="DH122">
        <f t="shared" si="35"/>
        <v>0</v>
      </c>
      <c r="DI122">
        <f t="shared" si="36"/>
        <v>5221.46</v>
      </c>
      <c r="DJ122">
        <f>DI122</f>
        <v>5221.46</v>
      </c>
      <c r="DK122">
        <v>1</v>
      </c>
      <c r="DL122" t="s">
        <v>3</v>
      </c>
      <c r="DM122">
        <v>0</v>
      </c>
      <c r="DN122" t="s">
        <v>3</v>
      </c>
      <c r="DO122">
        <v>0</v>
      </c>
    </row>
    <row r="123" spans="1:119" x14ac:dyDescent="0.2">
      <c r="A123">
        <f>ROW(Source!A117)</f>
        <v>117</v>
      </c>
      <c r="B123">
        <v>85997836</v>
      </c>
      <c r="C123">
        <v>85998401</v>
      </c>
      <c r="D123">
        <v>84164762</v>
      </c>
      <c r="E123">
        <v>117</v>
      </c>
      <c r="F123">
        <v>1</v>
      </c>
      <c r="G123">
        <v>1</v>
      </c>
      <c r="H123">
        <v>1</v>
      </c>
      <c r="I123" t="s">
        <v>542</v>
      </c>
      <c r="J123" t="s">
        <v>3</v>
      </c>
      <c r="K123" t="s">
        <v>543</v>
      </c>
      <c r="L123">
        <v>1191</v>
      </c>
      <c r="N123">
        <v>1013</v>
      </c>
      <c r="O123" t="s">
        <v>541</v>
      </c>
      <c r="P123" t="s">
        <v>541</v>
      </c>
      <c r="Q123">
        <v>1</v>
      </c>
      <c r="W123">
        <v>0</v>
      </c>
      <c r="X123">
        <v>-1417349443</v>
      </c>
      <c r="Y123">
        <f>(AT123*ROUND((1.25*0.7),7))</f>
        <v>8.7500000000000008E-3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3</v>
      </c>
      <c r="AT123">
        <v>0.01</v>
      </c>
      <c r="AU123" t="s">
        <v>267</v>
      </c>
      <c r="AV123">
        <v>2</v>
      </c>
      <c r="AW123">
        <v>2</v>
      </c>
      <c r="AX123">
        <v>85998411</v>
      </c>
      <c r="AY123">
        <v>1</v>
      </c>
      <c r="AZ123">
        <v>0</v>
      </c>
      <c r="BA123">
        <v>109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V123">
        <v>0</v>
      </c>
      <c r="CW123">
        <v>0</v>
      </c>
      <c r="CX123">
        <f>ROUND(Y123*Source!I117,7)</f>
        <v>7.8750000000000001E-2</v>
      </c>
      <c r="CY123">
        <f>AD123</f>
        <v>0</v>
      </c>
      <c r="CZ123">
        <f>AH123</f>
        <v>0</v>
      </c>
      <c r="DA123">
        <f>AL123</f>
        <v>1</v>
      </c>
      <c r="DB123">
        <f>ROUND((ROUND(AT123*CZ123,2)*ROUND((1.25*0.7),7)),6)</f>
        <v>0</v>
      </c>
      <c r="DC123">
        <f>ROUND((ROUND(AT123*AG123,2)*ROUND((1.25*0.7),7)),6)</f>
        <v>0</v>
      </c>
      <c r="DD123" t="s">
        <v>3</v>
      </c>
      <c r="DE123" t="s">
        <v>3</v>
      </c>
      <c r="DF123">
        <f t="shared" si="62"/>
        <v>0</v>
      </c>
      <c r="DG123">
        <f t="shared" si="56"/>
        <v>0</v>
      </c>
      <c r="DH123">
        <f t="shared" si="35"/>
        <v>0</v>
      </c>
      <c r="DI123">
        <f t="shared" si="36"/>
        <v>0</v>
      </c>
      <c r="DJ123">
        <f>DI123</f>
        <v>0</v>
      </c>
      <c r="DK123">
        <v>0</v>
      </c>
      <c r="DL123" t="s">
        <v>3</v>
      </c>
      <c r="DM123">
        <v>0</v>
      </c>
      <c r="DN123" t="s">
        <v>3</v>
      </c>
      <c r="DO123">
        <v>0</v>
      </c>
    </row>
    <row r="124" spans="1:119" x14ac:dyDescent="0.2">
      <c r="A124">
        <f>ROW(Source!A117)</f>
        <v>117</v>
      </c>
      <c r="B124">
        <v>85997836</v>
      </c>
      <c r="C124">
        <v>85998401</v>
      </c>
      <c r="D124">
        <v>84172146</v>
      </c>
      <c r="E124">
        <v>1</v>
      </c>
      <c r="F124">
        <v>1</v>
      </c>
      <c r="G124">
        <v>1</v>
      </c>
      <c r="H124">
        <v>2</v>
      </c>
      <c r="I124" t="s">
        <v>127</v>
      </c>
      <c r="J124" t="s">
        <v>129</v>
      </c>
      <c r="K124" t="s">
        <v>128</v>
      </c>
      <c r="L124">
        <v>1368</v>
      </c>
      <c r="N124">
        <v>1011</v>
      </c>
      <c r="O124" t="s">
        <v>29</v>
      </c>
      <c r="P124" t="s">
        <v>29</v>
      </c>
      <c r="Q124">
        <v>1</v>
      </c>
      <c r="W124">
        <v>0</v>
      </c>
      <c r="X124">
        <v>-849950259</v>
      </c>
      <c r="Y124">
        <f>(AT124*ROUND((1.25*0.7),7))</f>
        <v>-7.6562500000000007E-3</v>
      </c>
      <c r="AA124">
        <v>0</v>
      </c>
      <c r="AB124">
        <v>643.29</v>
      </c>
      <c r="AC124">
        <v>722.05</v>
      </c>
      <c r="AD124">
        <v>0</v>
      </c>
      <c r="AE124">
        <v>0</v>
      </c>
      <c r="AF124">
        <v>643.29</v>
      </c>
      <c r="AG124">
        <v>722.05</v>
      </c>
      <c r="AH124">
        <v>0</v>
      </c>
      <c r="AI124">
        <v>1</v>
      </c>
      <c r="AJ124">
        <v>1</v>
      </c>
      <c r="AK124">
        <v>1</v>
      </c>
      <c r="AL124">
        <v>1</v>
      </c>
      <c r="AM124">
        <v>-2</v>
      </c>
      <c r="AN124">
        <v>0</v>
      </c>
      <c r="AO124">
        <v>0</v>
      </c>
      <c r="AP124">
        <v>1</v>
      </c>
      <c r="AQ124">
        <v>0</v>
      </c>
      <c r="AR124">
        <v>0</v>
      </c>
      <c r="AS124" t="s">
        <v>3</v>
      </c>
      <c r="AT124">
        <v>-8.7500000000000008E-3</v>
      </c>
      <c r="AU124" t="s">
        <v>267</v>
      </c>
      <c r="AV124">
        <v>1</v>
      </c>
      <c r="AW124">
        <v>2</v>
      </c>
      <c r="AX124">
        <v>85998412</v>
      </c>
      <c r="AY124">
        <v>1</v>
      </c>
      <c r="AZ124">
        <v>6144</v>
      </c>
      <c r="BA124">
        <v>110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V124">
        <v>0</v>
      </c>
      <c r="CW124">
        <f>ROUND(Y124*Source!I117*DO124,7)</f>
        <v>-6.8906300000000004E-2</v>
      </c>
      <c r="CX124">
        <f>ROUND(Y124*Source!I117,7)</f>
        <v>-6.8906300000000004E-2</v>
      </c>
      <c r="CY124">
        <f>AB124</f>
        <v>643.29</v>
      </c>
      <c r="CZ124">
        <f>AF124</f>
        <v>643.29</v>
      </c>
      <c r="DA124">
        <f>AJ124</f>
        <v>1</v>
      </c>
      <c r="DB124">
        <f>ROUND((ROUND(AT124*CZ124,2)*ROUND((1.25*0.7),7)),6)</f>
        <v>-4.9262499999999996</v>
      </c>
      <c r="DC124">
        <f>ROUND((ROUND(AT124*AG124,2)*ROUND((1.25*0.7),7)),6)</f>
        <v>-5.53</v>
      </c>
      <c r="DD124" t="s">
        <v>3</v>
      </c>
      <c r="DE124" t="s">
        <v>3</v>
      </c>
      <c r="DF124">
        <f t="shared" si="62"/>
        <v>0</v>
      </c>
      <c r="DG124">
        <f t="shared" si="56"/>
        <v>-44.33</v>
      </c>
      <c r="DH124">
        <f t="shared" si="35"/>
        <v>-49.75</v>
      </c>
      <c r="DI124">
        <f t="shared" si="36"/>
        <v>0</v>
      </c>
      <c r="DJ124">
        <f>DG124+DH124</f>
        <v>-94.08</v>
      </c>
      <c r="DK124">
        <v>1</v>
      </c>
      <c r="DL124" t="s">
        <v>600</v>
      </c>
      <c r="DM124">
        <v>4</v>
      </c>
      <c r="DN124" t="s">
        <v>541</v>
      </c>
      <c r="DO124">
        <v>1</v>
      </c>
    </row>
    <row r="125" spans="1:119" x14ac:dyDescent="0.2">
      <c r="A125">
        <f>ROW(Source!A117)</f>
        <v>117</v>
      </c>
      <c r="B125">
        <v>85997836</v>
      </c>
      <c r="C125">
        <v>85998401</v>
      </c>
      <c r="D125">
        <v>84172342</v>
      </c>
      <c r="E125">
        <v>1</v>
      </c>
      <c r="F125">
        <v>1</v>
      </c>
      <c r="G125">
        <v>1</v>
      </c>
      <c r="H125">
        <v>2</v>
      </c>
      <c r="I125" t="s">
        <v>549</v>
      </c>
      <c r="J125" t="s">
        <v>550</v>
      </c>
      <c r="K125" t="s">
        <v>551</v>
      </c>
      <c r="L125">
        <v>1368</v>
      </c>
      <c r="N125">
        <v>1011</v>
      </c>
      <c r="O125" t="s">
        <v>29</v>
      </c>
      <c r="P125" t="s">
        <v>29</v>
      </c>
      <c r="Q125">
        <v>1</v>
      </c>
      <c r="W125">
        <v>0</v>
      </c>
      <c r="X125">
        <v>303316554</v>
      </c>
      <c r="Y125">
        <f>(AT125*ROUND((1.25*0.7),7))</f>
        <v>8.7500000000000008E-2</v>
      </c>
      <c r="AA125">
        <v>0</v>
      </c>
      <c r="AB125">
        <v>32.26</v>
      </c>
      <c r="AC125">
        <v>0</v>
      </c>
      <c r="AD125">
        <v>0</v>
      </c>
      <c r="AE125">
        <v>0</v>
      </c>
      <c r="AF125">
        <v>32.26</v>
      </c>
      <c r="AG125">
        <v>0</v>
      </c>
      <c r="AH125">
        <v>0</v>
      </c>
      <c r="AI125">
        <v>1</v>
      </c>
      <c r="AJ125">
        <v>1</v>
      </c>
      <c r="AK125">
        <v>1</v>
      </c>
      <c r="AL125">
        <v>1</v>
      </c>
      <c r="AM125">
        <v>-2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</v>
      </c>
      <c r="AT125">
        <v>0.1</v>
      </c>
      <c r="AU125" t="s">
        <v>267</v>
      </c>
      <c r="AV125">
        <v>1</v>
      </c>
      <c r="AW125">
        <v>2</v>
      </c>
      <c r="AX125">
        <v>85998413</v>
      </c>
      <c r="AY125">
        <v>1</v>
      </c>
      <c r="AZ125">
        <v>0</v>
      </c>
      <c r="BA125">
        <v>111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3.226</v>
      </c>
      <c r="BL125">
        <v>0</v>
      </c>
      <c r="BM125">
        <v>0</v>
      </c>
      <c r="BN125">
        <v>0</v>
      </c>
      <c r="BO125">
        <v>0</v>
      </c>
      <c r="BP125">
        <v>1</v>
      </c>
      <c r="BQ125">
        <v>0</v>
      </c>
      <c r="BR125">
        <v>2.8227499999999996</v>
      </c>
      <c r="BS125">
        <v>0</v>
      </c>
      <c r="BT125">
        <v>0</v>
      </c>
      <c r="BU125">
        <v>0</v>
      </c>
      <c r="BV125">
        <v>0</v>
      </c>
      <c r="BW125">
        <v>1</v>
      </c>
      <c r="CV125">
        <v>0</v>
      </c>
      <c r="CW125">
        <f>ROUND(Y125*Source!I117*DO125,7)</f>
        <v>0</v>
      </c>
      <c r="CX125">
        <f>ROUND(Y125*Source!I117,7)</f>
        <v>0.78749999999999998</v>
      </c>
      <c r="CY125">
        <f>AB125</f>
        <v>32.26</v>
      </c>
      <c r="CZ125">
        <f>AF125</f>
        <v>32.26</v>
      </c>
      <c r="DA125">
        <f>AJ125</f>
        <v>1</v>
      </c>
      <c r="DB125">
        <f>ROUND((ROUND(AT125*CZ125,2)*ROUND((1.25*0.7),7)),6)</f>
        <v>2.8262499999999999</v>
      </c>
      <c r="DC125">
        <f>ROUND((ROUND(AT125*AG125,2)*ROUND((1.25*0.7),7)),6)</f>
        <v>0</v>
      </c>
      <c r="DD125" t="s">
        <v>3</v>
      </c>
      <c r="DE125" t="s">
        <v>3</v>
      </c>
      <c r="DF125">
        <f t="shared" si="62"/>
        <v>0</v>
      </c>
      <c r="DG125">
        <f t="shared" si="56"/>
        <v>25.4</v>
      </c>
      <c r="DH125">
        <f t="shared" si="35"/>
        <v>0</v>
      </c>
      <c r="DI125">
        <f t="shared" si="36"/>
        <v>0</v>
      </c>
      <c r="DJ125">
        <f>DG125+DH125</f>
        <v>25.4</v>
      </c>
      <c r="DK125">
        <v>1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ROW(Source!A117)</f>
        <v>117</v>
      </c>
      <c r="B126">
        <v>85997836</v>
      </c>
      <c r="C126">
        <v>85998401</v>
      </c>
      <c r="D126">
        <v>84238914</v>
      </c>
      <c r="E126">
        <v>1</v>
      </c>
      <c r="F126">
        <v>1</v>
      </c>
      <c r="G126">
        <v>1</v>
      </c>
      <c r="H126">
        <v>3</v>
      </c>
      <c r="I126" t="s">
        <v>558</v>
      </c>
      <c r="J126" t="s">
        <v>559</v>
      </c>
      <c r="K126" t="s">
        <v>560</v>
      </c>
      <c r="L126">
        <v>1383</v>
      </c>
      <c r="N126">
        <v>1013</v>
      </c>
      <c r="O126" t="s">
        <v>561</v>
      </c>
      <c r="P126" t="s">
        <v>561</v>
      </c>
      <c r="Q126">
        <v>1</v>
      </c>
      <c r="W126">
        <v>0</v>
      </c>
      <c r="X126">
        <v>1840299850</v>
      </c>
      <c r="Y126">
        <f>(AT126*ROUND(0,7))</f>
        <v>0</v>
      </c>
      <c r="AA126">
        <v>6.78</v>
      </c>
      <c r="AB126">
        <v>0</v>
      </c>
      <c r="AC126">
        <v>0</v>
      </c>
      <c r="AD126">
        <v>0</v>
      </c>
      <c r="AE126">
        <v>6.78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-2</v>
      </c>
      <c r="AN126">
        <v>0</v>
      </c>
      <c r="AO126">
        <v>0</v>
      </c>
      <c r="AP126">
        <v>1</v>
      </c>
      <c r="AQ126">
        <v>1</v>
      </c>
      <c r="AR126">
        <v>0</v>
      </c>
      <c r="AS126" t="s">
        <v>3</v>
      </c>
      <c r="AT126">
        <v>0.1404</v>
      </c>
      <c r="AU126" t="s">
        <v>46</v>
      </c>
      <c r="AV126">
        <v>0</v>
      </c>
      <c r="AW126">
        <v>2</v>
      </c>
      <c r="AX126">
        <v>85998414</v>
      </c>
      <c r="AY126">
        <v>1</v>
      </c>
      <c r="AZ126">
        <v>0</v>
      </c>
      <c r="BA126">
        <v>112</v>
      </c>
      <c r="BB126">
        <v>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0.95191199999999998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1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ROUND(Y126*Source!I117,7)</f>
        <v>0</v>
      </c>
      <c r="CY126">
        <f>AA126</f>
        <v>6.78</v>
      </c>
      <c r="CZ126">
        <f>AE126</f>
        <v>6.78</v>
      </c>
      <c r="DA126">
        <f>AI126</f>
        <v>1</v>
      </c>
      <c r="DB126">
        <f>ROUND((ROUND(AT126*CZ126,2)*ROUND(0,7)),6)</f>
        <v>0</v>
      </c>
      <c r="DC126">
        <f>ROUND((ROUND(AT126*AG126,2)*ROUND(0,7)),6)</f>
        <v>0</v>
      </c>
      <c r="DD126" t="s">
        <v>3</v>
      </c>
      <c r="DE126" t="s">
        <v>3</v>
      </c>
      <c r="DF126">
        <f t="shared" si="62"/>
        <v>0</v>
      </c>
      <c r="DG126">
        <f t="shared" si="56"/>
        <v>0</v>
      </c>
      <c r="DH126">
        <f t="shared" si="35"/>
        <v>0</v>
      </c>
      <c r="DI126">
        <f t="shared" si="36"/>
        <v>0</v>
      </c>
      <c r="DJ126">
        <f>DF126</f>
        <v>0</v>
      </c>
      <c r="DK126">
        <v>1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ROW(Source!A117)</f>
        <v>117</v>
      </c>
      <c r="B127">
        <v>85997836</v>
      </c>
      <c r="C127">
        <v>85998401</v>
      </c>
      <c r="D127">
        <v>84239655</v>
      </c>
      <c r="E127">
        <v>1</v>
      </c>
      <c r="F127">
        <v>1</v>
      </c>
      <c r="G127">
        <v>1</v>
      </c>
      <c r="H127">
        <v>3</v>
      </c>
      <c r="I127" t="s">
        <v>565</v>
      </c>
      <c r="J127" t="s">
        <v>566</v>
      </c>
      <c r="K127" t="s">
        <v>567</v>
      </c>
      <c r="L127">
        <v>1346</v>
      </c>
      <c r="N127">
        <v>1009</v>
      </c>
      <c r="O127" t="s">
        <v>170</v>
      </c>
      <c r="P127" t="s">
        <v>170</v>
      </c>
      <c r="Q127">
        <v>1</v>
      </c>
      <c r="W127">
        <v>0</v>
      </c>
      <c r="X127">
        <v>-163259778</v>
      </c>
      <c r="Y127">
        <f>(AT127*ROUND(0,7))</f>
        <v>0</v>
      </c>
      <c r="AA127">
        <v>121.39</v>
      </c>
      <c r="AB127">
        <v>0</v>
      </c>
      <c r="AC127">
        <v>0</v>
      </c>
      <c r="AD127">
        <v>0</v>
      </c>
      <c r="AE127">
        <v>155.63</v>
      </c>
      <c r="AF127">
        <v>0</v>
      </c>
      <c r="AG127">
        <v>0</v>
      </c>
      <c r="AH127">
        <v>0</v>
      </c>
      <c r="AI127">
        <v>0.78</v>
      </c>
      <c r="AJ127">
        <v>1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0.11</v>
      </c>
      <c r="AU127" t="s">
        <v>46</v>
      </c>
      <c r="AV127">
        <v>0</v>
      </c>
      <c r="AW127">
        <v>2</v>
      </c>
      <c r="AX127">
        <v>85998415</v>
      </c>
      <c r="AY127">
        <v>1</v>
      </c>
      <c r="AZ127">
        <v>0</v>
      </c>
      <c r="BA127">
        <v>113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17.119299999999999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V127">
        <v>0</v>
      </c>
      <c r="CW127">
        <v>0</v>
      </c>
      <c r="CX127">
        <f>ROUND(Y127*Source!I117,7)</f>
        <v>0</v>
      </c>
      <c r="CY127">
        <f>AA127</f>
        <v>121.39</v>
      </c>
      <c r="CZ127">
        <f>AE127</f>
        <v>155.63</v>
      </c>
      <c r="DA127">
        <f>AI127</f>
        <v>0.78</v>
      </c>
      <c r="DB127">
        <f>ROUND((ROUND(AT127*CZ127,2)*ROUND(0,7)),6)</f>
        <v>0</v>
      </c>
      <c r="DC127">
        <f>ROUND((ROUND(AT127*AG127,2)*ROUND(0,7)),6)</f>
        <v>0</v>
      </c>
      <c r="DD127" t="s">
        <v>3</v>
      </c>
      <c r="DE127" t="s">
        <v>3</v>
      </c>
      <c r="DF127">
        <f>ROUND(ROUND(AE127*AI127,2)*CX127,2)</f>
        <v>0</v>
      </c>
      <c r="DG127">
        <f t="shared" si="56"/>
        <v>0</v>
      </c>
      <c r="DH127">
        <f t="shared" si="35"/>
        <v>0</v>
      </c>
      <c r="DI127">
        <f t="shared" si="36"/>
        <v>0</v>
      </c>
      <c r="DJ127">
        <f>DF127</f>
        <v>0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ROW(Source!A117)</f>
        <v>117</v>
      </c>
      <c r="B128">
        <v>85997836</v>
      </c>
      <c r="C128">
        <v>85998401</v>
      </c>
      <c r="D128">
        <v>84242872</v>
      </c>
      <c r="E128">
        <v>1</v>
      </c>
      <c r="F128">
        <v>1</v>
      </c>
      <c r="G128">
        <v>1</v>
      </c>
      <c r="H128">
        <v>3</v>
      </c>
      <c r="I128" t="s">
        <v>646</v>
      </c>
      <c r="J128" t="s">
        <v>647</v>
      </c>
      <c r="K128" t="s">
        <v>648</v>
      </c>
      <c r="L128">
        <v>1339</v>
      </c>
      <c r="N128">
        <v>1007</v>
      </c>
      <c r="O128" t="s">
        <v>649</v>
      </c>
      <c r="P128" t="s">
        <v>649</v>
      </c>
      <c r="Q128">
        <v>1</v>
      </c>
      <c r="W128">
        <v>0</v>
      </c>
      <c r="X128">
        <v>-2089581116</v>
      </c>
      <c r="Y128">
        <f>(AT128*ROUND(0,7))</f>
        <v>0</v>
      </c>
      <c r="AA128">
        <v>5103.8</v>
      </c>
      <c r="AB128">
        <v>0</v>
      </c>
      <c r="AC128">
        <v>0</v>
      </c>
      <c r="AD128">
        <v>0</v>
      </c>
      <c r="AE128">
        <v>5103.8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-2</v>
      </c>
      <c r="AN128">
        <v>0</v>
      </c>
      <c r="AO128">
        <v>0</v>
      </c>
      <c r="AP128">
        <v>1</v>
      </c>
      <c r="AQ128">
        <v>1</v>
      </c>
      <c r="AR128">
        <v>0</v>
      </c>
      <c r="AS128" t="s">
        <v>3</v>
      </c>
      <c r="AT128">
        <v>2.9999999999999997E-4</v>
      </c>
      <c r="AU128" t="s">
        <v>46</v>
      </c>
      <c r="AV128">
        <v>0</v>
      </c>
      <c r="AW128">
        <v>2</v>
      </c>
      <c r="AX128">
        <v>85998416</v>
      </c>
      <c r="AY128">
        <v>1</v>
      </c>
      <c r="AZ128">
        <v>0</v>
      </c>
      <c r="BA128">
        <v>114</v>
      </c>
      <c r="BB128">
        <v>1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1.5311399999999999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1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ROUND(Y128*Source!I117,7)</f>
        <v>0</v>
      </c>
      <c r="CY128">
        <f>AA128</f>
        <v>5103.8</v>
      </c>
      <c r="CZ128">
        <f>AE128</f>
        <v>5103.8</v>
      </c>
      <c r="DA128">
        <f>AI128</f>
        <v>1</v>
      </c>
      <c r="DB128">
        <f>ROUND((ROUND(AT128*CZ128,2)*ROUND(0,7)),6)</f>
        <v>0</v>
      </c>
      <c r="DC128">
        <f>ROUND((ROUND(AT128*AG128,2)*ROUND(0,7)),6)</f>
        <v>0</v>
      </c>
      <c r="DD128" t="s">
        <v>3</v>
      </c>
      <c r="DE128" t="s">
        <v>3</v>
      </c>
      <c r="DF128">
        <f t="shared" ref="DF128:DF133" si="63">ROUND(ROUND(AE128,2)*CX128,2)</f>
        <v>0</v>
      </c>
      <c r="DG128">
        <f t="shared" si="56"/>
        <v>0</v>
      </c>
      <c r="DH128">
        <f t="shared" si="35"/>
        <v>0</v>
      </c>
      <c r="DI128">
        <f t="shared" si="36"/>
        <v>0</v>
      </c>
      <c r="DJ128">
        <f>DF128</f>
        <v>0</v>
      </c>
      <c r="DK128">
        <v>1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ROW(Source!A117)</f>
        <v>117</v>
      </c>
      <c r="B129">
        <v>85997836</v>
      </c>
      <c r="C129">
        <v>85998401</v>
      </c>
      <c r="D129">
        <v>84248127</v>
      </c>
      <c r="E129">
        <v>1</v>
      </c>
      <c r="F129">
        <v>1</v>
      </c>
      <c r="G129">
        <v>1</v>
      </c>
      <c r="H129">
        <v>3</v>
      </c>
      <c r="I129" t="s">
        <v>650</v>
      </c>
      <c r="J129" t="s">
        <v>651</v>
      </c>
      <c r="K129" t="s">
        <v>652</v>
      </c>
      <c r="L129">
        <v>1348</v>
      </c>
      <c r="N129">
        <v>1009</v>
      </c>
      <c r="O129" t="s">
        <v>165</v>
      </c>
      <c r="P129" t="s">
        <v>165</v>
      </c>
      <c r="Q129">
        <v>1000</v>
      </c>
      <c r="W129">
        <v>0</v>
      </c>
      <c r="X129">
        <v>-1427343576</v>
      </c>
      <c r="Y129">
        <f>(AT129*ROUND(0,7))</f>
        <v>0</v>
      </c>
      <c r="AA129">
        <v>42458.05</v>
      </c>
      <c r="AB129">
        <v>0</v>
      </c>
      <c r="AC129">
        <v>0</v>
      </c>
      <c r="AD129">
        <v>0</v>
      </c>
      <c r="AE129">
        <v>42458.05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-2</v>
      </c>
      <c r="AN129">
        <v>0</v>
      </c>
      <c r="AO129">
        <v>0</v>
      </c>
      <c r="AP129">
        <v>1</v>
      </c>
      <c r="AQ129">
        <v>1</v>
      </c>
      <c r="AR129">
        <v>0</v>
      </c>
      <c r="AS129" t="s">
        <v>3</v>
      </c>
      <c r="AT129">
        <v>4.2999999999999999E-4</v>
      </c>
      <c r="AU129" t="s">
        <v>46</v>
      </c>
      <c r="AV129">
        <v>0</v>
      </c>
      <c r="AW129">
        <v>2</v>
      </c>
      <c r="AX129">
        <v>85998417</v>
      </c>
      <c r="AY129">
        <v>1</v>
      </c>
      <c r="AZ129">
        <v>0</v>
      </c>
      <c r="BA129">
        <v>115</v>
      </c>
      <c r="BB129">
        <v>1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18.256961499999999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1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ROUND(Y129*Source!I117,7)</f>
        <v>0</v>
      </c>
      <c r="CY129">
        <f>AA129</f>
        <v>42458.05</v>
      </c>
      <c r="CZ129">
        <f>AE129</f>
        <v>42458.05</v>
      </c>
      <c r="DA129">
        <f>AI129</f>
        <v>1</v>
      </c>
      <c r="DB129">
        <f>ROUND((ROUND(AT129*CZ129,2)*ROUND(0,7)),6)</f>
        <v>0</v>
      </c>
      <c r="DC129">
        <f>ROUND((ROUND(AT129*AG129,2)*ROUND(0,7)),6)</f>
        <v>0</v>
      </c>
      <c r="DD129" t="s">
        <v>3</v>
      </c>
      <c r="DE129" t="s">
        <v>3</v>
      </c>
      <c r="DF129">
        <f t="shared" si="63"/>
        <v>0</v>
      </c>
      <c r="DG129">
        <f t="shared" si="56"/>
        <v>0</v>
      </c>
      <c r="DH129">
        <f t="shared" ref="DH129:DH192" si="64">ROUND(ROUND(AG129,2)*CX129,2)</f>
        <v>0</v>
      </c>
      <c r="DI129">
        <f t="shared" ref="DI129:DI192" si="65">ROUND(ROUND(AH129,2)*CX129,2)</f>
        <v>0</v>
      </c>
      <c r="DJ129">
        <f>DF129</f>
        <v>0</v>
      </c>
      <c r="DK129">
        <v>1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ROW(Source!A119)</f>
        <v>119</v>
      </c>
      <c r="B130">
        <v>85997836</v>
      </c>
      <c r="C130">
        <v>85998419</v>
      </c>
      <c r="D130">
        <v>84164568</v>
      </c>
      <c r="E130">
        <v>117</v>
      </c>
      <c r="F130">
        <v>1</v>
      </c>
      <c r="G130">
        <v>1</v>
      </c>
      <c r="H130">
        <v>1</v>
      </c>
      <c r="I130" t="s">
        <v>653</v>
      </c>
      <c r="J130" t="s">
        <v>3</v>
      </c>
      <c r="K130" t="s">
        <v>654</v>
      </c>
      <c r="L130">
        <v>1191</v>
      </c>
      <c r="N130">
        <v>1013</v>
      </c>
      <c r="O130" t="s">
        <v>541</v>
      </c>
      <c r="P130" t="s">
        <v>541</v>
      </c>
      <c r="Q130">
        <v>1</v>
      </c>
      <c r="W130">
        <v>0</v>
      </c>
      <c r="X130">
        <v>-1833565283</v>
      </c>
      <c r="Y130">
        <f>(AT130*ROUND((0.4*1.15),7))</f>
        <v>1.2190000000000001</v>
      </c>
      <c r="AA130">
        <v>0</v>
      </c>
      <c r="AB130">
        <v>0</v>
      </c>
      <c r="AC130">
        <v>0</v>
      </c>
      <c r="AD130">
        <v>641.22</v>
      </c>
      <c r="AE130">
        <v>0</v>
      </c>
      <c r="AF130">
        <v>0</v>
      </c>
      <c r="AG130">
        <v>0</v>
      </c>
      <c r="AH130">
        <v>641.22</v>
      </c>
      <c r="AI130">
        <v>1</v>
      </c>
      <c r="AJ130">
        <v>1</v>
      </c>
      <c r="AK130">
        <v>1</v>
      </c>
      <c r="AL130">
        <v>1</v>
      </c>
      <c r="AM130">
        <v>-2</v>
      </c>
      <c r="AN130">
        <v>0</v>
      </c>
      <c r="AO130">
        <v>0</v>
      </c>
      <c r="AP130">
        <v>1</v>
      </c>
      <c r="AQ130">
        <v>1</v>
      </c>
      <c r="AR130">
        <v>0</v>
      </c>
      <c r="AS130" t="s">
        <v>3</v>
      </c>
      <c r="AT130">
        <v>2.65</v>
      </c>
      <c r="AU130" t="s">
        <v>283</v>
      </c>
      <c r="AV130">
        <v>1</v>
      </c>
      <c r="AW130">
        <v>2</v>
      </c>
      <c r="AX130">
        <v>85998429</v>
      </c>
      <c r="AY130">
        <v>1</v>
      </c>
      <c r="AZ130">
        <v>0</v>
      </c>
      <c r="BA130">
        <v>117</v>
      </c>
      <c r="BB130">
        <v>1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1699.2329999999999</v>
      </c>
      <c r="BN130">
        <v>2.65</v>
      </c>
      <c r="BO130">
        <v>0</v>
      </c>
      <c r="BP130">
        <v>1</v>
      </c>
      <c r="BQ130">
        <v>0</v>
      </c>
      <c r="BR130">
        <v>0</v>
      </c>
      <c r="BS130">
        <v>0</v>
      </c>
      <c r="BT130">
        <v>781.64717999999993</v>
      </c>
      <c r="BU130">
        <v>1.2189999999999999</v>
      </c>
      <c r="BV130">
        <v>0</v>
      </c>
      <c r="BW130">
        <v>1</v>
      </c>
      <c r="CU130">
        <f>ROUND(AT130*Source!I119*AH130*AL130,2)</f>
        <v>15293.1</v>
      </c>
      <c r="CV130">
        <f>ROUND(Y130*Source!I119,7)</f>
        <v>10.971</v>
      </c>
      <c r="CW130">
        <v>0</v>
      </c>
      <c r="CX130">
        <f>ROUND(Y130*Source!I119,7)</f>
        <v>10.971</v>
      </c>
      <c r="CY130">
        <f>AD130</f>
        <v>641.22</v>
      </c>
      <c r="CZ130">
        <f>AH130</f>
        <v>641.22</v>
      </c>
      <c r="DA130">
        <f>AL130</f>
        <v>1</v>
      </c>
      <c r="DB130">
        <f>ROUND((ROUND(AT130*CZ130,2)*ROUND((0.4*1.15),7)),6)</f>
        <v>781.64580000000001</v>
      </c>
      <c r="DC130">
        <f>ROUND((ROUND(AT130*AG130,2)*ROUND((0.4*1.15),7)),6)</f>
        <v>0</v>
      </c>
      <c r="DD130" t="s">
        <v>3</v>
      </c>
      <c r="DE130" t="s">
        <v>3</v>
      </c>
      <c r="DF130">
        <f t="shared" si="63"/>
        <v>0</v>
      </c>
      <c r="DG130">
        <f t="shared" si="56"/>
        <v>0</v>
      </c>
      <c r="DH130">
        <f t="shared" si="64"/>
        <v>0</v>
      </c>
      <c r="DI130">
        <f t="shared" si="65"/>
        <v>7034.82</v>
      </c>
      <c r="DJ130">
        <f>DI130</f>
        <v>7034.82</v>
      </c>
      <c r="DK130">
        <v>1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ROW(Source!A119)</f>
        <v>119</v>
      </c>
      <c r="B131">
        <v>85997836</v>
      </c>
      <c r="C131">
        <v>85998419</v>
      </c>
      <c r="D131">
        <v>84164762</v>
      </c>
      <c r="E131">
        <v>117</v>
      </c>
      <c r="F131">
        <v>1</v>
      </c>
      <c r="G131">
        <v>1</v>
      </c>
      <c r="H131">
        <v>1</v>
      </c>
      <c r="I131" t="s">
        <v>542</v>
      </c>
      <c r="J131" t="s">
        <v>3</v>
      </c>
      <c r="K131" t="s">
        <v>543</v>
      </c>
      <c r="L131">
        <v>1191</v>
      </c>
      <c r="N131">
        <v>1013</v>
      </c>
      <c r="O131" t="s">
        <v>541</v>
      </c>
      <c r="P131" t="s">
        <v>541</v>
      </c>
      <c r="Q131">
        <v>1</v>
      </c>
      <c r="W131">
        <v>0</v>
      </c>
      <c r="X131">
        <v>-1417349443</v>
      </c>
      <c r="Y131">
        <f>(AT131*ROUND((0.4*1.25),7))</f>
        <v>5.0000000000000001E-3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-2</v>
      </c>
      <c r="AN131">
        <v>0</v>
      </c>
      <c r="AO131">
        <v>0</v>
      </c>
      <c r="AP131">
        <v>1</v>
      </c>
      <c r="AQ131">
        <v>1</v>
      </c>
      <c r="AR131">
        <v>0</v>
      </c>
      <c r="AS131" t="s">
        <v>3</v>
      </c>
      <c r="AT131">
        <v>0.01</v>
      </c>
      <c r="AU131" t="s">
        <v>282</v>
      </c>
      <c r="AV131">
        <v>2</v>
      </c>
      <c r="AW131">
        <v>2</v>
      </c>
      <c r="AX131">
        <v>85998430</v>
      </c>
      <c r="AY131">
        <v>1</v>
      </c>
      <c r="AZ131">
        <v>0</v>
      </c>
      <c r="BA131">
        <v>118</v>
      </c>
      <c r="BB131">
        <v>1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v>0</v>
      </c>
      <c r="CX131">
        <f>ROUND(Y131*Source!I119,7)</f>
        <v>4.4999999999999998E-2</v>
      </c>
      <c r="CY131">
        <f>AD131</f>
        <v>0</v>
      </c>
      <c r="CZ131">
        <f>AH131</f>
        <v>0</v>
      </c>
      <c r="DA131">
        <f>AL131</f>
        <v>1</v>
      </c>
      <c r="DB131">
        <f>ROUND((ROUND(AT131*CZ131,2)*ROUND((0.4*1.25),7)),6)</f>
        <v>0</v>
      </c>
      <c r="DC131">
        <f>ROUND((ROUND(AT131*AG131,2)*ROUND((0.4*1.25),7)),6)</f>
        <v>0</v>
      </c>
      <c r="DD131" t="s">
        <v>3</v>
      </c>
      <c r="DE131" t="s">
        <v>3</v>
      </c>
      <c r="DF131">
        <f t="shared" si="63"/>
        <v>0</v>
      </c>
      <c r="DG131">
        <f t="shared" si="56"/>
        <v>0</v>
      </c>
      <c r="DH131">
        <f t="shared" si="64"/>
        <v>0</v>
      </c>
      <c r="DI131">
        <f t="shared" si="65"/>
        <v>0</v>
      </c>
      <c r="DJ131">
        <f>DI131</f>
        <v>0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ROW(Source!A119)</f>
        <v>119</v>
      </c>
      <c r="B132">
        <v>85997836</v>
      </c>
      <c r="C132">
        <v>85998419</v>
      </c>
      <c r="D132">
        <v>84171378</v>
      </c>
      <c r="E132">
        <v>1</v>
      </c>
      <c r="F132">
        <v>1</v>
      </c>
      <c r="G132">
        <v>1</v>
      </c>
      <c r="H132">
        <v>2</v>
      </c>
      <c r="I132" t="s">
        <v>292</v>
      </c>
      <c r="J132" t="s">
        <v>294</v>
      </c>
      <c r="K132" t="s">
        <v>293</v>
      </c>
      <c r="L132">
        <v>1368</v>
      </c>
      <c r="N132">
        <v>1011</v>
      </c>
      <c r="O132" t="s">
        <v>29</v>
      </c>
      <c r="P132" t="s">
        <v>29</v>
      </c>
      <c r="Q132">
        <v>1</v>
      </c>
      <c r="W132">
        <v>0</v>
      </c>
      <c r="X132">
        <v>-1472304976</v>
      </c>
      <c r="Y132">
        <f>(AT132*ROUND((0.4*1.25),7))</f>
        <v>-0.16500000000000001</v>
      </c>
      <c r="AA132">
        <v>0</v>
      </c>
      <c r="AB132">
        <v>3.49</v>
      </c>
      <c r="AC132">
        <v>0</v>
      </c>
      <c r="AD132">
        <v>0</v>
      </c>
      <c r="AE132">
        <v>0</v>
      </c>
      <c r="AF132">
        <v>2.36</v>
      </c>
      <c r="AG132">
        <v>0</v>
      </c>
      <c r="AH132">
        <v>0</v>
      </c>
      <c r="AI132">
        <v>1</v>
      </c>
      <c r="AJ132">
        <v>1.48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0</v>
      </c>
      <c r="AR132">
        <v>0</v>
      </c>
      <c r="AS132" t="s">
        <v>3</v>
      </c>
      <c r="AT132">
        <v>-0.33</v>
      </c>
      <c r="AU132" t="s">
        <v>282</v>
      </c>
      <c r="AV132">
        <v>1</v>
      </c>
      <c r="AW132">
        <v>2</v>
      </c>
      <c r="AX132">
        <v>85998431</v>
      </c>
      <c r="AY132">
        <v>1</v>
      </c>
      <c r="AZ132">
        <v>6144</v>
      </c>
      <c r="BA132">
        <v>119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V132">
        <v>0</v>
      </c>
      <c r="CW132">
        <f>ROUND(Y132*Source!I119*DO132,7)</f>
        <v>0</v>
      </c>
      <c r="CX132">
        <f>ROUND(Y132*Source!I119,7)</f>
        <v>-1.4850000000000001</v>
      </c>
      <c r="CY132">
        <f>AB132</f>
        <v>3.49</v>
      </c>
      <c r="CZ132">
        <f>AF132</f>
        <v>2.36</v>
      </c>
      <c r="DA132">
        <f>AJ132</f>
        <v>1.48</v>
      </c>
      <c r="DB132">
        <f>ROUND((ROUND(AT132*CZ132,2)*ROUND((0.4*1.25),7)),6)</f>
        <v>-0.39</v>
      </c>
      <c r="DC132">
        <f>ROUND((ROUND(AT132*AG132,2)*ROUND((0.4*1.25),7)),6)</f>
        <v>0</v>
      </c>
      <c r="DD132" t="s">
        <v>3</v>
      </c>
      <c r="DE132" t="s">
        <v>3</v>
      </c>
      <c r="DF132">
        <f t="shared" si="63"/>
        <v>0</v>
      </c>
      <c r="DG132">
        <f>ROUND(ROUND(AF132*AJ132,2)*CX132,2)</f>
        <v>-5.18</v>
      </c>
      <c r="DH132">
        <f t="shared" si="64"/>
        <v>0</v>
      </c>
      <c r="DI132">
        <f t="shared" si="65"/>
        <v>0</v>
      </c>
      <c r="DJ132">
        <f>DG132+DH132</f>
        <v>-5.18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ROW(Source!A119)</f>
        <v>119</v>
      </c>
      <c r="B133">
        <v>85997836</v>
      </c>
      <c r="C133">
        <v>85998419</v>
      </c>
      <c r="D133">
        <v>84172146</v>
      </c>
      <c r="E133">
        <v>1</v>
      </c>
      <c r="F133">
        <v>1</v>
      </c>
      <c r="G133">
        <v>1</v>
      </c>
      <c r="H133">
        <v>2</v>
      </c>
      <c r="I133" t="s">
        <v>127</v>
      </c>
      <c r="J133" t="s">
        <v>129</v>
      </c>
      <c r="K133" t="s">
        <v>128</v>
      </c>
      <c r="L133">
        <v>1368</v>
      </c>
      <c r="N133">
        <v>1011</v>
      </c>
      <c r="O133" t="s">
        <v>29</v>
      </c>
      <c r="P133" t="s">
        <v>29</v>
      </c>
      <c r="Q133">
        <v>1</v>
      </c>
      <c r="W133">
        <v>0</v>
      </c>
      <c r="X133">
        <v>-849950259</v>
      </c>
      <c r="Y133">
        <f>(AT133*ROUND((0.4*1.25),7))</f>
        <v>-2.5000000000000001E-3</v>
      </c>
      <c r="AA133">
        <v>0</v>
      </c>
      <c r="AB133">
        <v>643.29</v>
      </c>
      <c r="AC133">
        <v>722.05</v>
      </c>
      <c r="AD133">
        <v>0</v>
      </c>
      <c r="AE133">
        <v>0</v>
      </c>
      <c r="AF133">
        <v>643.29</v>
      </c>
      <c r="AG133">
        <v>722.05</v>
      </c>
      <c r="AH133">
        <v>0</v>
      </c>
      <c r="AI133">
        <v>1</v>
      </c>
      <c r="AJ133">
        <v>1</v>
      </c>
      <c r="AK133">
        <v>1</v>
      </c>
      <c r="AL133">
        <v>1</v>
      </c>
      <c r="AM133">
        <v>-2</v>
      </c>
      <c r="AN133">
        <v>0</v>
      </c>
      <c r="AO133">
        <v>0</v>
      </c>
      <c r="AP133">
        <v>1</v>
      </c>
      <c r="AQ133">
        <v>0</v>
      </c>
      <c r="AR133">
        <v>0</v>
      </c>
      <c r="AS133" t="s">
        <v>3</v>
      </c>
      <c r="AT133">
        <v>-5.0000000000000001E-3</v>
      </c>
      <c r="AU133" t="s">
        <v>282</v>
      </c>
      <c r="AV133">
        <v>1</v>
      </c>
      <c r="AW133">
        <v>2</v>
      </c>
      <c r="AX133">
        <v>85998432</v>
      </c>
      <c r="AY133">
        <v>1</v>
      </c>
      <c r="AZ133">
        <v>6144</v>
      </c>
      <c r="BA133">
        <v>120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V133">
        <v>0</v>
      </c>
      <c r="CW133">
        <f>ROUND(Y133*Source!I119*DO133,7)</f>
        <v>-2.2499999999999999E-2</v>
      </c>
      <c r="CX133">
        <f>ROUND(Y133*Source!I119,7)</f>
        <v>-2.2499999999999999E-2</v>
      </c>
      <c r="CY133">
        <f>AB133</f>
        <v>643.29</v>
      </c>
      <c r="CZ133">
        <f>AF133</f>
        <v>643.29</v>
      </c>
      <c r="DA133">
        <f>AJ133</f>
        <v>1</v>
      </c>
      <c r="DB133">
        <f>ROUND((ROUND(AT133*CZ133,2)*ROUND((0.4*1.25),7)),6)</f>
        <v>-1.61</v>
      </c>
      <c r="DC133">
        <f>ROUND((ROUND(AT133*AG133,2)*ROUND((0.4*1.25),7)),6)</f>
        <v>-1.8049999999999999</v>
      </c>
      <c r="DD133" t="s">
        <v>3</v>
      </c>
      <c r="DE133" t="s">
        <v>3</v>
      </c>
      <c r="DF133">
        <f t="shared" si="63"/>
        <v>0</v>
      </c>
      <c r="DG133">
        <f t="shared" ref="DG133:DG140" si="66">ROUND(ROUND(AF133,2)*CX133,2)</f>
        <v>-14.47</v>
      </c>
      <c r="DH133">
        <f t="shared" si="64"/>
        <v>-16.25</v>
      </c>
      <c r="DI133">
        <f t="shared" si="65"/>
        <v>0</v>
      </c>
      <c r="DJ133">
        <f>DG133+DH133</f>
        <v>-30.72</v>
      </c>
      <c r="DK133">
        <v>1</v>
      </c>
      <c r="DL133" t="s">
        <v>600</v>
      </c>
      <c r="DM133">
        <v>4</v>
      </c>
      <c r="DN133" t="s">
        <v>541</v>
      </c>
      <c r="DO133">
        <v>1</v>
      </c>
    </row>
    <row r="134" spans="1:119" x14ac:dyDescent="0.2">
      <c r="A134">
        <f>ROW(Source!A119)</f>
        <v>119</v>
      </c>
      <c r="B134">
        <v>85997836</v>
      </c>
      <c r="C134">
        <v>85998419</v>
      </c>
      <c r="D134">
        <v>84236654</v>
      </c>
      <c r="E134">
        <v>1</v>
      </c>
      <c r="F134">
        <v>1</v>
      </c>
      <c r="G134">
        <v>1</v>
      </c>
      <c r="H134">
        <v>3</v>
      </c>
      <c r="I134" t="s">
        <v>297</v>
      </c>
      <c r="J134" t="s">
        <v>299</v>
      </c>
      <c r="K134" t="s">
        <v>298</v>
      </c>
      <c r="L134">
        <v>1348</v>
      </c>
      <c r="N134">
        <v>1009</v>
      </c>
      <c r="O134" t="s">
        <v>165</v>
      </c>
      <c r="P134" t="s">
        <v>165</v>
      </c>
      <c r="Q134">
        <v>1000</v>
      </c>
      <c r="W134">
        <v>0</v>
      </c>
      <c r="X134">
        <v>1888619152</v>
      </c>
      <c r="Y134">
        <f t="shared" ref="Y134:Y144" si="67">AT134</f>
        <v>-5.0000000000000002E-5</v>
      </c>
      <c r="AA134">
        <v>566402.80000000005</v>
      </c>
      <c r="AB134">
        <v>0</v>
      </c>
      <c r="AC134">
        <v>0</v>
      </c>
      <c r="AD134">
        <v>0</v>
      </c>
      <c r="AE134">
        <v>453122.24</v>
      </c>
      <c r="AF134">
        <v>0</v>
      </c>
      <c r="AG134">
        <v>0</v>
      </c>
      <c r="AH134">
        <v>0</v>
      </c>
      <c r="AI134">
        <v>1.25</v>
      </c>
      <c r="AJ134">
        <v>1</v>
      </c>
      <c r="AK134">
        <v>1</v>
      </c>
      <c r="AL134">
        <v>1</v>
      </c>
      <c r="AM134">
        <v>2</v>
      </c>
      <c r="AN134">
        <v>0</v>
      </c>
      <c r="AO134">
        <v>0</v>
      </c>
      <c r="AP134">
        <v>1</v>
      </c>
      <c r="AQ134">
        <v>0</v>
      </c>
      <c r="AR134">
        <v>0</v>
      </c>
      <c r="AS134" t="s">
        <v>3</v>
      </c>
      <c r="AT134">
        <v>-5.0000000000000002E-5</v>
      </c>
      <c r="AU134" t="s">
        <v>3</v>
      </c>
      <c r="AV134">
        <v>0</v>
      </c>
      <c r="AW134">
        <v>2</v>
      </c>
      <c r="AX134">
        <v>85998433</v>
      </c>
      <c r="AY134">
        <v>1</v>
      </c>
      <c r="AZ134">
        <v>6144</v>
      </c>
      <c r="BA134">
        <v>121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V134">
        <v>0</v>
      </c>
      <c r="CW134">
        <v>0</v>
      </c>
      <c r="CX134">
        <f>ROUND(Y134*Source!I119,7)</f>
        <v>-4.4999999999999999E-4</v>
      </c>
      <c r="CY134">
        <f>AA134</f>
        <v>566402.80000000005</v>
      </c>
      <c r="CZ134">
        <f>AE134</f>
        <v>453122.24</v>
      </c>
      <c r="DA134">
        <f>AI134</f>
        <v>1.25</v>
      </c>
      <c r="DB134">
        <f t="shared" ref="DB134:DB144" si="68">ROUND(ROUND(AT134*CZ134,2),6)</f>
        <v>-22.66</v>
      </c>
      <c r="DC134">
        <f t="shared" ref="DC134:DC144" si="69">ROUND(ROUND(AT134*AG134,2),6)</f>
        <v>0</v>
      </c>
      <c r="DD134" t="s">
        <v>3</v>
      </c>
      <c r="DE134" t="s">
        <v>3</v>
      </c>
      <c r="DF134">
        <f>ROUND(ROUND(AE134*AI134,2)*CX134,2)</f>
        <v>-254.88</v>
      </c>
      <c r="DG134">
        <f t="shared" si="66"/>
        <v>0</v>
      </c>
      <c r="DH134">
        <f t="shared" si="64"/>
        <v>0</v>
      </c>
      <c r="DI134">
        <f t="shared" si="65"/>
        <v>0</v>
      </c>
      <c r="DJ134">
        <f>DF134</f>
        <v>-254.88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ROW(Source!A119)</f>
        <v>119</v>
      </c>
      <c r="B135">
        <v>85997836</v>
      </c>
      <c r="C135">
        <v>85998419</v>
      </c>
      <c r="D135">
        <v>84240416</v>
      </c>
      <c r="E135">
        <v>1</v>
      </c>
      <c r="F135">
        <v>1</v>
      </c>
      <c r="G135">
        <v>1</v>
      </c>
      <c r="H135">
        <v>3</v>
      </c>
      <c r="I135" t="s">
        <v>301</v>
      </c>
      <c r="J135" t="s">
        <v>303</v>
      </c>
      <c r="K135" t="s">
        <v>302</v>
      </c>
      <c r="L135">
        <v>1346</v>
      </c>
      <c r="N135">
        <v>1009</v>
      </c>
      <c r="O135" t="s">
        <v>170</v>
      </c>
      <c r="P135" t="s">
        <v>170</v>
      </c>
      <c r="Q135">
        <v>1</v>
      </c>
      <c r="W135">
        <v>0</v>
      </c>
      <c r="X135">
        <v>-1131385474</v>
      </c>
      <c r="Y135">
        <f t="shared" si="67"/>
        <v>-0.03</v>
      </c>
      <c r="AA135">
        <v>190.67</v>
      </c>
      <c r="AB135">
        <v>0</v>
      </c>
      <c r="AC135">
        <v>0</v>
      </c>
      <c r="AD135">
        <v>0</v>
      </c>
      <c r="AE135">
        <v>174.93</v>
      </c>
      <c r="AF135">
        <v>0</v>
      </c>
      <c r="AG135">
        <v>0</v>
      </c>
      <c r="AH135">
        <v>0</v>
      </c>
      <c r="AI135">
        <v>1.0900000000000001</v>
      </c>
      <c r="AJ135">
        <v>1</v>
      </c>
      <c r="AK135">
        <v>1</v>
      </c>
      <c r="AL135">
        <v>1</v>
      </c>
      <c r="AM135">
        <v>2</v>
      </c>
      <c r="AN135">
        <v>0</v>
      </c>
      <c r="AO135">
        <v>0</v>
      </c>
      <c r="AP135">
        <v>1</v>
      </c>
      <c r="AQ135">
        <v>0</v>
      </c>
      <c r="AR135">
        <v>0</v>
      </c>
      <c r="AS135" t="s">
        <v>3</v>
      </c>
      <c r="AT135">
        <v>-0.03</v>
      </c>
      <c r="AU135" t="s">
        <v>3</v>
      </c>
      <c r="AV135">
        <v>0</v>
      </c>
      <c r="AW135">
        <v>2</v>
      </c>
      <c r="AX135">
        <v>85998434</v>
      </c>
      <c r="AY135">
        <v>1</v>
      </c>
      <c r="AZ135">
        <v>6144</v>
      </c>
      <c r="BA135">
        <v>122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ROUND(Y135*Source!I119,7)</f>
        <v>-0.27</v>
      </c>
      <c r="CY135">
        <f>AA135</f>
        <v>190.67</v>
      </c>
      <c r="CZ135">
        <f>AE135</f>
        <v>174.93</v>
      </c>
      <c r="DA135">
        <f>AI135</f>
        <v>1.0900000000000001</v>
      </c>
      <c r="DB135">
        <f t="shared" si="68"/>
        <v>-5.25</v>
      </c>
      <c r="DC135">
        <f t="shared" si="69"/>
        <v>0</v>
      </c>
      <c r="DD135" t="s">
        <v>3</v>
      </c>
      <c r="DE135" t="s">
        <v>3</v>
      </c>
      <c r="DF135">
        <f>ROUND(ROUND(AE135*AI135,2)*CX135,2)</f>
        <v>-51.48</v>
      </c>
      <c r="DG135">
        <f t="shared" si="66"/>
        <v>0</v>
      </c>
      <c r="DH135">
        <f t="shared" si="64"/>
        <v>0</v>
      </c>
      <c r="DI135">
        <f t="shared" si="65"/>
        <v>0</v>
      </c>
      <c r="DJ135">
        <f>DF135</f>
        <v>-51.48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ROW(Source!A119)</f>
        <v>119</v>
      </c>
      <c r="B136">
        <v>85997836</v>
      </c>
      <c r="C136">
        <v>85998419</v>
      </c>
      <c r="D136">
        <v>84241418</v>
      </c>
      <c r="E136">
        <v>1</v>
      </c>
      <c r="F136">
        <v>1</v>
      </c>
      <c r="G136">
        <v>1</v>
      </c>
      <c r="H136">
        <v>3</v>
      </c>
      <c r="I136" t="s">
        <v>305</v>
      </c>
      <c r="J136" t="s">
        <v>307</v>
      </c>
      <c r="K136" t="s">
        <v>306</v>
      </c>
      <c r="L136">
        <v>1346</v>
      </c>
      <c r="N136">
        <v>1009</v>
      </c>
      <c r="O136" t="s">
        <v>170</v>
      </c>
      <c r="P136" t="s">
        <v>170</v>
      </c>
      <c r="Q136">
        <v>1</v>
      </c>
      <c r="W136">
        <v>0</v>
      </c>
      <c r="X136">
        <v>1042643871</v>
      </c>
      <c r="Y136">
        <f t="shared" si="67"/>
        <v>-0.115</v>
      </c>
      <c r="AA136">
        <v>199.44</v>
      </c>
      <c r="AB136">
        <v>0</v>
      </c>
      <c r="AC136">
        <v>0</v>
      </c>
      <c r="AD136">
        <v>0</v>
      </c>
      <c r="AE136">
        <v>138.5</v>
      </c>
      <c r="AF136">
        <v>0</v>
      </c>
      <c r="AG136">
        <v>0</v>
      </c>
      <c r="AH136">
        <v>0</v>
      </c>
      <c r="AI136">
        <v>1.44</v>
      </c>
      <c r="AJ136">
        <v>1</v>
      </c>
      <c r="AK136">
        <v>1</v>
      </c>
      <c r="AL136">
        <v>1</v>
      </c>
      <c r="AM136">
        <v>2</v>
      </c>
      <c r="AN136">
        <v>0</v>
      </c>
      <c r="AO136">
        <v>0</v>
      </c>
      <c r="AP136">
        <v>1</v>
      </c>
      <c r="AQ136">
        <v>0</v>
      </c>
      <c r="AR136">
        <v>0</v>
      </c>
      <c r="AS136" t="s">
        <v>3</v>
      </c>
      <c r="AT136">
        <v>-0.115</v>
      </c>
      <c r="AU136" t="s">
        <v>3</v>
      </c>
      <c r="AV136">
        <v>0</v>
      </c>
      <c r="AW136">
        <v>2</v>
      </c>
      <c r="AX136">
        <v>85998435</v>
      </c>
      <c r="AY136">
        <v>1</v>
      </c>
      <c r="AZ136">
        <v>6144</v>
      </c>
      <c r="BA136">
        <v>123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v>0</v>
      </c>
      <c r="CX136">
        <f>ROUND(Y136*Source!I119,7)</f>
        <v>-1.0349999999999999</v>
      </c>
      <c r="CY136">
        <f>AA136</f>
        <v>199.44</v>
      </c>
      <c r="CZ136">
        <f>AE136</f>
        <v>138.5</v>
      </c>
      <c r="DA136">
        <f>AI136</f>
        <v>1.44</v>
      </c>
      <c r="DB136">
        <f t="shared" si="68"/>
        <v>-15.93</v>
      </c>
      <c r="DC136">
        <f t="shared" si="69"/>
        <v>0</v>
      </c>
      <c r="DD136" t="s">
        <v>3</v>
      </c>
      <c r="DE136" t="s">
        <v>3</v>
      </c>
      <c r="DF136">
        <f>ROUND(ROUND(AE136*AI136,2)*CX136,2)</f>
        <v>-206.42</v>
      </c>
      <c r="DG136">
        <f t="shared" si="66"/>
        <v>0</v>
      </c>
      <c r="DH136">
        <f t="shared" si="64"/>
        <v>0</v>
      </c>
      <c r="DI136">
        <f t="shared" si="65"/>
        <v>0</v>
      </c>
      <c r="DJ136">
        <f>DF136</f>
        <v>-206.42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ROW(Source!A119)</f>
        <v>119</v>
      </c>
      <c r="B137">
        <v>85997836</v>
      </c>
      <c r="C137">
        <v>85998419</v>
      </c>
      <c r="D137">
        <v>84169120</v>
      </c>
      <c r="E137">
        <v>117</v>
      </c>
      <c r="F137">
        <v>1</v>
      </c>
      <c r="G137">
        <v>1</v>
      </c>
      <c r="H137">
        <v>3</v>
      </c>
      <c r="I137" t="s">
        <v>286</v>
      </c>
      <c r="J137" t="s">
        <v>3</v>
      </c>
      <c r="K137" t="s">
        <v>287</v>
      </c>
      <c r="L137">
        <v>1371</v>
      </c>
      <c r="N137">
        <v>1013</v>
      </c>
      <c r="O137" t="s">
        <v>43</v>
      </c>
      <c r="P137" t="s">
        <v>43</v>
      </c>
      <c r="Q137">
        <v>1</v>
      </c>
      <c r="W137">
        <v>0</v>
      </c>
      <c r="X137">
        <v>1180700438</v>
      </c>
      <c r="Y137">
        <f t="shared" si="67"/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-2</v>
      </c>
      <c r="AN137">
        <v>1</v>
      </c>
      <c r="AO137">
        <v>0</v>
      </c>
      <c r="AP137">
        <v>1</v>
      </c>
      <c r="AQ137">
        <v>0</v>
      </c>
      <c r="AR137">
        <v>0</v>
      </c>
      <c r="AS137" t="s">
        <v>3</v>
      </c>
      <c r="AT137">
        <v>0</v>
      </c>
      <c r="AU137" t="s">
        <v>3</v>
      </c>
      <c r="AV137">
        <v>0</v>
      </c>
      <c r="AW137">
        <v>2</v>
      </c>
      <c r="AX137">
        <v>85998436</v>
      </c>
      <c r="AY137">
        <v>1</v>
      </c>
      <c r="AZ137">
        <v>0</v>
      </c>
      <c r="BA137">
        <v>124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v>0</v>
      </c>
      <c r="CX137">
        <f>ROUND(Y137*Source!I119,7)</f>
        <v>0</v>
      </c>
      <c r="CY137">
        <f>AA137</f>
        <v>0</v>
      </c>
      <c r="CZ137">
        <f>AE137</f>
        <v>0</v>
      </c>
      <c r="DA137">
        <f>AI137</f>
        <v>1</v>
      </c>
      <c r="DB137">
        <f t="shared" si="68"/>
        <v>0</v>
      </c>
      <c r="DC137">
        <f t="shared" si="69"/>
        <v>0</v>
      </c>
      <c r="DD137" t="s">
        <v>3</v>
      </c>
      <c r="DE137" t="s">
        <v>3</v>
      </c>
      <c r="DF137">
        <f t="shared" ref="DF137:DF150" si="70">ROUND(ROUND(AE137,2)*CX137,2)</f>
        <v>0</v>
      </c>
      <c r="DG137">
        <f t="shared" si="66"/>
        <v>0</v>
      </c>
      <c r="DH137">
        <f t="shared" si="64"/>
        <v>0</v>
      </c>
      <c r="DI137">
        <f t="shared" si="65"/>
        <v>0</v>
      </c>
      <c r="DJ137">
        <f>DF137</f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ROW(Source!A119)</f>
        <v>119</v>
      </c>
      <c r="B138">
        <v>85997836</v>
      </c>
      <c r="C138">
        <v>85998419</v>
      </c>
      <c r="D138">
        <v>84169318</v>
      </c>
      <c r="E138">
        <v>117</v>
      </c>
      <c r="F138">
        <v>1</v>
      </c>
      <c r="G138">
        <v>1</v>
      </c>
      <c r="H138">
        <v>3</v>
      </c>
      <c r="I138" t="s">
        <v>289</v>
      </c>
      <c r="J138" t="s">
        <v>3</v>
      </c>
      <c r="K138" t="s">
        <v>290</v>
      </c>
      <c r="L138">
        <v>1371</v>
      </c>
      <c r="N138">
        <v>1013</v>
      </c>
      <c r="O138" t="s">
        <v>43</v>
      </c>
      <c r="P138" t="s">
        <v>43</v>
      </c>
      <c r="Q138">
        <v>1</v>
      </c>
      <c r="W138">
        <v>0</v>
      </c>
      <c r="X138">
        <v>216858438</v>
      </c>
      <c r="Y138">
        <f t="shared" si="67"/>
        <v>1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-2</v>
      </c>
      <c r="AN138">
        <v>0</v>
      </c>
      <c r="AO138">
        <v>0</v>
      </c>
      <c r="AP138">
        <v>1</v>
      </c>
      <c r="AQ138">
        <v>0</v>
      </c>
      <c r="AR138">
        <v>0</v>
      </c>
      <c r="AS138" t="s">
        <v>3</v>
      </c>
      <c r="AT138">
        <v>1</v>
      </c>
      <c r="AU138" t="s">
        <v>3</v>
      </c>
      <c r="AV138">
        <v>0</v>
      </c>
      <c r="AW138">
        <v>2</v>
      </c>
      <c r="AX138">
        <v>85998437</v>
      </c>
      <c r="AY138">
        <v>1</v>
      </c>
      <c r="AZ138">
        <v>0</v>
      </c>
      <c r="BA138">
        <v>125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ROUND(Y138*Source!I119,7)</f>
        <v>9</v>
      </c>
      <c r="CY138">
        <f>AA138</f>
        <v>0</v>
      </c>
      <c r="CZ138">
        <f>AE138</f>
        <v>0</v>
      </c>
      <c r="DA138">
        <f>AI138</f>
        <v>1</v>
      </c>
      <c r="DB138">
        <f t="shared" si="68"/>
        <v>0</v>
      </c>
      <c r="DC138">
        <f t="shared" si="69"/>
        <v>0</v>
      </c>
      <c r="DD138" t="s">
        <v>3</v>
      </c>
      <c r="DE138" t="s">
        <v>3</v>
      </c>
      <c r="DF138">
        <f t="shared" si="70"/>
        <v>0</v>
      </c>
      <c r="DG138">
        <f t="shared" si="66"/>
        <v>0</v>
      </c>
      <c r="DH138">
        <f t="shared" si="64"/>
        <v>0</v>
      </c>
      <c r="DI138">
        <f t="shared" si="65"/>
        <v>0</v>
      </c>
      <c r="DJ138">
        <f>DF138</f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ROW(Source!A127)</f>
        <v>127</v>
      </c>
      <c r="B139">
        <v>85997836</v>
      </c>
      <c r="C139">
        <v>85998440</v>
      </c>
      <c r="D139">
        <v>84164568</v>
      </c>
      <c r="E139">
        <v>117</v>
      </c>
      <c r="F139">
        <v>1</v>
      </c>
      <c r="G139">
        <v>1</v>
      </c>
      <c r="H139">
        <v>1</v>
      </c>
      <c r="I139" t="s">
        <v>653</v>
      </c>
      <c r="J139" t="s">
        <v>3</v>
      </c>
      <c r="K139" t="s">
        <v>654</v>
      </c>
      <c r="L139">
        <v>1191</v>
      </c>
      <c r="N139">
        <v>1013</v>
      </c>
      <c r="O139" t="s">
        <v>541</v>
      </c>
      <c r="P139" t="s">
        <v>541</v>
      </c>
      <c r="Q139">
        <v>1</v>
      </c>
      <c r="W139">
        <v>0</v>
      </c>
      <c r="X139">
        <v>-1833565283</v>
      </c>
      <c r="Y139">
        <f t="shared" si="67"/>
        <v>48</v>
      </c>
      <c r="AA139">
        <v>0</v>
      </c>
      <c r="AB139">
        <v>0</v>
      </c>
      <c r="AC139">
        <v>0</v>
      </c>
      <c r="AD139">
        <v>641.22</v>
      </c>
      <c r="AE139">
        <v>0</v>
      </c>
      <c r="AF139">
        <v>0</v>
      </c>
      <c r="AG139">
        <v>0</v>
      </c>
      <c r="AH139">
        <v>641.22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3</v>
      </c>
      <c r="AT139">
        <v>48</v>
      </c>
      <c r="AU139" t="s">
        <v>3</v>
      </c>
      <c r="AV139">
        <v>1</v>
      </c>
      <c r="AW139">
        <v>2</v>
      </c>
      <c r="AX139">
        <v>85998444</v>
      </c>
      <c r="AY139">
        <v>1</v>
      </c>
      <c r="AZ139">
        <v>0</v>
      </c>
      <c r="BA139">
        <v>126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30778.560000000001</v>
      </c>
      <c r="BN139">
        <v>48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30778.560000000001</v>
      </c>
      <c r="BU139">
        <v>48</v>
      </c>
      <c r="BV139">
        <v>0</v>
      </c>
      <c r="BW139">
        <v>1</v>
      </c>
      <c r="CU139">
        <f>ROUND(AT139*Source!I127*AH139*AL139,2)</f>
        <v>2609.41</v>
      </c>
      <c r="CV139">
        <f>ROUND(Y139*Source!I127,7)</f>
        <v>4.0694400000000002</v>
      </c>
      <c r="CW139">
        <v>0</v>
      </c>
      <c r="CX139">
        <f>ROUND(Y139*Source!I127,7)</f>
        <v>4.0694400000000002</v>
      </c>
      <c r="CY139">
        <f>AD139</f>
        <v>641.22</v>
      </c>
      <c r="CZ139">
        <f>AH139</f>
        <v>641.22</v>
      </c>
      <c r="DA139">
        <f>AL139</f>
        <v>1</v>
      </c>
      <c r="DB139">
        <f t="shared" si="68"/>
        <v>30778.560000000001</v>
      </c>
      <c r="DC139">
        <f t="shared" si="69"/>
        <v>0</v>
      </c>
      <c r="DD139" t="s">
        <v>3</v>
      </c>
      <c r="DE139" t="s">
        <v>3</v>
      </c>
      <c r="DF139">
        <f t="shared" si="70"/>
        <v>0</v>
      </c>
      <c r="DG139">
        <f t="shared" si="66"/>
        <v>0</v>
      </c>
      <c r="DH139">
        <f t="shared" si="64"/>
        <v>0</v>
      </c>
      <c r="DI139">
        <f t="shared" si="65"/>
        <v>2609.41</v>
      </c>
      <c r="DJ139">
        <f>DI139</f>
        <v>2609.41</v>
      </c>
      <c r="DK139">
        <v>1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ROW(Source!A127)</f>
        <v>127</v>
      </c>
      <c r="B140">
        <v>85997836</v>
      </c>
      <c r="C140">
        <v>85998440</v>
      </c>
      <c r="D140">
        <v>84164762</v>
      </c>
      <c r="E140">
        <v>117</v>
      </c>
      <c r="F140">
        <v>1</v>
      </c>
      <c r="G140">
        <v>1</v>
      </c>
      <c r="H140">
        <v>1</v>
      </c>
      <c r="I140" t="s">
        <v>542</v>
      </c>
      <c r="J140" t="s">
        <v>3</v>
      </c>
      <c r="K140" t="s">
        <v>543</v>
      </c>
      <c r="L140">
        <v>1191</v>
      </c>
      <c r="N140">
        <v>1013</v>
      </c>
      <c r="O140" t="s">
        <v>541</v>
      </c>
      <c r="P140" t="s">
        <v>541</v>
      </c>
      <c r="Q140">
        <v>1</v>
      </c>
      <c r="W140">
        <v>0</v>
      </c>
      <c r="X140">
        <v>-1417349443</v>
      </c>
      <c r="Y140">
        <f t="shared" si="67"/>
        <v>0.75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3</v>
      </c>
      <c r="AT140">
        <v>0.75</v>
      </c>
      <c r="AU140" t="s">
        <v>3</v>
      </c>
      <c r="AV140">
        <v>2</v>
      </c>
      <c r="AW140">
        <v>2</v>
      </c>
      <c r="AX140">
        <v>85998445</v>
      </c>
      <c r="AY140">
        <v>1</v>
      </c>
      <c r="AZ140">
        <v>0</v>
      </c>
      <c r="BA140">
        <v>127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v>0</v>
      </c>
      <c r="CX140">
        <f>ROUND(Y140*Source!I127,7)</f>
        <v>6.3585000000000003E-2</v>
      </c>
      <c r="CY140">
        <f>AD140</f>
        <v>0</v>
      </c>
      <c r="CZ140">
        <f>AH140</f>
        <v>0</v>
      </c>
      <c r="DA140">
        <f>AL140</f>
        <v>1</v>
      </c>
      <c r="DB140">
        <f t="shared" si="68"/>
        <v>0</v>
      </c>
      <c r="DC140">
        <f t="shared" si="69"/>
        <v>0</v>
      </c>
      <c r="DD140" t="s">
        <v>3</v>
      </c>
      <c r="DE140" t="s">
        <v>3</v>
      </c>
      <c r="DF140">
        <f t="shared" si="70"/>
        <v>0</v>
      </c>
      <c r="DG140">
        <f t="shared" si="66"/>
        <v>0</v>
      </c>
      <c r="DH140">
        <f t="shared" si="64"/>
        <v>0</v>
      </c>
      <c r="DI140">
        <f t="shared" si="65"/>
        <v>0</v>
      </c>
      <c r="DJ140">
        <f>DI140</f>
        <v>0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ROW(Source!A127)</f>
        <v>127</v>
      </c>
      <c r="B141">
        <v>85997836</v>
      </c>
      <c r="C141">
        <v>85998440</v>
      </c>
      <c r="D141">
        <v>84171438</v>
      </c>
      <c r="E141">
        <v>1</v>
      </c>
      <c r="F141">
        <v>1</v>
      </c>
      <c r="G141">
        <v>1</v>
      </c>
      <c r="H141">
        <v>2</v>
      </c>
      <c r="I141" t="s">
        <v>27</v>
      </c>
      <c r="J141" t="s">
        <v>30</v>
      </c>
      <c r="K141" t="s">
        <v>28</v>
      </c>
      <c r="L141">
        <v>1368</v>
      </c>
      <c r="N141">
        <v>1011</v>
      </c>
      <c r="O141" t="s">
        <v>29</v>
      </c>
      <c r="P141" t="s">
        <v>29</v>
      </c>
      <c r="Q141">
        <v>1</v>
      </c>
      <c r="W141">
        <v>0</v>
      </c>
      <c r="X141">
        <v>945201097</v>
      </c>
      <c r="Y141">
        <f t="shared" si="67"/>
        <v>-0.75</v>
      </c>
      <c r="AA141">
        <v>0</v>
      </c>
      <c r="AB141">
        <v>57.47</v>
      </c>
      <c r="AC141">
        <v>641.22</v>
      </c>
      <c r="AD141">
        <v>0</v>
      </c>
      <c r="AE141">
        <v>0</v>
      </c>
      <c r="AF141">
        <v>37.32</v>
      </c>
      <c r="AG141">
        <v>641.22</v>
      </c>
      <c r="AH141">
        <v>0</v>
      </c>
      <c r="AI141">
        <v>1</v>
      </c>
      <c r="AJ141">
        <v>1.54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1</v>
      </c>
      <c r="AQ141">
        <v>0</v>
      </c>
      <c r="AR141">
        <v>0</v>
      </c>
      <c r="AS141" t="s">
        <v>3</v>
      </c>
      <c r="AT141">
        <v>-0.75</v>
      </c>
      <c r="AU141" t="s">
        <v>3</v>
      </c>
      <c r="AV141">
        <v>1</v>
      </c>
      <c r="AW141">
        <v>2</v>
      </c>
      <c r="AX141">
        <v>85998446</v>
      </c>
      <c r="AY141">
        <v>1</v>
      </c>
      <c r="AZ141">
        <v>6144</v>
      </c>
      <c r="BA141">
        <v>128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V141">
        <v>0</v>
      </c>
      <c r="CW141">
        <f>ROUND(Y141*Source!I127*DO141,7)</f>
        <v>-6.3585000000000003E-2</v>
      </c>
      <c r="CX141">
        <f>ROUND(Y141*Source!I127,7)</f>
        <v>-6.3585000000000003E-2</v>
      </c>
      <c r="CY141">
        <f>AB141</f>
        <v>57.47</v>
      </c>
      <c r="CZ141">
        <f>AF141</f>
        <v>37.32</v>
      </c>
      <c r="DA141">
        <f>AJ141</f>
        <v>1.54</v>
      </c>
      <c r="DB141">
        <f t="shared" si="68"/>
        <v>-27.99</v>
      </c>
      <c r="DC141">
        <f t="shared" si="69"/>
        <v>-480.92</v>
      </c>
      <c r="DD141" t="s">
        <v>3</v>
      </c>
      <c r="DE141" t="s">
        <v>3</v>
      </c>
      <c r="DF141">
        <f t="shared" si="70"/>
        <v>0</v>
      </c>
      <c r="DG141">
        <f>ROUND(ROUND(AF141*AJ141,2)*CX141,2)</f>
        <v>-3.65</v>
      </c>
      <c r="DH141">
        <f t="shared" si="64"/>
        <v>-40.770000000000003</v>
      </c>
      <c r="DI141">
        <f t="shared" si="65"/>
        <v>0</v>
      </c>
      <c r="DJ141">
        <f>DG141+DH141</f>
        <v>-44.42</v>
      </c>
      <c r="DK141">
        <v>0</v>
      </c>
      <c r="DL141" t="s">
        <v>544</v>
      </c>
      <c r="DM141">
        <v>3</v>
      </c>
      <c r="DN141" t="s">
        <v>541</v>
      </c>
      <c r="DO141">
        <v>1</v>
      </c>
    </row>
    <row r="142" spans="1:119" x14ac:dyDescent="0.2">
      <c r="A142">
        <f>ROW(Source!A129)</f>
        <v>129</v>
      </c>
      <c r="B142">
        <v>85997836</v>
      </c>
      <c r="C142">
        <v>85998447</v>
      </c>
      <c r="D142">
        <v>84164568</v>
      </c>
      <c r="E142">
        <v>117</v>
      </c>
      <c r="F142">
        <v>1</v>
      </c>
      <c r="G142">
        <v>1</v>
      </c>
      <c r="H142">
        <v>1</v>
      </c>
      <c r="I142" t="s">
        <v>653</v>
      </c>
      <c r="J142" t="s">
        <v>3</v>
      </c>
      <c r="K142" t="s">
        <v>654</v>
      </c>
      <c r="L142">
        <v>1191</v>
      </c>
      <c r="N142">
        <v>1013</v>
      </c>
      <c r="O142" t="s">
        <v>541</v>
      </c>
      <c r="P142" t="s">
        <v>541</v>
      </c>
      <c r="Q142">
        <v>1</v>
      </c>
      <c r="W142">
        <v>0</v>
      </c>
      <c r="X142">
        <v>-1833565283</v>
      </c>
      <c r="Y142">
        <f t="shared" si="67"/>
        <v>36</v>
      </c>
      <c r="AA142">
        <v>0</v>
      </c>
      <c r="AB142">
        <v>0</v>
      </c>
      <c r="AC142">
        <v>0</v>
      </c>
      <c r="AD142">
        <v>641.22</v>
      </c>
      <c r="AE142">
        <v>0</v>
      </c>
      <c r="AF142">
        <v>0</v>
      </c>
      <c r="AG142">
        <v>0</v>
      </c>
      <c r="AH142">
        <v>641.22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3</v>
      </c>
      <c r="AT142">
        <v>36</v>
      </c>
      <c r="AU142" t="s">
        <v>3</v>
      </c>
      <c r="AV142">
        <v>1</v>
      </c>
      <c r="AW142">
        <v>2</v>
      </c>
      <c r="AX142">
        <v>85998451</v>
      </c>
      <c r="AY142">
        <v>1</v>
      </c>
      <c r="AZ142">
        <v>0</v>
      </c>
      <c r="BA142">
        <v>129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23083.920000000002</v>
      </c>
      <c r="BN142">
        <v>36</v>
      </c>
      <c r="BO142">
        <v>0</v>
      </c>
      <c r="BP142">
        <v>1</v>
      </c>
      <c r="BQ142">
        <v>0</v>
      </c>
      <c r="BR142">
        <v>0</v>
      </c>
      <c r="BS142">
        <v>0</v>
      </c>
      <c r="BT142">
        <v>23083.920000000002</v>
      </c>
      <c r="BU142">
        <v>36</v>
      </c>
      <c r="BV142">
        <v>0</v>
      </c>
      <c r="BW142">
        <v>1</v>
      </c>
      <c r="CU142">
        <f>ROUND(AT142*Source!I129*AH142*AL142,2)</f>
        <v>144.97</v>
      </c>
      <c r="CV142">
        <f>ROUND(Y142*Source!I129,7)</f>
        <v>0.22608</v>
      </c>
      <c r="CW142">
        <v>0</v>
      </c>
      <c r="CX142">
        <f>ROUND(Y142*Source!I129,7)</f>
        <v>0.22608</v>
      </c>
      <c r="CY142">
        <f>AD142</f>
        <v>641.22</v>
      </c>
      <c r="CZ142">
        <f>AH142</f>
        <v>641.22</v>
      </c>
      <c r="DA142">
        <f>AL142</f>
        <v>1</v>
      </c>
      <c r="DB142">
        <f t="shared" si="68"/>
        <v>23083.919999999998</v>
      </c>
      <c r="DC142">
        <f t="shared" si="69"/>
        <v>0</v>
      </c>
      <c r="DD142" t="s">
        <v>3</v>
      </c>
      <c r="DE142" t="s">
        <v>3</v>
      </c>
      <c r="DF142">
        <f t="shared" si="70"/>
        <v>0</v>
      </c>
      <c r="DG142">
        <f>ROUND(ROUND(AF142,2)*CX142,2)</f>
        <v>0</v>
      </c>
      <c r="DH142">
        <f t="shared" si="64"/>
        <v>0</v>
      </c>
      <c r="DI142">
        <f t="shared" si="65"/>
        <v>144.97</v>
      </c>
      <c r="DJ142">
        <f>DI142</f>
        <v>144.97</v>
      </c>
      <c r="DK142">
        <v>1</v>
      </c>
      <c r="DL142" t="s">
        <v>3</v>
      </c>
      <c r="DM142">
        <v>0</v>
      </c>
      <c r="DN142" t="s">
        <v>3</v>
      </c>
      <c r="DO142">
        <v>0</v>
      </c>
    </row>
    <row r="143" spans="1:119" x14ac:dyDescent="0.2">
      <c r="A143">
        <f>ROW(Source!A129)</f>
        <v>129</v>
      </c>
      <c r="B143">
        <v>85997836</v>
      </c>
      <c r="C143">
        <v>85998447</v>
      </c>
      <c r="D143">
        <v>84164762</v>
      </c>
      <c r="E143">
        <v>117</v>
      </c>
      <c r="F143">
        <v>1</v>
      </c>
      <c r="G143">
        <v>1</v>
      </c>
      <c r="H143">
        <v>1</v>
      </c>
      <c r="I143" t="s">
        <v>542</v>
      </c>
      <c r="J143" t="s">
        <v>3</v>
      </c>
      <c r="K143" t="s">
        <v>543</v>
      </c>
      <c r="L143">
        <v>1191</v>
      </c>
      <c r="N143">
        <v>1013</v>
      </c>
      <c r="O143" t="s">
        <v>541</v>
      </c>
      <c r="P143" t="s">
        <v>541</v>
      </c>
      <c r="Q143">
        <v>1</v>
      </c>
      <c r="W143">
        <v>0</v>
      </c>
      <c r="X143">
        <v>-1417349443</v>
      </c>
      <c r="Y143">
        <f t="shared" si="67"/>
        <v>0.75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M143">
        <v>-2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0.75</v>
      </c>
      <c r="AU143" t="s">
        <v>3</v>
      </c>
      <c r="AV143">
        <v>2</v>
      </c>
      <c r="AW143">
        <v>2</v>
      </c>
      <c r="AX143">
        <v>85998452</v>
      </c>
      <c r="AY143">
        <v>1</v>
      </c>
      <c r="AZ143">
        <v>0</v>
      </c>
      <c r="BA143">
        <v>130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V143">
        <v>0</v>
      </c>
      <c r="CW143">
        <v>0</v>
      </c>
      <c r="CX143">
        <f>ROUND(Y143*Source!I129,7)</f>
        <v>4.7099999999999998E-3</v>
      </c>
      <c r="CY143">
        <f>AD143</f>
        <v>0</v>
      </c>
      <c r="CZ143">
        <f>AH143</f>
        <v>0</v>
      </c>
      <c r="DA143">
        <f>AL143</f>
        <v>1</v>
      </c>
      <c r="DB143">
        <f t="shared" si="68"/>
        <v>0</v>
      </c>
      <c r="DC143">
        <f t="shared" si="69"/>
        <v>0</v>
      </c>
      <c r="DD143" t="s">
        <v>3</v>
      </c>
      <c r="DE143" t="s">
        <v>3</v>
      </c>
      <c r="DF143">
        <f t="shared" si="70"/>
        <v>0</v>
      </c>
      <c r="DG143">
        <f>ROUND(ROUND(AF143,2)*CX143,2)</f>
        <v>0</v>
      </c>
      <c r="DH143">
        <f t="shared" si="64"/>
        <v>0</v>
      </c>
      <c r="DI143">
        <f t="shared" si="65"/>
        <v>0</v>
      </c>
      <c r="DJ143">
        <f>DI143</f>
        <v>0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ROW(Source!A129)</f>
        <v>129</v>
      </c>
      <c r="B144">
        <v>85997836</v>
      </c>
      <c r="C144">
        <v>85998447</v>
      </c>
      <c r="D144">
        <v>84171438</v>
      </c>
      <c r="E144">
        <v>1</v>
      </c>
      <c r="F144">
        <v>1</v>
      </c>
      <c r="G144">
        <v>1</v>
      </c>
      <c r="H144">
        <v>2</v>
      </c>
      <c r="I144" t="s">
        <v>27</v>
      </c>
      <c r="J144" t="s">
        <v>30</v>
      </c>
      <c r="K144" t="s">
        <v>28</v>
      </c>
      <c r="L144">
        <v>1368</v>
      </c>
      <c r="N144">
        <v>1011</v>
      </c>
      <c r="O144" t="s">
        <v>29</v>
      </c>
      <c r="P144" t="s">
        <v>29</v>
      </c>
      <c r="Q144">
        <v>1</v>
      </c>
      <c r="W144">
        <v>0</v>
      </c>
      <c r="X144">
        <v>945201097</v>
      </c>
      <c r="Y144">
        <f t="shared" si="67"/>
        <v>-0.75</v>
      </c>
      <c r="AA144">
        <v>0</v>
      </c>
      <c r="AB144">
        <v>57.47</v>
      </c>
      <c r="AC144">
        <v>641.22</v>
      </c>
      <c r="AD144">
        <v>0</v>
      </c>
      <c r="AE144">
        <v>0</v>
      </c>
      <c r="AF144">
        <v>37.32</v>
      </c>
      <c r="AG144">
        <v>641.22</v>
      </c>
      <c r="AH144">
        <v>0</v>
      </c>
      <c r="AI144">
        <v>1</v>
      </c>
      <c r="AJ144">
        <v>1.54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0</v>
      </c>
      <c r="AR144">
        <v>0</v>
      </c>
      <c r="AS144" t="s">
        <v>3</v>
      </c>
      <c r="AT144">
        <v>-0.75</v>
      </c>
      <c r="AU144" t="s">
        <v>3</v>
      </c>
      <c r="AV144">
        <v>1</v>
      </c>
      <c r="AW144">
        <v>2</v>
      </c>
      <c r="AX144">
        <v>85998453</v>
      </c>
      <c r="AY144">
        <v>1</v>
      </c>
      <c r="AZ144">
        <v>6144</v>
      </c>
      <c r="BA144">
        <v>131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V144">
        <v>0</v>
      </c>
      <c r="CW144">
        <f>ROUND(Y144*Source!I129*DO144,7)</f>
        <v>-4.7099999999999998E-3</v>
      </c>
      <c r="CX144">
        <f>ROUND(Y144*Source!I129,7)</f>
        <v>-4.7099999999999998E-3</v>
      </c>
      <c r="CY144">
        <f>AB144</f>
        <v>57.47</v>
      </c>
      <c r="CZ144">
        <f>AF144</f>
        <v>37.32</v>
      </c>
      <c r="DA144">
        <f>AJ144</f>
        <v>1.54</v>
      </c>
      <c r="DB144">
        <f t="shared" si="68"/>
        <v>-27.99</v>
      </c>
      <c r="DC144">
        <f t="shared" si="69"/>
        <v>-480.92</v>
      </c>
      <c r="DD144" t="s">
        <v>3</v>
      </c>
      <c r="DE144" t="s">
        <v>3</v>
      </c>
      <c r="DF144">
        <f t="shared" si="70"/>
        <v>0</v>
      </c>
      <c r="DG144">
        <f>ROUND(ROUND(AF144*AJ144,2)*CX144,2)</f>
        <v>-0.27</v>
      </c>
      <c r="DH144">
        <f t="shared" si="64"/>
        <v>-3.02</v>
      </c>
      <c r="DI144">
        <f t="shared" si="65"/>
        <v>0</v>
      </c>
      <c r="DJ144">
        <f>DG144+DH144</f>
        <v>-3.29</v>
      </c>
      <c r="DK144">
        <v>0</v>
      </c>
      <c r="DL144" t="s">
        <v>544</v>
      </c>
      <c r="DM144">
        <v>3</v>
      </c>
      <c r="DN144" t="s">
        <v>541</v>
      </c>
      <c r="DO144">
        <v>1</v>
      </c>
    </row>
    <row r="145" spans="1:119" x14ac:dyDescent="0.2">
      <c r="A145">
        <f>ROW(Source!A166)</f>
        <v>166</v>
      </c>
      <c r="B145">
        <v>85997836</v>
      </c>
      <c r="C145">
        <v>85998454</v>
      </c>
      <c r="D145">
        <v>84164586</v>
      </c>
      <c r="E145">
        <v>117</v>
      </c>
      <c r="F145">
        <v>1</v>
      </c>
      <c r="G145">
        <v>1</v>
      </c>
      <c r="H145">
        <v>1</v>
      </c>
      <c r="I145" t="s">
        <v>547</v>
      </c>
      <c r="J145" t="s">
        <v>3</v>
      </c>
      <c r="K145" t="s">
        <v>548</v>
      </c>
      <c r="L145">
        <v>1191</v>
      </c>
      <c r="N145">
        <v>1013</v>
      </c>
      <c r="O145" t="s">
        <v>541</v>
      </c>
      <c r="P145" t="s">
        <v>541</v>
      </c>
      <c r="Q145">
        <v>1</v>
      </c>
      <c r="W145">
        <v>0</v>
      </c>
      <c r="X145">
        <v>44848675</v>
      </c>
      <c r="Y145">
        <f>(AT145*ROUND(((0.2+1)*1.15),7))</f>
        <v>110.53799999999998</v>
      </c>
      <c r="AA145">
        <v>0</v>
      </c>
      <c r="AB145">
        <v>0</v>
      </c>
      <c r="AC145">
        <v>0</v>
      </c>
      <c r="AD145">
        <v>705.88</v>
      </c>
      <c r="AE145">
        <v>0</v>
      </c>
      <c r="AF145">
        <v>0</v>
      </c>
      <c r="AG145">
        <v>0</v>
      </c>
      <c r="AH145">
        <v>705.88</v>
      </c>
      <c r="AI145">
        <v>1</v>
      </c>
      <c r="AJ145">
        <v>1</v>
      </c>
      <c r="AK145">
        <v>1</v>
      </c>
      <c r="AL145">
        <v>1</v>
      </c>
      <c r="AM145">
        <v>-2</v>
      </c>
      <c r="AN145">
        <v>0</v>
      </c>
      <c r="AO145">
        <v>0</v>
      </c>
      <c r="AP145">
        <v>1</v>
      </c>
      <c r="AQ145">
        <v>1</v>
      </c>
      <c r="AR145">
        <v>0</v>
      </c>
      <c r="AS145" t="s">
        <v>3</v>
      </c>
      <c r="AT145">
        <v>80.099999999999994</v>
      </c>
      <c r="AU145" t="s">
        <v>330</v>
      </c>
      <c r="AV145">
        <v>1</v>
      </c>
      <c r="AW145">
        <v>2</v>
      </c>
      <c r="AX145">
        <v>85998467</v>
      </c>
      <c r="AY145">
        <v>1</v>
      </c>
      <c r="AZ145">
        <v>0</v>
      </c>
      <c r="BA145">
        <v>132</v>
      </c>
      <c r="BB145">
        <v>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56540.987999999998</v>
      </c>
      <c r="BN145">
        <v>80.099999999999994</v>
      </c>
      <c r="BO145">
        <v>0</v>
      </c>
      <c r="BP145">
        <v>1</v>
      </c>
      <c r="BQ145">
        <v>0</v>
      </c>
      <c r="BR145">
        <v>0</v>
      </c>
      <c r="BS145">
        <v>0</v>
      </c>
      <c r="BT145">
        <v>78026.563439999984</v>
      </c>
      <c r="BU145">
        <v>110.53799999999998</v>
      </c>
      <c r="BV145">
        <v>0</v>
      </c>
      <c r="BW145">
        <v>1</v>
      </c>
      <c r="CU145">
        <f>ROUND(AT145*Source!I166*AH145*AL145,2)</f>
        <v>1837.58</v>
      </c>
      <c r="CV145">
        <f>ROUND(Y145*Source!I166,7)</f>
        <v>3.5924849999999999</v>
      </c>
      <c r="CW145">
        <v>0</v>
      </c>
      <c r="CX145">
        <f>ROUND(Y145*Source!I166,7)</f>
        <v>3.5924849999999999</v>
      </c>
      <c r="CY145">
        <f>AD145</f>
        <v>705.88</v>
      </c>
      <c r="CZ145">
        <f>AH145</f>
        <v>705.88</v>
      </c>
      <c r="DA145">
        <f>AL145</f>
        <v>1</v>
      </c>
      <c r="DB145">
        <f>ROUND((ROUND(AT145*CZ145,2)*ROUND(((0.2+1)*1.15),7)),6)</f>
        <v>78026.566200000001</v>
      </c>
      <c r="DC145">
        <f>ROUND((ROUND(AT145*AG145,2)*ROUND(((0.2+1)*1.15),7)),6)</f>
        <v>0</v>
      </c>
      <c r="DD145" t="s">
        <v>3</v>
      </c>
      <c r="DE145" t="s">
        <v>3</v>
      </c>
      <c r="DF145">
        <f t="shared" si="70"/>
        <v>0</v>
      </c>
      <c r="DG145">
        <f t="shared" ref="DG145:DG163" si="71">ROUND(ROUND(AF145,2)*CX145,2)</f>
        <v>0</v>
      </c>
      <c r="DH145">
        <f t="shared" si="64"/>
        <v>0</v>
      </c>
      <c r="DI145">
        <f t="shared" si="65"/>
        <v>2535.86</v>
      </c>
      <c r="DJ145">
        <f>DI145</f>
        <v>2535.86</v>
      </c>
      <c r="DK145">
        <v>1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ROW(Source!A166)</f>
        <v>166</v>
      </c>
      <c r="B146">
        <v>85997836</v>
      </c>
      <c r="C146">
        <v>85998454</v>
      </c>
      <c r="D146">
        <v>84164762</v>
      </c>
      <c r="E146">
        <v>117</v>
      </c>
      <c r="F146">
        <v>1</v>
      </c>
      <c r="G146">
        <v>1</v>
      </c>
      <c r="H146">
        <v>1</v>
      </c>
      <c r="I146" t="s">
        <v>542</v>
      </c>
      <c r="J146" t="s">
        <v>3</v>
      </c>
      <c r="K146" t="s">
        <v>543</v>
      </c>
      <c r="L146">
        <v>1191</v>
      </c>
      <c r="N146">
        <v>1013</v>
      </c>
      <c r="O146" t="s">
        <v>541</v>
      </c>
      <c r="P146" t="s">
        <v>541</v>
      </c>
      <c r="Q146">
        <v>1</v>
      </c>
      <c r="W146">
        <v>0</v>
      </c>
      <c r="X146">
        <v>-1417349443</v>
      </c>
      <c r="Y146">
        <f>(AT146*ROUND(((0.2+1)*1.25),7))</f>
        <v>15.36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M146">
        <v>-2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</v>
      </c>
      <c r="AT146">
        <v>10.24</v>
      </c>
      <c r="AU146" t="s">
        <v>329</v>
      </c>
      <c r="AV146">
        <v>2</v>
      </c>
      <c r="AW146">
        <v>2</v>
      </c>
      <c r="AX146">
        <v>85998468</v>
      </c>
      <c r="AY146">
        <v>1</v>
      </c>
      <c r="AZ146">
        <v>0</v>
      </c>
      <c r="BA146">
        <v>133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V146">
        <v>0</v>
      </c>
      <c r="CW146">
        <v>0</v>
      </c>
      <c r="CX146">
        <f>ROUND(Y146*Source!I166,7)</f>
        <v>0.49919999999999998</v>
      </c>
      <c r="CY146">
        <f>AD146</f>
        <v>0</v>
      </c>
      <c r="CZ146">
        <f>AH146</f>
        <v>0</v>
      </c>
      <c r="DA146">
        <f>AL146</f>
        <v>1</v>
      </c>
      <c r="DB146">
        <f>ROUND((ROUND(AT146*CZ146,2)*ROUND(((0.2+1)*1.25),7)),6)</f>
        <v>0</v>
      </c>
      <c r="DC146">
        <f>ROUND((ROUND(AT146*AG146,2)*ROUND(((0.2+1)*1.25),7)),6)</f>
        <v>0</v>
      </c>
      <c r="DD146" t="s">
        <v>3</v>
      </c>
      <c r="DE146" t="s">
        <v>3</v>
      </c>
      <c r="DF146">
        <f t="shared" si="70"/>
        <v>0</v>
      </c>
      <c r="DG146">
        <f t="shared" si="71"/>
        <v>0</v>
      </c>
      <c r="DH146">
        <f t="shared" si="64"/>
        <v>0</v>
      </c>
      <c r="DI146">
        <f t="shared" si="65"/>
        <v>0</v>
      </c>
      <c r="DJ146">
        <f>DI146</f>
        <v>0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ROW(Source!A166)</f>
        <v>166</v>
      </c>
      <c r="B147">
        <v>85997836</v>
      </c>
      <c r="C147">
        <v>85998454</v>
      </c>
      <c r="D147">
        <v>84171199</v>
      </c>
      <c r="E147">
        <v>1</v>
      </c>
      <c r="F147">
        <v>1</v>
      </c>
      <c r="G147">
        <v>1</v>
      </c>
      <c r="H147">
        <v>2</v>
      </c>
      <c r="I147" t="s">
        <v>347</v>
      </c>
      <c r="J147" t="s">
        <v>349</v>
      </c>
      <c r="K147" t="s">
        <v>348</v>
      </c>
      <c r="L147">
        <v>1368</v>
      </c>
      <c r="N147">
        <v>1011</v>
      </c>
      <c r="O147" t="s">
        <v>29</v>
      </c>
      <c r="P147" t="s">
        <v>29</v>
      </c>
      <c r="Q147">
        <v>1</v>
      </c>
      <c r="W147">
        <v>0</v>
      </c>
      <c r="X147">
        <v>1380566452</v>
      </c>
      <c r="Y147">
        <f>(AT147*ROUND(((0.2+1)*1.25),7))</f>
        <v>-15.93</v>
      </c>
      <c r="AA147">
        <v>0</v>
      </c>
      <c r="AB147">
        <v>1039.32</v>
      </c>
      <c r="AC147">
        <v>969.91</v>
      </c>
      <c r="AD147">
        <v>0</v>
      </c>
      <c r="AE147">
        <v>0</v>
      </c>
      <c r="AF147">
        <v>1039.32</v>
      </c>
      <c r="AG147">
        <v>969.91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-2</v>
      </c>
      <c r="AN147">
        <v>0</v>
      </c>
      <c r="AO147">
        <v>0</v>
      </c>
      <c r="AP147">
        <v>1</v>
      </c>
      <c r="AQ147">
        <v>0</v>
      </c>
      <c r="AR147">
        <v>0</v>
      </c>
      <c r="AS147" t="s">
        <v>3</v>
      </c>
      <c r="AT147">
        <v>-10.62</v>
      </c>
      <c r="AU147" t="s">
        <v>329</v>
      </c>
      <c r="AV147">
        <v>1</v>
      </c>
      <c r="AW147">
        <v>2</v>
      </c>
      <c r="AX147">
        <v>85998469</v>
      </c>
      <c r="AY147">
        <v>1</v>
      </c>
      <c r="AZ147">
        <v>6144</v>
      </c>
      <c r="BA147">
        <v>134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f>ROUND(Y147*Source!I166*DO147,7)</f>
        <v>-0.51772499999999999</v>
      </c>
      <c r="CX147">
        <f>ROUND(Y147*Source!I166,7)</f>
        <v>-0.51772499999999999</v>
      </c>
      <c r="CY147">
        <f>AB147</f>
        <v>1039.32</v>
      </c>
      <c r="CZ147">
        <f>AF147</f>
        <v>1039.32</v>
      </c>
      <c r="DA147">
        <f>AJ147</f>
        <v>1</v>
      </c>
      <c r="DB147">
        <f>ROUND((ROUND(AT147*CZ147,2)*ROUND(((0.2+1)*1.25),7)),6)</f>
        <v>-16556.37</v>
      </c>
      <c r="DC147">
        <f>ROUND((ROUND(AT147*AG147,2)*ROUND(((0.2+1)*1.25),7)),6)</f>
        <v>-15450.66</v>
      </c>
      <c r="DD147" t="s">
        <v>3</v>
      </c>
      <c r="DE147" t="s">
        <v>3</v>
      </c>
      <c r="DF147">
        <f t="shared" si="70"/>
        <v>0</v>
      </c>
      <c r="DG147">
        <f t="shared" si="71"/>
        <v>-538.08000000000004</v>
      </c>
      <c r="DH147">
        <f t="shared" si="64"/>
        <v>-502.15</v>
      </c>
      <c r="DI147">
        <f t="shared" si="65"/>
        <v>0</v>
      </c>
      <c r="DJ147">
        <f>DG147+DH147</f>
        <v>-1040.23</v>
      </c>
      <c r="DK147">
        <v>1</v>
      </c>
      <c r="DL147" t="s">
        <v>599</v>
      </c>
      <c r="DM147">
        <v>6</v>
      </c>
      <c r="DN147" t="s">
        <v>541</v>
      </c>
      <c r="DO147">
        <v>1</v>
      </c>
    </row>
    <row r="148" spans="1:119" x14ac:dyDescent="0.2">
      <c r="A148">
        <f>ROW(Source!A166)</f>
        <v>166</v>
      </c>
      <c r="B148">
        <v>85997836</v>
      </c>
      <c r="C148">
        <v>85998454</v>
      </c>
      <c r="D148">
        <v>84171251</v>
      </c>
      <c r="E148">
        <v>1</v>
      </c>
      <c r="F148">
        <v>1</v>
      </c>
      <c r="G148">
        <v>1</v>
      </c>
      <c r="H148">
        <v>2</v>
      </c>
      <c r="I148" t="s">
        <v>123</v>
      </c>
      <c r="J148" t="s">
        <v>125</v>
      </c>
      <c r="K148" t="s">
        <v>124</v>
      </c>
      <c r="L148">
        <v>1368</v>
      </c>
      <c r="N148">
        <v>1011</v>
      </c>
      <c r="O148" t="s">
        <v>29</v>
      </c>
      <c r="P148" t="s">
        <v>29</v>
      </c>
      <c r="Q148">
        <v>1</v>
      </c>
      <c r="W148">
        <v>0</v>
      </c>
      <c r="X148">
        <v>639918019</v>
      </c>
      <c r="Y148">
        <f>(AT148*ROUND(((0.2+1)*1.25),7))</f>
        <v>-2.835</v>
      </c>
      <c r="AA148">
        <v>0</v>
      </c>
      <c r="AB148">
        <v>1629.55</v>
      </c>
      <c r="AC148">
        <v>969.91</v>
      </c>
      <c r="AD148">
        <v>0</v>
      </c>
      <c r="AE148">
        <v>0</v>
      </c>
      <c r="AF148">
        <v>1629.55</v>
      </c>
      <c r="AG148">
        <v>969.91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-2</v>
      </c>
      <c r="AN148">
        <v>0</v>
      </c>
      <c r="AO148">
        <v>0</v>
      </c>
      <c r="AP148">
        <v>1</v>
      </c>
      <c r="AQ148">
        <v>0</v>
      </c>
      <c r="AR148">
        <v>0</v>
      </c>
      <c r="AS148" t="s">
        <v>3</v>
      </c>
      <c r="AT148">
        <v>-1.89</v>
      </c>
      <c r="AU148" t="s">
        <v>329</v>
      </c>
      <c r="AV148">
        <v>1</v>
      </c>
      <c r="AW148">
        <v>2</v>
      </c>
      <c r="AX148">
        <v>85998470</v>
      </c>
      <c r="AY148">
        <v>1</v>
      </c>
      <c r="AZ148">
        <v>6144</v>
      </c>
      <c r="BA148">
        <v>135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f>ROUND(Y148*Source!I166*DO148,7)</f>
        <v>-9.2137499999999997E-2</v>
      </c>
      <c r="CX148">
        <f>ROUND(Y148*Source!I166,7)</f>
        <v>-9.2137499999999997E-2</v>
      </c>
      <c r="CY148">
        <f>AB148</f>
        <v>1629.55</v>
      </c>
      <c r="CZ148">
        <f>AF148</f>
        <v>1629.55</v>
      </c>
      <c r="DA148">
        <f>AJ148</f>
        <v>1</v>
      </c>
      <c r="DB148">
        <f>ROUND((ROUND(AT148*CZ148,2)*ROUND(((0.2+1)*1.25),7)),6)</f>
        <v>-4619.7749999999996</v>
      </c>
      <c r="DC148">
        <f>ROUND((ROUND(AT148*AG148,2)*ROUND(((0.2+1)*1.25),7)),6)</f>
        <v>-2749.6950000000002</v>
      </c>
      <c r="DD148" t="s">
        <v>3</v>
      </c>
      <c r="DE148" t="s">
        <v>3</v>
      </c>
      <c r="DF148">
        <f t="shared" si="70"/>
        <v>0</v>
      </c>
      <c r="DG148">
        <f t="shared" si="71"/>
        <v>-150.13999999999999</v>
      </c>
      <c r="DH148">
        <f t="shared" si="64"/>
        <v>-89.37</v>
      </c>
      <c r="DI148">
        <f t="shared" si="65"/>
        <v>0</v>
      </c>
      <c r="DJ148">
        <f>DG148+DH148</f>
        <v>-239.51</v>
      </c>
      <c r="DK148">
        <v>1</v>
      </c>
      <c r="DL148" t="s">
        <v>599</v>
      </c>
      <c r="DM148">
        <v>6</v>
      </c>
      <c r="DN148" t="s">
        <v>541</v>
      </c>
      <c r="DO148">
        <v>1</v>
      </c>
    </row>
    <row r="149" spans="1:119" x14ac:dyDescent="0.2">
      <c r="A149">
        <f>ROW(Source!A166)</f>
        <v>166</v>
      </c>
      <c r="B149">
        <v>85997836</v>
      </c>
      <c r="C149">
        <v>85998454</v>
      </c>
      <c r="D149">
        <v>84172146</v>
      </c>
      <c r="E149">
        <v>1</v>
      </c>
      <c r="F149">
        <v>1</v>
      </c>
      <c r="G149">
        <v>1</v>
      </c>
      <c r="H149">
        <v>2</v>
      </c>
      <c r="I149" t="s">
        <v>127</v>
      </c>
      <c r="J149" t="s">
        <v>129</v>
      </c>
      <c r="K149" t="s">
        <v>128</v>
      </c>
      <c r="L149">
        <v>1368</v>
      </c>
      <c r="N149">
        <v>1011</v>
      </c>
      <c r="O149" t="s">
        <v>29</v>
      </c>
      <c r="P149" t="s">
        <v>29</v>
      </c>
      <c r="Q149">
        <v>1</v>
      </c>
      <c r="W149">
        <v>0</v>
      </c>
      <c r="X149">
        <v>-849950259</v>
      </c>
      <c r="Y149">
        <f>(AT149*ROUND(((0.2+1)*1.25),7))</f>
        <v>-4.2750000000000004</v>
      </c>
      <c r="AA149">
        <v>0</v>
      </c>
      <c r="AB149">
        <v>643.29</v>
      </c>
      <c r="AC149">
        <v>722.05</v>
      </c>
      <c r="AD149">
        <v>0</v>
      </c>
      <c r="AE149">
        <v>0</v>
      </c>
      <c r="AF149">
        <v>643.29</v>
      </c>
      <c r="AG149">
        <v>722.05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-2</v>
      </c>
      <c r="AN149">
        <v>0</v>
      </c>
      <c r="AO149">
        <v>0</v>
      </c>
      <c r="AP149">
        <v>1</v>
      </c>
      <c r="AQ149">
        <v>0</v>
      </c>
      <c r="AR149">
        <v>0</v>
      </c>
      <c r="AS149" t="s">
        <v>3</v>
      </c>
      <c r="AT149">
        <v>-2.85</v>
      </c>
      <c r="AU149" t="s">
        <v>329</v>
      </c>
      <c r="AV149">
        <v>1</v>
      </c>
      <c r="AW149">
        <v>2</v>
      </c>
      <c r="AX149">
        <v>85998471</v>
      </c>
      <c r="AY149">
        <v>1</v>
      </c>
      <c r="AZ149">
        <v>6144</v>
      </c>
      <c r="BA149">
        <v>136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f>ROUND(Y149*Source!I166*DO149,7)</f>
        <v>-0.13893749999999999</v>
      </c>
      <c r="CX149">
        <f>ROUND(Y149*Source!I166,7)</f>
        <v>-0.13893749999999999</v>
      </c>
      <c r="CY149">
        <f>AB149</f>
        <v>643.29</v>
      </c>
      <c r="CZ149">
        <f>AF149</f>
        <v>643.29</v>
      </c>
      <c r="DA149">
        <f>AJ149</f>
        <v>1</v>
      </c>
      <c r="DB149">
        <f>ROUND((ROUND(AT149*CZ149,2)*ROUND(((0.2+1)*1.25),7)),6)</f>
        <v>-2750.07</v>
      </c>
      <c r="DC149">
        <f>ROUND((ROUND(AT149*AG149,2)*ROUND(((0.2+1)*1.25),7)),6)</f>
        <v>-3086.76</v>
      </c>
      <c r="DD149" t="s">
        <v>3</v>
      </c>
      <c r="DE149" t="s">
        <v>3</v>
      </c>
      <c r="DF149">
        <f t="shared" si="70"/>
        <v>0</v>
      </c>
      <c r="DG149">
        <f t="shared" si="71"/>
        <v>-89.38</v>
      </c>
      <c r="DH149">
        <f t="shared" si="64"/>
        <v>-100.32</v>
      </c>
      <c r="DI149">
        <f t="shared" si="65"/>
        <v>0</v>
      </c>
      <c r="DJ149">
        <f>DG149+DH149</f>
        <v>-189.7</v>
      </c>
      <c r="DK149">
        <v>1</v>
      </c>
      <c r="DL149" t="s">
        <v>600</v>
      </c>
      <c r="DM149">
        <v>4</v>
      </c>
      <c r="DN149" t="s">
        <v>541</v>
      </c>
      <c r="DO149">
        <v>1</v>
      </c>
    </row>
    <row r="150" spans="1:119" x14ac:dyDescent="0.2">
      <c r="A150">
        <f>ROW(Source!A166)</f>
        <v>166</v>
      </c>
      <c r="B150">
        <v>85997836</v>
      </c>
      <c r="C150">
        <v>85998454</v>
      </c>
      <c r="D150">
        <v>84165112</v>
      </c>
      <c r="E150">
        <v>117</v>
      </c>
      <c r="F150">
        <v>1</v>
      </c>
      <c r="G150">
        <v>1</v>
      </c>
      <c r="H150">
        <v>3</v>
      </c>
      <c r="I150" t="s">
        <v>337</v>
      </c>
      <c r="J150" t="s">
        <v>3</v>
      </c>
      <c r="K150" t="s">
        <v>338</v>
      </c>
      <c r="L150">
        <v>1377</v>
      </c>
      <c r="N150">
        <v>1013</v>
      </c>
      <c r="O150" t="s">
        <v>339</v>
      </c>
      <c r="P150" t="s">
        <v>339</v>
      </c>
      <c r="Q150">
        <v>1</v>
      </c>
      <c r="W150">
        <v>0</v>
      </c>
      <c r="X150">
        <v>805514110</v>
      </c>
      <c r="Y150">
        <f t="shared" ref="Y150:Y156" si="72">AT150</f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1</v>
      </c>
      <c r="AO150">
        <v>0</v>
      </c>
      <c r="AP150">
        <v>1</v>
      </c>
      <c r="AQ150">
        <v>0</v>
      </c>
      <c r="AR150">
        <v>0</v>
      </c>
      <c r="AS150" t="s">
        <v>3</v>
      </c>
      <c r="AT150">
        <v>0</v>
      </c>
      <c r="AU150" t="s">
        <v>3</v>
      </c>
      <c r="AV150">
        <v>0</v>
      </c>
      <c r="AW150">
        <v>2</v>
      </c>
      <c r="AX150">
        <v>85998472</v>
      </c>
      <c r="AY150">
        <v>1</v>
      </c>
      <c r="AZ150">
        <v>0</v>
      </c>
      <c r="BA150">
        <v>137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ROUND(Y150*Source!I166,7)</f>
        <v>0</v>
      </c>
      <c r="CY150">
        <f t="shared" ref="CY150:CY156" si="73">AA150</f>
        <v>0</v>
      </c>
      <c r="CZ150">
        <f t="shared" ref="CZ150:CZ156" si="74">AE150</f>
        <v>0</v>
      </c>
      <c r="DA150">
        <f t="shared" ref="DA150:DA156" si="75">AI150</f>
        <v>1</v>
      </c>
      <c r="DB150">
        <f t="shared" ref="DB150:DB156" si="76">ROUND(ROUND(AT150*CZ150,2),6)</f>
        <v>0</v>
      </c>
      <c r="DC150">
        <f t="shared" ref="DC150:DC156" si="77">ROUND(ROUND(AT150*AG150,2),6)</f>
        <v>0</v>
      </c>
      <c r="DD150" t="s">
        <v>3</v>
      </c>
      <c r="DE150" t="s">
        <v>3</v>
      </c>
      <c r="DF150">
        <f t="shared" si="70"/>
        <v>0</v>
      </c>
      <c r="DG150">
        <f t="shared" si="71"/>
        <v>0</v>
      </c>
      <c r="DH150">
        <f t="shared" si="64"/>
        <v>0</v>
      </c>
      <c r="DI150">
        <f t="shared" si="65"/>
        <v>0</v>
      </c>
      <c r="DJ150">
        <f t="shared" ref="DJ150:DJ156" si="78">DF150</f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ROW(Source!A166)</f>
        <v>166</v>
      </c>
      <c r="B151">
        <v>85997836</v>
      </c>
      <c r="C151">
        <v>85998454</v>
      </c>
      <c r="D151">
        <v>84240078</v>
      </c>
      <c r="E151">
        <v>1</v>
      </c>
      <c r="F151">
        <v>1</v>
      </c>
      <c r="G151">
        <v>1</v>
      </c>
      <c r="H151">
        <v>3</v>
      </c>
      <c r="I151" t="s">
        <v>655</v>
      </c>
      <c r="J151" t="s">
        <v>656</v>
      </c>
      <c r="K151" t="s">
        <v>657</v>
      </c>
      <c r="L151">
        <v>1371</v>
      </c>
      <c r="N151">
        <v>1013</v>
      </c>
      <c r="O151" t="s">
        <v>43</v>
      </c>
      <c r="P151" t="s">
        <v>43</v>
      </c>
      <c r="Q151">
        <v>1</v>
      </c>
      <c r="W151">
        <v>0</v>
      </c>
      <c r="X151">
        <v>-1706756297</v>
      </c>
      <c r="Y151">
        <f t="shared" si="72"/>
        <v>22.2</v>
      </c>
      <c r="AA151">
        <v>248.59</v>
      </c>
      <c r="AB151">
        <v>0</v>
      </c>
      <c r="AC151">
        <v>0</v>
      </c>
      <c r="AD151">
        <v>0</v>
      </c>
      <c r="AE151">
        <v>241.35</v>
      </c>
      <c r="AF151">
        <v>0</v>
      </c>
      <c r="AG151">
        <v>0</v>
      </c>
      <c r="AH151">
        <v>0</v>
      </c>
      <c r="AI151">
        <v>1.03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22.2</v>
      </c>
      <c r="AU151" t="s">
        <v>3</v>
      </c>
      <c r="AV151">
        <v>0</v>
      </c>
      <c r="AW151">
        <v>2</v>
      </c>
      <c r="AX151">
        <v>85998473</v>
      </c>
      <c r="AY151">
        <v>1</v>
      </c>
      <c r="AZ151">
        <v>0</v>
      </c>
      <c r="BA151">
        <v>138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5357.9699999999993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1</v>
      </c>
      <c r="BQ151">
        <v>5357.9699999999993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1</v>
      </c>
      <c r="CV151">
        <v>0</v>
      </c>
      <c r="CW151">
        <v>0</v>
      </c>
      <c r="CX151">
        <f>ROUND(Y151*Source!I166,7)</f>
        <v>0.72150000000000003</v>
      </c>
      <c r="CY151">
        <f t="shared" si="73"/>
        <v>248.59</v>
      </c>
      <c r="CZ151">
        <f t="shared" si="74"/>
        <v>241.35</v>
      </c>
      <c r="DA151">
        <f t="shared" si="75"/>
        <v>1.03</v>
      </c>
      <c r="DB151">
        <f t="shared" si="76"/>
        <v>5357.97</v>
      </c>
      <c r="DC151">
        <f t="shared" si="77"/>
        <v>0</v>
      </c>
      <c r="DD151" t="s">
        <v>3</v>
      </c>
      <c r="DE151" t="s">
        <v>3</v>
      </c>
      <c r="DF151">
        <f>ROUND(ROUND(AE151*AI151,2)*CX151,2)</f>
        <v>179.36</v>
      </c>
      <c r="DG151">
        <f t="shared" si="71"/>
        <v>0</v>
      </c>
      <c r="DH151">
        <f t="shared" si="64"/>
        <v>0</v>
      </c>
      <c r="DI151">
        <f t="shared" si="65"/>
        <v>0</v>
      </c>
      <c r="DJ151">
        <f t="shared" si="78"/>
        <v>179.36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ROW(Source!A166)</f>
        <v>166</v>
      </c>
      <c r="B152">
        <v>85997836</v>
      </c>
      <c r="C152">
        <v>85998454</v>
      </c>
      <c r="D152">
        <v>84240467</v>
      </c>
      <c r="E152">
        <v>1</v>
      </c>
      <c r="F152">
        <v>1</v>
      </c>
      <c r="G152">
        <v>1</v>
      </c>
      <c r="H152">
        <v>3</v>
      </c>
      <c r="I152" t="s">
        <v>658</v>
      </c>
      <c r="J152" t="s">
        <v>659</v>
      </c>
      <c r="K152" t="s">
        <v>660</v>
      </c>
      <c r="L152">
        <v>1348</v>
      </c>
      <c r="N152">
        <v>1009</v>
      </c>
      <c r="O152" t="s">
        <v>165</v>
      </c>
      <c r="P152" t="s">
        <v>165</v>
      </c>
      <c r="Q152">
        <v>1000</v>
      </c>
      <c r="W152">
        <v>0</v>
      </c>
      <c r="X152">
        <v>-1061297381</v>
      </c>
      <c r="Y152">
        <f t="shared" si="72"/>
        <v>1.6800000000000001E-3</v>
      </c>
      <c r="AA152">
        <v>90682.1</v>
      </c>
      <c r="AB152">
        <v>0</v>
      </c>
      <c r="AC152">
        <v>0</v>
      </c>
      <c r="AD152">
        <v>0</v>
      </c>
      <c r="AE152">
        <v>70296.2</v>
      </c>
      <c r="AF152">
        <v>0</v>
      </c>
      <c r="AG152">
        <v>0</v>
      </c>
      <c r="AH152">
        <v>0</v>
      </c>
      <c r="AI152">
        <v>1.29</v>
      </c>
      <c r="AJ152">
        <v>1</v>
      </c>
      <c r="AK152">
        <v>1</v>
      </c>
      <c r="AL152">
        <v>1</v>
      </c>
      <c r="AM152">
        <v>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3</v>
      </c>
      <c r="AT152">
        <v>1.6800000000000001E-3</v>
      </c>
      <c r="AU152" t="s">
        <v>3</v>
      </c>
      <c r="AV152">
        <v>0</v>
      </c>
      <c r="AW152">
        <v>2</v>
      </c>
      <c r="AX152">
        <v>85998474</v>
      </c>
      <c r="AY152">
        <v>1</v>
      </c>
      <c r="AZ152">
        <v>0</v>
      </c>
      <c r="BA152">
        <v>139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118.097616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1</v>
      </c>
      <c r="BQ152">
        <v>118.097616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1</v>
      </c>
      <c r="CV152">
        <v>0</v>
      </c>
      <c r="CW152">
        <v>0</v>
      </c>
      <c r="CX152">
        <f>ROUND(Y152*Source!I166,7)</f>
        <v>5.4599999999999999E-5</v>
      </c>
      <c r="CY152">
        <f t="shared" si="73"/>
        <v>90682.1</v>
      </c>
      <c r="CZ152">
        <f t="shared" si="74"/>
        <v>70296.2</v>
      </c>
      <c r="DA152">
        <f t="shared" si="75"/>
        <v>1.29</v>
      </c>
      <c r="DB152">
        <f t="shared" si="76"/>
        <v>118.1</v>
      </c>
      <c r="DC152">
        <f t="shared" si="77"/>
        <v>0</v>
      </c>
      <c r="DD152" t="s">
        <v>3</v>
      </c>
      <c r="DE152" t="s">
        <v>3</v>
      </c>
      <c r="DF152">
        <f>ROUND(ROUND(AE152*AI152,2)*CX152,2)</f>
        <v>4.95</v>
      </c>
      <c r="DG152">
        <f t="shared" si="71"/>
        <v>0</v>
      </c>
      <c r="DH152">
        <f t="shared" si="64"/>
        <v>0</v>
      </c>
      <c r="DI152">
        <f t="shared" si="65"/>
        <v>0</v>
      </c>
      <c r="DJ152">
        <f t="shared" si="78"/>
        <v>4.95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ROW(Source!A166)</f>
        <v>166</v>
      </c>
      <c r="B153">
        <v>85997836</v>
      </c>
      <c r="C153">
        <v>85998454</v>
      </c>
      <c r="D153">
        <v>84165420</v>
      </c>
      <c r="E153">
        <v>117</v>
      </c>
      <c r="F153">
        <v>1</v>
      </c>
      <c r="G153">
        <v>1</v>
      </c>
      <c r="H153">
        <v>3</v>
      </c>
      <c r="I153" t="s">
        <v>341</v>
      </c>
      <c r="J153" t="s">
        <v>3</v>
      </c>
      <c r="K153" t="s">
        <v>342</v>
      </c>
      <c r="L153">
        <v>1346</v>
      </c>
      <c r="N153">
        <v>1009</v>
      </c>
      <c r="O153" t="s">
        <v>170</v>
      </c>
      <c r="P153" t="s">
        <v>170</v>
      </c>
      <c r="Q153">
        <v>1</v>
      </c>
      <c r="W153">
        <v>0</v>
      </c>
      <c r="X153">
        <v>553349952</v>
      </c>
      <c r="Y153">
        <f t="shared" si="72"/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M153">
        <v>0</v>
      </c>
      <c r="AN153">
        <v>1</v>
      </c>
      <c r="AO153">
        <v>0</v>
      </c>
      <c r="AP153">
        <v>1</v>
      </c>
      <c r="AQ153">
        <v>0</v>
      </c>
      <c r="AR153">
        <v>0</v>
      </c>
      <c r="AS153" t="s">
        <v>3</v>
      </c>
      <c r="AT153">
        <v>0</v>
      </c>
      <c r="AU153" t="s">
        <v>3</v>
      </c>
      <c r="AV153">
        <v>0</v>
      </c>
      <c r="AW153">
        <v>2</v>
      </c>
      <c r="AX153">
        <v>85998475</v>
      </c>
      <c r="AY153">
        <v>1</v>
      </c>
      <c r="AZ153">
        <v>0</v>
      </c>
      <c r="BA153">
        <v>140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ROUND(Y153*Source!I166,7)</f>
        <v>0</v>
      </c>
      <c r="CY153">
        <f t="shared" si="73"/>
        <v>0</v>
      </c>
      <c r="CZ153">
        <f t="shared" si="74"/>
        <v>0</v>
      </c>
      <c r="DA153">
        <f t="shared" si="75"/>
        <v>1</v>
      </c>
      <c r="DB153">
        <f t="shared" si="76"/>
        <v>0</v>
      </c>
      <c r="DC153">
        <f t="shared" si="77"/>
        <v>0</v>
      </c>
      <c r="DD153" t="s">
        <v>3</v>
      </c>
      <c r="DE153" t="s">
        <v>3</v>
      </c>
      <c r="DF153">
        <f>ROUND(ROUND(AE153,2)*CX153,2)</f>
        <v>0</v>
      </c>
      <c r="DG153">
        <f t="shared" si="71"/>
        <v>0</v>
      </c>
      <c r="DH153">
        <f t="shared" si="64"/>
        <v>0</v>
      </c>
      <c r="DI153">
        <f t="shared" si="65"/>
        <v>0</v>
      </c>
      <c r="DJ153">
        <f t="shared" si="78"/>
        <v>0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ROW(Source!A166)</f>
        <v>166</v>
      </c>
      <c r="B154">
        <v>85997836</v>
      </c>
      <c r="C154">
        <v>85998454</v>
      </c>
      <c r="D154">
        <v>84242866</v>
      </c>
      <c r="E154">
        <v>1</v>
      </c>
      <c r="F154">
        <v>1</v>
      </c>
      <c r="G154">
        <v>1</v>
      </c>
      <c r="H154">
        <v>3</v>
      </c>
      <c r="I154" t="s">
        <v>661</v>
      </c>
      <c r="J154" t="s">
        <v>662</v>
      </c>
      <c r="K154" t="s">
        <v>663</v>
      </c>
      <c r="L154">
        <v>1339</v>
      </c>
      <c r="N154">
        <v>1007</v>
      </c>
      <c r="O154" t="s">
        <v>649</v>
      </c>
      <c r="P154" t="s">
        <v>649</v>
      </c>
      <c r="Q154">
        <v>1</v>
      </c>
      <c r="W154">
        <v>0</v>
      </c>
      <c r="X154">
        <v>-1051784114</v>
      </c>
      <c r="Y154">
        <f t="shared" si="72"/>
        <v>7.5999999999999998E-2</v>
      </c>
      <c r="AA154">
        <v>5351.9</v>
      </c>
      <c r="AB154">
        <v>0</v>
      </c>
      <c r="AC154">
        <v>0</v>
      </c>
      <c r="AD154">
        <v>0</v>
      </c>
      <c r="AE154">
        <v>3878.19</v>
      </c>
      <c r="AF154">
        <v>0</v>
      </c>
      <c r="AG154">
        <v>0</v>
      </c>
      <c r="AH154">
        <v>0</v>
      </c>
      <c r="AI154">
        <v>1.38</v>
      </c>
      <c r="AJ154">
        <v>1</v>
      </c>
      <c r="AK154">
        <v>1</v>
      </c>
      <c r="AL154">
        <v>1</v>
      </c>
      <c r="AM154">
        <v>2</v>
      </c>
      <c r="AN154">
        <v>0</v>
      </c>
      <c r="AO154">
        <v>0</v>
      </c>
      <c r="AP154">
        <v>1</v>
      </c>
      <c r="AQ154">
        <v>1</v>
      </c>
      <c r="AR154">
        <v>0</v>
      </c>
      <c r="AS154" t="s">
        <v>3</v>
      </c>
      <c r="AT154">
        <v>7.5999999999999998E-2</v>
      </c>
      <c r="AU154" t="s">
        <v>3</v>
      </c>
      <c r="AV154">
        <v>0</v>
      </c>
      <c r="AW154">
        <v>2</v>
      </c>
      <c r="AX154">
        <v>85998476</v>
      </c>
      <c r="AY154">
        <v>1</v>
      </c>
      <c r="AZ154">
        <v>0</v>
      </c>
      <c r="BA154">
        <v>141</v>
      </c>
      <c r="BB154">
        <v>1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294.74243999999999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1</v>
      </c>
      <c r="BQ154">
        <v>294.74243999999999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1</v>
      </c>
      <c r="CV154">
        <v>0</v>
      </c>
      <c r="CW154">
        <v>0</v>
      </c>
      <c r="CX154">
        <f>ROUND(Y154*Source!I166,7)</f>
        <v>2.47E-3</v>
      </c>
      <c r="CY154">
        <f t="shared" si="73"/>
        <v>5351.9</v>
      </c>
      <c r="CZ154">
        <f t="shared" si="74"/>
        <v>3878.19</v>
      </c>
      <c r="DA154">
        <f t="shared" si="75"/>
        <v>1.38</v>
      </c>
      <c r="DB154">
        <f t="shared" si="76"/>
        <v>294.74</v>
      </c>
      <c r="DC154">
        <f t="shared" si="77"/>
        <v>0</v>
      </c>
      <c r="DD154" t="s">
        <v>3</v>
      </c>
      <c r="DE154" t="s">
        <v>3</v>
      </c>
      <c r="DF154">
        <f>ROUND(ROUND(AE154*AI154,2)*CX154,2)</f>
        <v>13.22</v>
      </c>
      <c r="DG154">
        <f t="shared" si="71"/>
        <v>0</v>
      </c>
      <c r="DH154">
        <f t="shared" si="64"/>
        <v>0</v>
      </c>
      <c r="DI154">
        <f t="shared" si="65"/>
        <v>0</v>
      </c>
      <c r="DJ154">
        <f t="shared" si="78"/>
        <v>13.22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ROW(Source!A166)</f>
        <v>166</v>
      </c>
      <c r="B155">
        <v>85997836</v>
      </c>
      <c r="C155">
        <v>85998454</v>
      </c>
      <c r="D155">
        <v>84249856</v>
      </c>
      <c r="E155">
        <v>1</v>
      </c>
      <c r="F155">
        <v>1</v>
      </c>
      <c r="G155">
        <v>1</v>
      </c>
      <c r="H155">
        <v>3</v>
      </c>
      <c r="I155" t="s">
        <v>664</v>
      </c>
      <c r="J155" t="s">
        <v>665</v>
      </c>
      <c r="K155" t="s">
        <v>666</v>
      </c>
      <c r="L155">
        <v>1339</v>
      </c>
      <c r="N155">
        <v>1007</v>
      </c>
      <c r="O155" t="s">
        <v>649</v>
      </c>
      <c r="P155" t="s">
        <v>649</v>
      </c>
      <c r="Q155">
        <v>1</v>
      </c>
      <c r="W155">
        <v>0</v>
      </c>
      <c r="X155">
        <v>221683117</v>
      </c>
      <c r="Y155">
        <f t="shared" si="72"/>
        <v>7.0000000000000007E-2</v>
      </c>
      <c r="AA155">
        <v>9741.8700000000008</v>
      </c>
      <c r="AB155">
        <v>0</v>
      </c>
      <c r="AC155">
        <v>0</v>
      </c>
      <c r="AD155">
        <v>0</v>
      </c>
      <c r="AE155">
        <v>5764.42</v>
      </c>
      <c r="AF155">
        <v>0</v>
      </c>
      <c r="AG155">
        <v>0</v>
      </c>
      <c r="AH155">
        <v>0</v>
      </c>
      <c r="AI155">
        <v>1.69</v>
      </c>
      <c r="AJ155">
        <v>1</v>
      </c>
      <c r="AK155">
        <v>1</v>
      </c>
      <c r="AL155">
        <v>1</v>
      </c>
      <c r="AM155">
        <v>2</v>
      </c>
      <c r="AN155">
        <v>0</v>
      </c>
      <c r="AO155">
        <v>0</v>
      </c>
      <c r="AP155">
        <v>1</v>
      </c>
      <c r="AQ155">
        <v>1</v>
      </c>
      <c r="AR155">
        <v>0</v>
      </c>
      <c r="AS155" t="s">
        <v>3</v>
      </c>
      <c r="AT155">
        <v>7.0000000000000007E-2</v>
      </c>
      <c r="AU155" t="s">
        <v>3</v>
      </c>
      <c r="AV155">
        <v>0</v>
      </c>
      <c r="AW155">
        <v>2</v>
      </c>
      <c r="AX155">
        <v>85998477</v>
      </c>
      <c r="AY155">
        <v>1</v>
      </c>
      <c r="AZ155">
        <v>0</v>
      </c>
      <c r="BA155">
        <v>142</v>
      </c>
      <c r="BB155">
        <v>1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403.50940000000003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1</v>
      </c>
      <c r="BQ155">
        <v>403.50940000000003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1</v>
      </c>
      <c r="CV155">
        <v>0</v>
      </c>
      <c r="CW155">
        <v>0</v>
      </c>
      <c r="CX155">
        <f>ROUND(Y155*Source!I166,7)</f>
        <v>2.2750000000000001E-3</v>
      </c>
      <c r="CY155">
        <f t="shared" si="73"/>
        <v>9741.8700000000008</v>
      </c>
      <c r="CZ155">
        <f t="shared" si="74"/>
        <v>5764.42</v>
      </c>
      <c r="DA155">
        <f t="shared" si="75"/>
        <v>1.69</v>
      </c>
      <c r="DB155">
        <f t="shared" si="76"/>
        <v>403.51</v>
      </c>
      <c r="DC155">
        <f t="shared" si="77"/>
        <v>0</v>
      </c>
      <c r="DD155" t="s">
        <v>3</v>
      </c>
      <c r="DE155" t="s">
        <v>3</v>
      </c>
      <c r="DF155">
        <f>ROUND(ROUND(AE155*AI155,2)*CX155,2)</f>
        <v>22.16</v>
      </c>
      <c r="DG155">
        <f t="shared" si="71"/>
        <v>0</v>
      </c>
      <c r="DH155">
        <f t="shared" si="64"/>
        <v>0</v>
      </c>
      <c r="DI155">
        <f t="shared" si="65"/>
        <v>0</v>
      </c>
      <c r="DJ155">
        <f t="shared" si="78"/>
        <v>22.16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ROW(Source!A166)</f>
        <v>166</v>
      </c>
      <c r="B156">
        <v>85997836</v>
      </c>
      <c r="C156">
        <v>85998454</v>
      </c>
      <c r="D156">
        <v>84167694</v>
      </c>
      <c r="E156">
        <v>117</v>
      </c>
      <c r="F156">
        <v>1</v>
      </c>
      <c r="G156">
        <v>1</v>
      </c>
      <c r="H156">
        <v>3</v>
      </c>
      <c r="I156" t="s">
        <v>344</v>
      </c>
      <c r="J156" t="s">
        <v>3</v>
      </c>
      <c r="K156" t="s">
        <v>345</v>
      </c>
      <c r="L156">
        <v>1371</v>
      </c>
      <c r="N156">
        <v>1013</v>
      </c>
      <c r="O156" t="s">
        <v>43</v>
      </c>
      <c r="P156" t="s">
        <v>43</v>
      </c>
      <c r="Q156">
        <v>1</v>
      </c>
      <c r="W156">
        <v>0</v>
      </c>
      <c r="X156">
        <v>970582645</v>
      </c>
      <c r="Y156">
        <f t="shared" si="72"/>
        <v>100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0</v>
      </c>
      <c r="AN156">
        <v>0</v>
      </c>
      <c r="AO156">
        <v>0</v>
      </c>
      <c r="AP156">
        <v>1</v>
      </c>
      <c r="AQ156">
        <v>0</v>
      </c>
      <c r="AR156">
        <v>0</v>
      </c>
      <c r="AS156" t="s">
        <v>3</v>
      </c>
      <c r="AT156">
        <v>100</v>
      </c>
      <c r="AU156" t="s">
        <v>3</v>
      </c>
      <c r="AV156">
        <v>0</v>
      </c>
      <c r="AW156">
        <v>2</v>
      </c>
      <c r="AX156">
        <v>85998478</v>
      </c>
      <c r="AY156">
        <v>1</v>
      </c>
      <c r="AZ156">
        <v>0</v>
      </c>
      <c r="BA156">
        <v>143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v>0</v>
      </c>
      <c r="CX156">
        <f>ROUND(Y156*Source!I166,7)</f>
        <v>3.25</v>
      </c>
      <c r="CY156">
        <f t="shared" si="73"/>
        <v>0</v>
      </c>
      <c r="CZ156">
        <f t="shared" si="74"/>
        <v>0</v>
      </c>
      <c r="DA156">
        <f t="shared" si="75"/>
        <v>1</v>
      </c>
      <c r="DB156">
        <f t="shared" si="76"/>
        <v>0</v>
      </c>
      <c r="DC156">
        <f t="shared" si="77"/>
        <v>0</v>
      </c>
      <c r="DD156" t="s">
        <v>3</v>
      </c>
      <c r="DE156" t="s">
        <v>3</v>
      </c>
      <c r="DF156">
        <f>ROUND(ROUND(AE156,2)*CX156,2)</f>
        <v>0</v>
      </c>
      <c r="DG156">
        <f t="shared" si="71"/>
        <v>0</v>
      </c>
      <c r="DH156">
        <f t="shared" si="64"/>
        <v>0</v>
      </c>
      <c r="DI156">
        <f t="shared" si="65"/>
        <v>0</v>
      </c>
      <c r="DJ156">
        <f t="shared" si="78"/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ROW(Source!A174)</f>
        <v>174</v>
      </c>
      <c r="B157">
        <v>85997836</v>
      </c>
      <c r="C157">
        <v>85998487</v>
      </c>
      <c r="D157">
        <v>84164550</v>
      </c>
      <c r="E157">
        <v>117</v>
      </c>
      <c r="F157">
        <v>1</v>
      </c>
      <c r="G157">
        <v>1</v>
      </c>
      <c r="H157">
        <v>1</v>
      </c>
      <c r="I157" t="s">
        <v>667</v>
      </c>
      <c r="J157" t="s">
        <v>3</v>
      </c>
      <c r="K157" t="s">
        <v>668</v>
      </c>
      <c r="L157">
        <v>1191</v>
      </c>
      <c r="N157">
        <v>1013</v>
      </c>
      <c r="O157" t="s">
        <v>541</v>
      </c>
      <c r="P157" t="s">
        <v>541</v>
      </c>
      <c r="Q157">
        <v>1</v>
      </c>
      <c r="W157">
        <v>0</v>
      </c>
      <c r="X157">
        <v>-1991603921</v>
      </c>
      <c r="Y157">
        <f>(AT157*ROUND(((0.2+1)*1.15),7))</f>
        <v>10.791599999999999</v>
      </c>
      <c r="AA157">
        <v>0</v>
      </c>
      <c r="AB157">
        <v>0</v>
      </c>
      <c r="AC157">
        <v>0</v>
      </c>
      <c r="AD157">
        <v>614.28</v>
      </c>
      <c r="AE157">
        <v>0</v>
      </c>
      <c r="AF157">
        <v>0</v>
      </c>
      <c r="AG157">
        <v>0</v>
      </c>
      <c r="AH157">
        <v>614.28</v>
      </c>
      <c r="AI157">
        <v>1</v>
      </c>
      <c r="AJ157">
        <v>1</v>
      </c>
      <c r="AK157">
        <v>1</v>
      </c>
      <c r="AL157">
        <v>1</v>
      </c>
      <c r="AM157">
        <v>-2</v>
      </c>
      <c r="AN157">
        <v>0</v>
      </c>
      <c r="AO157">
        <v>0</v>
      </c>
      <c r="AP157">
        <v>1</v>
      </c>
      <c r="AQ157">
        <v>1</v>
      </c>
      <c r="AR157">
        <v>0</v>
      </c>
      <c r="AS157" t="s">
        <v>3</v>
      </c>
      <c r="AT157">
        <v>7.82</v>
      </c>
      <c r="AU157" t="s">
        <v>330</v>
      </c>
      <c r="AV157">
        <v>1</v>
      </c>
      <c r="AW157">
        <v>2</v>
      </c>
      <c r="AX157">
        <v>85998493</v>
      </c>
      <c r="AY157">
        <v>1</v>
      </c>
      <c r="AZ157">
        <v>0</v>
      </c>
      <c r="BA157">
        <v>144</v>
      </c>
      <c r="BB157">
        <v>1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4803.6696000000002</v>
      </c>
      <c r="BN157">
        <v>7.82</v>
      </c>
      <c r="BO157">
        <v>0</v>
      </c>
      <c r="BP157">
        <v>1</v>
      </c>
      <c r="BQ157">
        <v>0</v>
      </c>
      <c r="BR157">
        <v>0</v>
      </c>
      <c r="BS157">
        <v>0</v>
      </c>
      <c r="BT157">
        <v>6629.0640479999993</v>
      </c>
      <c r="BU157">
        <v>10.791599999999999</v>
      </c>
      <c r="BV157">
        <v>0</v>
      </c>
      <c r="BW157">
        <v>1</v>
      </c>
      <c r="CU157">
        <f>ROUND(AT157*Source!I174*AH157*AL157,2)</f>
        <v>302.63</v>
      </c>
      <c r="CV157">
        <f>ROUND(Y157*Source!I174,7)</f>
        <v>0.6798708</v>
      </c>
      <c r="CW157">
        <v>0</v>
      </c>
      <c r="CX157">
        <f>ROUND(Y157*Source!I174,7)</f>
        <v>0.6798708</v>
      </c>
      <c r="CY157">
        <f>AD157</f>
        <v>614.28</v>
      </c>
      <c r="CZ157">
        <f>AH157</f>
        <v>614.28</v>
      </c>
      <c r="DA157">
        <f>AL157</f>
        <v>1</v>
      </c>
      <c r="DB157">
        <f>ROUND((ROUND(AT157*CZ157,2)*ROUND(((0.2+1)*1.15),7)),6)</f>
        <v>6629.0645999999997</v>
      </c>
      <c r="DC157">
        <f>ROUND((ROUND(AT157*AG157,2)*ROUND(((0.2+1)*1.15),7)),6)</f>
        <v>0</v>
      </c>
      <c r="DD157" t="s">
        <v>3</v>
      </c>
      <c r="DE157" t="s">
        <v>3</v>
      </c>
      <c r="DF157">
        <f>ROUND(ROUND(AE157,2)*CX157,2)</f>
        <v>0</v>
      </c>
      <c r="DG157">
        <f t="shared" si="71"/>
        <v>0</v>
      </c>
      <c r="DH157">
        <f t="shared" si="64"/>
        <v>0</v>
      </c>
      <c r="DI157">
        <f t="shared" si="65"/>
        <v>417.63</v>
      </c>
      <c r="DJ157">
        <f>DI157</f>
        <v>417.63</v>
      </c>
      <c r="DK157">
        <v>1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ROW(Source!A174)</f>
        <v>174</v>
      </c>
      <c r="B158">
        <v>85997836</v>
      </c>
      <c r="C158">
        <v>85998487</v>
      </c>
      <c r="D158">
        <v>84164762</v>
      </c>
      <c r="E158">
        <v>117</v>
      </c>
      <c r="F158">
        <v>1</v>
      </c>
      <c r="G158">
        <v>1</v>
      </c>
      <c r="H158">
        <v>1</v>
      </c>
      <c r="I158" t="s">
        <v>542</v>
      </c>
      <c r="J158" t="s">
        <v>3</v>
      </c>
      <c r="K158" t="s">
        <v>543</v>
      </c>
      <c r="L158">
        <v>1191</v>
      </c>
      <c r="N158">
        <v>1013</v>
      </c>
      <c r="O158" t="s">
        <v>541</v>
      </c>
      <c r="P158" t="s">
        <v>541</v>
      </c>
      <c r="Q158">
        <v>1</v>
      </c>
      <c r="W158">
        <v>0</v>
      </c>
      <c r="X158">
        <v>-1417349443</v>
      </c>
      <c r="Y158">
        <f>(AT158*ROUND(((0.2+1)*1.25),7))</f>
        <v>0.06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3</v>
      </c>
      <c r="AT158">
        <v>0.04</v>
      </c>
      <c r="AU158" t="s">
        <v>329</v>
      </c>
      <c r="AV158">
        <v>2</v>
      </c>
      <c r="AW158">
        <v>2</v>
      </c>
      <c r="AX158">
        <v>85998494</v>
      </c>
      <c r="AY158">
        <v>1</v>
      </c>
      <c r="AZ158">
        <v>0</v>
      </c>
      <c r="BA158">
        <v>145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V158">
        <v>0</v>
      </c>
      <c r="CW158">
        <v>0</v>
      </c>
      <c r="CX158">
        <f>ROUND(Y158*Source!I174,7)</f>
        <v>3.7799999999999999E-3</v>
      </c>
      <c r="CY158">
        <f>AD158</f>
        <v>0</v>
      </c>
      <c r="CZ158">
        <f>AH158</f>
        <v>0</v>
      </c>
      <c r="DA158">
        <f>AL158</f>
        <v>1</v>
      </c>
      <c r="DB158">
        <f>ROUND((ROUND(AT158*CZ158,2)*ROUND(((0.2+1)*1.25),7)),6)</f>
        <v>0</v>
      </c>
      <c r="DC158">
        <f>ROUND((ROUND(AT158*AG158,2)*ROUND(((0.2+1)*1.25),7)),6)</f>
        <v>0</v>
      </c>
      <c r="DD158" t="s">
        <v>3</v>
      </c>
      <c r="DE158" t="s">
        <v>3</v>
      </c>
      <c r="DF158">
        <f>ROUND(ROUND(AE158,2)*CX158,2)</f>
        <v>0</v>
      </c>
      <c r="DG158">
        <f t="shared" si="71"/>
        <v>0</v>
      </c>
      <c r="DH158">
        <f t="shared" si="64"/>
        <v>0</v>
      </c>
      <c r="DI158">
        <f t="shared" si="65"/>
        <v>0</v>
      </c>
      <c r="DJ158">
        <f>DI158</f>
        <v>0</v>
      </c>
      <c r="DK158">
        <v>0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ROW(Source!A174)</f>
        <v>174</v>
      </c>
      <c r="B159">
        <v>85997836</v>
      </c>
      <c r="C159">
        <v>85998487</v>
      </c>
      <c r="D159">
        <v>84172146</v>
      </c>
      <c r="E159">
        <v>1</v>
      </c>
      <c r="F159">
        <v>1</v>
      </c>
      <c r="G159">
        <v>1</v>
      </c>
      <c r="H159">
        <v>2</v>
      </c>
      <c r="I159" t="s">
        <v>127</v>
      </c>
      <c r="J159" t="s">
        <v>129</v>
      </c>
      <c r="K159" t="s">
        <v>128</v>
      </c>
      <c r="L159">
        <v>1368</v>
      </c>
      <c r="N159">
        <v>1011</v>
      </c>
      <c r="O159" t="s">
        <v>29</v>
      </c>
      <c r="P159" t="s">
        <v>29</v>
      </c>
      <c r="Q159">
        <v>1</v>
      </c>
      <c r="W159">
        <v>0</v>
      </c>
      <c r="X159">
        <v>-849950259</v>
      </c>
      <c r="Y159">
        <f>(AT159*ROUND(((0.2+1)*1.25),7))</f>
        <v>-0.09</v>
      </c>
      <c r="AA159">
        <v>0</v>
      </c>
      <c r="AB159">
        <v>643.29</v>
      </c>
      <c r="AC159">
        <v>722.05</v>
      </c>
      <c r="AD159">
        <v>0</v>
      </c>
      <c r="AE159">
        <v>0</v>
      </c>
      <c r="AF159">
        <v>643.29</v>
      </c>
      <c r="AG159">
        <v>722.05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-2</v>
      </c>
      <c r="AN159">
        <v>0</v>
      </c>
      <c r="AO159">
        <v>0</v>
      </c>
      <c r="AP159">
        <v>1</v>
      </c>
      <c r="AQ159">
        <v>0</v>
      </c>
      <c r="AR159">
        <v>0</v>
      </c>
      <c r="AS159" t="s">
        <v>3</v>
      </c>
      <c r="AT159">
        <v>-0.06</v>
      </c>
      <c r="AU159" t="s">
        <v>329</v>
      </c>
      <c r="AV159">
        <v>1</v>
      </c>
      <c r="AW159">
        <v>2</v>
      </c>
      <c r="AX159">
        <v>85998495</v>
      </c>
      <c r="AY159">
        <v>1</v>
      </c>
      <c r="AZ159">
        <v>6144</v>
      </c>
      <c r="BA159">
        <v>146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f>ROUND(Y159*Source!I174*DO159,7)</f>
        <v>-5.6699999999999997E-3</v>
      </c>
      <c r="CX159">
        <f>ROUND(Y159*Source!I174,7)</f>
        <v>-5.6699999999999997E-3</v>
      </c>
      <c r="CY159">
        <f>AB159</f>
        <v>643.29</v>
      </c>
      <c r="CZ159">
        <f>AF159</f>
        <v>643.29</v>
      </c>
      <c r="DA159">
        <f>AJ159</f>
        <v>1</v>
      </c>
      <c r="DB159">
        <f>ROUND((ROUND(AT159*CZ159,2)*ROUND(((0.2+1)*1.25),7)),6)</f>
        <v>-57.9</v>
      </c>
      <c r="DC159">
        <f>ROUND((ROUND(AT159*AG159,2)*ROUND(((0.2+1)*1.25),7)),6)</f>
        <v>-64.98</v>
      </c>
      <c r="DD159" t="s">
        <v>3</v>
      </c>
      <c r="DE159" t="s">
        <v>3</v>
      </c>
      <c r="DF159">
        <f>ROUND(ROUND(AE159,2)*CX159,2)</f>
        <v>0</v>
      </c>
      <c r="DG159">
        <f t="shared" si="71"/>
        <v>-3.65</v>
      </c>
      <c r="DH159">
        <f t="shared" si="64"/>
        <v>-4.09</v>
      </c>
      <c r="DI159">
        <f t="shared" si="65"/>
        <v>0</v>
      </c>
      <c r="DJ159">
        <f>DG159+DH159</f>
        <v>-7.74</v>
      </c>
      <c r="DK159">
        <v>1</v>
      </c>
      <c r="DL159" t="s">
        <v>600</v>
      </c>
      <c r="DM159">
        <v>4</v>
      </c>
      <c r="DN159" t="s">
        <v>541</v>
      </c>
      <c r="DO159">
        <v>1</v>
      </c>
    </row>
    <row r="160" spans="1:119" x14ac:dyDescent="0.2">
      <c r="A160">
        <f>ROW(Source!A174)</f>
        <v>174</v>
      </c>
      <c r="B160">
        <v>85997836</v>
      </c>
      <c r="C160">
        <v>85998487</v>
      </c>
      <c r="D160">
        <v>84240467</v>
      </c>
      <c r="E160">
        <v>1</v>
      </c>
      <c r="F160">
        <v>1</v>
      </c>
      <c r="G160">
        <v>1</v>
      </c>
      <c r="H160">
        <v>3</v>
      </c>
      <c r="I160" t="s">
        <v>658</v>
      </c>
      <c r="J160" t="s">
        <v>659</v>
      </c>
      <c r="K160" t="s">
        <v>660</v>
      </c>
      <c r="L160">
        <v>1348</v>
      </c>
      <c r="N160">
        <v>1009</v>
      </c>
      <c r="O160" t="s">
        <v>165</v>
      </c>
      <c r="P160" t="s">
        <v>165</v>
      </c>
      <c r="Q160">
        <v>1000</v>
      </c>
      <c r="W160">
        <v>0</v>
      </c>
      <c r="X160">
        <v>-1061297381</v>
      </c>
      <c r="Y160">
        <f>AT160</f>
        <v>7.1000000000000002E-4</v>
      </c>
      <c r="AA160">
        <v>90682.1</v>
      </c>
      <c r="AB160">
        <v>0</v>
      </c>
      <c r="AC160">
        <v>0</v>
      </c>
      <c r="AD160">
        <v>0</v>
      </c>
      <c r="AE160">
        <v>70296.2</v>
      </c>
      <c r="AF160">
        <v>0</v>
      </c>
      <c r="AG160">
        <v>0</v>
      </c>
      <c r="AH160">
        <v>0</v>
      </c>
      <c r="AI160">
        <v>1.29</v>
      </c>
      <c r="AJ160">
        <v>1</v>
      </c>
      <c r="AK160">
        <v>1</v>
      </c>
      <c r="AL160">
        <v>1</v>
      </c>
      <c r="AM160">
        <v>2</v>
      </c>
      <c r="AN160">
        <v>0</v>
      </c>
      <c r="AO160">
        <v>0</v>
      </c>
      <c r="AP160">
        <v>1</v>
      </c>
      <c r="AQ160">
        <v>1</v>
      </c>
      <c r="AR160">
        <v>0</v>
      </c>
      <c r="AS160" t="s">
        <v>3</v>
      </c>
      <c r="AT160">
        <v>7.1000000000000002E-4</v>
      </c>
      <c r="AU160" t="s">
        <v>3</v>
      </c>
      <c r="AV160">
        <v>0</v>
      </c>
      <c r="AW160">
        <v>2</v>
      </c>
      <c r="AX160">
        <v>85998496</v>
      </c>
      <c r="AY160">
        <v>1</v>
      </c>
      <c r="AZ160">
        <v>0</v>
      </c>
      <c r="BA160">
        <v>147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49.910302000000001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1</v>
      </c>
      <c r="BQ160">
        <v>49.910302000000001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1</v>
      </c>
      <c r="CV160">
        <v>0</v>
      </c>
      <c r="CW160">
        <v>0</v>
      </c>
      <c r="CX160">
        <f>ROUND(Y160*Source!I174,7)</f>
        <v>4.4700000000000002E-5</v>
      </c>
      <c r="CY160">
        <f>AA160</f>
        <v>90682.1</v>
      </c>
      <c r="CZ160">
        <f>AE160</f>
        <v>70296.2</v>
      </c>
      <c r="DA160">
        <f>AI160</f>
        <v>1.29</v>
      </c>
      <c r="DB160">
        <f>ROUND(ROUND(AT160*CZ160,2),6)</f>
        <v>49.91</v>
      </c>
      <c r="DC160">
        <f>ROUND(ROUND(AT160*AG160,2),6)</f>
        <v>0</v>
      </c>
      <c r="DD160" t="s">
        <v>3</v>
      </c>
      <c r="DE160" t="s">
        <v>3</v>
      </c>
      <c r="DF160">
        <f>ROUND(ROUND(AE160*AI160,2)*CX160,2)</f>
        <v>4.05</v>
      </c>
      <c r="DG160">
        <f t="shared" si="71"/>
        <v>0</v>
      </c>
      <c r="DH160">
        <f t="shared" si="64"/>
        <v>0</v>
      </c>
      <c r="DI160">
        <f t="shared" si="65"/>
        <v>0</v>
      </c>
      <c r="DJ160">
        <f>DF160</f>
        <v>4.05</v>
      </c>
      <c r="DK160">
        <v>0</v>
      </c>
      <c r="DL160" t="s">
        <v>3</v>
      </c>
      <c r="DM160">
        <v>0</v>
      </c>
      <c r="DN160" t="s">
        <v>3</v>
      </c>
      <c r="DO160">
        <v>0</v>
      </c>
    </row>
    <row r="161" spans="1:119" x14ac:dyDescent="0.2">
      <c r="A161">
        <f>ROW(Source!A174)</f>
        <v>174</v>
      </c>
      <c r="B161">
        <v>85997836</v>
      </c>
      <c r="C161">
        <v>85998487</v>
      </c>
      <c r="D161">
        <v>84249665</v>
      </c>
      <c r="E161">
        <v>1</v>
      </c>
      <c r="F161">
        <v>1</v>
      </c>
      <c r="G161">
        <v>1</v>
      </c>
      <c r="H161">
        <v>3</v>
      </c>
      <c r="I161" t="s">
        <v>362</v>
      </c>
      <c r="J161" t="s">
        <v>365</v>
      </c>
      <c r="K161" t="s">
        <v>363</v>
      </c>
      <c r="L161">
        <v>1301</v>
      </c>
      <c r="N161">
        <v>1003</v>
      </c>
      <c r="O161" t="s">
        <v>364</v>
      </c>
      <c r="P161" t="s">
        <v>364</v>
      </c>
      <c r="Q161">
        <v>1</v>
      </c>
      <c r="W161">
        <v>0</v>
      </c>
      <c r="X161">
        <v>584360736</v>
      </c>
      <c r="Y161">
        <f>AT161</f>
        <v>112</v>
      </c>
      <c r="AA161">
        <v>655.47</v>
      </c>
      <c r="AB161">
        <v>0</v>
      </c>
      <c r="AC161">
        <v>0</v>
      </c>
      <c r="AD161">
        <v>0</v>
      </c>
      <c r="AE161">
        <v>387.85</v>
      </c>
      <c r="AF161">
        <v>0</v>
      </c>
      <c r="AG161">
        <v>0</v>
      </c>
      <c r="AH161">
        <v>0</v>
      </c>
      <c r="AI161">
        <v>1.69</v>
      </c>
      <c r="AJ161">
        <v>1</v>
      </c>
      <c r="AK161">
        <v>1</v>
      </c>
      <c r="AL161">
        <v>1</v>
      </c>
      <c r="AM161">
        <v>0</v>
      </c>
      <c r="AN161">
        <v>0</v>
      </c>
      <c r="AO161">
        <v>0</v>
      </c>
      <c r="AP161">
        <v>1</v>
      </c>
      <c r="AQ161">
        <v>0</v>
      </c>
      <c r="AR161">
        <v>0</v>
      </c>
      <c r="AS161" t="s">
        <v>3</v>
      </c>
      <c r="AT161">
        <v>112</v>
      </c>
      <c r="AU161" t="s">
        <v>3</v>
      </c>
      <c r="AV161">
        <v>0</v>
      </c>
      <c r="AW161">
        <v>1</v>
      </c>
      <c r="AX161">
        <v>-1</v>
      </c>
      <c r="AY161">
        <v>0</v>
      </c>
      <c r="AZ161">
        <v>0</v>
      </c>
      <c r="BA161" t="s">
        <v>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V161">
        <v>0</v>
      </c>
      <c r="CW161">
        <v>0</v>
      </c>
      <c r="CX161">
        <f>ROUND(Y161*Source!I174,7)</f>
        <v>7.056</v>
      </c>
      <c r="CY161">
        <f>AA161</f>
        <v>655.47</v>
      </c>
      <c r="CZ161">
        <f>AE161</f>
        <v>387.85</v>
      </c>
      <c r="DA161">
        <f>AI161</f>
        <v>1.69</v>
      </c>
      <c r="DB161">
        <f>ROUND(ROUND(AT161*CZ161,2),6)</f>
        <v>43439.199999999997</v>
      </c>
      <c r="DC161">
        <f>ROUND(ROUND(AT161*AG161,2),6)</f>
        <v>0</v>
      </c>
      <c r="DD161" t="s">
        <v>3</v>
      </c>
      <c r="DE161" t="s">
        <v>3</v>
      </c>
      <c r="DF161">
        <f>ROUND(ROUND(AE161*AI161,2)*CX161,2)</f>
        <v>4625</v>
      </c>
      <c r="DG161">
        <f t="shared" si="71"/>
        <v>0</v>
      </c>
      <c r="DH161">
        <f t="shared" si="64"/>
        <v>0</v>
      </c>
      <c r="DI161">
        <f t="shared" si="65"/>
        <v>0</v>
      </c>
      <c r="DJ161">
        <f>DF161</f>
        <v>4625</v>
      </c>
      <c r="DK161">
        <v>0</v>
      </c>
      <c r="DL161" t="s">
        <v>3</v>
      </c>
      <c r="DM161">
        <v>0</v>
      </c>
      <c r="DN161" t="s">
        <v>3</v>
      </c>
      <c r="DO161">
        <v>0</v>
      </c>
    </row>
    <row r="162" spans="1:119" x14ac:dyDescent="0.2">
      <c r="A162">
        <f>ROW(Source!A212)</f>
        <v>212</v>
      </c>
      <c r="B162">
        <v>85997836</v>
      </c>
      <c r="C162">
        <v>85998499</v>
      </c>
      <c r="D162">
        <v>84164590</v>
      </c>
      <c r="E162">
        <v>117</v>
      </c>
      <c r="F162">
        <v>1</v>
      </c>
      <c r="G162">
        <v>1</v>
      </c>
      <c r="H162">
        <v>1</v>
      </c>
      <c r="I162" t="s">
        <v>590</v>
      </c>
      <c r="J162" t="s">
        <v>3</v>
      </c>
      <c r="K162" t="s">
        <v>591</v>
      </c>
      <c r="L162">
        <v>1191</v>
      </c>
      <c r="N162">
        <v>1013</v>
      </c>
      <c r="O162" t="s">
        <v>541</v>
      </c>
      <c r="P162" t="s">
        <v>541</v>
      </c>
      <c r="Q162">
        <v>1</v>
      </c>
      <c r="W162">
        <v>0</v>
      </c>
      <c r="X162">
        <v>-1088579471</v>
      </c>
      <c r="Y162">
        <f>AT162</f>
        <v>20.329999999999998</v>
      </c>
      <c r="AA162">
        <v>0</v>
      </c>
      <c r="AB162">
        <v>0</v>
      </c>
      <c r="AC162">
        <v>0</v>
      </c>
      <c r="AD162">
        <v>713.96</v>
      </c>
      <c r="AE162">
        <v>0</v>
      </c>
      <c r="AF162">
        <v>0</v>
      </c>
      <c r="AG162">
        <v>0</v>
      </c>
      <c r="AH162">
        <v>713.96</v>
      </c>
      <c r="AI162">
        <v>1</v>
      </c>
      <c r="AJ162">
        <v>1</v>
      </c>
      <c r="AK162">
        <v>1</v>
      </c>
      <c r="AL162">
        <v>1</v>
      </c>
      <c r="AM162">
        <v>-2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3</v>
      </c>
      <c r="AT162">
        <v>20.329999999999998</v>
      </c>
      <c r="AU162" t="s">
        <v>3</v>
      </c>
      <c r="AV162">
        <v>1</v>
      </c>
      <c r="AW162">
        <v>2</v>
      </c>
      <c r="AX162">
        <v>85998507</v>
      </c>
      <c r="AY162">
        <v>1</v>
      </c>
      <c r="AZ162">
        <v>2048</v>
      </c>
      <c r="BA162">
        <v>149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14514.8068</v>
      </c>
      <c r="BN162">
        <v>20.329999999999998</v>
      </c>
      <c r="BO162">
        <v>0</v>
      </c>
      <c r="BP162">
        <v>1</v>
      </c>
      <c r="BQ162">
        <v>0</v>
      </c>
      <c r="BR162">
        <v>0</v>
      </c>
      <c r="BS162">
        <v>0</v>
      </c>
      <c r="BT162">
        <v>14514.8068</v>
      </c>
      <c r="BU162">
        <v>20.329999999999998</v>
      </c>
      <c r="BV162">
        <v>0</v>
      </c>
      <c r="BW162">
        <v>1</v>
      </c>
      <c r="CU162">
        <f>ROUND(AT162*Source!I212*AH162*AL162,2)</f>
        <v>1741.78</v>
      </c>
      <c r="CV162">
        <f>ROUND(Y162*Source!I212,7)</f>
        <v>2.4396</v>
      </c>
      <c r="CW162">
        <v>0</v>
      </c>
      <c r="CX162">
        <f>ROUND(Y162*Source!I212,7)</f>
        <v>2.4396</v>
      </c>
      <c r="CY162">
        <f>AD162</f>
        <v>713.96</v>
      </c>
      <c r="CZ162">
        <f>AH162</f>
        <v>713.96</v>
      </c>
      <c r="DA162">
        <f>AL162</f>
        <v>1</v>
      </c>
      <c r="DB162">
        <f>ROUND(ROUND(AT162*CZ162,2),6)</f>
        <v>14514.81</v>
      </c>
      <c r="DC162">
        <f>ROUND(ROUND(AT162*AG162,2),6)</f>
        <v>0</v>
      </c>
      <c r="DD162" t="s">
        <v>3</v>
      </c>
      <c r="DE162" t="s">
        <v>3</v>
      </c>
      <c r="DF162">
        <f>ROUND(ROUND(AE162,2)*CX162,2)</f>
        <v>0</v>
      </c>
      <c r="DG162">
        <f t="shared" si="71"/>
        <v>0</v>
      </c>
      <c r="DH162">
        <f t="shared" si="64"/>
        <v>0</v>
      </c>
      <c r="DI162">
        <f t="shared" si="65"/>
        <v>1741.78</v>
      </c>
      <c r="DJ162">
        <f>DI162</f>
        <v>1741.78</v>
      </c>
      <c r="DK162">
        <v>1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ROW(Source!A212)</f>
        <v>212</v>
      </c>
      <c r="B163">
        <v>85997836</v>
      </c>
      <c r="C163">
        <v>85998499</v>
      </c>
      <c r="D163">
        <v>84164762</v>
      </c>
      <c r="E163">
        <v>117</v>
      </c>
      <c r="F163">
        <v>1</v>
      </c>
      <c r="G163">
        <v>1</v>
      </c>
      <c r="H163">
        <v>1</v>
      </c>
      <c r="I163" t="s">
        <v>542</v>
      </c>
      <c r="J163" t="s">
        <v>3</v>
      </c>
      <c r="K163" t="s">
        <v>543</v>
      </c>
      <c r="L163">
        <v>1191</v>
      </c>
      <c r="N163">
        <v>1013</v>
      </c>
      <c r="O163" t="s">
        <v>541</v>
      </c>
      <c r="P163" t="s">
        <v>541</v>
      </c>
      <c r="Q163">
        <v>1</v>
      </c>
      <c r="W163">
        <v>0</v>
      </c>
      <c r="X163">
        <v>-1417349443</v>
      </c>
      <c r="Y163">
        <f>(AT163*ROUND(0.3,7))</f>
        <v>3.0000000000000001E-3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M163">
        <v>-2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3</v>
      </c>
      <c r="AT163">
        <v>0.01</v>
      </c>
      <c r="AU163" t="s">
        <v>47</v>
      </c>
      <c r="AV163">
        <v>2</v>
      </c>
      <c r="AW163">
        <v>2</v>
      </c>
      <c r="AX163">
        <v>85998508</v>
      </c>
      <c r="AY163">
        <v>1</v>
      </c>
      <c r="AZ163">
        <v>0</v>
      </c>
      <c r="BA163">
        <v>150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V163">
        <v>0</v>
      </c>
      <c r="CW163">
        <v>0</v>
      </c>
      <c r="CX163">
        <f>ROUND(Y163*Source!I212,7)</f>
        <v>3.6000000000000002E-4</v>
      </c>
      <c r="CY163">
        <f>AD163</f>
        <v>0</v>
      </c>
      <c r="CZ163">
        <f>AH163</f>
        <v>0</v>
      </c>
      <c r="DA163">
        <f>AL163</f>
        <v>1</v>
      </c>
      <c r="DB163">
        <f>ROUND((ROUND(AT163*CZ163,2)*ROUND(0.3,7)),6)</f>
        <v>0</v>
      </c>
      <c r="DC163">
        <f>ROUND((ROUND(AT163*AG163,2)*ROUND(0.3,7)),6)</f>
        <v>0</v>
      </c>
      <c r="DD163" t="s">
        <v>3</v>
      </c>
      <c r="DE163" t="s">
        <v>3</v>
      </c>
      <c r="DF163">
        <f>ROUND(ROUND(AE163,2)*CX163,2)</f>
        <v>0</v>
      </c>
      <c r="DG163">
        <f t="shared" si="71"/>
        <v>0</v>
      </c>
      <c r="DH163">
        <f t="shared" si="64"/>
        <v>0</v>
      </c>
      <c r="DI163">
        <f t="shared" si="65"/>
        <v>0</v>
      </c>
      <c r="DJ163">
        <f>DI163</f>
        <v>0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ROW(Source!A212)</f>
        <v>212</v>
      </c>
      <c r="B164">
        <v>85997836</v>
      </c>
      <c r="C164">
        <v>85998499</v>
      </c>
      <c r="D164">
        <v>84171438</v>
      </c>
      <c r="E164">
        <v>1</v>
      </c>
      <c r="F164">
        <v>1</v>
      </c>
      <c r="G164">
        <v>1</v>
      </c>
      <c r="H164">
        <v>2</v>
      </c>
      <c r="I164" t="s">
        <v>27</v>
      </c>
      <c r="J164" t="s">
        <v>30</v>
      </c>
      <c r="K164" t="s">
        <v>28</v>
      </c>
      <c r="L164">
        <v>1368</v>
      </c>
      <c r="N164">
        <v>1011</v>
      </c>
      <c r="O164" t="s">
        <v>29</v>
      </c>
      <c r="P164" t="s">
        <v>29</v>
      </c>
      <c r="Q164">
        <v>1</v>
      </c>
      <c r="W164">
        <v>0</v>
      </c>
      <c r="X164">
        <v>945201097</v>
      </c>
      <c r="Y164">
        <f>(AT164*ROUND(0.3,7))</f>
        <v>3.0000000000000001E-3</v>
      </c>
      <c r="AA164">
        <v>0</v>
      </c>
      <c r="AB164">
        <v>57.47</v>
      </c>
      <c r="AC164">
        <v>641.22</v>
      </c>
      <c r="AD164">
        <v>0</v>
      </c>
      <c r="AE164">
        <v>0</v>
      </c>
      <c r="AF164">
        <v>37.32</v>
      </c>
      <c r="AG164">
        <v>641.22</v>
      </c>
      <c r="AH164">
        <v>0</v>
      </c>
      <c r="AI164">
        <v>1</v>
      </c>
      <c r="AJ164">
        <v>1.54</v>
      </c>
      <c r="AK164">
        <v>1</v>
      </c>
      <c r="AL164">
        <v>1</v>
      </c>
      <c r="AM164">
        <v>2</v>
      </c>
      <c r="AN164">
        <v>0</v>
      </c>
      <c r="AO164">
        <v>0</v>
      </c>
      <c r="AP164">
        <v>1</v>
      </c>
      <c r="AQ164">
        <v>0</v>
      </c>
      <c r="AR164">
        <v>0</v>
      </c>
      <c r="AS164" t="s">
        <v>3</v>
      </c>
      <c r="AT164">
        <v>0.01</v>
      </c>
      <c r="AU164" t="s">
        <v>47</v>
      </c>
      <c r="AV164">
        <v>1</v>
      </c>
      <c r="AW164">
        <v>2</v>
      </c>
      <c r="AX164">
        <v>85998509</v>
      </c>
      <c r="AY164">
        <v>1</v>
      </c>
      <c r="AZ164">
        <v>0</v>
      </c>
      <c r="BA164">
        <v>151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V164">
        <v>0</v>
      </c>
      <c r="CW164">
        <f>ROUND(Y164*Source!I212*DO164,7)</f>
        <v>3.6000000000000002E-4</v>
      </c>
      <c r="CX164">
        <f>ROUND(Y164*Source!I212,7)</f>
        <v>3.6000000000000002E-4</v>
      </c>
      <c r="CY164">
        <f>AB164</f>
        <v>57.47</v>
      </c>
      <c r="CZ164">
        <f>AF164</f>
        <v>37.32</v>
      </c>
      <c r="DA164">
        <f>AJ164</f>
        <v>1.54</v>
      </c>
      <c r="DB164">
        <f>ROUND((ROUND(AT164*CZ164,2)*ROUND(0.3,7)),6)</f>
        <v>0.111</v>
      </c>
      <c r="DC164">
        <f>ROUND((ROUND(AT164*AG164,2)*ROUND(0.3,7)),6)</f>
        <v>1.923</v>
      </c>
      <c r="DD164" t="s">
        <v>3</v>
      </c>
      <c r="DE164" t="s">
        <v>3</v>
      </c>
      <c r="DF164">
        <f>ROUND(ROUND(AE164,2)*CX164,2)</f>
        <v>0</v>
      </c>
      <c r="DG164">
        <f>ROUND(ROUND(AF164*AJ164,2)*CX164,2)</f>
        <v>0.02</v>
      </c>
      <c r="DH164">
        <f t="shared" si="64"/>
        <v>0.23</v>
      </c>
      <c r="DI164">
        <f t="shared" si="65"/>
        <v>0</v>
      </c>
      <c r="DJ164">
        <f>DG164+DH164</f>
        <v>0.25</v>
      </c>
      <c r="DK164">
        <v>0</v>
      </c>
      <c r="DL164" t="s">
        <v>544</v>
      </c>
      <c r="DM164">
        <v>3</v>
      </c>
      <c r="DN164" t="s">
        <v>541</v>
      </c>
      <c r="DO164">
        <v>1</v>
      </c>
    </row>
    <row r="165" spans="1:119" x14ac:dyDescent="0.2">
      <c r="A165">
        <f>ROW(Source!A212)</f>
        <v>212</v>
      </c>
      <c r="B165">
        <v>85997836</v>
      </c>
      <c r="C165">
        <v>85998499</v>
      </c>
      <c r="D165">
        <v>84238914</v>
      </c>
      <c r="E165">
        <v>1</v>
      </c>
      <c r="F165">
        <v>1</v>
      </c>
      <c r="G165">
        <v>1</v>
      </c>
      <c r="H165">
        <v>3</v>
      </c>
      <c r="I165" t="s">
        <v>558</v>
      </c>
      <c r="J165" t="s">
        <v>559</v>
      </c>
      <c r="K165" t="s">
        <v>560</v>
      </c>
      <c r="L165">
        <v>1383</v>
      </c>
      <c r="N165">
        <v>1013</v>
      </c>
      <c r="O165" t="s">
        <v>561</v>
      </c>
      <c r="P165" t="s">
        <v>561</v>
      </c>
      <c r="Q165">
        <v>1</v>
      </c>
      <c r="W165">
        <v>0</v>
      </c>
      <c r="X165">
        <v>1840299850</v>
      </c>
      <c r="Y165">
        <f t="shared" ref="Y165:Y184" si="79">AT165</f>
        <v>8.2403999999999993</v>
      </c>
      <c r="AA165">
        <v>6.78</v>
      </c>
      <c r="AB165">
        <v>0</v>
      </c>
      <c r="AC165">
        <v>0</v>
      </c>
      <c r="AD165">
        <v>0</v>
      </c>
      <c r="AE165">
        <v>6.78</v>
      </c>
      <c r="AF165">
        <v>0</v>
      </c>
      <c r="AG165">
        <v>0</v>
      </c>
      <c r="AH165">
        <v>0</v>
      </c>
      <c r="AI165">
        <v>1</v>
      </c>
      <c r="AJ165">
        <v>1</v>
      </c>
      <c r="AK165">
        <v>1</v>
      </c>
      <c r="AL165">
        <v>1</v>
      </c>
      <c r="AM165">
        <v>-2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3</v>
      </c>
      <c r="AT165">
        <v>8.2403999999999993</v>
      </c>
      <c r="AU165" t="s">
        <v>3</v>
      </c>
      <c r="AV165">
        <v>0</v>
      </c>
      <c r="AW165">
        <v>2</v>
      </c>
      <c r="AX165">
        <v>85998510</v>
      </c>
      <c r="AY165">
        <v>1</v>
      </c>
      <c r="AZ165">
        <v>2048</v>
      </c>
      <c r="BA165">
        <v>152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55.869911999999999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55.869911999999999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v>0</v>
      </c>
      <c r="CX165">
        <f>ROUND(Y165*Source!I212,7)</f>
        <v>0.98884799999999995</v>
      </c>
      <c r="CY165">
        <f>AA165</f>
        <v>6.78</v>
      </c>
      <c r="CZ165">
        <f>AE165</f>
        <v>6.78</v>
      </c>
      <c r="DA165">
        <f>AI165</f>
        <v>1</v>
      </c>
      <c r="DB165">
        <f t="shared" ref="DB165:DB184" si="80">ROUND(ROUND(AT165*CZ165,2),6)</f>
        <v>55.87</v>
      </c>
      <c r="DC165">
        <f t="shared" ref="DC165:DC184" si="81">ROUND(ROUND(AT165*AG165,2),6)</f>
        <v>0</v>
      </c>
      <c r="DD165" t="s">
        <v>3</v>
      </c>
      <c r="DE165" t="s">
        <v>3</v>
      </c>
      <c r="DF165">
        <f>ROUND(ROUND(AE165,2)*CX165,2)</f>
        <v>6.7</v>
      </c>
      <c r="DG165">
        <f t="shared" ref="DG165:DG170" si="82">ROUND(ROUND(AF165,2)*CX165,2)</f>
        <v>0</v>
      </c>
      <c r="DH165">
        <f t="shared" si="64"/>
        <v>0</v>
      </c>
      <c r="DI165">
        <f t="shared" si="65"/>
        <v>0</v>
      </c>
      <c r="DJ165">
        <f>DF165</f>
        <v>6.7</v>
      </c>
      <c r="DK165">
        <v>1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ROW(Source!A212)</f>
        <v>212</v>
      </c>
      <c r="B166">
        <v>85997836</v>
      </c>
      <c r="C166">
        <v>85998499</v>
      </c>
      <c r="D166">
        <v>84240484</v>
      </c>
      <c r="E166">
        <v>1</v>
      </c>
      <c r="F166">
        <v>1</v>
      </c>
      <c r="G166">
        <v>1</v>
      </c>
      <c r="H166">
        <v>3</v>
      </c>
      <c r="I166" t="s">
        <v>592</v>
      </c>
      <c r="J166" t="s">
        <v>593</v>
      </c>
      <c r="K166" t="s">
        <v>594</v>
      </c>
      <c r="L166">
        <v>1407</v>
      </c>
      <c r="N166">
        <v>1013</v>
      </c>
      <c r="O166" t="s">
        <v>595</v>
      </c>
      <c r="P166" t="s">
        <v>595</v>
      </c>
      <c r="Q166">
        <v>1</v>
      </c>
      <c r="W166">
        <v>0</v>
      </c>
      <c r="X166">
        <v>-239864327</v>
      </c>
      <c r="Y166">
        <f t="shared" si="79"/>
        <v>0.4</v>
      </c>
      <c r="AA166">
        <v>336.81</v>
      </c>
      <c r="AB166">
        <v>0</v>
      </c>
      <c r="AC166">
        <v>0</v>
      </c>
      <c r="AD166">
        <v>0</v>
      </c>
      <c r="AE166">
        <v>261.08999999999997</v>
      </c>
      <c r="AF166">
        <v>0</v>
      </c>
      <c r="AG166">
        <v>0</v>
      </c>
      <c r="AH166">
        <v>0</v>
      </c>
      <c r="AI166">
        <v>1.29</v>
      </c>
      <c r="AJ166">
        <v>1</v>
      </c>
      <c r="AK166">
        <v>1</v>
      </c>
      <c r="AL166">
        <v>1</v>
      </c>
      <c r="AM166">
        <v>2</v>
      </c>
      <c r="AN166">
        <v>0</v>
      </c>
      <c r="AO166">
        <v>0</v>
      </c>
      <c r="AP166">
        <v>1</v>
      </c>
      <c r="AQ166">
        <v>1</v>
      </c>
      <c r="AR166">
        <v>0</v>
      </c>
      <c r="AS166" t="s">
        <v>3</v>
      </c>
      <c r="AT166">
        <v>0.4</v>
      </c>
      <c r="AU166" t="s">
        <v>3</v>
      </c>
      <c r="AV166">
        <v>0</v>
      </c>
      <c r="AW166">
        <v>2</v>
      </c>
      <c r="AX166">
        <v>85998511</v>
      </c>
      <c r="AY166">
        <v>1</v>
      </c>
      <c r="AZ166">
        <v>2048</v>
      </c>
      <c r="BA166">
        <v>153</v>
      </c>
      <c r="BB166">
        <v>1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104.43599999999999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1</v>
      </c>
      <c r="BQ166">
        <v>104.43599999999999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1</v>
      </c>
      <c r="CV166">
        <v>0</v>
      </c>
      <c r="CW166">
        <v>0</v>
      </c>
      <c r="CX166">
        <f>ROUND(Y166*Source!I212,7)</f>
        <v>4.8000000000000001E-2</v>
      </c>
      <c r="CY166">
        <f>AA166</f>
        <v>336.81</v>
      </c>
      <c r="CZ166">
        <f>AE166</f>
        <v>261.08999999999997</v>
      </c>
      <c r="DA166">
        <f>AI166</f>
        <v>1.29</v>
      </c>
      <c r="DB166">
        <f t="shared" si="80"/>
        <v>104.44</v>
      </c>
      <c r="DC166">
        <f t="shared" si="81"/>
        <v>0</v>
      </c>
      <c r="DD166" t="s">
        <v>3</v>
      </c>
      <c r="DE166" t="s">
        <v>3</v>
      </c>
      <c r="DF166">
        <f>ROUND(ROUND(AE166*AI166,2)*CX166,2)</f>
        <v>16.170000000000002</v>
      </c>
      <c r="DG166">
        <f t="shared" si="82"/>
        <v>0</v>
      </c>
      <c r="DH166">
        <f t="shared" si="64"/>
        <v>0</v>
      </c>
      <c r="DI166">
        <f t="shared" si="65"/>
        <v>0</v>
      </c>
      <c r="DJ166">
        <f>DF166</f>
        <v>16.170000000000002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ROW(Source!A212)</f>
        <v>212</v>
      </c>
      <c r="B167">
        <v>85997836</v>
      </c>
      <c r="C167">
        <v>85998499</v>
      </c>
      <c r="D167">
        <v>84240761</v>
      </c>
      <c r="E167">
        <v>1</v>
      </c>
      <c r="F167">
        <v>1</v>
      </c>
      <c r="G167">
        <v>1</v>
      </c>
      <c r="H167">
        <v>3</v>
      </c>
      <c r="I167" t="s">
        <v>596</v>
      </c>
      <c r="J167" t="s">
        <v>597</v>
      </c>
      <c r="K167" t="s">
        <v>598</v>
      </c>
      <c r="L167">
        <v>1348</v>
      </c>
      <c r="N167">
        <v>1009</v>
      </c>
      <c r="O167" t="s">
        <v>165</v>
      </c>
      <c r="P167" t="s">
        <v>165</v>
      </c>
      <c r="Q167">
        <v>1000</v>
      </c>
      <c r="W167">
        <v>0</v>
      </c>
      <c r="X167">
        <v>-312996078</v>
      </c>
      <c r="Y167">
        <f t="shared" si="79"/>
        <v>1.4E-3</v>
      </c>
      <c r="AA167">
        <v>127956.34</v>
      </c>
      <c r="AB167">
        <v>0</v>
      </c>
      <c r="AC167">
        <v>0</v>
      </c>
      <c r="AD167">
        <v>0</v>
      </c>
      <c r="AE167">
        <v>99190.96</v>
      </c>
      <c r="AF167">
        <v>0</v>
      </c>
      <c r="AG167">
        <v>0</v>
      </c>
      <c r="AH167">
        <v>0</v>
      </c>
      <c r="AI167">
        <v>1.29</v>
      </c>
      <c r="AJ167">
        <v>1</v>
      </c>
      <c r="AK167">
        <v>1</v>
      </c>
      <c r="AL167">
        <v>1</v>
      </c>
      <c r="AM167">
        <v>2</v>
      </c>
      <c r="AN167">
        <v>0</v>
      </c>
      <c r="AO167">
        <v>0</v>
      </c>
      <c r="AP167">
        <v>1</v>
      </c>
      <c r="AQ167">
        <v>1</v>
      </c>
      <c r="AR167">
        <v>0</v>
      </c>
      <c r="AS167" t="s">
        <v>3</v>
      </c>
      <c r="AT167">
        <v>1.4E-3</v>
      </c>
      <c r="AU167" t="s">
        <v>3</v>
      </c>
      <c r="AV167">
        <v>0</v>
      </c>
      <c r="AW167">
        <v>2</v>
      </c>
      <c r="AX167">
        <v>85998512</v>
      </c>
      <c r="AY167">
        <v>1</v>
      </c>
      <c r="AZ167">
        <v>2048</v>
      </c>
      <c r="BA167">
        <v>154</v>
      </c>
      <c r="BB167">
        <v>1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138.867344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1</v>
      </c>
      <c r="BQ167">
        <v>138.867344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1</v>
      </c>
      <c r="CV167">
        <v>0</v>
      </c>
      <c r="CW167">
        <v>0</v>
      </c>
      <c r="CX167">
        <f>ROUND(Y167*Source!I212,7)</f>
        <v>1.6799999999999999E-4</v>
      </c>
      <c r="CY167">
        <f>AA167</f>
        <v>127956.34</v>
      </c>
      <c r="CZ167">
        <f>AE167</f>
        <v>99190.96</v>
      </c>
      <c r="DA167">
        <f>AI167</f>
        <v>1.29</v>
      </c>
      <c r="DB167">
        <f t="shared" si="80"/>
        <v>138.87</v>
      </c>
      <c r="DC167">
        <f t="shared" si="81"/>
        <v>0</v>
      </c>
      <c r="DD167" t="s">
        <v>3</v>
      </c>
      <c r="DE167" t="s">
        <v>3</v>
      </c>
      <c r="DF167">
        <f>ROUND(ROUND(AE167*AI167,2)*CX167,2)</f>
        <v>21.5</v>
      </c>
      <c r="DG167">
        <f t="shared" si="82"/>
        <v>0</v>
      </c>
      <c r="DH167">
        <f t="shared" si="64"/>
        <v>0</v>
      </c>
      <c r="DI167">
        <f t="shared" si="65"/>
        <v>0</v>
      </c>
      <c r="DJ167">
        <f>DF167</f>
        <v>21.5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ROW(Source!A212)</f>
        <v>212</v>
      </c>
      <c r="B168">
        <v>85997836</v>
      </c>
      <c r="C168">
        <v>85998499</v>
      </c>
      <c r="D168">
        <v>84170596</v>
      </c>
      <c r="E168">
        <v>117</v>
      </c>
      <c r="F168">
        <v>1</v>
      </c>
      <c r="G168">
        <v>1</v>
      </c>
      <c r="H168">
        <v>3</v>
      </c>
      <c r="I168" t="s">
        <v>55</v>
      </c>
      <c r="J168" t="s">
        <v>3</v>
      </c>
      <c r="K168" t="s">
        <v>56</v>
      </c>
      <c r="L168">
        <v>3277935</v>
      </c>
      <c r="N168">
        <v>1013</v>
      </c>
      <c r="O168" t="s">
        <v>57</v>
      </c>
      <c r="P168" t="s">
        <v>57</v>
      </c>
      <c r="Q168">
        <v>1</v>
      </c>
      <c r="W168">
        <v>0</v>
      </c>
      <c r="X168">
        <v>274903907</v>
      </c>
      <c r="Y168">
        <f t="shared" si="79"/>
        <v>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 t="s">
        <v>3</v>
      </c>
      <c r="AT168">
        <v>2</v>
      </c>
      <c r="AU168" t="s">
        <v>3</v>
      </c>
      <c r="AV168">
        <v>0</v>
      </c>
      <c r="AW168">
        <v>2</v>
      </c>
      <c r="AX168">
        <v>85998513</v>
      </c>
      <c r="AY168">
        <v>1</v>
      </c>
      <c r="AZ168">
        <v>2048</v>
      </c>
      <c r="BA168">
        <v>155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ROUND(Y168*Source!I212,7)</f>
        <v>0.24</v>
      </c>
      <c r="CY168">
        <f>AA168</f>
        <v>0</v>
      </c>
      <c r="CZ168">
        <f>AE168</f>
        <v>0</v>
      </c>
      <c r="DA168">
        <f>AI168</f>
        <v>1</v>
      </c>
      <c r="DB168">
        <f t="shared" si="80"/>
        <v>0</v>
      </c>
      <c r="DC168">
        <f t="shared" si="81"/>
        <v>0</v>
      </c>
      <c r="DD168" t="s">
        <v>3</v>
      </c>
      <c r="DE168" t="s">
        <v>3</v>
      </c>
      <c r="DF168">
        <f t="shared" ref="DF168:DF176" si="83">ROUND(ROUND(AE168,2)*CX168,2)</f>
        <v>0</v>
      </c>
      <c r="DG168">
        <f t="shared" si="82"/>
        <v>0</v>
      </c>
      <c r="DH168">
        <f t="shared" si="64"/>
        <v>0</v>
      </c>
      <c r="DI168">
        <f t="shared" si="65"/>
        <v>0</v>
      </c>
      <c r="DJ168">
        <f>DF168</f>
        <v>0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ROW(Source!A215)</f>
        <v>215</v>
      </c>
      <c r="B169">
        <v>85997836</v>
      </c>
      <c r="C169">
        <v>85998515</v>
      </c>
      <c r="D169">
        <v>84164528</v>
      </c>
      <c r="E169">
        <v>117</v>
      </c>
      <c r="F169">
        <v>1</v>
      </c>
      <c r="G169">
        <v>1</v>
      </c>
      <c r="H169">
        <v>1</v>
      </c>
      <c r="I169" t="s">
        <v>539</v>
      </c>
      <c r="J169" t="s">
        <v>3</v>
      </c>
      <c r="K169" t="s">
        <v>540</v>
      </c>
      <c r="L169">
        <v>1191</v>
      </c>
      <c r="N169">
        <v>1013</v>
      </c>
      <c r="O169" t="s">
        <v>541</v>
      </c>
      <c r="P169" t="s">
        <v>541</v>
      </c>
      <c r="Q169">
        <v>1</v>
      </c>
      <c r="W169">
        <v>0</v>
      </c>
      <c r="X169">
        <v>370475345</v>
      </c>
      <c r="Y169">
        <f t="shared" si="79"/>
        <v>9.64</v>
      </c>
      <c r="AA169">
        <v>0</v>
      </c>
      <c r="AB169">
        <v>0</v>
      </c>
      <c r="AC169">
        <v>0</v>
      </c>
      <c r="AD169">
        <v>587.34</v>
      </c>
      <c r="AE169">
        <v>0</v>
      </c>
      <c r="AF169">
        <v>0</v>
      </c>
      <c r="AG169">
        <v>0</v>
      </c>
      <c r="AH169">
        <v>587.34</v>
      </c>
      <c r="AI169">
        <v>1</v>
      </c>
      <c r="AJ169">
        <v>1</v>
      </c>
      <c r="AK169">
        <v>1</v>
      </c>
      <c r="AL169">
        <v>1</v>
      </c>
      <c r="AM169">
        <v>-2</v>
      </c>
      <c r="AN169">
        <v>0</v>
      </c>
      <c r="AO169">
        <v>0</v>
      </c>
      <c r="AP169">
        <v>1</v>
      </c>
      <c r="AQ169">
        <v>1</v>
      </c>
      <c r="AR169">
        <v>0</v>
      </c>
      <c r="AS169" t="s">
        <v>3</v>
      </c>
      <c r="AT169">
        <v>9.64</v>
      </c>
      <c r="AU169" t="s">
        <v>3</v>
      </c>
      <c r="AV169">
        <v>1</v>
      </c>
      <c r="AW169">
        <v>2</v>
      </c>
      <c r="AX169">
        <v>85998519</v>
      </c>
      <c r="AY169">
        <v>1</v>
      </c>
      <c r="AZ169">
        <v>0</v>
      </c>
      <c r="BA169">
        <v>156</v>
      </c>
      <c r="BB169">
        <v>1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5661.9576000000006</v>
      </c>
      <c r="BN169">
        <v>9.64</v>
      </c>
      <c r="BO169">
        <v>0</v>
      </c>
      <c r="BP169">
        <v>1</v>
      </c>
      <c r="BQ169">
        <v>0</v>
      </c>
      <c r="BR169">
        <v>0</v>
      </c>
      <c r="BS169">
        <v>0</v>
      </c>
      <c r="BT169">
        <v>5661.9576000000006</v>
      </c>
      <c r="BU169">
        <v>9.64</v>
      </c>
      <c r="BV169">
        <v>0</v>
      </c>
      <c r="BW169">
        <v>1</v>
      </c>
      <c r="CU169">
        <f>ROUND(AT169*Source!I215*AH169*AL169,2)</f>
        <v>849.29</v>
      </c>
      <c r="CV169">
        <f>ROUND(Y169*Source!I215,7)</f>
        <v>1.446</v>
      </c>
      <c r="CW169">
        <v>0</v>
      </c>
      <c r="CX169">
        <f>ROUND(Y169*Source!I215,7)</f>
        <v>1.446</v>
      </c>
      <c r="CY169">
        <f>AD169</f>
        <v>587.34</v>
      </c>
      <c r="CZ169">
        <f>AH169</f>
        <v>587.34</v>
      </c>
      <c r="DA169">
        <f>AL169</f>
        <v>1</v>
      </c>
      <c r="DB169">
        <f t="shared" si="80"/>
        <v>5661.96</v>
      </c>
      <c r="DC169">
        <f t="shared" si="81"/>
        <v>0</v>
      </c>
      <c r="DD169" t="s">
        <v>3</v>
      </c>
      <c r="DE169" t="s">
        <v>3</v>
      </c>
      <c r="DF169">
        <f t="shared" si="83"/>
        <v>0</v>
      </c>
      <c r="DG169">
        <f t="shared" si="82"/>
        <v>0</v>
      </c>
      <c r="DH169">
        <f t="shared" si="64"/>
        <v>0</v>
      </c>
      <c r="DI169">
        <f t="shared" si="65"/>
        <v>849.29</v>
      </c>
      <c r="DJ169">
        <f>DI169</f>
        <v>849.29</v>
      </c>
      <c r="DK169">
        <v>1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ROW(Source!A215)</f>
        <v>215</v>
      </c>
      <c r="B170">
        <v>85997836</v>
      </c>
      <c r="C170">
        <v>85998515</v>
      </c>
      <c r="D170">
        <v>84164762</v>
      </c>
      <c r="E170">
        <v>117</v>
      </c>
      <c r="F170">
        <v>1</v>
      </c>
      <c r="G170">
        <v>1</v>
      </c>
      <c r="H170">
        <v>1</v>
      </c>
      <c r="I170" t="s">
        <v>542</v>
      </c>
      <c r="J170" t="s">
        <v>3</v>
      </c>
      <c r="K170" t="s">
        <v>543</v>
      </c>
      <c r="L170">
        <v>1191</v>
      </c>
      <c r="N170">
        <v>1013</v>
      </c>
      <c r="O170" t="s">
        <v>541</v>
      </c>
      <c r="P170" t="s">
        <v>541</v>
      </c>
      <c r="Q170">
        <v>1</v>
      </c>
      <c r="W170">
        <v>0</v>
      </c>
      <c r="X170">
        <v>-1417349443</v>
      </c>
      <c r="Y170">
        <f t="shared" si="79"/>
        <v>0.01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1</v>
      </c>
      <c r="AJ170">
        <v>1</v>
      </c>
      <c r="AK170">
        <v>1</v>
      </c>
      <c r="AL170">
        <v>1</v>
      </c>
      <c r="AM170">
        <v>-2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3</v>
      </c>
      <c r="AT170">
        <v>0.01</v>
      </c>
      <c r="AU170" t="s">
        <v>3</v>
      </c>
      <c r="AV170">
        <v>2</v>
      </c>
      <c r="AW170">
        <v>2</v>
      </c>
      <c r="AX170">
        <v>85998520</v>
      </c>
      <c r="AY170">
        <v>1</v>
      </c>
      <c r="AZ170">
        <v>0</v>
      </c>
      <c r="BA170">
        <v>157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>
        <f>ROUND(Y170*Source!I215,7)</f>
        <v>1.5E-3</v>
      </c>
      <c r="CY170">
        <f>AD170</f>
        <v>0</v>
      </c>
      <c r="CZ170">
        <f>AH170</f>
        <v>0</v>
      </c>
      <c r="DA170">
        <f>AL170</f>
        <v>1</v>
      </c>
      <c r="DB170">
        <f t="shared" si="80"/>
        <v>0</v>
      </c>
      <c r="DC170">
        <f t="shared" si="81"/>
        <v>0</v>
      </c>
      <c r="DD170" t="s">
        <v>3</v>
      </c>
      <c r="DE170" t="s">
        <v>3</v>
      </c>
      <c r="DF170">
        <f t="shared" si="83"/>
        <v>0</v>
      </c>
      <c r="DG170">
        <f t="shared" si="82"/>
        <v>0</v>
      </c>
      <c r="DH170">
        <f t="shared" si="64"/>
        <v>0</v>
      </c>
      <c r="DI170">
        <f t="shared" si="65"/>
        <v>0</v>
      </c>
      <c r="DJ170">
        <f>DI170</f>
        <v>0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ROW(Source!A215)</f>
        <v>215</v>
      </c>
      <c r="B171">
        <v>85997836</v>
      </c>
      <c r="C171">
        <v>85998515</v>
      </c>
      <c r="D171">
        <v>84171438</v>
      </c>
      <c r="E171">
        <v>1</v>
      </c>
      <c r="F171">
        <v>1</v>
      </c>
      <c r="G171">
        <v>1</v>
      </c>
      <c r="H171">
        <v>2</v>
      </c>
      <c r="I171" t="s">
        <v>27</v>
      </c>
      <c r="J171" t="s">
        <v>30</v>
      </c>
      <c r="K171" t="s">
        <v>28</v>
      </c>
      <c r="L171">
        <v>1368</v>
      </c>
      <c r="N171">
        <v>1011</v>
      </c>
      <c r="O171" t="s">
        <v>29</v>
      </c>
      <c r="P171" t="s">
        <v>29</v>
      </c>
      <c r="Q171">
        <v>1</v>
      </c>
      <c r="W171">
        <v>0</v>
      </c>
      <c r="X171">
        <v>945201097</v>
      </c>
      <c r="Y171">
        <f t="shared" si="79"/>
        <v>0.01</v>
      </c>
      <c r="AA171">
        <v>0</v>
      </c>
      <c r="AB171">
        <v>57.47</v>
      </c>
      <c r="AC171">
        <v>641.22</v>
      </c>
      <c r="AD171">
        <v>0</v>
      </c>
      <c r="AE171">
        <v>0</v>
      </c>
      <c r="AF171">
        <v>37.32</v>
      </c>
      <c r="AG171">
        <v>641.22</v>
      </c>
      <c r="AH171">
        <v>0</v>
      </c>
      <c r="AI171">
        <v>1</v>
      </c>
      <c r="AJ171">
        <v>1.54</v>
      </c>
      <c r="AK171">
        <v>1</v>
      </c>
      <c r="AL171">
        <v>1</v>
      </c>
      <c r="AM171">
        <v>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3</v>
      </c>
      <c r="AT171">
        <v>0.01</v>
      </c>
      <c r="AU171" t="s">
        <v>3</v>
      </c>
      <c r="AV171">
        <v>1</v>
      </c>
      <c r="AW171">
        <v>2</v>
      </c>
      <c r="AX171">
        <v>85998521</v>
      </c>
      <c r="AY171">
        <v>1</v>
      </c>
      <c r="AZ171">
        <v>0</v>
      </c>
      <c r="BA171">
        <v>158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0.37320000000000003</v>
      </c>
      <c r="BL171">
        <v>6.4122000000000003</v>
      </c>
      <c r="BM171">
        <v>0</v>
      </c>
      <c r="BN171">
        <v>0</v>
      </c>
      <c r="BO171">
        <v>0.01</v>
      </c>
      <c r="BP171">
        <v>1</v>
      </c>
      <c r="BQ171">
        <v>0</v>
      </c>
      <c r="BR171">
        <v>0.37320000000000003</v>
      </c>
      <c r="BS171">
        <v>6.4122000000000003</v>
      </c>
      <c r="BT171">
        <v>0</v>
      </c>
      <c r="BU171">
        <v>0</v>
      </c>
      <c r="BV171">
        <v>0.01</v>
      </c>
      <c r="BW171">
        <v>1</v>
      </c>
      <c r="CV171">
        <v>0</v>
      </c>
      <c r="CW171">
        <f>ROUND(Y171*Source!I215*DO171,7)</f>
        <v>1.5E-3</v>
      </c>
      <c r="CX171">
        <f>ROUND(Y171*Source!I215,7)</f>
        <v>1.5E-3</v>
      </c>
      <c r="CY171">
        <f>AB171</f>
        <v>57.47</v>
      </c>
      <c r="CZ171">
        <f>AF171</f>
        <v>37.32</v>
      </c>
      <c r="DA171">
        <f>AJ171</f>
        <v>1.54</v>
      </c>
      <c r="DB171">
        <f t="shared" si="80"/>
        <v>0.37</v>
      </c>
      <c r="DC171">
        <f t="shared" si="81"/>
        <v>6.41</v>
      </c>
      <c r="DD171" t="s">
        <v>3</v>
      </c>
      <c r="DE171" t="s">
        <v>3</v>
      </c>
      <c r="DF171">
        <f t="shared" si="83"/>
        <v>0</v>
      </c>
      <c r="DG171">
        <f>ROUND(ROUND(AF171*AJ171,2)*CX171,2)</f>
        <v>0.09</v>
      </c>
      <c r="DH171">
        <f t="shared" si="64"/>
        <v>0.96</v>
      </c>
      <c r="DI171">
        <f t="shared" si="65"/>
        <v>0</v>
      </c>
      <c r="DJ171">
        <f>DG171+DH171</f>
        <v>1.05</v>
      </c>
      <c r="DK171">
        <v>0</v>
      </c>
      <c r="DL171" t="s">
        <v>544</v>
      </c>
      <c r="DM171">
        <v>3</v>
      </c>
      <c r="DN171" t="s">
        <v>541</v>
      </c>
      <c r="DO171">
        <v>1</v>
      </c>
    </row>
    <row r="172" spans="1:119" x14ac:dyDescent="0.2">
      <c r="A172">
        <f>ROW(Source!A216)</f>
        <v>216</v>
      </c>
      <c r="B172">
        <v>85997836</v>
      </c>
      <c r="C172">
        <v>85998522</v>
      </c>
      <c r="D172">
        <v>84164528</v>
      </c>
      <c r="E172">
        <v>117</v>
      </c>
      <c r="F172">
        <v>1</v>
      </c>
      <c r="G172">
        <v>1</v>
      </c>
      <c r="H172">
        <v>1</v>
      </c>
      <c r="I172" t="s">
        <v>539</v>
      </c>
      <c r="J172" t="s">
        <v>3</v>
      </c>
      <c r="K172" t="s">
        <v>540</v>
      </c>
      <c r="L172">
        <v>1191</v>
      </c>
      <c r="N172">
        <v>1013</v>
      </c>
      <c r="O172" t="s">
        <v>541</v>
      </c>
      <c r="P172" t="s">
        <v>541</v>
      </c>
      <c r="Q172">
        <v>1</v>
      </c>
      <c r="W172">
        <v>0</v>
      </c>
      <c r="X172">
        <v>370475345</v>
      </c>
      <c r="Y172">
        <f t="shared" si="79"/>
        <v>5.84</v>
      </c>
      <c r="AA172">
        <v>0</v>
      </c>
      <c r="AB172">
        <v>0</v>
      </c>
      <c r="AC172">
        <v>0</v>
      </c>
      <c r="AD172">
        <v>587.34</v>
      </c>
      <c r="AE172">
        <v>0</v>
      </c>
      <c r="AF172">
        <v>0</v>
      </c>
      <c r="AG172">
        <v>0</v>
      </c>
      <c r="AH172">
        <v>587.34</v>
      </c>
      <c r="AI172">
        <v>1</v>
      </c>
      <c r="AJ172">
        <v>1</v>
      </c>
      <c r="AK172">
        <v>1</v>
      </c>
      <c r="AL172">
        <v>1</v>
      </c>
      <c r="AM172">
        <v>-2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3</v>
      </c>
      <c r="AT172">
        <v>5.84</v>
      </c>
      <c r="AU172" t="s">
        <v>3</v>
      </c>
      <c r="AV172">
        <v>1</v>
      </c>
      <c r="AW172">
        <v>2</v>
      </c>
      <c r="AX172">
        <v>85998524</v>
      </c>
      <c r="AY172">
        <v>1</v>
      </c>
      <c r="AZ172">
        <v>0</v>
      </c>
      <c r="BA172">
        <v>159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3430.0655999999999</v>
      </c>
      <c r="BN172">
        <v>5.84</v>
      </c>
      <c r="BO172">
        <v>0</v>
      </c>
      <c r="BP172">
        <v>1</v>
      </c>
      <c r="BQ172">
        <v>0</v>
      </c>
      <c r="BR172">
        <v>0</v>
      </c>
      <c r="BS172">
        <v>0</v>
      </c>
      <c r="BT172">
        <v>3430.0655999999999</v>
      </c>
      <c r="BU172">
        <v>5.84</v>
      </c>
      <c r="BV172">
        <v>0</v>
      </c>
      <c r="BW172">
        <v>1</v>
      </c>
      <c r="CU172">
        <f>ROUND(AT172*Source!I216*AH172*AL172,2)</f>
        <v>583.11</v>
      </c>
      <c r="CV172">
        <f>ROUND(Y172*Source!I216,7)</f>
        <v>0.99280000000000002</v>
      </c>
      <c r="CW172">
        <v>0</v>
      </c>
      <c r="CX172">
        <f>ROUND(Y172*Source!I216,7)</f>
        <v>0.99280000000000002</v>
      </c>
      <c r="CY172">
        <f>AD172</f>
        <v>587.34</v>
      </c>
      <c r="CZ172">
        <f>AH172</f>
        <v>587.34</v>
      </c>
      <c r="DA172">
        <f>AL172</f>
        <v>1</v>
      </c>
      <c r="DB172">
        <f t="shared" si="80"/>
        <v>3430.07</v>
      </c>
      <c r="DC172">
        <f t="shared" si="81"/>
        <v>0</v>
      </c>
      <c r="DD172" t="s">
        <v>3</v>
      </c>
      <c r="DE172" t="s">
        <v>3</v>
      </c>
      <c r="DF172">
        <f t="shared" si="83"/>
        <v>0</v>
      </c>
      <c r="DG172">
        <f>ROUND(ROUND(AF172,2)*CX172,2)</f>
        <v>0</v>
      </c>
      <c r="DH172">
        <f t="shared" si="64"/>
        <v>0</v>
      </c>
      <c r="DI172">
        <f t="shared" si="65"/>
        <v>583.11</v>
      </c>
      <c r="DJ172">
        <f>DI172</f>
        <v>583.11</v>
      </c>
      <c r="DK172">
        <v>1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ROW(Source!A217)</f>
        <v>217</v>
      </c>
      <c r="B173">
        <v>85997836</v>
      </c>
      <c r="C173">
        <v>85998525</v>
      </c>
      <c r="D173">
        <v>84164590</v>
      </c>
      <c r="E173">
        <v>117</v>
      </c>
      <c r="F173">
        <v>1</v>
      </c>
      <c r="G173">
        <v>1</v>
      </c>
      <c r="H173">
        <v>1</v>
      </c>
      <c r="I173" t="s">
        <v>590</v>
      </c>
      <c r="J173" t="s">
        <v>3</v>
      </c>
      <c r="K173" t="s">
        <v>591</v>
      </c>
      <c r="L173">
        <v>1191</v>
      </c>
      <c r="N173">
        <v>1013</v>
      </c>
      <c r="O173" t="s">
        <v>541</v>
      </c>
      <c r="P173" t="s">
        <v>541</v>
      </c>
      <c r="Q173">
        <v>1</v>
      </c>
      <c r="W173">
        <v>0</v>
      </c>
      <c r="X173">
        <v>-1088579471</v>
      </c>
      <c r="Y173">
        <f t="shared" si="79"/>
        <v>20.329999999999998</v>
      </c>
      <c r="AA173">
        <v>0</v>
      </c>
      <c r="AB173">
        <v>0</v>
      </c>
      <c r="AC173">
        <v>0</v>
      </c>
      <c r="AD173">
        <v>713.96</v>
      </c>
      <c r="AE173">
        <v>0</v>
      </c>
      <c r="AF173">
        <v>0</v>
      </c>
      <c r="AG173">
        <v>0</v>
      </c>
      <c r="AH173">
        <v>713.96</v>
      </c>
      <c r="AI173">
        <v>1</v>
      </c>
      <c r="AJ173">
        <v>1</v>
      </c>
      <c r="AK173">
        <v>1</v>
      </c>
      <c r="AL173">
        <v>1</v>
      </c>
      <c r="AM173">
        <v>-2</v>
      </c>
      <c r="AN173">
        <v>0</v>
      </c>
      <c r="AO173">
        <v>0</v>
      </c>
      <c r="AP173">
        <v>1</v>
      </c>
      <c r="AQ173">
        <v>1</v>
      </c>
      <c r="AR173">
        <v>0</v>
      </c>
      <c r="AS173" t="s">
        <v>3</v>
      </c>
      <c r="AT173">
        <v>20.329999999999998</v>
      </c>
      <c r="AU173" t="s">
        <v>3</v>
      </c>
      <c r="AV173">
        <v>1</v>
      </c>
      <c r="AW173">
        <v>2</v>
      </c>
      <c r="AX173">
        <v>85998538</v>
      </c>
      <c r="AY173">
        <v>1</v>
      </c>
      <c r="AZ173">
        <v>0</v>
      </c>
      <c r="BA173">
        <v>160</v>
      </c>
      <c r="BB173">
        <v>1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14514.8068</v>
      </c>
      <c r="BN173">
        <v>20.329999999999998</v>
      </c>
      <c r="BO173">
        <v>0</v>
      </c>
      <c r="BP173">
        <v>1</v>
      </c>
      <c r="BQ173">
        <v>0</v>
      </c>
      <c r="BR173">
        <v>0</v>
      </c>
      <c r="BS173">
        <v>0</v>
      </c>
      <c r="BT173">
        <v>14514.8068</v>
      </c>
      <c r="BU173">
        <v>20.329999999999998</v>
      </c>
      <c r="BV173">
        <v>0</v>
      </c>
      <c r="BW173">
        <v>1</v>
      </c>
      <c r="CU173">
        <f>ROUND(AT173*Source!I217*AH173*AL173,2)</f>
        <v>2177.2199999999998</v>
      </c>
      <c r="CV173">
        <f>ROUND(Y173*Source!I217,7)</f>
        <v>3.0495000000000001</v>
      </c>
      <c r="CW173">
        <v>0</v>
      </c>
      <c r="CX173">
        <f>ROUND(Y173*Source!I217,7)</f>
        <v>3.0495000000000001</v>
      </c>
      <c r="CY173">
        <f>AD173</f>
        <v>713.96</v>
      </c>
      <c r="CZ173">
        <f>AH173</f>
        <v>713.96</v>
      </c>
      <c r="DA173">
        <f>AL173</f>
        <v>1</v>
      </c>
      <c r="DB173">
        <f t="shared" si="80"/>
        <v>14514.81</v>
      </c>
      <c r="DC173">
        <f t="shared" si="81"/>
        <v>0</v>
      </c>
      <c r="DD173" t="s">
        <v>3</v>
      </c>
      <c r="DE173" t="s">
        <v>3</v>
      </c>
      <c r="DF173">
        <f t="shared" si="83"/>
        <v>0</v>
      </c>
      <c r="DG173">
        <f>ROUND(ROUND(AF173,2)*CX173,2)</f>
        <v>0</v>
      </c>
      <c r="DH173">
        <f t="shared" si="64"/>
        <v>0</v>
      </c>
      <c r="DI173">
        <f t="shared" si="65"/>
        <v>2177.2199999999998</v>
      </c>
      <c r="DJ173">
        <f>DI173</f>
        <v>2177.2199999999998</v>
      </c>
      <c r="DK173">
        <v>1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ROW(Source!A217)</f>
        <v>217</v>
      </c>
      <c r="B174">
        <v>85997836</v>
      </c>
      <c r="C174">
        <v>85998525</v>
      </c>
      <c r="D174">
        <v>84164762</v>
      </c>
      <c r="E174">
        <v>117</v>
      </c>
      <c r="F174">
        <v>1</v>
      </c>
      <c r="G174">
        <v>1</v>
      </c>
      <c r="H174">
        <v>1</v>
      </c>
      <c r="I174" t="s">
        <v>542</v>
      </c>
      <c r="J174" t="s">
        <v>3</v>
      </c>
      <c r="K174" t="s">
        <v>543</v>
      </c>
      <c r="L174">
        <v>1191</v>
      </c>
      <c r="N174">
        <v>1013</v>
      </c>
      <c r="O174" t="s">
        <v>541</v>
      </c>
      <c r="P174" t="s">
        <v>541</v>
      </c>
      <c r="Q174">
        <v>1</v>
      </c>
      <c r="W174">
        <v>0</v>
      </c>
      <c r="X174">
        <v>-1417349443</v>
      </c>
      <c r="Y174">
        <f t="shared" si="79"/>
        <v>0.01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-2</v>
      </c>
      <c r="AN174">
        <v>0</v>
      </c>
      <c r="AO174">
        <v>0</v>
      </c>
      <c r="AP174">
        <v>1</v>
      </c>
      <c r="AQ174">
        <v>1</v>
      </c>
      <c r="AR174">
        <v>0</v>
      </c>
      <c r="AS174" t="s">
        <v>3</v>
      </c>
      <c r="AT174">
        <v>0.01</v>
      </c>
      <c r="AU174" t="s">
        <v>3</v>
      </c>
      <c r="AV174">
        <v>2</v>
      </c>
      <c r="AW174">
        <v>2</v>
      </c>
      <c r="AX174">
        <v>85998539</v>
      </c>
      <c r="AY174">
        <v>1</v>
      </c>
      <c r="AZ174">
        <v>0</v>
      </c>
      <c r="BA174">
        <v>161</v>
      </c>
      <c r="BB174">
        <v>1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v>0</v>
      </c>
      <c r="CX174">
        <f>ROUND(Y174*Source!I217,7)</f>
        <v>1.5E-3</v>
      </c>
      <c r="CY174">
        <f>AD174</f>
        <v>0</v>
      </c>
      <c r="CZ174">
        <f>AH174</f>
        <v>0</v>
      </c>
      <c r="DA174">
        <f>AL174</f>
        <v>1</v>
      </c>
      <c r="DB174">
        <f t="shared" si="80"/>
        <v>0</v>
      </c>
      <c r="DC174">
        <f t="shared" si="81"/>
        <v>0</v>
      </c>
      <c r="DD174" t="s">
        <v>3</v>
      </c>
      <c r="DE174" t="s">
        <v>3</v>
      </c>
      <c r="DF174">
        <f t="shared" si="83"/>
        <v>0</v>
      </c>
      <c r="DG174">
        <f>ROUND(ROUND(AF174,2)*CX174,2)</f>
        <v>0</v>
      </c>
      <c r="DH174">
        <f t="shared" si="64"/>
        <v>0</v>
      </c>
      <c r="DI174">
        <f t="shared" si="65"/>
        <v>0</v>
      </c>
      <c r="DJ174">
        <f>DI174</f>
        <v>0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ROW(Source!A217)</f>
        <v>217</v>
      </c>
      <c r="B175">
        <v>85997836</v>
      </c>
      <c r="C175">
        <v>85998525</v>
      </c>
      <c r="D175">
        <v>84171438</v>
      </c>
      <c r="E175">
        <v>1</v>
      </c>
      <c r="F175">
        <v>1</v>
      </c>
      <c r="G175">
        <v>1</v>
      </c>
      <c r="H175">
        <v>2</v>
      </c>
      <c r="I175" t="s">
        <v>27</v>
      </c>
      <c r="J175" t="s">
        <v>30</v>
      </c>
      <c r="K175" t="s">
        <v>28</v>
      </c>
      <c r="L175">
        <v>1368</v>
      </c>
      <c r="N175">
        <v>1011</v>
      </c>
      <c r="O175" t="s">
        <v>29</v>
      </c>
      <c r="P175" t="s">
        <v>29</v>
      </c>
      <c r="Q175">
        <v>1</v>
      </c>
      <c r="W175">
        <v>0</v>
      </c>
      <c r="X175">
        <v>945201097</v>
      </c>
      <c r="Y175">
        <f t="shared" si="79"/>
        <v>-0.01</v>
      </c>
      <c r="AA175">
        <v>0</v>
      </c>
      <c r="AB175">
        <v>57.47</v>
      </c>
      <c r="AC175">
        <v>641.22</v>
      </c>
      <c r="AD175">
        <v>0</v>
      </c>
      <c r="AE175">
        <v>0</v>
      </c>
      <c r="AF175">
        <v>37.32</v>
      </c>
      <c r="AG175">
        <v>641.22</v>
      </c>
      <c r="AH175">
        <v>0</v>
      </c>
      <c r="AI175">
        <v>1</v>
      </c>
      <c r="AJ175">
        <v>1.54</v>
      </c>
      <c r="AK175">
        <v>1</v>
      </c>
      <c r="AL175">
        <v>1</v>
      </c>
      <c r="AM175">
        <v>2</v>
      </c>
      <c r="AN175">
        <v>0</v>
      </c>
      <c r="AO175">
        <v>0</v>
      </c>
      <c r="AP175">
        <v>1</v>
      </c>
      <c r="AQ175">
        <v>0</v>
      </c>
      <c r="AR175">
        <v>0</v>
      </c>
      <c r="AS175" t="s">
        <v>3</v>
      </c>
      <c r="AT175">
        <v>-0.01</v>
      </c>
      <c r="AU175" t="s">
        <v>3</v>
      </c>
      <c r="AV175">
        <v>1</v>
      </c>
      <c r="AW175">
        <v>2</v>
      </c>
      <c r="AX175">
        <v>85998540</v>
      </c>
      <c r="AY175">
        <v>1</v>
      </c>
      <c r="AZ175">
        <v>6144</v>
      </c>
      <c r="BA175">
        <v>162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V175">
        <v>0</v>
      </c>
      <c r="CW175">
        <f>ROUND(Y175*Source!I217*DO175,7)</f>
        <v>-1.5E-3</v>
      </c>
      <c r="CX175">
        <f>ROUND(Y175*Source!I217,7)</f>
        <v>-1.5E-3</v>
      </c>
      <c r="CY175">
        <f>AB175</f>
        <v>57.47</v>
      </c>
      <c r="CZ175">
        <f>AF175</f>
        <v>37.32</v>
      </c>
      <c r="DA175">
        <f>AJ175</f>
        <v>1.54</v>
      </c>
      <c r="DB175">
        <f t="shared" si="80"/>
        <v>-0.37</v>
      </c>
      <c r="DC175">
        <f t="shared" si="81"/>
        <v>-6.41</v>
      </c>
      <c r="DD175" t="s">
        <v>3</v>
      </c>
      <c r="DE175" t="s">
        <v>3</v>
      </c>
      <c r="DF175">
        <f t="shared" si="83"/>
        <v>0</v>
      </c>
      <c r="DG175">
        <f>ROUND(ROUND(AF175*AJ175,2)*CX175,2)</f>
        <v>-0.09</v>
      </c>
      <c r="DH175">
        <f t="shared" si="64"/>
        <v>-0.96</v>
      </c>
      <c r="DI175">
        <f t="shared" si="65"/>
        <v>0</v>
      </c>
      <c r="DJ175">
        <f>DG175+DH175</f>
        <v>-1.05</v>
      </c>
      <c r="DK175">
        <v>0</v>
      </c>
      <c r="DL175" t="s">
        <v>544</v>
      </c>
      <c r="DM175">
        <v>3</v>
      </c>
      <c r="DN175" t="s">
        <v>541</v>
      </c>
      <c r="DO175">
        <v>1</v>
      </c>
    </row>
    <row r="176" spans="1:119" x14ac:dyDescent="0.2">
      <c r="A176">
        <f>ROW(Source!A217)</f>
        <v>217</v>
      </c>
      <c r="B176">
        <v>85997836</v>
      </c>
      <c r="C176">
        <v>85998525</v>
      </c>
      <c r="D176">
        <v>84238914</v>
      </c>
      <c r="E176">
        <v>1</v>
      </c>
      <c r="F176">
        <v>1</v>
      </c>
      <c r="G176">
        <v>1</v>
      </c>
      <c r="H176">
        <v>3</v>
      </c>
      <c r="I176" t="s">
        <v>558</v>
      </c>
      <c r="J176" t="s">
        <v>559</v>
      </c>
      <c r="K176" t="s">
        <v>560</v>
      </c>
      <c r="L176">
        <v>1383</v>
      </c>
      <c r="N176">
        <v>1013</v>
      </c>
      <c r="O176" t="s">
        <v>561</v>
      </c>
      <c r="P176" t="s">
        <v>561</v>
      </c>
      <c r="Q176">
        <v>1</v>
      </c>
      <c r="W176">
        <v>0</v>
      </c>
      <c r="X176">
        <v>1840299850</v>
      </c>
      <c r="Y176">
        <f t="shared" si="79"/>
        <v>8.2403999999999993</v>
      </c>
      <c r="AA176">
        <v>6.78</v>
      </c>
      <c r="AB176">
        <v>0</v>
      </c>
      <c r="AC176">
        <v>0</v>
      </c>
      <c r="AD176">
        <v>0</v>
      </c>
      <c r="AE176">
        <v>6.78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M176">
        <v>-2</v>
      </c>
      <c r="AN176">
        <v>0</v>
      </c>
      <c r="AO176">
        <v>0</v>
      </c>
      <c r="AP176">
        <v>1</v>
      </c>
      <c r="AQ176">
        <v>1</v>
      </c>
      <c r="AR176">
        <v>0</v>
      </c>
      <c r="AS176" t="s">
        <v>3</v>
      </c>
      <c r="AT176">
        <v>8.2403999999999993</v>
      </c>
      <c r="AU176" t="s">
        <v>3</v>
      </c>
      <c r="AV176">
        <v>0</v>
      </c>
      <c r="AW176">
        <v>2</v>
      </c>
      <c r="AX176">
        <v>85998541</v>
      </c>
      <c r="AY176">
        <v>1</v>
      </c>
      <c r="AZ176">
        <v>0</v>
      </c>
      <c r="BA176">
        <v>163</v>
      </c>
      <c r="BB176">
        <v>1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55.869911999999999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1</v>
      </c>
      <c r="BQ176">
        <v>55.869911999999999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1</v>
      </c>
      <c r="CV176">
        <v>0</v>
      </c>
      <c r="CW176">
        <v>0</v>
      </c>
      <c r="CX176">
        <f>ROUND(Y176*Source!I217,7)</f>
        <v>1.2360599999999999</v>
      </c>
      <c r="CY176">
        <f t="shared" ref="CY176:CY184" si="84">AA176</f>
        <v>6.78</v>
      </c>
      <c r="CZ176">
        <f t="shared" ref="CZ176:CZ184" si="85">AE176</f>
        <v>6.78</v>
      </c>
      <c r="DA176">
        <f t="shared" ref="DA176:DA184" si="86">AI176</f>
        <v>1</v>
      </c>
      <c r="DB176">
        <f t="shared" si="80"/>
        <v>55.87</v>
      </c>
      <c r="DC176">
        <f t="shared" si="81"/>
        <v>0</v>
      </c>
      <c r="DD176" t="s">
        <v>3</v>
      </c>
      <c r="DE176" t="s">
        <v>3</v>
      </c>
      <c r="DF176">
        <f t="shared" si="83"/>
        <v>8.3800000000000008</v>
      </c>
      <c r="DG176">
        <f t="shared" ref="DG176:DG213" si="87">ROUND(ROUND(AF176,2)*CX176,2)</f>
        <v>0</v>
      </c>
      <c r="DH176">
        <f t="shared" si="64"/>
        <v>0</v>
      </c>
      <c r="DI176">
        <f t="shared" si="65"/>
        <v>0</v>
      </c>
      <c r="DJ176">
        <f t="shared" ref="DJ176:DJ184" si="88">DF176</f>
        <v>8.3800000000000008</v>
      </c>
      <c r="DK176">
        <v>1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ROW(Source!A217)</f>
        <v>217</v>
      </c>
      <c r="B177">
        <v>85997836</v>
      </c>
      <c r="C177">
        <v>85998525</v>
      </c>
      <c r="D177">
        <v>84240484</v>
      </c>
      <c r="E177">
        <v>1</v>
      </c>
      <c r="F177">
        <v>1</v>
      </c>
      <c r="G177">
        <v>1</v>
      </c>
      <c r="H177">
        <v>3</v>
      </c>
      <c r="I177" t="s">
        <v>592</v>
      </c>
      <c r="J177" t="s">
        <v>593</v>
      </c>
      <c r="K177" t="s">
        <v>594</v>
      </c>
      <c r="L177">
        <v>1407</v>
      </c>
      <c r="N177">
        <v>1013</v>
      </c>
      <c r="O177" t="s">
        <v>595</v>
      </c>
      <c r="P177" t="s">
        <v>595</v>
      </c>
      <c r="Q177">
        <v>1</v>
      </c>
      <c r="W177">
        <v>0</v>
      </c>
      <c r="X177">
        <v>-239864327</v>
      </c>
      <c r="Y177">
        <f t="shared" si="79"/>
        <v>0.4</v>
      </c>
      <c r="AA177">
        <v>336.81</v>
      </c>
      <c r="AB177">
        <v>0</v>
      </c>
      <c r="AC177">
        <v>0</v>
      </c>
      <c r="AD177">
        <v>0</v>
      </c>
      <c r="AE177">
        <v>261.08999999999997</v>
      </c>
      <c r="AF177">
        <v>0</v>
      </c>
      <c r="AG177">
        <v>0</v>
      </c>
      <c r="AH177">
        <v>0</v>
      </c>
      <c r="AI177">
        <v>1.29</v>
      </c>
      <c r="AJ177">
        <v>1</v>
      </c>
      <c r="AK177">
        <v>1</v>
      </c>
      <c r="AL177">
        <v>1</v>
      </c>
      <c r="AM177">
        <v>2</v>
      </c>
      <c r="AN177">
        <v>0</v>
      </c>
      <c r="AO177">
        <v>0</v>
      </c>
      <c r="AP177">
        <v>1</v>
      </c>
      <c r="AQ177">
        <v>1</v>
      </c>
      <c r="AR177">
        <v>0</v>
      </c>
      <c r="AS177" t="s">
        <v>3</v>
      </c>
      <c r="AT177">
        <v>0.4</v>
      </c>
      <c r="AU177" t="s">
        <v>3</v>
      </c>
      <c r="AV177">
        <v>0</v>
      </c>
      <c r="AW177">
        <v>2</v>
      </c>
      <c r="AX177">
        <v>85998542</v>
      </c>
      <c r="AY177">
        <v>1</v>
      </c>
      <c r="AZ177">
        <v>0</v>
      </c>
      <c r="BA177">
        <v>164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104.43599999999999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1</v>
      </c>
      <c r="BQ177">
        <v>104.43599999999999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1</v>
      </c>
      <c r="CV177">
        <v>0</v>
      </c>
      <c r="CW177">
        <v>0</v>
      </c>
      <c r="CX177">
        <f>ROUND(Y177*Source!I217,7)</f>
        <v>0.06</v>
      </c>
      <c r="CY177">
        <f t="shared" si="84"/>
        <v>336.81</v>
      </c>
      <c r="CZ177">
        <f t="shared" si="85"/>
        <v>261.08999999999997</v>
      </c>
      <c r="DA177">
        <f t="shared" si="86"/>
        <v>1.29</v>
      </c>
      <c r="DB177">
        <f t="shared" si="80"/>
        <v>104.44</v>
      </c>
      <c r="DC177">
        <f t="shared" si="81"/>
        <v>0</v>
      </c>
      <c r="DD177" t="s">
        <v>3</v>
      </c>
      <c r="DE177" t="s">
        <v>3</v>
      </c>
      <c r="DF177">
        <f t="shared" ref="DF177:DF183" si="89">ROUND(ROUND(AE177*AI177,2)*CX177,2)</f>
        <v>20.21</v>
      </c>
      <c r="DG177">
        <f t="shared" si="87"/>
        <v>0</v>
      </c>
      <c r="DH177">
        <f t="shared" si="64"/>
        <v>0</v>
      </c>
      <c r="DI177">
        <f t="shared" si="65"/>
        <v>0</v>
      </c>
      <c r="DJ177">
        <f t="shared" si="88"/>
        <v>20.21</v>
      </c>
      <c r="DK177">
        <v>0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ROW(Source!A217)</f>
        <v>217</v>
      </c>
      <c r="B178">
        <v>85997836</v>
      </c>
      <c r="C178">
        <v>85998525</v>
      </c>
      <c r="D178">
        <v>84240761</v>
      </c>
      <c r="E178">
        <v>1</v>
      </c>
      <c r="F178">
        <v>1</v>
      </c>
      <c r="G178">
        <v>1</v>
      </c>
      <c r="H178">
        <v>3</v>
      </c>
      <c r="I178" t="s">
        <v>596</v>
      </c>
      <c r="J178" t="s">
        <v>597</v>
      </c>
      <c r="K178" t="s">
        <v>598</v>
      </c>
      <c r="L178">
        <v>1348</v>
      </c>
      <c r="N178">
        <v>1009</v>
      </c>
      <c r="O178" t="s">
        <v>165</v>
      </c>
      <c r="P178" t="s">
        <v>165</v>
      </c>
      <c r="Q178">
        <v>1000</v>
      </c>
      <c r="W178">
        <v>0</v>
      </c>
      <c r="X178">
        <v>-312996078</v>
      </c>
      <c r="Y178">
        <f t="shared" si="79"/>
        <v>1.4E-3</v>
      </c>
      <c r="AA178">
        <v>127956.34</v>
      </c>
      <c r="AB178">
        <v>0</v>
      </c>
      <c r="AC178">
        <v>0</v>
      </c>
      <c r="AD178">
        <v>0</v>
      </c>
      <c r="AE178">
        <v>99190.96</v>
      </c>
      <c r="AF178">
        <v>0</v>
      </c>
      <c r="AG178">
        <v>0</v>
      </c>
      <c r="AH178">
        <v>0</v>
      </c>
      <c r="AI178">
        <v>1.29</v>
      </c>
      <c r="AJ178">
        <v>1</v>
      </c>
      <c r="AK178">
        <v>1</v>
      </c>
      <c r="AL178">
        <v>1</v>
      </c>
      <c r="AM178">
        <v>2</v>
      </c>
      <c r="AN178">
        <v>0</v>
      </c>
      <c r="AO178">
        <v>0</v>
      </c>
      <c r="AP178">
        <v>1</v>
      </c>
      <c r="AQ178">
        <v>1</v>
      </c>
      <c r="AR178">
        <v>0</v>
      </c>
      <c r="AS178" t="s">
        <v>3</v>
      </c>
      <c r="AT178">
        <v>1.4E-3</v>
      </c>
      <c r="AU178" t="s">
        <v>3</v>
      </c>
      <c r="AV178">
        <v>0</v>
      </c>
      <c r="AW178">
        <v>2</v>
      </c>
      <c r="AX178">
        <v>85998543</v>
      </c>
      <c r="AY178">
        <v>1</v>
      </c>
      <c r="AZ178">
        <v>0</v>
      </c>
      <c r="BA178">
        <v>165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138.867344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1</v>
      </c>
      <c r="BQ178">
        <v>138.867344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1</v>
      </c>
      <c r="CV178">
        <v>0</v>
      </c>
      <c r="CW178">
        <v>0</v>
      </c>
      <c r="CX178">
        <f>ROUND(Y178*Source!I217,7)</f>
        <v>2.1000000000000001E-4</v>
      </c>
      <c r="CY178">
        <f t="shared" si="84"/>
        <v>127956.34</v>
      </c>
      <c r="CZ178">
        <f t="shared" si="85"/>
        <v>99190.96</v>
      </c>
      <c r="DA178">
        <f t="shared" si="86"/>
        <v>1.29</v>
      </c>
      <c r="DB178">
        <f t="shared" si="80"/>
        <v>138.87</v>
      </c>
      <c r="DC178">
        <f t="shared" si="81"/>
        <v>0</v>
      </c>
      <c r="DD178" t="s">
        <v>3</v>
      </c>
      <c r="DE178" t="s">
        <v>3</v>
      </c>
      <c r="DF178">
        <f t="shared" si="89"/>
        <v>26.87</v>
      </c>
      <c r="DG178">
        <f t="shared" si="87"/>
        <v>0</v>
      </c>
      <c r="DH178">
        <f t="shared" si="64"/>
        <v>0</v>
      </c>
      <c r="DI178">
        <f t="shared" si="65"/>
        <v>0</v>
      </c>
      <c r="DJ178">
        <f t="shared" si="88"/>
        <v>26.87</v>
      </c>
      <c r="DK178">
        <v>0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ROW(Source!A217)</f>
        <v>217</v>
      </c>
      <c r="B179">
        <v>85997836</v>
      </c>
      <c r="C179">
        <v>85998525</v>
      </c>
      <c r="D179">
        <v>84265845</v>
      </c>
      <c r="E179">
        <v>1</v>
      </c>
      <c r="F179">
        <v>1</v>
      </c>
      <c r="G179">
        <v>1</v>
      </c>
      <c r="H179">
        <v>3</v>
      </c>
      <c r="I179" t="s">
        <v>383</v>
      </c>
      <c r="J179" t="s">
        <v>385</v>
      </c>
      <c r="K179" t="s">
        <v>384</v>
      </c>
      <c r="L179">
        <v>1425</v>
      </c>
      <c r="N179">
        <v>1013</v>
      </c>
      <c r="O179" t="s">
        <v>20</v>
      </c>
      <c r="P179" t="s">
        <v>20</v>
      </c>
      <c r="Q179">
        <v>1</v>
      </c>
      <c r="W179">
        <v>0</v>
      </c>
      <c r="X179">
        <v>-1265676876</v>
      </c>
      <c r="Y179">
        <f t="shared" si="79"/>
        <v>0.13333329999999999</v>
      </c>
      <c r="AA179">
        <v>10578.92</v>
      </c>
      <c r="AB179">
        <v>0</v>
      </c>
      <c r="AC179">
        <v>0</v>
      </c>
      <c r="AD179">
        <v>0</v>
      </c>
      <c r="AE179">
        <v>8531.39</v>
      </c>
      <c r="AF179">
        <v>0</v>
      </c>
      <c r="AG179">
        <v>0</v>
      </c>
      <c r="AH179">
        <v>0</v>
      </c>
      <c r="AI179">
        <v>1.24</v>
      </c>
      <c r="AJ179">
        <v>1</v>
      </c>
      <c r="AK179">
        <v>1</v>
      </c>
      <c r="AL179">
        <v>1</v>
      </c>
      <c r="AM179">
        <v>0</v>
      </c>
      <c r="AN179">
        <v>0</v>
      </c>
      <c r="AO179">
        <v>0</v>
      </c>
      <c r="AP179">
        <v>1</v>
      </c>
      <c r="AQ179">
        <v>0</v>
      </c>
      <c r="AR179">
        <v>0</v>
      </c>
      <c r="AS179" t="s">
        <v>3</v>
      </c>
      <c r="AT179">
        <v>0.13333329999999999</v>
      </c>
      <c r="AU179" t="s">
        <v>3</v>
      </c>
      <c r="AV179">
        <v>0</v>
      </c>
      <c r="AW179">
        <v>1</v>
      </c>
      <c r="AX179">
        <v>-1</v>
      </c>
      <c r="AY179">
        <v>0</v>
      </c>
      <c r="AZ179">
        <v>0</v>
      </c>
      <c r="BA179" t="s">
        <v>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V179">
        <v>0</v>
      </c>
      <c r="CW179">
        <v>0</v>
      </c>
      <c r="CX179">
        <f>ROUND(Y179*Source!I217,7)</f>
        <v>0.02</v>
      </c>
      <c r="CY179">
        <f t="shared" si="84"/>
        <v>10578.92</v>
      </c>
      <c r="CZ179">
        <f t="shared" si="85"/>
        <v>8531.39</v>
      </c>
      <c r="DA179">
        <f t="shared" si="86"/>
        <v>1.24</v>
      </c>
      <c r="DB179">
        <f t="shared" si="80"/>
        <v>1137.52</v>
      </c>
      <c r="DC179">
        <f t="shared" si="81"/>
        <v>0</v>
      </c>
      <c r="DD179" t="s">
        <v>3</v>
      </c>
      <c r="DE179" t="s">
        <v>3</v>
      </c>
      <c r="DF179">
        <f t="shared" si="89"/>
        <v>211.58</v>
      </c>
      <c r="DG179">
        <f t="shared" si="87"/>
        <v>0</v>
      </c>
      <c r="DH179">
        <f t="shared" si="64"/>
        <v>0</v>
      </c>
      <c r="DI179">
        <f t="shared" si="65"/>
        <v>0</v>
      </c>
      <c r="DJ179">
        <f t="shared" si="88"/>
        <v>211.58</v>
      </c>
      <c r="DK179">
        <v>0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">
      <c r="A180">
        <f>ROW(Source!A217)</f>
        <v>217</v>
      </c>
      <c r="B180">
        <v>85997836</v>
      </c>
      <c r="C180">
        <v>85998525</v>
      </c>
      <c r="D180">
        <v>84265888</v>
      </c>
      <c r="E180">
        <v>1</v>
      </c>
      <c r="F180">
        <v>1</v>
      </c>
      <c r="G180">
        <v>1</v>
      </c>
      <c r="H180">
        <v>3</v>
      </c>
      <c r="I180" t="s">
        <v>379</v>
      </c>
      <c r="J180" t="s">
        <v>381</v>
      </c>
      <c r="K180" t="s">
        <v>380</v>
      </c>
      <c r="L180">
        <v>1308</v>
      </c>
      <c r="N180">
        <v>1003</v>
      </c>
      <c r="O180" t="s">
        <v>61</v>
      </c>
      <c r="P180" t="s">
        <v>61</v>
      </c>
      <c r="Q180">
        <v>100</v>
      </c>
      <c r="W180">
        <v>0</v>
      </c>
      <c r="X180">
        <v>529868507</v>
      </c>
      <c r="Y180">
        <f t="shared" si="79"/>
        <v>1</v>
      </c>
      <c r="AA180">
        <v>61857.87</v>
      </c>
      <c r="AB180">
        <v>0</v>
      </c>
      <c r="AC180">
        <v>0</v>
      </c>
      <c r="AD180">
        <v>0</v>
      </c>
      <c r="AE180">
        <v>49885.38</v>
      </c>
      <c r="AF180">
        <v>0</v>
      </c>
      <c r="AG180">
        <v>0</v>
      </c>
      <c r="AH180">
        <v>0</v>
      </c>
      <c r="AI180">
        <v>1.24</v>
      </c>
      <c r="AJ180">
        <v>1</v>
      </c>
      <c r="AK180">
        <v>1</v>
      </c>
      <c r="AL180">
        <v>1</v>
      </c>
      <c r="AM180">
        <v>0</v>
      </c>
      <c r="AN180">
        <v>0</v>
      </c>
      <c r="AO180">
        <v>0</v>
      </c>
      <c r="AP180">
        <v>1</v>
      </c>
      <c r="AQ180">
        <v>0</v>
      </c>
      <c r="AR180">
        <v>0</v>
      </c>
      <c r="AS180" t="s">
        <v>3</v>
      </c>
      <c r="AT180">
        <v>1</v>
      </c>
      <c r="AU180" t="s">
        <v>3</v>
      </c>
      <c r="AV180">
        <v>0</v>
      </c>
      <c r="AW180">
        <v>1</v>
      </c>
      <c r="AX180">
        <v>-1</v>
      </c>
      <c r="AY180">
        <v>0</v>
      </c>
      <c r="AZ180">
        <v>0</v>
      </c>
      <c r="BA180" t="s">
        <v>3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V180">
        <v>0</v>
      </c>
      <c r="CW180">
        <v>0</v>
      </c>
      <c r="CX180">
        <f>ROUND(Y180*Source!I217,7)</f>
        <v>0.15</v>
      </c>
      <c r="CY180">
        <f t="shared" si="84"/>
        <v>61857.87</v>
      </c>
      <c r="CZ180">
        <f t="shared" si="85"/>
        <v>49885.38</v>
      </c>
      <c r="DA180">
        <f t="shared" si="86"/>
        <v>1.24</v>
      </c>
      <c r="DB180">
        <f t="shared" si="80"/>
        <v>49885.38</v>
      </c>
      <c r="DC180">
        <f t="shared" si="81"/>
        <v>0</v>
      </c>
      <c r="DD180" t="s">
        <v>3</v>
      </c>
      <c r="DE180" t="s">
        <v>3</v>
      </c>
      <c r="DF180">
        <f t="shared" si="89"/>
        <v>9278.68</v>
      </c>
      <c r="DG180">
        <f t="shared" si="87"/>
        <v>0</v>
      </c>
      <c r="DH180">
        <f t="shared" si="64"/>
        <v>0</v>
      </c>
      <c r="DI180">
        <f t="shared" si="65"/>
        <v>0</v>
      </c>
      <c r="DJ180">
        <f t="shared" si="88"/>
        <v>9278.68</v>
      </c>
      <c r="DK180">
        <v>0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ROW(Source!A217)</f>
        <v>217</v>
      </c>
      <c r="B181">
        <v>85997836</v>
      </c>
      <c r="C181">
        <v>85998525</v>
      </c>
      <c r="D181">
        <v>84265968</v>
      </c>
      <c r="E181">
        <v>1</v>
      </c>
      <c r="F181">
        <v>1</v>
      </c>
      <c r="G181">
        <v>1</v>
      </c>
      <c r="H181">
        <v>3</v>
      </c>
      <c r="I181" t="s">
        <v>98</v>
      </c>
      <c r="J181" t="s">
        <v>100</v>
      </c>
      <c r="K181" t="s">
        <v>99</v>
      </c>
      <c r="L181">
        <v>1425</v>
      </c>
      <c r="N181">
        <v>1013</v>
      </c>
      <c r="O181" t="s">
        <v>20</v>
      </c>
      <c r="P181" t="s">
        <v>20</v>
      </c>
      <c r="Q181">
        <v>1</v>
      </c>
      <c r="W181">
        <v>0</v>
      </c>
      <c r="X181">
        <v>554754660</v>
      </c>
      <c r="Y181">
        <f t="shared" si="79"/>
        <v>0.13333329999999999</v>
      </c>
      <c r="AA181">
        <v>62121.25</v>
      </c>
      <c r="AB181">
        <v>0</v>
      </c>
      <c r="AC181">
        <v>0</v>
      </c>
      <c r="AD181">
        <v>0</v>
      </c>
      <c r="AE181">
        <v>50097.78</v>
      </c>
      <c r="AF181">
        <v>0</v>
      </c>
      <c r="AG181">
        <v>0</v>
      </c>
      <c r="AH181">
        <v>0</v>
      </c>
      <c r="AI181">
        <v>1.24</v>
      </c>
      <c r="AJ181">
        <v>1</v>
      </c>
      <c r="AK181">
        <v>1</v>
      </c>
      <c r="AL181">
        <v>1</v>
      </c>
      <c r="AM181">
        <v>0</v>
      </c>
      <c r="AN181">
        <v>0</v>
      </c>
      <c r="AO181">
        <v>0</v>
      </c>
      <c r="AP181">
        <v>1</v>
      </c>
      <c r="AQ181">
        <v>0</v>
      </c>
      <c r="AR181">
        <v>0</v>
      </c>
      <c r="AS181" t="s">
        <v>3</v>
      </c>
      <c r="AT181">
        <v>0.13333329999999999</v>
      </c>
      <c r="AU181" t="s">
        <v>3</v>
      </c>
      <c r="AV181">
        <v>0</v>
      </c>
      <c r="AW181">
        <v>1</v>
      </c>
      <c r="AX181">
        <v>-1</v>
      </c>
      <c r="AY181">
        <v>0</v>
      </c>
      <c r="AZ181">
        <v>0</v>
      </c>
      <c r="BA181" t="s">
        <v>3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>
        <f>ROUND(Y181*Source!I217,7)</f>
        <v>0.02</v>
      </c>
      <c r="CY181">
        <f t="shared" si="84"/>
        <v>62121.25</v>
      </c>
      <c r="CZ181">
        <f t="shared" si="85"/>
        <v>50097.78</v>
      </c>
      <c r="DA181">
        <f t="shared" si="86"/>
        <v>1.24</v>
      </c>
      <c r="DB181">
        <f t="shared" si="80"/>
        <v>6679.7</v>
      </c>
      <c r="DC181">
        <f t="shared" si="81"/>
        <v>0</v>
      </c>
      <c r="DD181" t="s">
        <v>3</v>
      </c>
      <c r="DE181" t="s">
        <v>3</v>
      </c>
      <c r="DF181">
        <f t="shared" si="89"/>
        <v>1242.43</v>
      </c>
      <c r="DG181">
        <f t="shared" si="87"/>
        <v>0</v>
      </c>
      <c r="DH181">
        <f t="shared" si="64"/>
        <v>0</v>
      </c>
      <c r="DI181">
        <f t="shared" si="65"/>
        <v>0</v>
      </c>
      <c r="DJ181">
        <f t="shared" si="88"/>
        <v>1242.43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ROW(Source!A217)</f>
        <v>217</v>
      </c>
      <c r="B182">
        <v>85997836</v>
      </c>
      <c r="C182">
        <v>85998525</v>
      </c>
      <c r="D182">
        <v>84266002</v>
      </c>
      <c r="E182">
        <v>1</v>
      </c>
      <c r="F182">
        <v>1</v>
      </c>
      <c r="G182">
        <v>1</v>
      </c>
      <c r="H182">
        <v>3</v>
      </c>
      <c r="I182" t="s">
        <v>392</v>
      </c>
      <c r="J182" t="s">
        <v>394</v>
      </c>
      <c r="K182" t="s">
        <v>393</v>
      </c>
      <c r="L182">
        <v>1425</v>
      </c>
      <c r="N182">
        <v>1013</v>
      </c>
      <c r="O182" t="s">
        <v>20</v>
      </c>
      <c r="P182" t="s">
        <v>20</v>
      </c>
      <c r="Q182">
        <v>1</v>
      </c>
      <c r="W182">
        <v>0</v>
      </c>
      <c r="X182">
        <v>384207786</v>
      </c>
      <c r="Y182">
        <f t="shared" si="79"/>
        <v>0.13333329999999999</v>
      </c>
      <c r="AA182">
        <v>48119.08</v>
      </c>
      <c r="AB182">
        <v>0</v>
      </c>
      <c r="AC182">
        <v>0</v>
      </c>
      <c r="AD182">
        <v>0</v>
      </c>
      <c r="AE182">
        <v>38805.71</v>
      </c>
      <c r="AF182">
        <v>0</v>
      </c>
      <c r="AG182">
        <v>0</v>
      </c>
      <c r="AH182">
        <v>0</v>
      </c>
      <c r="AI182">
        <v>1.24</v>
      </c>
      <c r="AJ182">
        <v>1</v>
      </c>
      <c r="AK182">
        <v>1</v>
      </c>
      <c r="AL182">
        <v>1</v>
      </c>
      <c r="AM182">
        <v>0</v>
      </c>
      <c r="AN182">
        <v>0</v>
      </c>
      <c r="AO182">
        <v>0</v>
      </c>
      <c r="AP182">
        <v>1</v>
      </c>
      <c r="AQ182">
        <v>0</v>
      </c>
      <c r="AR182">
        <v>0</v>
      </c>
      <c r="AS182" t="s">
        <v>3</v>
      </c>
      <c r="AT182">
        <v>0.13333329999999999</v>
      </c>
      <c r="AU182" t="s">
        <v>3</v>
      </c>
      <c r="AV182">
        <v>0</v>
      </c>
      <c r="AW182">
        <v>1</v>
      </c>
      <c r="AX182">
        <v>-1</v>
      </c>
      <c r="AY182">
        <v>0</v>
      </c>
      <c r="AZ182">
        <v>0</v>
      </c>
      <c r="BA182" t="s">
        <v>3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V182">
        <v>0</v>
      </c>
      <c r="CW182">
        <v>0</v>
      </c>
      <c r="CX182">
        <f>ROUND(Y182*Source!I217,7)</f>
        <v>0.02</v>
      </c>
      <c r="CY182">
        <f t="shared" si="84"/>
        <v>48119.08</v>
      </c>
      <c r="CZ182">
        <f t="shared" si="85"/>
        <v>38805.71</v>
      </c>
      <c r="DA182">
        <f t="shared" si="86"/>
        <v>1.24</v>
      </c>
      <c r="DB182">
        <f t="shared" si="80"/>
        <v>5174.09</v>
      </c>
      <c r="DC182">
        <f t="shared" si="81"/>
        <v>0</v>
      </c>
      <c r="DD182" t="s">
        <v>3</v>
      </c>
      <c r="DE182" t="s">
        <v>3</v>
      </c>
      <c r="DF182">
        <f t="shared" si="89"/>
        <v>962.38</v>
      </c>
      <c r="DG182">
        <f t="shared" si="87"/>
        <v>0</v>
      </c>
      <c r="DH182">
        <f t="shared" si="64"/>
        <v>0</v>
      </c>
      <c r="DI182">
        <f t="shared" si="65"/>
        <v>0</v>
      </c>
      <c r="DJ182">
        <f t="shared" si="88"/>
        <v>962.38</v>
      </c>
      <c r="DK182">
        <v>0</v>
      </c>
      <c r="DL182" t="s">
        <v>3</v>
      </c>
      <c r="DM182">
        <v>0</v>
      </c>
      <c r="DN182" t="s">
        <v>3</v>
      </c>
      <c r="DO182">
        <v>0</v>
      </c>
    </row>
    <row r="183" spans="1:119" x14ac:dyDescent="0.2">
      <c r="A183">
        <f>ROW(Source!A217)</f>
        <v>217</v>
      </c>
      <c r="B183">
        <v>85997836</v>
      </c>
      <c r="C183">
        <v>85998525</v>
      </c>
      <c r="D183">
        <v>84266028</v>
      </c>
      <c r="E183">
        <v>1</v>
      </c>
      <c r="F183">
        <v>1</v>
      </c>
      <c r="G183">
        <v>1</v>
      </c>
      <c r="H183">
        <v>3</v>
      </c>
      <c r="I183" t="s">
        <v>387</v>
      </c>
      <c r="J183" t="s">
        <v>389</v>
      </c>
      <c r="K183" t="s">
        <v>388</v>
      </c>
      <c r="L183">
        <v>1425</v>
      </c>
      <c r="N183">
        <v>1013</v>
      </c>
      <c r="O183" t="s">
        <v>20</v>
      </c>
      <c r="P183" t="s">
        <v>20</v>
      </c>
      <c r="Q183">
        <v>1</v>
      </c>
      <c r="W183">
        <v>0</v>
      </c>
      <c r="X183">
        <v>-285804698</v>
      </c>
      <c r="Y183">
        <f t="shared" si="79"/>
        <v>0.13333329999999999</v>
      </c>
      <c r="AA183">
        <v>10050.77</v>
      </c>
      <c r="AB183">
        <v>0</v>
      </c>
      <c r="AC183">
        <v>0</v>
      </c>
      <c r="AD183">
        <v>0</v>
      </c>
      <c r="AE183">
        <v>8105.46</v>
      </c>
      <c r="AF183">
        <v>0</v>
      </c>
      <c r="AG183">
        <v>0</v>
      </c>
      <c r="AH183">
        <v>0</v>
      </c>
      <c r="AI183">
        <v>1.24</v>
      </c>
      <c r="AJ183">
        <v>1</v>
      </c>
      <c r="AK183">
        <v>1</v>
      </c>
      <c r="AL183">
        <v>1</v>
      </c>
      <c r="AM183">
        <v>0</v>
      </c>
      <c r="AN183">
        <v>0</v>
      </c>
      <c r="AO183">
        <v>0</v>
      </c>
      <c r="AP183">
        <v>1</v>
      </c>
      <c r="AQ183">
        <v>0</v>
      </c>
      <c r="AR183">
        <v>0</v>
      </c>
      <c r="AS183" t="s">
        <v>3</v>
      </c>
      <c r="AT183">
        <v>0.13333329999999999</v>
      </c>
      <c r="AU183" t="s">
        <v>3</v>
      </c>
      <c r="AV183">
        <v>0</v>
      </c>
      <c r="AW183">
        <v>1</v>
      </c>
      <c r="AX183">
        <v>-1</v>
      </c>
      <c r="AY183">
        <v>0</v>
      </c>
      <c r="AZ183">
        <v>0</v>
      </c>
      <c r="BA183" t="s">
        <v>3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V183">
        <v>0</v>
      </c>
      <c r="CW183">
        <v>0</v>
      </c>
      <c r="CX183">
        <f>ROUND(Y183*Source!I217,7)</f>
        <v>0.02</v>
      </c>
      <c r="CY183">
        <f t="shared" si="84"/>
        <v>10050.77</v>
      </c>
      <c r="CZ183">
        <f t="shared" si="85"/>
        <v>8105.46</v>
      </c>
      <c r="DA183">
        <f t="shared" si="86"/>
        <v>1.24</v>
      </c>
      <c r="DB183">
        <f t="shared" si="80"/>
        <v>1080.73</v>
      </c>
      <c r="DC183">
        <f t="shared" si="81"/>
        <v>0</v>
      </c>
      <c r="DD183" t="s">
        <v>3</v>
      </c>
      <c r="DE183" t="s">
        <v>3</v>
      </c>
      <c r="DF183">
        <f t="shared" si="89"/>
        <v>201.02</v>
      </c>
      <c r="DG183">
        <f t="shared" si="87"/>
        <v>0</v>
      </c>
      <c r="DH183">
        <f t="shared" si="64"/>
        <v>0</v>
      </c>
      <c r="DI183">
        <f t="shared" si="65"/>
        <v>0</v>
      </c>
      <c r="DJ183">
        <f t="shared" si="88"/>
        <v>201.02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ROW(Source!A217)</f>
        <v>217</v>
      </c>
      <c r="B184">
        <v>85997836</v>
      </c>
      <c r="C184">
        <v>85998525</v>
      </c>
      <c r="D184">
        <v>84170596</v>
      </c>
      <c r="E184">
        <v>117</v>
      </c>
      <c r="F184">
        <v>1</v>
      </c>
      <c r="G184">
        <v>1</v>
      </c>
      <c r="H184">
        <v>3</v>
      </c>
      <c r="I184" t="s">
        <v>55</v>
      </c>
      <c r="J184" t="s">
        <v>3</v>
      </c>
      <c r="K184" t="s">
        <v>56</v>
      </c>
      <c r="L184">
        <v>3277935</v>
      </c>
      <c r="N184">
        <v>1013</v>
      </c>
      <c r="O184" t="s">
        <v>57</v>
      </c>
      <c r="P184" t="s">
        <v>57</v>
      </c>
      <c r="Q184">
        <v>1</v>
      </c>
      <c r="W184">
        <v>0</v>
      </c>
      <c r="X184">
        <v>274903907</v>
      </c>
      <c r="Y184">
        <f t="shared" si="79"/>
        <v>2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 t="s">
        <v>3</v>
      </c>
      <c r="AT184">
        <v>2</v>
      </c>
      <c r="AU184" t="s">
        <v>3</v>
      </c>
      <c r="AV184">
        <v>0</v>
      </c>
      <c r="AW184">
        <v>2</v>
      </c>
      <c r="AX184">
        <v>85998544</v>
      </c>
      <c r="AY184">
        <v>1</v>
      </c>
      <c r="AZ184">
        <v>0</v>
      </c>
      <c r="BA184">
        <v>166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V184">
        <v>0</v>
      </c>
      <c r="CW184">
        <v>0</v>
      </c>
      <c r="CX184">
        <f>ROUND(Y184*Source!I217,7)</f>
        <v>0.3</v>
      </c>
      <c r="CY184">
        <f t="shared" si="84"/>
        <v>0</v>
      </c>
      <c r="CZ184">
        <f t="shared" si="85"/>
        <v>0</v>
      </c>
      <c r="DA184">
        <f t="shared" si="86"/>
        <v>1</v>
      </c>
      <c r="DB184">
        <f t="shared" si="80"/>
        <v>0</v>
      </c>
      <c r="DC184">
        <f t="shared" si="81"/>
        <v>0</v>
      </c>
      <c r="DD184" t="s">
        <v>3</v>
      </c>
      <c r="DE184" t="s">
        <v>3</v>
      </c>
      <c r="DF184">
        <f>ROUND(ROUND(AE184,2)*CX184,2)</f>
        <v>0</v>
      </c>
      <c r="DG184">
        <f t="shared" si="87"/>
        <v>0</v>
      </c>
      <c r="DH184">
        <f t="shared" si="64"/>
        <v>0</v>
      </c>
      <c r="DI184">
        <f t="shared" si="65"/>
        <v>0</v>
      </c>
      <c r="DJ184">
        <f t="shared" si="88"/>
        <v>0</v>
      </c>
      <c r="DK184">
        <v>0</v>
      </c>
      <c r="DL184" t="s">
        <v>3</v>
      </c>
      <c r="DM184">
        <v>0</v>
      </c>
      <c r="DN184" t="s">
        <v>3</v>
      </c>
      <c r="DO184">
        <v>0</v>
      </c>
    </row>
    <row r="185" spans="1:119" x14ac:dyDescent="0.2">
      <c r="A185">
        <f>ROW(Source!A225)</f>
        <v>225</v>
      </c>
      <c r="B185">
        <v>85997836</v>
      </c>
      <c r="C185">
        <v>85998551</v>
      </c>
      <c r="D185">
        <v>84164586</v>
      </c>
      <c r="E185">
        <v>117</v>
      </c>
      <c r="F185">
        <v>1</v>
      </c>
      <c r="G185">
        <v>1</v>
      </c>
      <c r="H185">
        <v>1</v>
      </c>
      <c r="I185" t="s">
        <v>547</v>
      </c>
      <c r="J185" t="s">
        <v>3</v>
      </c>
      <c r="K185" t="s">
        <v>548</v>
      </c>
      <c r="L185">
        <v>1191</v>
      </c>
      <c r="N185">
        <v>1013</v>
      </c>
      <c r="O185" t="s">
        <v>541</v>
      </c>
      <c r="P185" t="s">
        <v>541</v>
      </c>
      <c r="Q185">
        <v>1</v>
      </c>
      <c r="W185">
        <v>0</v>
      </c>
      <c r="X185">
        <v>44848675</v>
      </c>
      <c r="Y185">
        <f>(AT185*ROUND((0.2+1),7))</f>
        <v>3.3839999999999999</v>
      </c>
      <c r="AA185">
        <v>0</v>
      </c>
      <c r="AB185">
        <v>0</v>
      </c>
      <c r="AC185">
        <v>0</v>
      </c>
      <c r="AD185">
        <v>705.88</v>
      </c>
      <c r="AE185">
        <v>0</v>
      </c>
      <c r="AF185">
        <v>0</v>
      </c>
      <c r="AG185">
        <v>0</v>
      </c>
      <c r="AH185">
        <v>705.88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3</v>
      </c>
      <c r="AT185">
        <v>2.82</v>
      </c>
      <c r="AU185" t="s">
        <v>398</v>
      </c>
      <c r="AV185">
        <v>1</v>
      </c>
      <c r="AW185">
        <v>2</v>
      </c>
      <c r="AX185">
        <v>85998561</v>
      </c>
      <c r="AY185">
        <v>1</v>
      </c>
      <c r="AZ185">
        <v>0</v>
      </c>
      <c r="BA185">
        <v>167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1990.5816</v>
      </c>
      <c r="BN185">
        <v>2.82</v>
      </c>
      <c r="BO185">
        <v>0</v>
      </c>
      <c r="BP185">
        <v>1</v>
      </c>
      <c r="BQ185">
        <v>0</v>
      </c>
      <c r="BR185">
        <v>0</v>
      </c>
      <c r="BS185">
        <v>0</v>
      </c>
      <c r="BT185">
        <v>2388.6979200000001</v>
      </c>
      <c r="BU185">
        <v>3.3839999999999999</v>
      </c>
      <c r="BV185">
        <v>0</v>
      </c>
      <c r="BW185">
        <v>1</v>
      </c>
      <c r="CU185">
        <f>ROUND(AT185*Source!I225*AH185*AL185,2)</f>
        <v>398.12</v>
      </c>
      <c r="CV185">
        <f>ROUND(Y185*Source!I225,7)</f>
        <v>0.67679999999999996</v>
      </c>
      <c r="CW185">
        <v>0</v>
      </c>
      <c r="CX185">
        <f>ROUND(Y185*Source!I225,7)</f>
        <v>0.67679999999999996</v>
      </c>
      <c r="CY185">
        <f>AD185</f>
        <v>705.88</v>
      </c>
      <c r="CZ185">
        <f>AH185</f>
        <v>705.88</v>
      </c>
      <c r="DA185">
        <f>AL185</f>
        <v>1</v>
      </c>
      <c r="DB185">
        <f>ROUND((ROUND(AT185*CZ185,2)*ROUND((0.2+1),7)),6)</f>
        <v>2388.6959999999999</v>
      </c>
      <c r="DC185">
        <f>ROUND((ROUND(AT185*AG185,2)*ROUND((0.2+1),7)),6)</f>
        <v>0</v>
      </c>
      <c r="DD185" t="s">
        <v>3</v>
      </c>
      <c r="DE185" t="s">
        <v>3</v>
      </c>
      <c r="DF185">
        <f>ROUND(ROUND(AE185,2)*CX185,2)</f>
        <v>0</v>
      </c>
      <c r="DG185">
        <f t="shared" si="87"/>
        <v>0</v>
      </c>
      <c r="DH185">
        <f t="shared" si="64"/>
        <v>0</v>
      </c>
      <c r="DI185">
        <f t="shared" si="65"/>
        <v>477.74</v>
      </c>
      <c r="DJ185">
        <f>DI185</f>
        <v>477.74</v>
      </c>
      <c r="DK185">
        <v>1</v>
      </c>
      <c r="DL185" t="s">
        <v>3</v>
      </c>
      <c r="DM185">
        <v>0</v>
      </c>
      <c r="DN185" t="s">
        <v>3</v>
      </c>
      <c r="DO185">
        <v>0</v>
      </c>
    </row>
    <row r="186" spans="1:119" x14ac:dyDescent="0.2">
      <c r="A186">
        <f>ROW(Source!A225)</f>
        <v>225</v>
      </c>
      <c r="B186">
        <v>85997836</v>
      </c>
      <c r="C186">
        <v>85998551</v>
      </c>
      <c r="D186">
        <v>84164762</v>
      </c>
      <c r="E186">
        <v>117</v>
      </c>
      <c r="F186">
        <v>1</v>
      </c>
      <c r="G186">
        <v>1</v>
      </c>
      <c r="H186">
        <v>1</v>
      </c>
      <c r="I186" t="s">
        <v>542</v>
      </c>
      <c r="J186" t="s">
        <v>3</v>
      </c>
      <c r="K186" t="s">
        <v>543</v>
      </c>
      <c r="L186">
        <v>1191</v>
      </c>
      <c r="N186">
        <v>1013</v>
      </c>
      <c r="O186" t="s">
        <v>541</v>
      </c>
      <c r="P186" t="s">
        <v>541</v>
      </c>
      <c r="Q186">
        <v>1</v>
      </c>
      <c r="W186">
        <v>0</v>
      </c>
      <c r="X186">
        <v>-1417349443</v>
      </c>
      <c r="Y186">
        <f>(AT186*ROUND((0.2+1),7))</f>
        <v>2.4E-2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3</v>
      </c>
      <c r="AT186">
        <v>0.02</v>
      </c>
      <c r="AU186" t="s">
        <v>398</v>
      </c>
      <c r="AV186">
        <v>2</v>
      </c>
      <c r="AW186">
        <v>2</v>
      </c>
      <c r="AX186">
        <v>85998562</v>
      </c>
      <c r="AY186">
        <v>1</v>
      </c>
      <c r="AZ186">
        <v>0</v>
      </c>
      <c r="BA186">
        <v>168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V186">
        <v>0</v>
      </c>
      <c r="CW186">
        <v>0</v>
      </c>
      <c r="CX186">
        <f>ROUND(Y186*Source!I225,7)</f>
        <v>4.7999999999999996E-3</v>
      </c>
      <c r="CY186">
        <f>AD186</f>
        <v>0</v>
      </c>
      <c r="CZ186">
        <f>AH186</f>
        <v>0</v>
      </c>
      <c r="DA186">
        <f>AL186</f>
        <v>1</v>
      </c>
      <c r="DB186">
        <f>ROUND((ROUND(AT186*CZ186,2)*ROUND((0.2+1),7)),6)</f>
        <v>0</v>
      </c>
      <c r="DC186">
        <f>ROUND((ROUND(AT186*AG186,2)*ROUND((0.2+1),7)),6)</f>
        <v>0</v>
      </c>
      <c r="DD186" t="s">
        <v>3</v>
      </c>
      <c r="DE186" t="s">
        <v>3</v>
      </c>
      <c r="DF186">
        <f>ROUND(ROUND(AE186,2)*CX186,2)</f>
        <v>0</v>
      </c>
      <c r="DG186">
        <f t="shared" si="87"/>
        <v>0</v>
      </c>
      <c r="DH186">
        <f t="shared" si="64"/>
        <v>0</v>
      </c>
      <c r="DI186">
        <f t="shared" si="65"/>
        <v>0</v>
      </c>
      <c r="DJ186">
        <f>DI186</f>
        <v>0</v>
      </c>
      <c r="DK186">
        <v>0</v>
      </c>
      <c r="DL186" t="s">
        <v>3</v>
      </c>
      <c r="DM186">
        <v>0</v>
      </c>
      <c r="DN186" t="s">
        <v>3</v>
      </c>
      <c r="DO186">
        <v>0</v>
      </c>
    </row>
    <row r="187" spans="1:119" x14ac:dyDescent="0.2">
      <c r="A187">
        <f>ROW(Source!A225)</f>
        <v>225</v>
      </c>
      <c r="B187">
        <v>85997836</v>
      </c>
      <c r="C187">
        <v>85998551</v>
      </c>
      <c r="D187">
        <v>84171251</v>
      </c>
      <c r="E187">
        <v>1</v>
      </c>
      <c r="F187">
        <v>1</v>
      </c>
      <c r="G187">
        <v>1</v>
      </c>
      <c r="H187">
        <v>2</v>
      </c>
      <c r="I187" t="s">
        <v>123</v>
      </c>
      <c r="J187" t="s">
        <v>125</v>
      </c>
      <c r="K187" t="s">
        <v>124</v>
      </c>
      <c r="L187">
        <v>1368</v>
      </c>
      <c r="N187">
        <v>1011</v>
      </c>
      <c r="O187" t="s">
        <v>29</v>
      </c>
      <c r="P187" t="s">
        <v>29</v>
      </c>
      <c r="Q187">
        <v>1</v>
      </c>
      <c r="W187">
        <v>0</v>
      </c>
      <c r="X187">
        <v>639918019</v>
      </c>
      <c r="Y187">
        <f>(AT187*ROUND((0.2+1),7))</f>
        <v>-1.44E-2</v>
      </c>
      <c r="AA187">
        <v>0</v>
      </c>
      <c r="AB187">
        <v>1629.55</v>
      </c>
      <c r="AC187">
        <v>969.91</v>
      </c>
      <c r="AD187">
        <v>0</v>
      </c>
      <c r="AE187">
        <v>0</v>
      </c>
      <c r="AF187">
        <v>1629.55</v>
      </c>
      <c r="AG187">
        <v>969.91</v>
      </c>
      <c r="AH187">
        <v>0</v>
      </c>
      <c r="AI187">
        <v>1</v>
      </c>
      <c r="AJ187">
        <v>1</v>
      </c>
      <c r="AK187">
        <v>1</v>
      </c>
      <c r="AL187">
        <v>1</v>
      </c>
      <c r="AM187">
        <v>-2</v>
      </c>
      <c r="AN187">
        <v>0</v>
      </c>
      <c r="AO187">
        <v>0</v>
      </c>
      <c r="AP187">
        <v>1</v>
      </c>
      <c r="AQ187">
        <v>0</v>
      </c>
      <c r="AR187">
        <v>0</v>
      </c>
      <c r="AS187" t="s">
        <v>3</v>
      </c>
      <c r="AT187">
        <v>-1.2E-2</v>
      </c>
      <c r="AU187" t="s">
        <v>398</v>
      </c>
      <c r="AV187">
        <v>1</v>
      </c>
      <c r="AW187">
        <v>2</v>
      </c>
      <c r="AX187">
        <v>85998563</v>
      </c>
      <c r="AY187">
        <v>1</v>
      </c>
      <c r="AZ187">
        <v>6144</v>
      </c>
      <c r="BA187">
        <v>169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f>ROUND(Y187*Source!I225*DO187,7)</f>
        <v>-2.8800000000000002E-3</v>
      </c>
      <c r="CX187">
        <f>ROUND(Y187*Source!I225,7)</f>
        <v>-2.8800000000000002E-3</v>
      </c>
      <c r="CY187">
        <f>AB187</f>
        <v>1629.55</v>
      </c>
      <c r="CZ187">
        <f>AF187</f>
        <v>1629.55</v>
      </c>
      <c r="DA187">
        <f>AJ187</f>
        <v>1</v>
      </c>
      <c r="DB187">
        <f>ROUND((ROUND(AT187*CZ187,2)*ROUND((0.2+1),7)),6)</f>
        <v>-23.46</v>
      </c>
      <c r="DC187">
        <f>ROUND((ROUND(AT187*AG187,2)*ROUND((0.2+1),7)),6)</f>
        <v>-13.968</v>
      </c>
      <c r="DD187" t="s">
        <v>3</v>
      </c>
      <c r="DE187" t="s">
        <v>3</v>
      </c>
      <c r="DF187">
        <f>ROUND(ROUND(AE187,2)*CX187,2)</f>
        <v>0</v>
      </c>
      <c r="DG187">
        <f t="shared" si="87"/>
        <v>-4.6900000000000004</v>
      </c>
      <c r="DH187">
        <f t="shared" si="64"/>
        <v>-2.79</v>
      </c>
      <c r="DI187">
        <f t="shared" si="65"/>
        <v>0</v>
      </c>
      <c r="DJ187">
        <f>DG187+DH187</f>
        <v>-7.48</v>
      </c>
      <c r="DK187">
        <v>1</v>
      </c>
      <c r="DL187" t="s">
        <v>599</v>
      </c>
      <c r="DM187">
        <v>6</v>
      </c>
      <c r="DN187" t="s">
        <v>541</v>
      </c>
      <c r="DO187">
        <v>1</v>
      </c>
    </row>
    <row r="188" spans="1:119" x14ac:dyDescent="0.2">
      <c r="A188">
        <f>ROW(Source!A225)</f>
        <v>225</v>
      </c>
      <c r="B188">
        <v>85997836</v>
      </c>
      <c r="C188">
        <v>85998551</v>
      </c>
      <c r="D188">
        <v>84172146</v>
      </c>
      <c r="E188">
        <v>1</v>
      </c>
      <c r="F188">
        <v>1</v>
      </c>
      <c r="G188">
        <v>1</v>
      </c>
      <c r="H188">
        <v>2</v>
      </c>
      <c r="I188" t="s">
        <v>127</v>
      </c>
      <c r="J188" t="s">
        <v>129</v>
      </c>
      <c r="K188" t="s">
        <v>128</v>
      </c>
      <c r="L188">
        <v>1368</v>
      </c>
      <c r="N188">
        <v>1011</v>
      </c>
      <c r="O188" t="s">
        <v>29</v>
      </c>
      <c r="P188" t="s">
        <v>29</v>
      </c>
      <c r="Q188">
        <v>1</v>
      </c>
      <c r="W188">
        <v>0</v>
      </c>
      <c r="X188">
        <v>-849950259</v>
      </c>
      <c r="Y188">
        <f>(AT188*ROUND((0.2+1),7))</f>
        <v>-1.44E-2</v>
      </c>
      <c r="AA188">
        <v>0</v>
      </c>
      <c r="AB188">
        <v>643.29</v>
      </c>
      <c r="AC188">
        <v>722.05</v>
      </c>
      <c r="AD188">
        <v>0</v>
      </c>
      <c r="AE188">
        <v>0</v>
      </c>
      <c r="AF188">
        <v>643.29</v>
      </c>
      <c r="AG188">
        <v>722.05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-2</v>
      </c>
      <c r="AN188">
        <v>0</v>
      </c>
      <c r="AO188">
        <v>0</v>
      </c>
      <c r="AP188">
        <v>1</v>
      </c>
      <c r="AQ188">
        <v>0</v>
      </c>
      <c r="AR188">
        <v>0</v>
      </c>
      <c r="AS188" t="s">
        <v>3</v>
      </c>
      <c r="AT188">
        <v>-1.2E-2</v>
      </c>
      <c r="AU188" t="s">
        <v>398</v>
      </c>
      <c r="AV188">
        <v>1</v>
      </c>
      <c r="AW188">
        <v>2</v>
      </c>
      <c r="AX188">
        <v>85998564</v>
      </c>
      <c r="AY188">
        <v>1</v>
      </c>
      <c r="AZ188">
        <v>6144</v>
      </c>
      <c r="BA188">
        <v>170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f>ROUND(Y188*Source!I225*DO188,7)</f>
        <v>-2.8800000000000002E-3</v>
      </c>
      <c r="CX188">
        <f>ROUND(Y188*Source!I225,7)</f>
        <v>-2.8800000000000002E-3</v>
      </c>
      <c r="CY188">
        <f>AB188</f>
        <v>643.29</v>
      </c>
      <c r="CZ188">
        <f>AF188</f>
        <v>643.29</v>
      </c>
      <c r="DA188">
        <f>AJ188</f>
        <v>1</v>
      </c>
      <c r="DB188">
        <f>ROUND((ROUND(AT188*CZ188,2)*ROUND((0.2+1),7)),6)</f>
        <v>-9.2639999999999993</v>
      </c>
      <c r="DC188">
        <f>ROUND((ROUND(AT188*AG188,2)*ROUND((0.2+1),7)),6)</f>
        <v>-10.391999999999999</v>
      </c>
      <c r="DD188" t="s">
        <v>3</v>
      </c>
      <c r="DE188" t="s">
        <v>3</v>
      </c>
      <c r="DF188">
        <f>ROUND(ROUND(AE188,2)*CX188,2)</f>
        <v>0</v>
      </c>
      <c r="DG188">
        <f t="shared" si="87"/>
        <v>-1.85</v>
      </c>
      <c r="DH188">
        <f t="shared" si="64"/>
        <v>-2.08</v>
      </c>
      <c r="DI188">
        <f t="shared" si="65"/>
        <v>0</v>
      </c>
      <c r="DJ188">
        <f>DG188+DH188</f>
        <v>-3.93</v>
      </c>
      <c r="DK188">
        <v>1</v>
      </c>
      <c r="DL188" t="s">
        <v>600</v>
      </c>
      <c r="DM188">
        <v>4</v>
      </c>
      <c r="DN188" t="s">
        <v>541</v>
      </c>
      <c r="DO188">
        <v>1</v>
      </c>
    </row>
    <row r="189" spans="1:119" x14ac:dyDescent="0.2">
      <c r="A189">
        <f>ROW(Source!A225)</f>
        <v>225</v>
      </c>
      <c r="B189">
        <v>85997836</v>
      </c>
      <c r="C189">
        <v>85998551</v>
      </c>
      <c r="D189">
        <v>84239073</v>
      </c>
      <c r="E189">
        <v>1</v>
      </c>
      <c r="F189">
        <v>1</v>
      </c>
      <c r="G189">
        <v>1</v>
      </c>
      <c r="H189">
        <v>3</v>
      </c>
      <c r="I189" t="s">
        <v>562</v>
      </c>
      <c r="J189" t="s">
        <v>563</v>
      </c>
      <c r="K189" t="s">
        <v>564</v>
      </c>
      <c r="L189">
        <v>1301</v>
      </c>
      <c r="N189">
        <v>1003</v>
      </c>
      <c r="O189" t="s">
        <v>364</v>
      </c>
      <c r="P189" t="s">
        <v>364</v>
      </c>
      <c r="Q189">
        <v>1</v>
      </c>
      <c r="W189">
        <v>0</v>
      </c>
      <c r="X189">
        <v>-1499427467</v>
      </c>
      <c r="Y189">
        <f>AT189</f>
        <v>13.33</v>
      </c>
      <c r="AA189">
        <v>5.17</v>
      </c>
      <c r="AB189">
        <v>0</v>
      </c>
      <c r="AC189">
        <v>0</v>
      </c>
      <c r="AD189">
        <v>0</v>
      </c>
      <c r="AE189">
        <v>5.87</v>
      </c>
      <c r="AF189">
        <v>0</v>
      </c>
      <c r="AG189">
        <v>0</v>
      </c>
      <c r="AH189">
        <v>0</v>
      </c>
      <c r="AI189">
        <v>0.88</v>
      </c>
      <c r="AJ189">
        <v>1</v>
      </c>
      <c r="AK189">
        <v>1</v>
      </c>
      <c r="AL189">
        <v>1</v>
      </c>
      <c r="AM189">
        <v>2</v>
      </c>
      <c r="AN189">
        <v>0</v>
      </c>
      <c r="AO189">
        <v>0</v>
      </c>
      <c r="AP189">
        <v>1</v>
      </c>
      <c r="AQ189">
        <v>1</v>
      </c>
      <c r="AR189">
        <v>0</v>
      </c>
      <c r="AS189" t="s">
        <v>3</v>
      </c>
      <c r="AT189">
        <v>13.33</v>
      </c>
      <c r="AU189" t="s">
        <v>3</v>
      </c>
      <c r="AV189">
        <v>0</v>
      </c>
      <c r="AW189">
        <v>2</v>
      </c>
      <c r="AX189">
        <v>85998565</v>
      </c>
      <c r="AY189">
        <v>1</v>
      </c>
      <c r="AZ189">
        <v>0</v>
      </c>
      <c r="BA189">
        <v>171</v>
      </c>
      <c r="BB189">
        <v>1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78.247100000000003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1</v>
      </c>
      <c r="BQ189">
        <v>78.247100000000003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1</v>
      </c>
      <c r="CV189">
        <v>0</v>
      </c>
      <c r="CW189">
        <v>0</v>
      </c>
      <c r="CX189">
        <f>ROUND(Y189*Source!I225,7)</f>
        <v>2.6659999999999999</v>
      </c>
      <c r="CY189">
        <f>AA189</f>
        <v>5.17</v>
      </c>
      <c r="CZ189">
        <f>AE189</f>
        <v>5.87</v>
      </c>
      <c r="DA189">
        <f>AI189</f>
        <v>0.88</v>
      </c>
      <c r="DB189">
        <f>ROUND(ROUND(AT189*CZ189,2),6)</f>
        <v>78.25</v>
      </c>
      <c r="DC189">
        <f>ROUND(ROUND(AT189*AG189,2),6)</f>
        <v>0</v>
      </c>
      <c r="DD189" t="s">
        <v>3</v>
      </c>
      <c r="DE189" t="s">
        <v>3</v>
      </c>
      <c r="DF189">
        <f>ROUND(ROUND(AE189*AI189,2)*CX189,2)</f>
        <v>13.78</v>
      </c>
      <c r="DG189">
        <f t="shared" si="87"/>
        <v>0</v>
      </c>
      <c r="DH189">
        <f t="shared" si="64"/>
        <v>0</v>
      </c>
      <c r="DI189">
        <f t="shared" si="65"/>
        <v>0</v>
      </c>
      <c r="DJ189">
        <f>DF189</f>
        <v>13.78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ROW(Source!A225)</f>
        <v>225</v>
      </c>
      <c r="B190">
        <v>85997836</v>
      </c>
      <c r="C190">
        <v>85998551</v>
      </c>
      <c r="D190">
        <v>84239087</v>
      </c>
      <c r="E190">
        <v>1</v>
      </c>
      <c r="F190">
        <v>1</v>
      </c>
      <c r="G190">
        <v>1</v>
      </c>
      <c r="H190">
        <v>3</v>
      </c>
      <c r="I190" t="s">
        <v>601</v>
      </c>
      <c r="J190" t="s">
        <v>602</v>
      </c>
      <c r="K190" t="s">
        <v>603</v>
      </c>
      <c r="L190">
        <v>1302</v>
      </c>
      <c r="N190">
        <v>1003</v>
      </c>
      <c r="O190" t="s">
        <v>604</v>
      </c>
      <c r="P190" t="s">
        <v>604</v>
      </c>
      <c r="Q190">
        <v>10</v>
      </c>
      <c r="W190">
        <v>0</v>
      </c>
      <c r="X190">
        <v>530731316</v>
      </c>
      <c r="Y190">
        <f>AT190</f>
        <v>0.5</v>
      </c>
      <c r="AA190">
        <v>57.7</v>
      </c>
      <c r="AB190">
        <v>0</v>
      </c>
      <c r="AC190">
        <v>0</v>
      </c>
      <c r="AD190">
        <v>0</v>
      </c>
      <c r="AE190">
        <v>37.71</v>
      </c>
      <c r="AF190">
        <v>0</v>
      </c>
      <c r="AG190">
        <v>0</v>
      </c>
      <c r="AH190">
        <v>0</v>
      </c>
      <c r="AI190">
        <v>1.53</v>
      </c>
      <c r="AJ190">
        <v>1</v>
      </c>
      <c r="AK190">
        <v>1</v>
      </c>
      <c r="AL190">
        <v>1</v>
      </c>
      <c r="AM190">
        <v>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3</v>
      </c>
      <c r="AT190">
        <v>0.5</v>
      </c>
      <c r="AU190" t="s">
        <v>3</v>
      </c>
      <c r="AV190">
        <v>0</v>
      </c>
      <c r="AW190">
        <v>2</v>
      </c>
      <c r="AX190">
        <v>85998566</v>
      </c>
      <c r="AY190">
        <v>1</v>
      </c>
      <c r="AZ190">
        <v>0</v>
      </c>
      <c r="BA190">
        <v>172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18.855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1</v>
      </c>
      <c r="BQ190">
        <v>18.855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1</v>
      </c>
      <c r="CV190">
        <v>0</v>
      </c>
      <c r="CW190">
        <v>0</v>
      </c>
      <c r="CX190">
        <f>ROUND(Y190*Source!I225,7)</f>
        <v>0.1</v>
      </c>
      <c r="CY190">
        <f>AA190</f>
        <v>57.7</v>
      </c>
      <c r="CZ190">
        <f>AE190</f>
        <v>37.71</v>
      </c>
      <c r="DA190">
        <f>AI190</f>
        <v>1.53</v>
      </c>
      <c r="DB190">
        <f>ROUND(ROUND(AT190*CZ190,2),6)</f>
        <v>18.86</v>
      </c>
      <c r="DC190">
        <f>ROUND(ROUND(AT190*AG190,2),6)</f>
        <v>0</v>
      </c>
      <c r="DD190" t="s">
        <v>3</v>
      </c>
      <c r="DE190" t="s">
        <v>3</v>
      </c>
      <c r="DF190">
        <f>ROUND(ROUND(AE190*AI190,2)*CX190,2)</f>
        <v>5.77</v>
      </c>
      <c r="DG190">
        <f t="shared" si="87"/>
        <v>0</v>
      </c>
      <c r="DH190">
        <f t="shared" si="64"/>
        <v>0</v>
      </c>
      <c r="DI190">
        <f t="shared" si="65"/>
        <v>0</v>
      </c>
      <c r="DJ190">
        <f>DF190</f>
        <v>5.77</v>
      </c>
      <c r="DK190">
        <v>0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ROW(Source!A225)</f>
        <v>225</v>
      </c>
      <c r="B191">
        <v>85997836</v>
      </c>
      <c r="C191">
        <v>85998551</v>
      </c>
      <c r="D191">
        <v>84257608</v>
      </c>
      <c r="E191">
        <v>1</v>
      </c>
      <c r="F191">
        <v>1</v>
      </c>
      <c r="G191">
        <v>1</v>
      </c>
      <c r="H191">
        <v>3</v>
      </c>
      <c r="I191" t="s">
        <v>577</v>
      </c>
      <c r="J191" t="s">
        <v>578</v>
      </c>
      <c r="K191" t="s">
        <v>579</v>
      </c>
      <c r="L191">
        <v>1346</v>
      </c>
      <c r="N191">
        <v>1009</v>
      </c>
      <c r="O191" t="s">
        <v>170</v>
      </c>
      <c r="P191" t="s">
        <v>170</v>
      </c>
      <c r="Q191">
        <v>1</v>
      </c>
      <c r="W191">
        <v>0</v>
      </c>
      <c r="X191">
        <v>291254868</v>
      </c>
      <c r="Y191">
        <f>AT191</f>
        <v>0.05</v>
      </c>
      <c r="AA191">
        <v>111.83</v>
      </c>
      <c r="AB191">
        <v>0</v>
      </c>
      <c r="AC191">
        <v>0</v>
      </c>
      <c r="AD191">
        <v>0</v>
      </c>
      <c r="AE191">
        <v>79.88</v>
      </c>
      <c r="AF191">
        <v>0</v>
      </c>
      <c r="AG191">
        <v>0</v>
      </c>
      <c r="AH191">
        <v>0</v>
      </c>
      <c r="AI191">
        <v>1.4</v>
      </c>
      <c r="AJ191">
        <v>1</v>
      </c>
      <c r="AK191">
        <v>1</v>
      </c>
      <c r="AL191">
        <v>1</v>
      </c>
      <c r="AM191">
        <v>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3</v>
      </c>
      <c r="AT191">
        <v>0.05</v>
      </c>
      <c r="AU191" t="s">
        <v>3</v>
      </c>
      <c r="AV191">
        <v>0</v>
      </c>
      <c r="AW191">
        <v>2</v>
      </c>
      <c r="AX191">
        <v>85998567</v>
      </c>
      <c r="AY191">
        <v>1</v>
      </c>
      <c r="AZ191">
        <v>0</v>
      </c>
      <c r="BA191">
        <v>173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3.9939999999999998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1</v>
      </c>
      <c r="BQ191">
        <v>3.9939999999999998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1</v>
      </c>
      <c r="CV191">
        <v>0</v>
      </c>
      <c r="CW191">
        <v>0</v>
      </c>
      <c r="CX191">
        <f>ROUND(Y191*Source!I225,7)</f>
        <v>0.01</v>
      </c>
      <c r="CY191">
        <f>AA191</f>
        <v>111.83</v>
      </c>
      <c r="CZ191">
        <f>AE191</f>
        <v>79.88</v>
      </c>
      <c r="DA191">
        <f>AI191</f>
        <v>1.4</v>
      </c>
      <c r="DB191">
        <f>ROUND(ROUND(AT191*CZ191,2),6)</f>
        <v>3.99</v>
      </c>
      <c r="DC191">
        <f>ROUND(ROUND(AT191*AG191,2),6)</f>
        <v>0</v>
      </c>
      <c r="DD191" t="s">
        <v>3</v>
      </c>
      <c r="DE191" t="s">
        <v>3</v>
      </c>
      <c r="DF191">
        <f>ROUND(ROUND(AE191*AI191,2)*CX191,2)</f>
        <v>1.1200000000000001</v>
      </c>
      <c r="DG191">
        <f t="shared" si="87"/>
        <v>0</v>
      </c>
      <c r="DH191">
        <f t="shared" si="64"/>
        <v>0</v>
      </c>
      <c r="DI191">
        <f t="shared" si="65"/>
        <v>0</v>
      </c>
      <c r="DJ191">
        <f>DF191</f>
        <v>1.1200000000000001</v>
      </c>
      <c r="DK191">
        <v>0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ROW(Source!A225)</f>
        <v>225</v>
      </c>
      <c r="B192">
        <v>85997836</v>
      </c>
      <c r="C192">
        <v>85998551</v>
      </c>
      <c r="D192">
        <v>84270845</v>
      </c>
      <c r="E192">
        <v>1</v>
      </c>
      <c r="F192">
        <v>1</v>
      </c>
      <c r="G192">
        <v>1</v>
      </c>
      <c r="H192">
        <v>3</v>
      </c>
      <c r="I192" t="s">
        <v>118</v>
      </c>
      <c r="J192" t="s">
        <v>120</v>
      </c>
      <c r="K192" t="s">
        <v>119</v>
      </c>
      <c r="L192">
        <v>1477</v>
      </c>
      <c r="N192">
        <v>1013</v>
      </c>
      <c r="O192" t="s">
        <v>114</v>
      </c>
      <c r="P192" t="s">
        <v>116</v>
      </c>
      <c r="Q192">
        <v>1</v>
      </c>
      <c r="W192">
        <v>0</v>
      </c>
      <c r="X192">
        <v>1901007357</v>
      </c>
      <c r="Y192">
        <f>AT192</f>
        <v>0.1</v>
      </c>
      <c r="AA192">
        <v>70449.91</v>
      </c>
      <c r="AB192">
        <v>0</v>
      </c>
      <c r="AC192">
        <v>0</v>
      </c>
      <c r="AD192">
        <v>0</v>
      </c>
      <c r="AE192">
        <v>70449.91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M192">
        <v>0</v>
      </c>
      <c r="AN192">
        <v>0</v>
      </c>
      <c r="AO192">
        <v>0</v>
      </c>
      <c r="AP192">
        <v>1</v>
      </c>
      <c r="AQ192">
        <v>0</v>
      </c>
      <c r="AR192">
        <v>0</v>
      </c>
      <c r="AS192" t="s">
        <v>3</v>
      </c>
      <c r="AT192">
        <v>0.1</v>
      </c>
      <c r="AU192" t="s">
        <v>3</v>
      </c>
      <c r="AV192">
        <v>0</v>
      </c>
      <c r="AW192">
        <v>1</v>
      </c>
      <c r="AX192">
        <v>-1</v>
      </c>
      <c r="AY192">
        <v>0</v>
      </c>
      <c r="AZ192">
        <v>0</v>
      </c>
      <c r="BA192" t="s">
        <v>3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V192">
        <v>0</v>
      </c>
      <c r="CW192">
        <v>0</v>
      </c>
      <c r="CX192">
        <f>ROUND(Y192*Source!I225,7)</f>
        <v>0.02</v>
      </c>
      <c r="CY192">
        <f>AA192</f>
        <v>70449.91</v>
      </c>
      <c r="CZ192">
        <f>AE192</f>
        <v>70449.91</v>
      </c>
      <c r="DA192">
        <f>AI192</f>
        <v>1</v>
      </c>
      <c r="DB192">
        <f>ROUND(ROUND(AT192*CZ192,2),6)</f>
        <v>7044.99</v>
      </c>
      <c r="DC192">
        <f>ROUND(ROUND(AT192*AG192,2),6)</f>
        <v>0</v>
      </c>
      <c r="DD192" t="s">
        <v>3</v>
      </c>
      <c r="DE192" t="s">
        <v>3</v>
      </c>
      <c r="DF192">
        <f t="shared" ref="DF192:DF197" si="90">ROUND(ROUND(AE192,2)*CX192,2)</f>
        <v>1409</v>
      </c>
      <c r="DG192">
        <f t="shared" si="87"/>
        <v>0</v>
      </c>
      <c r="DH192">
        <f t="shared" si="64"/>
        <v>0</v>
      </c>
      <c r="DI192">
        <f t="shared" si="65"/>
        <v>0</v>
      </c>
      <c r="DJ192">
        <f>DF192</f>
        <v>1409</v>
      </c>
      <c r="DK192">
        <v>1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">
      <c r="A193">
        <f>ROW(Source!A225)</f>
        <v>225</v>
      </c>
      <c r="B193">
        <v>85997836</v>
      </c>
      <c r="C193">
        <v>85998551</v>
      </c>
      <c r="D193">
        <v>84170596</v>
      </c>
      <c r="E193">
        <v>117</v>
      </c>
      <c r="F193">
        <v>1</v>
      </c>
      <c r="G193">
        <v>1</v>
      </c>
      <c r="H193">
        <v>3</v>
      </c>
      <c r="I193" t="s">
        <v>55</v>
      </c>
      <c r="J193" t="s">
        <v>3</v>
      </c>
      <c r="K193" t="s">
        <v>56</v>
      </c>
      <c r="L193">
        <v>3277935</v>
      </c>
      <c r="N193">
        <v>1013</v>
      </c>
      <c r="O193" t="s">
        <v>57</v>
      </c>
      <c r="P193" t="s">
        <v>57</v>
      </c>
      <c r="Q193">
        <v>1</v>
      </c>
      <c r="W193">
        <v>0</v>
      </c>
      <c r="X193">
        <v>274903907</v>
      </c>
      <c r="Y193">
        <f>AT193</f>
        <v>2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 t="s">
        <v>3</v>
      </c>
      <c r="AT193">
        <v>2</v>
      </c>
      <c r="AU193" t="s">
        <v>3</v>
      </c>
      <c r="AV193">
        <v>0</v>
      </c>
      <c r="AW193">
        <v>2</v>
      </c>
      <c r="AX193">
        <v>85998568</v>
      </c>
      <c r="AY193">
        <v>1</v>
      </c>
      <c r="AZ193">
        <v>0</v>
      </c>
      <c r="BA193">
        <v>174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V193">
        <v>0</v>
      </c>
      <c r="CW193">
        <v>0</v>
      </c>
      <c r="CX193">
        <f>ROUND(Y193*Source!I225,7)</f>
        <v>0.4</v>
      </c>
      <c r="CY193">
        <f>AA193</f>
        <v>0</v>
      </c>
      <c r="CZ193">
        <f>AE193</f>
        <v>0</v>
      </c>
      <c r="DA193">
        <f>AI193</f>
        <v>1</v>
      </c>
      <c r="DB193">
        <f>ROUND(ROUND(AT193*CZ193,2),6)</f>
        <v>0</v>
      </c>
      <c r="DC193">
        <f>ROUND(ROUND(AT193*AG193,2),6)</f>
        <v>0</v>
      </c>
      <c r="DD193" t="s">
        <v>3</v>
      </c>
      <c r="DE193" t="s">
        <v>3</v>
      </c>
      <c r="DF193">
        <f t="shared" si="90"/>
        <v>0</v>
      </c>
      <c r="DG193">
        <f t="shared" si="87"/>
        <v>0</v>
      </c>
      <c r="DH193">
        <f t="shared" ref="DH193:DH241" si="91">ROUND(ROUND(AG193,2)*CX193,2)</f>
        <v>0</v>
      </c>
      <c r="DI193">
        <f t="shared" ref="DI193:DI241" si="92">ROUND(ROUND(AH193,2)*CX193,2)</f>
        <v>0</v>
      </c>
      <c r="DJ193">
        <f>DF193</f>
        <v>0</v>
      </c>
      <c r="DK193">
        <v>0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">
      <c r="A194">
        <f>ROW(Source!A230)</f>
        <v>230</v>
      </c>
      <c r="B194">
        <v>85997836</v>
      </c>
      <c r="C194">
        <v>85998571</v>
      </c>
      <c r="D194">
        <v>84164598</v>
      </c>
      <c r="E194">
        <v>117</v>
      </c>
      <c r="F194">
        <v>1</v>
      </c>
      <c r="G194">
        <v>1</v>
      </c>
      <c r="H194">
        <v>1</v>
      </c>
      <c r="I194" t="s">
        <v>605</v>
      </c>
      <c r="J194" t="s">
        <v>3</v>
      </c>
      <c r="K194" t="s">
        <v>606</v>
      </c>
      <c r="L194">
        <v>1191</v>
      </c>
      <c r="N194">
        <v>1013</v>
      </c>
      <c r="O194" t="s">
        <v>541</v>
      </c>
      <c r="P194" t="s">
        <v>541</v>
      </c>
      <c r="Q194">
        <v>1</v>
      </c>
      <c r="W194">
        <v>0</v>
      </c>
      <c r="X194">
        <v>1522950421</v>
      </c>
      <c r="Y194">
        <f>(AT194*ROUND((0.2+1),7))</f>
        <v>36.576000000000001</v>
      </c>
      <c r="AA194">
        <v>0</v>
      </c>
      <c r="AB194">
        <v>0</v>
      </c>
      <c r="AC194">
        <v>0</v>
      </c>
      <c r="AD194">
        <v>743.6</v>
      </c>
      <c r="AE194">
        <v>0</v>
      </c>
      <c r="AF194">
        <v>0</v>
      </c>
      <c r="AG194">
        <v>0</v>
      </c>
      <c r="AH194">
        <v>743.6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3</v>
      </c>
      <c r="AT194">
        <v>30.48</v>
      </c>
      <c r="AU194" t="s">
        <v>398</v>
      </c>
      <c r="AV194">
        <v>1</v>
      </c>
      <c r="AW194">
        <v>2</v>
      </c>
      <c r="AX194">
        <v>85998582</v>
      </c>
      <c r="AY194">
        <v>1</v>
      </c>
      <c r="AZ194">
        <v>0</v>
      </c>
      <c r="BA194">
        <v>175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22664.928</v>
      </c>
      <c r="BN194">
        <v>30.48</v>
      </c>
      <c r="BO194">
        <v>0</v>
      </c>
      <c r="BP194">
        <v>1</v>
      </c>
      <c r="BQ194">
        <v>0</v>
      </c>
      <c r="BR194">
        <v>0</v>
      </c>
      <c r="BS194">
        <v>0</v>
      </c>
      <c r="BT194">
        <v>27197.9136</v>
      </c>
      <c r="BU194">
        <v>36.576000000000001</v>
      </c>
      <c r="BV194">
        <v>0</v>
      </c>
      <c r="BW194">
        <v>1</v>
      </c>
      <c r="CU194">
        <f>ROUND(AT194*Source!I230*AH194*AL194,2)</f>
        <v>3399.74</v>
      </c>
      <c r="CV194">
        <f>ROUND(Y194*Source!I230,7)</f>
        <v>5.4863999999999997</v>
      </c>
      <c r="CW194">
        <v>0</v>
      </c>
      <c r="CX194">
        <f>ROUND(Y194*Source!I230,7)</f>
        <v>5.4863999999999997</v>
      </c>
      <c r="CY194">
        <f>AD194</f>
        <v>743.6</v>
      </c>
      <c r="CZ194">
        <f>AH194</f>
        <v>743.6</v>
      </c>
      <c r="DA194">
        <f>AL194</f>
        <v>1</v>
      </c>
      <c r="DB194">
        <f>ROUND((ROUND(AT194*CZ194,2)*ROUND((0.2+1),7)),6)</f>
        <v>27197.916000000001</v>
      </c>
      <c r="DC194">
        <f>ROUND((ROUND(AT194*AG194,2)*ROUND((0.2+1),7)),6)</f>
        <v>0</v>
      </c>
      <c r="DD194" t="s">
        <v>3</v>
      </c>
      <c r="DE194" t="s">
        <v>3</v>
      </c>
      <c r="DF194">
        <f t="shared" si="90"/>
        <v>0</v>
      </c>
      <c r="DG194">
        <f t="shared" si="87"/>
        <v>0</v>
      </c>
      <c r="DH194">
        <f t="shared" si="91"/>
        <v>0</v>
      </c>
      <c r="DI194">
        <f t="shared" si="92"/>
        <v>4079.69</v>
      </c>
      <c r="DJ194">
        <f>DI194</f>
        <v>4079.69</v>
      </c>
      <c r="DK194">
        <v>1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">
      <c r="A195">
        <f>ROW(Source!A230)</f>
        <v>230</v>
      </c>
      <c r="B195">
        <v>85997836</v>
      </c>
      <c r="C195">
        <v>85998571</v>
      </c>
      <c r="D195">
        <v>84164762</v>
      </c>
      <c r="E195">
        <v>117</v>
      </c>
      <c r="F195">
        <v>1</v>
      </c>
      <c r="G195">
        <v>1</v>
      </c>
      <c r="H195">
        <v>1</v>
      </c>
      <c r="I195" t="s">
        <v>542</v>
      </c>
      <c r="J195" t="s">
        <v>3</v>
      </c>
      <c r="K195" t="s">
        <v>543</v>
      </c>
      <c r="L195">
        <v>1191</v>
      </c>
      <c r="N195">
        <v>1013</v>
      </c>
      <c r="O195" t="s">
        <v>541</v>
      </c>
      <c r="P195" t="s">
        <v>541</v>
      </c>
      <c r="Q195">
        <v>1</v>
      </c>
      <c r="W195">
        <v>0</v>
      </c>
      <c r="X195">
        <v>-1417349443</v>
      </c>
      <c r="Y195">
        <f>(AT195*ROUND((0.2+1),7))</f>
        <v>0.06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3</v>
      </c>
      <c r="AT195">
        <v>0.05</v>
      </c>
      <c r="AU195" t="s">
        <v>398</v>
      </c>
      <c r="AV195">
        <v>2</v>
      </c>
      <c r="AW195">
        <v>2</v>
      </c>
      <c r="AX195">
        <v>85998583</v>
      </c>
      <c r="AY195">
        <v>1</v>
      </c>
      <c r="AZ195">
        <v>0</v>
      </c>
      <c r="BA195">
        <v>176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V195">
        <v>0</v>
      </c>
      <c r="CW195">
        <v>0</v>
      </c>
      <c r="CX195">
        <f>ROUND(Y195*Source!I230,7)</f>
        <v>8.9999999999999993E-3</v>
      </c>
      <c r="CY195">
        <f>AD195</f>
        <v>0</v>
      </c>
      <c r="CZ195">
        <f>AH195</f>
        <v>0</v>
      </c>
      <c r="DA195">
        <f>AL195</f>
        <v>1</v>
      </c>
      <c r="DB195">
        <f>ROUND((ROUND(AT195*CZ195,2)*ROUND((0.2+1),7)),6)</f>
        <v>0</v>
      </c>
      <c r="DC195">
        <f>ROUND((ROUND(AT195*AG195,2)*ROUND((0.2+1),7)),6)</f>
        <v>0</v>
      </c>
      <c r="DD195" t="s">
        <v>3</v>
      </c>
      <c r="DE195" t="s">
        <v>3</v>
      </c>
      <c r="DF195">
        <f t="shared" si="90"/>
        <v>0</v>
      </c>
      <c r="DG195">
        <f t="shared" si="87"/>
        <v>0</v>
      </c>
      <c r="DH195">
        <f t="shared" si="91"/>
        <v>0</v>
      </c>
      <c r="DI195">
        <f t="shared" si="92"/>
        <v>0</v>
      </c>
      <c r="DJ195">
        <f>DI195</f>
        <v>0</v>
      </c>
      <c r="DK195">
        <v>0</v>
      </c>
      <c r="DL195" t="s">
        <v>3</v>
      </c>
      <c r="DM195">
        <v>0</v>
      </c>
      <c r="DN195" t="s">
        <v>3</v>
      </c>
      <c r="DO195">
        <v>0</v>
      </c>
    </row>
    <row r="196" spans="1:119" x14ac:dyDescent="0.2">
      <c r="A196">
        <f>ROW(Source!A230)</f>
        <v>230</v>
      </c>
      <c r="B196">
        <v>85997836</v>
      </c>
      <c r="C196">
        <v>85998571</v>
      </c>
      <c r="D196">
        <v>84171251</v>
      </c>
      <c r="E196">
        <v>1</v>
      </c>
      <c r="F196">
        <v>1</v>
      </c>
      <c r="G196">
        <v>1</v>
      </c>
      <c r="H196">
        <v>2</v>
      </c>
      <c r="I196" t="s">
        <v>123</v>
      </c>
      <c r="J196" t="s">
        <v>125</v>
      </c>
      <c r="K196" t="s">
        <v>124</v>
      </c>
      <c r="L196">
        <v>1368</v>
      </c>
      <c r="N196">
        <v>1011</v>
      </c>
      <c r="O196" t="s">
        <v>29</v>
      </c>
      <c r="P196" t="s">
        <v>29</v>
      </c>
      <c r="Q196">
        <v>1</v>
      </c>
      <c r="W196">
        <v>0</v>
      </c>
      <c r="X196">
        <v>639918019</v>
      </c>
      <c r="Y196">
        <f>(AT196*ROUND((0.2+1),7))</f>
        <v>-4.3199999999999995E-2</v>
      </c>
      <c r="AA196">
        <v>0</v>
      </c>
      <c r="AB196">
        <v>1629.55</v>
      </c>
      <c r="AC196">
        <v>969.91</v>
      </c>
      <c r="AD196">
        <v>0</v>
      </c>
      <c r="AE196">
        <v>0</v>
      </c>
      <c r="AF196">
        <v>1629.55</v>
      </c>
      <c r="AG196">
        <v>969.91</v>
      </c>
      <c r="AH196">
        <v>0</v>
      </c>
      <c r="AI196">
        <v>1</v>
      </c>
      <c r="AJ196">
        <v>1</v>
      </c>
      <c r="AK196">
        <v>1</v>
      </c>
      <c r="AL196">
        <v>1</v>
      </c>
      <c r="AM196">
        <v>-2</v>
      </c>
      <c r="AN196">
        <v>0</v>
      </c>
      <c r="AO196">
        <v>0</v>
      </c>
      <c r="AP196">
        <v>1</v>
      </c>
      <c r="AQ196">
        <v>0</v>
      </c>
      <c r="AR196">
        <v>0</v>
      </c>
      <c r="AS196" t="s">
        <v>3</v>
      </c>
      <c r="AT196">
        <v>-3.5999999999999997E-2</v>
      </c>
      <c r="AU196" t="s">
        <v>398</v>
      </c>
      <c r="AV196">
        <v>1</v>
      </c>
      <c r="AW196">
        <v>2</v>
      </c>
      <c r="AX196">
        <v>85998584</v>
      </c>
      <c r="AY196">
        <v>1</v>
      </c>
      <c r="AZ196">
        <v>6144</v>
      </c>
      <c r="BA196">
        <v>177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V196">
        <v>0</v>
      </c>
      <c r="CW196">
        <f>ROUND(Y196*Source!I230*DO196,7)</f>
        <v>-6.4799999999999996E-3</v>
      </c>
      <c r="CX196">
        <f>ROUND(Y196*Source!I230,7)</f>
        <v>-6.4799999999999996E-3</v>
      </c>
      <c r="CY196">
        <f>AB196</f>
        <v>1629.55</v>
      </c>
      <c r="CZ196">
        <f>AF196</f>
        <v>1629.55</v>
      </c>
      <c r="DA196">
        <f>AJ196</f>
        <v>1</v>
      </c>
      <c r="DB196">
        <f>ROUND((ROUND(AT196*CZ196,2)*ROUND((0.2+1),7)),6)</f>
        <v>-70.391999999999996</v>
      </c>
      <c r="DC196">
        <f>ROUND((ROUND(AT196*AG196,2)*ROUND((0.2+1),7)),6)</f>
        <v>-41.904000000000003</v>
      </c>
      <c r="DD196" t="s">
        <v>3</v>
      </c>
      <c r="DE196" t="s">
        <v>3</v>
      </c>
      <c r="DF196">
        <f t="shared" si="90"/>
        <v>0</v>
      </c>
      <c r="DG196">
        <f t="shared" si="87"/>
        <v>-10.56</v>
      </c>
      <c r="DH196">
        <f t="shared" si="91"/>
        <v>-6.29</v>
      </c>
      <c r="DI196">
        <f t="shared" si="92"/>
        <v>0</v>
      </c>
      <c r="DJ196">
        <f>DG196+DH196</f>
        <v>-16.850000000000001</v>
      </c>
      <c r="DK196">
        <v>1</v>
      </c>
      <c r="DL196" t="s">
        <v>599</v>
      </c>
      <c r="DM196">
        <v>6</v>
      </c>
      <c r="DN196" t="s">
        <v>541</v>
      </c>
      <c r="DO196">
        <v>1</v>
      </c>
    </row>
    <row r="197" spans="1:119" x14ac:dyDescent="0.2">
      <c r="A197">
        <f>ROW(Source!A230)</f>
        <v>230</v>
      </c>
      <c r="B197">
        <v>85997836</v>
      </c>
      <c r="C197">
        <v>85998571</v>
      </c>
      <c r="D197">
        <v>84172146</v>
      </c>
      <c r="E197">
        <v>1</v>
      </c>
      <c r="F197">
        <v>1</v>
      </c>
      <c r="G197">
        <v>1</v>
      </c>
      <c r="H197">
        <v>2</v>
      </c>
      <c r="I197" t="s">
        <v>127</v>
      </c>
      <c r="J197" t="s">
        <v>129</v>
      </c>
      <c r="K197" t="s">
        <v>128</v>
      </c>
      <c r="L197">
        <v>1368</v>
      </c>
      <c r="N197">
        <v>1011</v>
      </c>
      <c r="O197" t="s">
        <v>29</v>
      </c>
      <c r="P197" t="s">
        <v>29</v>
      </c>
      <c r="Q197">
        <v>1</v>
      </c>
      <c r="W197">
        <v>0</v>
      </c>
      <c r="X197">
        <v>-849950259</v>
      </c>
      <c r="Y197">
        <f>(AT197*ROUND((0.2+1),7))</f>
        <v>-2.8799999999999999E-2</v>
      </c>
      <c r="AA197">
        <v>0</v>
      </c>
      <c r="AB197">
        <v>643.29</v>
      </c>
      <c r="AC197">
        <v>722.05</v>
      </c>
      <c r="AD197">
        <v>0</v>
      </c>
      <c r="AE197">
        <v>0</v>
      </c>
      <c r="AF197">
        <v>643.29</v>
      </c>
      <c r="AG197">
        <v>722.05</v>
      </c>
      <c r="AH197">
        <v>0</v>
      </c>
      <c r="AI197">
        <v>1</v>
      </c>
      <c r="AJ197">
        <v>1</v>
      </c>
      <c r="AK197">
        <v>1</v>
      </c>
      <c r="AL197">
        <v>1</v>
      </c>
      <c r="AM197">
        <v>-2</v>
      </c>
      <c r="AN197">
        <v>0</v>
      </c>
      <c r="AO197">
        <v>0</v>
      </c>
      <c r="AP197">
        <v>1</v>
      </c>
      <c r="AQ197">
        <v>0</v>
      </c>
      <c r="AR197">
        <v>0</v>
      </c>
      <c r="AS197" t="s">
        <v>3</v>
      </c>
      <c r="AT197">
        <v>-2.4E-2</v>
      </c>
      <c r="AU197" t="s">
        <v>398</v>
      </c>
      <c r="AV197">
        <v>1</v>
      </c>
      <c r="AW197">
        <v>2</v>
      </c>
      <c r="AX197">
        <v>85998585</v>
      </c>
      <c r="AY197">
        <v>1</v>
      </c>
      <c r="AZ197">
        <v>6144</v>
      </c>
      <c r="BA197">
        <v>178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V197">
        <v>0</v>
      </c>
      <c r="CW197">
        <f>ROUND(Y197*Source!I230*DO197,7)</f>
        <v>-4.3200000000000001E-3</v>
      </c>
      <c r="CX197">
        <f>ROUND(Y197*Source!I230,7)</f>
        <v>-4.3200000000000001E-3</v>
      </c>
      <c r="CY197">
        <f>AB197</f>
        <v>643.29</v>
      </c>
      <c r="CZ197">
        <f>AF197</f>
        <v>643.29</v>
      </c>
      <c r="DA197">
        <f>AJ197</f>
        <v>1</v>
      </c>
      <c r="DB197">
        <f>ROUND((ROUND(AT197*CZ197,2)*ROUND((0.2+1),7)),6)</f>
        <v>-18.527999999999999</v>
      </c>
      <c r="DC197">
        <f>ROUND((ROUND(AT197*AG197,2)*ROUND((0.2+1),7)),6)</f>
        <v>-20.795999999999999</v>
      </c>
      <c r="DD197" t="s">
        <v>3</v>
      </c>
      <c r="DE197" t="s">
        <v>3</v>
      </c>
      <c r="DF197">
        <f t="shared" si="90"/>
        <v>0</v>
      </c>
      <c r="DG197">
        <f t="shared" si="87"/>
        <v>-2.78</v>
      </c>
      <c r="DH197">
        <f t="shared" si="91"/>
        <v>-3.12</v>
      </c>
      <c r="DI197">
        <f t="shared" si="92"/>
        <v>0</v>
      </c>
      <c r="DJ197">
        <f>DG197+DH197</f>
        <v>-5.9</v>
      </c>
      <c r="DK197">
        <v>1</v>
      </c>
      <c r="DL197" t="s">
        <v>600</v>
      </c>
      <c r="DM197">
        <v>4</v>
      </c>
      <c r="DN197" t="s">
        <v>541</v>
      </c>
      <c r="DO197">
        <v>1</v>
      </c>
    </row>
    <row r="198" spans="1:119" x14ac:dyDescent="0.2">
      <c r="A198">
        <f>ROW(Source!A230)</f>
        <v>230</v>
      </c>
      <c r="B198">
        <v>85997836</v>
      </c>
      <c r="C198">
        <v>85998571</v>
      </c>
      <c r="D198">
        <v>84239073</v>
      </c>
      <c r="E198">
        <v>1</v>
      </c>
      <c r="F198">
        <v>1</v>
      </c>
      <c r="G198">
        <v>1</v>
      </c>
      <c r="H198">
        <v>3</v>
      </c>
      <c r="I198" t="s">
        <v>562</v>
      </c>
      <c r="J198" t="s">
        <v>563</v>
      </c>
      <c r="K198" t="s">
        <v>564</v>
      </c>
      <c r="L198">
        <v>1301</v>
      </c>
      <c r="N198">
        <v>1003</v>
      </c>
      <c r="O198" t="s">
        <v>364</v>
      </c>
      <c r="P198" t="s">
        <v>364</v>
      </c>
      <c r="Q198">
        <v>1</v>
      </c>
      <c r="W198">
        <v>0</v>
      </c>
      <c r="X198">
        <v>-1499427467</v>
      </c>
      <c r="Y198">
        <f t="shared" ref="Y198:Y203" si="93">AT198</f>
        <v>35</v>
      </c>
      <c r="AA198">
        <v>5.17</v>
      </c>
      <c r="AB198">
        <v>0</v>
      </c>
      <c r="AC198">
        <v>0</v>
      </c>
      <c r="AD198">
        <v>0</v>
      </c>
      <c r="AE198">
        <v>5.87</v>
      </c>
      <c r="AF198">
        <v>0</v>
      </c>
      <c r="AG198">
        <v>0</v>
      </c>
      <c r="AH198">
        <v>0</v>
      </c>
      <c r="AI198">
        <v>0.88</v>
      </c>
      <c r="AJ198">
        <v>1</v>
      </c>
      <c r="AK198">
        <v>1</v>
      </c>
      <c r="AL198">
        <v>1</v>
      </c>
      <c r="AM198">
        <v>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3</v>
      </c>
      <c r="AT198">
        <v>35</v>
      </c>
      <c r="AU198" t="s">
        <v>3</v>
      </c>
      <c r="AV198">
        <v>0</v>
      </c>
      <c r="AW198">
        <v>2</v>
      </c>
      <c r="AX198">
        <v>85998586</v>
      </c>
      <c r="AY198">
        <v>1</v>
      </c>
      <c r="AZ198">
        <v>0</v>
      </c>
      <c r="BA198">
        <v>179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205.45000000000002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1</v>
      </c>
      <c r="BQ198">
        <v>205.45000000000002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1</v>
      </c>
      <c r="CV198">
        <v>0</v>
      </c>
      <c r="CW198">
        <v>0</v>
      </c>
      <c r="CX198">
        <f>ROUND(Y198*Source!I230,7)</f>
        <v>5.25</v>
      </c>
      <c r="CY198">
        <f t="shared" ref="CY198:CY203" si="94">AA198</f>
        <v>5.17</v>
      </c>
      <c r="CZ198">
        <f t="shared" ref="CZ198:CZ203" si="95">AE198</f>
        <v>5.87</v>
      </c>
      <c r="DA198">
        <f t="shared" ref="DA198:DA203" si="96">AI198</f>
        <v>0.88</v>
      </c>
      <c r="DB198">
        <f t="shared" ref="DB198:DB203" si="97">ROUND(ROUND(AT198*CZ198,2),6)</f>
        <v>205.45</v>
      </c>
      <c r="DC198">
        <f t="shared" ref="DC198:DC203" si="98">ROUND(ROUND(AT198*AG198,2),6)</f>
        <v>0</v>
      </c>
      <c r="DD198" t="s">
        <v>3</v>
      </c>
      <c r="DE198" t="s">
        <v>3</v>
      </c>
      <c r="DF198">
        <f>ROUND(ROUND(AE198*AI198,2)*CX198,2)</f>
        <v>27.14</v>
      </c>
      <c r="DG198">
        <f t="shared" si="87"/>
        <v>0</v>
      </c>
      <c r="DH198">
        <f t="shared" si="91"/>
        <v>0</v>
      </c>
      <c r="DI198">
        <f t="shared" si="92"/>
        <v>0</v>
      </c>
      <c r="DJ198">
        <f t="shared" ref="DJ198:DJ203" si="99">DF198</f>
        <v>27.14</v>
      </c>
      <c r="DK198">
        <v>0</v>
      </c>
      <c r="DL198" t="s">
        <v>3</v>
      </c>
      <c r="DM198">
        <v>0</v>
      </c>
      <c r="DN198" t="s">
        <v>3</v>
      </c>
      <c r="DO198">
        <v>0</v>
      </c>
    </row>
    <row r="199" spans="1:119" x14ac:dyDescent="0.2">
      <c r="A199">
        <f>ROW(Source!A230)</f>
        <v>230</v>
      </c>
      <c r="B199">
        <v>85997836</v>
      </c>
      <c r="C199">
        <v>85998571</v>
      </c>
      <c r="D199">
        <v>84240416</v>
      </c>
      <c r="E199">
        <v>1</v>
      </c>
      <c r="F199">
        <v>1</v>
      </c>
      <c r="G199">
        <v>1</v>
      </c>
      <c r="H199">
        <v>3</v>
      </c>
      <c r="I199" t="s">
        <v>301</v>
      </c>
      <c r="J199" t="s">
        <v>303</v>
      </c>
      <c r="K199" t="s">
        <v>302</v>
      </c>
      <c r="L199">
        <v>1346</v>
      </c>
      <c r="N199">
        <v>1009</v>
      </c>
      <c r="O199" t="s">
        <v>170</v>
      </c>
      <c r="P199" t="s">
        <v>170</v>
      </c>
      <c r="Q199">
        <v>1</v>
      </c>
      <c r="W199">
        <v>0</v>
      </c>
      <c r="X199">
        <v>-1131385474</v>
      </c>
      <c r="Y199">
        <f t="shared" si="93"/>
        <v>1.5</v>
      </c>
      <c r="AA199">
        <v>190.67</v>
      </c>
      <c r="AB199">
        <v>0</v>
      </c>
      <c r="AC199">
        <v>0</v>
      </c>
      <c r="AD199">
        <v>0</v>
      </c>
      <c r="AE199">
        <v>174.93</v>
      </c>
      <c r="AF199">
        <v>0</v>
      </c>
      <c r="AG199">
        <v>0</v>
      </c>
      <c r="AH199">
        <v>0</v>
      </c>
      <c r="AI199">
        <v>1.0900000000000001</v>
      </c>
      <c r="AJ199">
        <v>1</v>
      </c>
      <c r="AK199">
        <v>1</v>
      </c>
      <c r="AL199">
        <v>1</v>
      </c>
      <c r="AM199">
        <v>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3</v>
      </c>
      <c r="AT199">
        <v>1.5</v>
      </c>
      <c r="AU199" t="s">
        <v>3</v>
      </c>
      <c r="AV199">
        <v>0</v>
      </c>
      <c r="AW199">
        <v>2</v>
      </c>
      <c r="AX199">
        <v>85998587</v>
      </c>
      <c r="AY199">
        <v>1</v>
      </c>
      <c r="AZ199">
        <v>0</v>
      </c>
      <c r="BA199">
        <v>180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262.39499999999998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1</v>
      </c>
      <c r="BQ199">
        <v>262.39499999999998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1</v>
      </c>
      <c r="CV199">
        <v>0</v>
      </c>
      <c r="CW199">
        <v>0</v>
      </c>
      <c r="CX199">
        <f>ROUND(Y199*Source!I230,7)</f>
        <v>0.22500000000000001</v>
      </c>
      <c r="CY199">
        <f t="shared" si="94"/>
        <v>190.67</v>
      </c>
      <c r="CZ199">
        <f t="shared" si="95"/>
        <v>174.93</v>
      </c>
      <c r="DA199">
        <f t="shared" si="96"/>
        <v>1.0900000000000001</v>
      </c>
      <c r="DB199">
        <f t="shared" si="97"/>
        <v>262.39999999999998</v>
      </c>
      <c r="DC199">
        <f t="shared" si="98"/>
        <v>0</v>
      </c>
      <c r="DD199" t="s">
        <v>3</v>
      </c>
      <c r="DE199" t="s">
        <v>3</v>
      </c>
      <c r="DF199">
        <f>ROUND(ROUND(AE199*AI199,2)*CX199,2)</f>
        <v>42.9</v>
      </c>
      <c r="DG199">
        <f t="shared" si="87"/>
        <v>0</v>
      </c>
      <c r="DH199">
        <f t="shared" si="91"/>
        <v>0</v>
      </c>
      <c r="DI199">
        <f t="shared" si="92"/>
        <v>0</v>
      </c>
      <c r="DJ199">
        <f t="shared" si="99"/>
        <v>42.9</v>
      </c>
      <c r="DK199">
        <v>0</v>
      </c>
      <c r="DL199" t="s">
        <v>3</v>
      </c>
      <c r="DM199">
        <v>0</v>
      </c>
      <c r="DN199" t="s">
        <v>3</v>
      </c>
      <c r="DO199">
        <v>0</v>
      </c>
    </row>
    <row r="200" spans="1:119" x14ac:dyDescent="0.2">
      <c r="A200">
        <f>ROW(Source!A230)</f>
        <v>230</v>
      </c>
      <c r="B200">
        <v>85997836</v>
      </c>
      <c r="C200">
        <v>85998571</v>
      </c>
      <c r="D200">
        <v>84242262</v>
      </c>
      <c r="E200">
        <v>1</v>
      </c>
      <c r="F200">
        <v>1</v>
      </c>
      <c r="G200">
        <v>1</v>
      </c>
      <c r="H200">
        <v>3</v>
      </c>
      <c r="I200" t="s">
        <v>607</v>
      </c>
      <c r="J200" t="s">
        <v>608</v>
      </c>
      <c r="K200" t="s">
        <v>609</v>
      </c>
      <c r="L200">
        <v>1348</v>
      </c>
      <c r="N200">
        <v>1009</v>
      </c>
      <c r="O200" t="s">
        <v>165</v>
      </c>
      <c r="P200" t="s">
        <v>165</v>
      </c>
      <c r="Q200">
        <v>1000</v>
      </c>
      <c r="W200">
        <v>0</v>
      </c>
      <c r="X200">
        <v>-290124041</v>
      </c>
      <c r="Y200">
        <f t="shared" si="93"/>
        <v>3.15E-3</v>
      </c>
      <c r="AA200">
        <v>6073.58</v>
      </c>
      <c r="AB200">
        <v>0</v>
      </c>
      <c r="AC200">
        <v>0</v>
      </c>
      <c r="AD200">
        <v>0</v>
      </c>
      <c r="AE200">
        <v>4338.2700000000004</v>
      </c>
      <c r="AF200">
        <v>0</v>
      </c>
      <c r="AG200">
        <v>0</v>
      </c>
      <c r="AH200">
        <v>0</v>
      </c>
      <c r="AI200">
        <v>1.4</v>
      </c>
      <c r="AJ200">
        <v>1</v>
      </c>
      <c r="AK200">
        <v>1</v>
      </c>
      <c r="AL200">
        <v>1</v>
      </c>
      <c r="AM200">
        <v>2</v>
      </c>
      <c r="AN200">
        <v>0</v>
      </c>
      <c r="AO200">
        <v>0</v>
      </c>
      <c r="AP200">
        <v>1</v>
      </c>
      <c r="AQ200">
        <v>1</v>
      </c>
      <c r="AR200">
        <v>0</v>
      </c>
      <c r="AS200" t="s">
        <v>3</v>
      </c>
      <c r="AT200">
        <v>3.15E-3</v>
      </c>
      <c r="AU200" t="s">
        <v>3</v>
      </c>
      <c r="AV200">
        <v>0</v>
      </c>
      <c r="AW200">
        <v>2</v>
      </c>
      <c r="AX200">
        <v>85998588</v>
      </c>
      <c r="AY200">
        <v>1</v>
      </c>
      <c r="AZ200">
        <v>0</v>
      </c>
      <c r="BA200">
        <v>181</v>
      </c>
      <c r="BB200">
        <v>1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13.665550500000002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1</v>
      </c>
      <c r="BQ200">
        <v>13.665550500000002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1</v>
      </c>
      <c r="CV200">
        <v>0</v>
      </c>
      <c r="CW200">
        <v>0</v>
      </c>
      <c r="CX200">
        <f>ROUND(Y200*Source!I230,7)</f>
        <v>4.7249999999999999E-4</v>
      </c>
      <c r="CY200">
        <f t="shared" si="94"/>
        <v>6073.58</v>
      </c>
      <c r="CZ200">
        <f t="shared" si="95"/>
        <v>4338.2700000000004</v>
      </c>
      <c r="DA200">
        <f t="shared" si="96"/>
        <v>1.4</v>
      </c>
      <c r="DB200">
        <f t="shared" si="97"/>
        <v>13.67</v>
      </c>
      <c r="DC200">
        <f t="shared" si="98"/>
        <v>0</v>
      </c>
      <c r="DD200" t="s">
        <v>3</v>
      </c>
      <c r="DE200" t="s">
        <v>3</v>
      </c>
      <c r="DF200">
        <f>ROUND(ROUND(AE200*AI200,2)*CX200,2)</f>
        <v>2.87</v>
      </c>
      <c r="DG200">
        <f t="shared" si="87"/>
        <v>0</v>
      </c>
      <c r="DH200">
        <f t="shared" si="91"/>
        <v>0</v>
      </c>
      <c r="DI200">
        <f t="shared" si="92"/>
        <v>0</v>
      </c>
      <c r="DJ200">
        <f t="shared" si="99"/>
        <v>2.87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ROW(Source!A230)</f>
        <v>230</v>
      </c>
      <c r="B201">
        <v>85997836</v>
      </c>
      <c r="C201">
        <v>85998571</v>
      </c>
      <c r="D201">
        <v>84265246</v>
      </c>
      <c r="E201">
        <v>1</v>
      </c>
      <c r="F201">
        <v>1</v>
      </c>
      <c r="G201">
        <v>1</v>
      </c>
      <c r="H201">
        <v>3</v>
      </c>
      <c r="I201" t="s">
        <v>610</v>
      </c>
      <c r="J201" t="s">
        <v>611</v>
      </c>
      <c r="K201" t="s">
        <v>612</v>
      </c>
      <c r="L201">
        <v>1407</v>
      </c>
      <c r="N201">
        <v>1013</v>
      </c>
      <c r="O201" t="s">
        <v>595</v>
      </c>
      <c r="P201" t="s">
        <v>595</v>
      </c>
      <c r="Q201">
        <v>1</v>
      </c>
      <c r="W201">
        <v>0</v>
      </c>
      <c r="X201">
        <v>-675320531</v>
      </c>
      <c r="Y201">
        <f t="shared" si="93"/>
        <v>0.10199999999999999</v>
      </c>
      <c r="AA201">
        <v>5049.34</v>
      </c>
      <c r="AB201">
        <v>0</v>
      </c>
      <c r="AC201">
        <v>0</v>
      </c>
      <c r="AD201">
        <v>0</v>
      </c>
      <c r="AE201">
        <v>3658.94</v>
      </c>
      <c r="AF201">
        <v>0</v>
      </c>
      <c r="AG201">
        <v>0</v>
      </c>
      <c r="AH201">
        <v>0</v>
      </c>
      <c r="AI201">
        <v>1.38</v>
      </c>
      <c r="AJ201">
        <v>1</v>
      </c>
      <c r="AK201">
        <v>1</v>
      </c>
      <c r="AL201">
        <v>1</v>
      </c>
      <c r="AM201">
        <v>2</v>
      </c>
      <c r="AN201">
        <v>0</v>
      </c>
      <c r="AO201">
        <v>0</v>
      </c>
      <c r="AP201">
        <v>1</v>
      </c>
      <c r="AQ201">
        <v>1</v>
      </c>
      <c r="AR201">
        <v>0</v>
      </c>
      <c r="AS201" t="s">
        <v>3</v>
      </c>
      <c r="AT201">
        <v>0.10199999999999999</v>
      </c>
      <c r="AU201" t="s">
        <v>3</v>
      </c>
      <c r="AV201">
        <v>0</v>
      </c>
      <c r="AW201">
        <v>2</v>
      </c>
      <c r="AX201">
        <v>85998589</v>
      </c>
      <c r="AY201">
        <v>1</v>
      </c>
      <c r="AZ201">
        <v>0</v>
      </c>
      <c r="BA201">
        <v>182</v>
      </c>
      <c r="BB201">
        <v>1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373.21188000000001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1</v>
      </c>
      <c r="BQ201">
        <v>373.21188000000001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1</v>
      </c>
      <c r="CV201">
        <v>0</v>
      </c>
      <c r="CW201">
        <v>0</v>
      </c>
      <c r="CX201">
        <f>ROUND(Y201*Source!I230,7)</f>
        <v>1.5299999999999999E-2</v>
      </c>
      <c r="CY201">
        <f t="shared" si="94"/>
        <v>5049.34</v>
      </c>
      <c r="CZ201">
        <f t="shared" si="95"/>
        <v>3658.94</v>
      </c>
      <c r="DA201">
        <f t="shared" si="96"/>
        <v>1.38</v>
      </c>
      <c r="DB201">
        <f t="shared" si="97"/>
        <v>373.21</v>
      </c>
      <c r="DC201">
        <f t="shared" si="98"/>
        <v>0</v>
      </c>
      <c r="DD201" t="s">
        <v>3</v>
      </c>
      <c r="DE201" t="s">
        <v>3</v>
      </c>
      <c r="DF201">
        <f>ROUND(ROUND(AE201*AI201,2)*CX201,2)</f>
        <v>77.25</v>
      </c>
      <c r="DG201">
        <f t="shared" si="87"/>
        <v>0</v>
      </c>
      <c r="DH201">
        <f t="shared" si="91"/>
        <v>0</v>
      </c>
      <c r="DI201">
        <f t="shared" si="92"/>
        <v>0</v>
      </c>
      <c r="DJ201">
        <f t="shared" si="99"/>
        <v>77.25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ROW(Source!A230)</f>
        <v>230</v>
      </c>
      <c r="B202">
        <v>85997836</v>
      </c>
      <c r="C202">
        <v>85998571</v>
      </c>
      <c r="D202">
        <v>84267934</v>
      </c>
      <c r="E202">
        <v>1</v>
      </c>
      <c r="F202">
        <v>1</v>
      </c>
      <c r="G202">
        <v>1</v>
      </c>
      <c r="H202">
        <v>3</v>
      </c>
      <c r="I202" t="s">
        <v>135</v>
      </c>
      <c r="J202" t="s">
        <v>137</v>
      </c>
      <c r="K202" t="s">
        <v>406</v>
      </c>
      <c r="L202">
        <v>1371</v>
      </c>
      <c r="N202">
        <v>1013</v>
      </c>
      <c r="O202" t="s">
        <v>43</v>
      </c>
      <c r="P202" t="s">
        <v>43</v>
      </c>
      <c r="Q202">
        <v>1</v>
      </c>
      <c r="W202">
        <v>0</v>
      </c>
      <c r="X202">
        <v>-2138475771</v>
      </c>
      <c r="Y202">
        <f t="shared" si="93"/>
        <v>100</v>
      </c>
      <c r="AA202">
        <v>68.2</v>
      </c>
      <c r="AB202">
        <v>0</v>
      </c>
      <c r="AC202">
        <v>0</v>
      </c>
      <c r="AD202">
        <v>0</v>
      </c>
      <c r="AE202">
        <v>74.94</v>
      </c>
      <c r="AF202">
        <v>0</v>
      </c>
      <c r="AG202">
        <v>0</v>
      </c>
      <c r="AH202">
        <v>0</v>
      </c>
      <c r="AI202">
        <v>0.91</v>
      </c>
      <c r="AJ202">
        <v>1</v>
      </c>
      <c r="AK202">
        <v>1</v>
      </c>
      <c r="AL202">
        <v>1</v>
      </c>
      <c r="AM202">
        <v>0</v>
      </c>
      <c r="AN202">
        <v>0</v>
      </c>
      <c r="AO202">
        <v>0</v>
      </c>
      <c r="AP202">
        <v>1</v>
      </c>
      <c r="AQ202">
        <v>0</v>
      </c>
      <c r="AR202">
        <v>0</v>
      </c>
      <c r="AS202" t="s">
        <v>3</v>
      </c>
      <c r="AT202">
        <v>100</v>
      </c>
      <c r="AU202" t="s">
        <v>3</v>
      </c>
      <c r="AV202">
        <v>0</v>
      </c>
      <c r="AW202">
        <v>1</v>
      </c>
      <c r="AX202">
        <v>-1</v>
      </c>
      <c r="AY202">
        <v>0</v>
      </c>
      <c r="AZ202">
        <v>0</v>
      </c>
      <c r="BA202" t="s">
        <v>3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ROUND(Y202*Source!I230,7)</f>
        <v>15</v>
      </c>
      <c r="CY202">
        <f t="shared" si="94"/>
        <v>68.2</v>
      </c>
      <c r="CZ202">
        <f t="shared" si="95"/>
        <v>74.94</v>
      </c>
      <c r="DA202">
        <f t="shared" si="96"/>
        <v>0.91</v>
      </c>
      <c r="DB202">
        <f t="shared" si="97"/>
        <v>7494</v>
      </c>
      <c r="DC202">
        <f t="shared" si="98"/>
        <v>0</v>
      </c>
      <c r="DD202" t="s">
        <v>3</v>
      </c>
      <c r="DE202" t="s">
        <v>3</v>
      </c>
      <c r="DF202">
        <f>ROUND(ROUND(AE202*AI202,2)*CX202,2)</f>
        <v>1023</v>
      </c>
      <c r="DG202">
        <f t="shared" si="87"/>
        <v>0</v>
      </c>
      <c r="DH202">
        <f t="shared" si="91"/>
        <v>0</v>
      </c>
      <c r="DI202">
        <f t="shared" si="92"/>
        <v>0</v>
      </c>
      <c r="DJ202">
        <f t="shared" si="99"/>
        <v>1023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">
      <c r="A203">
        <f>ROW(Source!A230)</f>
        <v>230</v>
      </c>
      <c r="B203">
        <v>85997836</v>
      </c>
      <c r="C203">
        <v>85998571</v>
      </c>
      <c r="D203">
        <v>84170596</v>
      </c>
      <c r="E203">
        <v>117</v>
      </c>
      <c r="F203">
        <v>1</v>
      </c>
      <c r="G203">
        <v>1</v>
      </c>
      <c r="H203">
        <v>3</v>
      </c>
      <c r="I203" t="s">
        <v>55</v>
      </c>
      <c r="J203" t="s">
        <v>3</v>
      </c>
      <c r="K203" t="s">
        <v>56</v>
      </c>
      <c r="L203">
        <v>3277935</v>
      </c>
      <c r="N203">
        <v>1013</v>
      </c>
      <c r="O203" t="s">
        <v>57</v>
      </c>
      <c r="P203" t="s">
        <v>57</v>
      </c>
      <c r="Q203">
        <v>1</v>
      </c>
      <c r="W203">
        <v>0</v>
      </c>
      <c r="X203">
        <v>274903907</v>
      </c>
      <c r="Y203">
        <f t="shared" si="93"/>
        <v>2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 t="s">
        <v>3</v>
      </c>
      <c r="AT203">
        <v>2</v>
      </c>
      <c r="AU203" t="s">
        <v>3</v>
      </c>
      <c r="AV203">
        <v>0</v>
      </c>
      <c r="AW203">
        <v>2</v>
      </c>
      <c r="AX203">
        <v>85998590</v>
      </c>
      <c r="AY203">
        <v>1</v>
      </c>
      <c r="AZ203">
        <v>0</v>
      </c>
      <c r="BA203">
        <v>183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V203">
        <v>0</v>
      </c>
      <c r="CW203">
        <v>0</v>
      </c>
      <c r="CX203">
        <f>ROUND(Y203*Source!I230,7)</f>
        <v>0.3</v>
      </c>
      <c r="CY203">
        <f t="shared" si="94"/>
        <v>0</v>
      </c>
      <c r="CZ203">
        <f t="shared" si="95"/>
        <v>0</v>
      </c>
      <c r="DA203">
        <f t="shared" si="96"/>
        <v>1</v>
      </c>
      <c r="DB203">
        <f t="shared" si="97"/>
        <v>0</v>
      </c>
      <c r="DC203">
        <f t="shared" si="98"/>
        <v>0</v>
      </c>
      <c r="DD203" t="s">
        <v>3</v>
      </c>
      <c r="DE203" t="s">
        <v>3</v>
      </c>
      <c r="DF203">
        <f>ROUND(ROUND(AE203,2)*CX203,2)</f>
        <v>0</v>
      </c>
      <c r="DG203">
        <f t="shared" si="87"/>
        <v>0</v>
      </c>
      <c r="DH203">
        <f t="shared" si="91"/>
        <v>0</v>
      </c>
      <c r="DI203">
        <f t="shared" si="92"/>
        <v>0</v>
      </c>
      <c r="DJ203">
        <f t="shared" si="99"/>
        <v>0</v>
      </c>
      <c r="DK203">
        <v>0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">
      <c r="A204">
        <f>ROW(Source!A235)</f>
        <v>235</v>
      </c>
      <c r="B204">
        <v>85997836</v>
      </c>
      <c r="C204">
        <v>85998593</v>
      </c>
      <c r="D204">
        <v>84164598</v>
      </c>
      <c r="E204">
        <v>117</v>
      </c>
      <c r="F204">
        <v>1</v>
      </c>
      <c r="G204">
        <v>1</v>
      </c>
      <c r="H204">
        <v>1</v>
      </c>
      <c r="I204" t="s">
        <v>605</v>
      </c>
      <c r="J204" t="s">
        <v>3</v>
      </c>
      <c r="K204" t="s">
        <v>606</v>
      </c>
      <c r="L204">
        <v>1191</v>
      </c>
      <c r="N204">
        <v>1013</v>
      </c>
      <c r="O204" t="s">
        <v>541</v>
      </c>
      <c r="P204" t="s">
        <v>541</v>
      </c>
      <c r="Q204">
        <v>1</v>
      </c>
      <c r="W204">
        <v>0</v>
      </c>
      <c r="X204">
        <v>1522950421</v>
      </c>
      <c r="Y204">
        <f>(AT204*ROUND((0.2+1),7))</f>
        <v>30.911999999999999</v>
      </c>
      <c r="AA204">
        <v>0</v>
      </c>
      <c r="AB204">
        <v>0</v>
      </c>
      <c r="AC204">
        <v>0</v>
      </c>
      <c r="AD204">
        <v>743.6</v>
      </c>
      <c r="AE204">
        <v>0</v>
      </c>
      <c r="AF204">
        <v>0</v>
      </c>
      <c r="AG204">
        <v>0</v>
      </c>
      <c r="AH204">
        <v>743.6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3</v>
      </c>
      <c r="AT204">
        <v>25.76</v>
      </c>
      <c r="AU204" t="s">
        <v>398</v>
      </c>
      <c r="AV204">
        <v>1</v>
      </c>
      <c r="AW204">
        <v>2</v>
      </c>
      <c r="AX204">
        <v>85998602</v>
      </c>
      <c r="AY204">
        <v>1</v>
      </c>
      <c r="AZ204">
        <v>0</v>
      </c>
      <c r="BA204">
        <v>184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19155.136000000002</v>
      </c>
      <c r="BN204">
        <v>25.76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22986.163199999999</v>
      </c>
      <c r="BU204">
        <v>30.911999999999999</v>
      </c>
      <c r="BV204">
        <v>0</v>
      </c>
      <c r="BW204">
        <v>1</v>
      </c>
      <c r="CU204">
        <f>ROUND(AT204*Source!I235*AH204*AL204,2)</f>
        <v>191.55</v>
      </c>
      <c r="CV204">
        <f>ROUND(Y204*Source!I235,7)</f>
        <v>0.30912000000000001</v>
      </c>
      <c r="CW204">
        <v>0</v>
      </c>
      <c r="CX204">
        <f>ROUND(Y204*Source!I235,7)</f>
        <v>0.30912000000000001</v>
      </c>
      <c r="CY204">
        <f>AD204</f>
        <v>743.6</v>
      </c>
      <c r="CZ204">
        <f>AH204</f>
        <v>743.6</v>
      </c>
      <c r="DA204">
        <f>AL204</f>
        <v>1</v>
      </c>
      <c r="DB204">
        <f>ROUND((ROUND(AT204*CZ204,2)*ROUND((0.2+1),7)),6)</f>
        <v>22986.168000000001</v>
      </c>
      <c r="DC204">
        <f>ROUND((ROUND(AT204*AG204,2)*ROUND((0.2+1),7)),6)</f>
        <v>0</v>
      </c>
      <c r="DD204" t="s">
        <v>3</v>
      </c>
      <c r="DE204" t="s">
        <v>3</v>
      </c>
      <c r="DF204">
        <f>ROUND(ROUND(AE204,2)*CX204,2)</f>
        <v>0</v>
      </c>
      <c r="DG204">
        <f t="shared" si="87"/>
        <v>0</v>
      </c>
      <c r="DH204">
        <f t="shared" si="91"/>
        <v>0</v>
      </c>
      <c r="DI204">
        <f t="shared" si="92"/>
        <v>229.86</v>
      </c>
      <c r="DJ204">
        <f>DI204</f>
        <v>229.86</v>
      </c>
      <c r="DK204">
        <v>1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">
      <c r="A205">
        <f>ROW(Source!A235)</f>
        <v>235</v>
      </c>
      <c r="B205">
        <v>85997836</v>
      </c>
      <c r="C205">
        <v>85998593</v>
      </c>
      <c r="D205">
        <v>84164762</v>
      </c>
      <c r="E205">
        <v>117</v>
      </c>
      <c r="F205">
        <v>1</v>
      </c>
      <c r="G205">
        <v>1</v>
      </c>
      <c r="H205">
        <v>1</v>
      </c>
      <c r="I205" t="s">
        <v>542</v>
      </c>
      <c r="J205" t="s">
        <v>3</v>
      </c>
      <c r="K205" t="s">
        <v>543</v>
      </c>
      <c r="L205">
        <v>1191</v>
      </c>
      <c r="N205">
        <v>1013</v>
      </c>
      <c r="O205" t="s">
        <v>541</v>
      </c>
      <c r="P205" t="s">
        <v>541</v>
      </c>
      <c r="Q205">
        <v>1</v>
      </c>
      <c r="W205">
        <v>0</v>
      </c>
      <c r="X205">
        <v>-1417349443</v>
      </c>
      <c r="Y205">
        <f>(AT205*ROUND((0.2+1),7))</f>
        <v>0.06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3</v>
      </c>
      <c r="AT205">
        <v>0.05</v>
      </c>
      <c r="AU205" t="s">
        <v>398</v>
      </c>
      <c r="AV205">
        <v>2</v>
      </c>
      <c r="AW205">
        <v>2</v>
      </c>
      <c r="AX205">
        <v>85998603</v>
      </c>
      <c r="AY205">
        <v>1</v>
      </c>
      <c r="AZ205">
        <v>0</v>
      </c>
      <c r="BA205">
        <v>185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V205">
        <v>0</v>
      </c>
      <c r="CW205">
        <v>0</v>
      </c>
      <c r="CX205">
        <f>ROUND(Y205*Source!I235,7)</f>
        <v>5.9999999999999995E-4</v>
      </c>
      <c r="CY205">
        <f>AD205</f>
        <v>0</v>
      </c>
      <c r="CZ205">
        <f>AH205</f>
        <v>0</v>
      </c>
      <c r="DA205">
        <f>AL205</f>
        <v>1</v>
      </c>
      <c r="DB205">
        <f>ROUND((ROUND(AT205*CZ205,2)*ROUND((0.2+1),7)),6)</f>
        <v>0</v>
      </c>
      <c r="DC205">
        <f>ROUND((ROUND(AT205*AG205,2)*ROUND((0.2+1),7)),6)</f>
        <v>0</v>
      </c>
      <c r="DD205" t="s">
        <v>3</v>
      </c>
      <c r="DE205" t="s">
        <v>3</v>
      </c>
      <c r="DF205">
        <f>ROUND(ROUND(AE205,2)*CX205,2)</f>
        <v>0</v>
      </c>
      <c r="DG205">
        <f t="shared" si="87"/>
        <v>0</v>
      </c>
      <c r="DH205">
        <f t="shared" si="91"/>
        <v>0</v>
      </c>
      <c r="DI205">
        <f t="shared" si="92"/>
        <v>0</v>
      </c>
      <c r="DJ205">
        <f>DI205</f>
        <v>0</v>
      </c>
      <c r="DK205">
        <v>0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">
      <c r="A206">
        <f>ROW(Source!A235)</f>
        <v>235</v>
      </c>
      <c r="B206">
        <v>85997836</v>
      </c>
      <c r="C206">
        <v>85998593</v>
      </c>
      <c r="D206">
        <v>84171251</v>
      </c>
      <c r="E206">
        <v>1</v>
      </c>
      <c r="F206">
        <v>1</v>
      </c>
      <c r="G206">
        <v>1</v>
      </c>
      <c r="H206">
        <v>2</v>
      </c>
      <c r="I206" t="s">
        <v>123</v>
      </c>
      <c r="J206" t="s">
        <v>125</v>
      </c>
      <c r="K206" t="s">
        <v>124</v>
      </c>
      <c r="L206">
        <v>1368</v>
      </c>
      <c r="N206">
        <v>1011</v>
      </c>
      <c r="O206" t="s">
        <v>29</v>
      </c>
      <c r="P206" t="s">
        <v>29</v>
      </c>
      <c r="Q206">
        <v>1</v>
      </c>
      <c r="W206">
        <v>0</v>
      </c>
      <c r="X206">
        <v>639918019</v>
      </c>
      <c r="Y206">
        <f>(AT206*ROUND((0.2+1),7))</f>
        <v>-4.3199999999999995E-2</v>
      </c>
      <c r="AA206">
        <v>0</v>
      </c>
      <c r="AB206">
        <v>1629.55</v>
      </c>
      <c r="AC206">
        <v>969.91</v>
      </c>
      <c r="AD206">
        <v>0</v>
      </c>
      <c r="AE206">
        <v>0</v>
      </c>
      <c r="AF206">
        <v>1629.55</v>
      </c>
      <c r="AG206">
        <v>969.91</v>
      </c>
      <c r="AH206">
        <v>0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0</v>
      </c>
      <c r="AR206">
        <v>0</v>
      </c>
      <c r="AS206" t="s">
        <v>3</v>
      </c>
      <c r="AT206">
        <v>-3.5999999999999997E-2</v>
      </c>
      <c r="AU206" t="s">
        <v>398</v>
      </c>
      <c r="AV206">
        <v>1</v>
      </c>
      <c r="AW206">
        <v>2</v>
      </c>
      <c r="AX206">
        <v>85998604</v>
      </c>
      <c r="AY206">
        <v>1</v>
      </c>
      <c r="AZ206">
        <v>6144</v>
      </c>
      <c r="BA206">
        <v>186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f>ROUND(Y206*Source!I235*DO206,7)</f>
        <v>-4.3199999999999998E-4</v>
      </c>
      <c r="CX206">
        <f>ROUND(Y206*Source!I235,7)</f>
        <v>-4.3199999999999998E-4</v>
      </c>
      <c r="CY206">
        <f>AB206</f>
        <v>1629.55</v>
      </c>
      <c r="CZ206">
        <f>AF206</f>
        <v>1629.55</v>
      </c>
      <c r="DA206">
        <f>AJ206</f>
        <v>1</v>
      </c>
      <c r="DB206">
        <f>ROUND((ROUND(AT206*CZ206,2)*ROUND((0.2+1),7)),6)</f>
        <v>-70.391999999999996</v>
      </c>
      <c r="DC206">
        <f>ROUND((ROUND(AT206*AG206,2)*ROUND((0.2+1),7)),6)</f>
        <v>-41.904000000000003</v>
      </c>
      <c r="DD206" t="s">
        <v>3</v>
      </c>
      <c r="DE206" t="s">
        <v>3</v>
      </c>
      <c r="DF206">
        <f>ROUND(ROUND(AE206,2)*CX206,2)</f>
        <v>0</v>
      </c>
      <c r="DG206">
        <f t="shared" si="87"/>
        <v>-0.7</v>
      </c>
      <c r="DH206">
        <f t="shared" si="91"/>
        <v>-0.42</v>
      </c>
      <c r="DI206">
        <f t="shared" si="92"/>
        <v>0</v>
      </c>
      <c r="DJ206">
        <f>DG206+DH206</f>
        <v>-1.1199999999999999</v>
      </c>
      <c r="DK206">
        <v>1</v>
      </c>
      <c r="DL206" t="s">
        <v>599</v>
      </c>
      <c r="DM206">
        <v>6</v>
      </c>
      <c r="DN206" t="s">
        <v>541</v>
      </c>
      <c r="DO206">
        <v>1</v>
      </c>
    </row>
    <row r="207" spans="1:119" x14ac:dyDescent="0.2">
      <c r="A207">
        <f>ROW(Source!A235)</f>
        <v>235</v>
      </c>
      <c r="B207">
        <v>85997836</v>
      </c>
      <c r="C207">
        <v>85998593</v>
      </c>
      <c r="D207">
        <v>84172146</v>
      </c>
      <c r="E207">
        <v>1</v>
      </c>
      <c r="F207">
        <v>1</v>
      </c>
      <c r="G207">
        <v>1</v>
      </c>
      <c r="H207">
        <v>2</v>
      </c>
      <c r="I207" t="s">
        <v>127</v>
      </c>
      <c r="J207" t="s">
        <v>129</v>
      </c>
      <c r="K207" t="s">
        <v>128</v>
      </c>
      <c r="L207">
        <v>1368</v>
      </c>
      <c r="N207">
        <v>1011</v>
      </c>
      <c r="O207" t="s">
        <v>29</v>
      </c>
      <c r="P207" t="s">
        <v>29</v>
      </c>
      <c r="Q207">
        <v>1</v>
      </c>
      <c r="W207">
        <v>0</v>
      </c>
      <c r="X207">
        <v>-849950259</v>
      </c>
      <c r="Y207">
        <f>(AT207*ROUND((0.2+1),7))</f>
        <v>-2.8799999999999999E-2</v>
      </c>
      <c r="AA207">
        <v>0</v>
      </c>
      <c r="AB207">
        <v>643.29</v>
      </c>
      <c r="AC207">
        <v>722.05</v>
      </c>
      <c r="AD207">
        <v>0</v>
      </c>
      <c r="AE207">
        <v>0</v>
      </c>
      <c r="AF207">
        <v>643.29</v>
      </c>
      <c r="AG207">
        <v>722.05</v>
      </c>
      <c r="AH207">
        <v>0</v>
      </c>
      <c r="AI207">
        <v>1</v>
      </c>
      <c r="AJ207">
        <v>1</v>
      </c>
      <c r="AK207">
        <v>1</v>
      </c>
      <c r="AL207">
        <v>1</v>
      </c>
      <c r="AM207">
        <v>-2</v>
      </c>
      <c r="AN207">
        <v>0</v>
      </c>
      <c r="AO207">
        <v>0</v>
      </c>
      <c r="AP207">
        <v>1</v>
      </c>
      <c r="AQ207">
        <v>0</v>
      </c>
      <c r="AR207">
        <v>0</v>
      </c>
      <c r="AS207" t="s">
        <v>3</v>
      </c>
      <c r="AT207">
        <v>-2.4E-2</v>
      </c>
      <c r="AU207" t="s">
        <v>398</v>
      </c>
      <c r="AV207">
        <v>1</v>
      </c>
      <c r="AW207">
        <v>2</v>
      </c>
      <c r="AX207">
        <v>85998605</v>
      </c>
      <c r="AY207">
        <v>1</v>
      </c>
      <c r="AZ207">
        <v>6144</v>
      </c>
      <c r="BA207">
        <v>187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V207">
        <v>0</v>
      </c>
      <c r="CW207">
        <f>ROUND(Y207*Source!I235*DO207,7)</f>
        <v>-2.8800000000000001E-4</v>
      </c>
      <c r="CX207">
        <f>ROUND(Y207*Source!I235,7)</f>
        <v>-2.8800000000000001E-4</v>
      </c>
      <c r="CY207">
        <f>AB207</f>
        <v>643.29</v>
      </c>
      <c r="CZ207">
        <f>AF207</f>
        <v>643.29</v>
      </c>
      <c r="DA207">
        <f>AJ207</f>
        <v>1</v>
      </c>
      <c r="DB207">
        <f>ROUND((ROUND(AT207*CZ207,2)*ROUND((0.2+1),7)),6)</f>
        <v>-18.527999999999999</v>
      </c>
      <c r="DC207">
        <f>ROUND((ROUND(AT207*AG207,2)*ROUND((0.2+1),7)),6)</f>
        <v>-20.795999999999999</v>
      </c>
      <c r="DD207" t="s">
        <v>3</v>
      </c>
      <c r="DE207" t="s">
        <v>3</v>
      </c>
      <c r="DF207">
        <f>ROUND(ROUND(AE207,2)*CX207,2)</f>
        <v>0</v>
      </c>
      <c r="DG207">
        <f t="shared" si="87"/>
        <v>-0.19</v>
      </c>
      <c r="DH207">
        <f t="shared" si="91"/>
        <v>-0.21</v>
      </c>
      <c r="DI207">
        <f t="shared" si="92"/>
        <v>0</v>
      </c>
      <c r="DJ207">
        <f>DG207+DH207</f>
        <v>-0.4</v>
      </c>
      <c r="DK207">
        <v>1</v>
      </c>
      <c r="DL207" t="s">
        <v>600</v>
      </c>
      <c r="DM207">
        <v>4</v>
      </c>
      <c r="DN207" t="s">
        <v>541</v>
      </c>
      <c r="DO207">
        <v>1</v>
      </c>
    </row>
    <row r="208" spans="1:119" x14ac:dyDescent="0.2">
      <c r="A208">
        <f>ROW(Source!A235)</f>
        <v>235</v>
      </c>
      <c r="B208">
        <v>85997836</v>
      </c>
      <c r="C208">
        <v>85998593</v>
      </c>
      <c r="D208">
        <v>84242262</v>
      </c>
      <c r="E208">
        <v>1</v>
      </c>
      <c r="F208">
        <v>1</v>
      </c>
      <c r="G208">
        <v>1</v>
      </c>
      <c r="H208">
        <v>3</v>
      </c>
      <c r="I208" t="s">
        <v>607</v>
      </c>
      <c r="J208" t="s">
        <v>608</v>
      </c>
      <c r="K208" t="s">
        <v>609</v>
      </c>
      <c r="L208">
        <v>1348</v>
      </c>
      <c r="N208">
        <v>1009</v>
      </c>
      <c r="O208" t="s">
        <v>165</v>
      </c>
      <c r="P208" t="s">
        <v>165</v>
      </c>
      <c r="Q208">
        <v>1000</v>
      </c>
      <c r="W208">
        <v>0</v>
      </c>
      <c r="X208">
        <v>-290124041</v>
      </c>
      <c r="Y208">
        <f>AT208</f>
        <v>3.15E-3</v>
      </c>
      <c r="AA208">
        <v>6073.58</v>
      </c>
      <c r="AB208">
        <v>0</v>
      </c>
      <c r="AC208">
        <v>0</v>
      </c>
      <c r="AD208">
        <v>0</v>
      </c>
      <c r="AE208">
        <v>4338.2700000000004</v>
      </c>
      <c r="AF208">
        <v>0</v>
      </c>
      <c r="AG208">
        <v>0</v>
      </c>
      <c r="AH208">
        <v>0</v>
      </c>
      <c r="AI208">
        <v>1.4</v>
      </c>
      <c r="AJ208">
        <v>1</v>
      </c>
      <c r="AK208">
        <v>1</v>
      </c>
      <c r="AL208">
        <v>1</v>
      </c>
      <c r="AM208">
        <v>2</v>
      </c>
      <c r="AN208">
        <v>0</v>
      </c>
      <c r="AO208">
        <v>0</v>
      </c>
      <c r="AP208">
        <v>1</v>
      </c>
      <c r="AQ208">
        <v>1</v>
      </c>
      <c r="AR208">
        <v>0</v>
      </c>
      <c r="AS208" t="s">
        <v>3</v>
      </c>
      <c r="AT208">
        <v>3.15E-3</v>
      </c>
      <c r="AU208" t="s">
        <v>3</v>
      </c>
      <c r="AV208">
        <v>0</v>
      </c>
      <c r="AW208">
        <v>2</v>
      </c>
      <c r="AX208">
        <v>85998606</v>
      </c>
      <c r="AY208">
        <v>1</v>
      </c>
      <c r="AZ208">
        <v>0</v>
      </c>
      <c r="BA208">
        <v>188</v>
      </c>
      <c r="BB208">
        <v>1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13.665550500000002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1</v>
      </c>
      <c r="BQ208">
        <v>13.665550500000002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1</v>
      </c>
      <c r="CV208">
        <v>0</v>
      </c>
      <c r="CW208">
        <v>0</v>
      </c>
      <c r="CX208">
        <f>ROUND(Y208*Source!I235,7)</f>
        <v>3.15E-5</v>
      </c>
      <c r="CY208">
        <f>AA208</f>
        <v>6073.58</v>
      </c>
      <c r="CZ208">
        <f>AE208</f>
        <v>4338.2700000000004</v>
      </c>
      <c r="DA208">
        <f>AI208</f>
        <v>1.4</v>
      </c>
      <c r="DB208">
        <f>ROUND(ROUND(AT208*CZ208,2),6)</f>
        <v>13.67</v>
      </c>
      <c r="DC208">
        <f>ROUND(ROUND(AT208*AG208,2),6)</f>
        <v>0</v>
      </c>
      <c r="DD208" t="s">
        <v>3</v>
      </c>
      <c r="DE208" t="s">
        <v>3</v>
      </c>
      <c r="DF208">
        <f>ROUND(ROUND(AE208*AI208,2)*CX208,2)</f>
        <v>0.19</v>
      </c>
      <c r="DG208">
        <f t="shared" si="87"/>
        <v>0</v>
      </c>
      <c r="DH208">
        <f t="shared" si="91"/>
        <v>0</v>
      </c>
      <c r="DI208">
        <f t="shared" si="92"/>
        <v>0</v>
      </c>
      <c r="DJ208">
        <f>DF208</f>
        <v>0.19</v>
      </c>
      <c r="DK208">
        <v>0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ROW(Source!A235)</f>
        <v>235</v>
      </c>
      <c r="B209">
        <v>85997836</v>
      </c>
      <c r="C209">
        <v>85998593</v>
      </c>
      <c r="D209">
        <v>84265246</v>
      </c>
      <c r="E209">
        <v>1</v>
      </c>
      <c r="F209">
        <v>1</v>
      </c>
      <c r="G209">
        <v>1</v>
      </c>
      <c r="H209">
        <v>3</v>
      </c>
      <c r="I209" t="s">
        <v>610</v>
      </c>
      <c r="J209" t="s">
        <v>611</v>
      </c>
      <c r="K209" t="s">
        <v>612</v>
      </c>
      <c r="L209">
        <v>1407</v>
      </c>
      <c r="N209">
        <v>1013</v>
      </c>
      <c r="O209" t="s">
        <v>595</v>
      </c>
      <c r="P209" t="s">
        <v>595</v>
      </c>
      <c r="Q209">
        <v>1</v>
      </c>
      <c r="W209">
        <v>0</v>
      </c>
      <c r="X209">
        <v>-675320531</v>
      </c>
      <c r="Y209">
        <f>AT209</f>
        <v>0.10199999999999999</v>
      </c>
      <c r="AA209">
        <v>5049.34</v>
      </c>
      <c r="AB209">
        <v>0</v>
      </c>
      <c r="AC209">
        <v>0</v>
      </c>
      <c r="AD209">
        <v>0</v>
      </c>
      <c r="AE209">
        <v>3658.94</v>
      </c>
      <c r="AF209">
        <v>0</v>
      </c>
      <c r="AG209">
        <v>0</v>
      </c>
      <c r="AH209">
        <v>0</v>
      </c>
      <c r="AI209">
        <v>1.38</v>
      </c>
      <c r="AJ209">
        <v>1</v>
      </c>
      <c r="AK209">
        <v>1</v>
      </c>
      <c r="AL209">
        <v>1</v>
      </c>
      <c r="AM209">
        <v>2</v>
      </c>
      <c r="AN209">
        <v>0</v>
      </c>
      <c r="AO209">
        <v>0</v>
      </c>
      <c r="AP209">
        <v>1</v>
      </c>
      <c r="AQ209">
        <v>1</v>
      </c>
      <c r="AR209">
        <v>0</v>
      </c>
      <c r="AS209" t="s">
        <v>3</v>
      </c>
      <c r="AT209">
        <v>0.10199999999999999</v>
      </c>
      <c r="AU209" t="s">
        <v>3</v>
      </c>
      <c r="AV209">
        <v>0</v>
      </c>
      <c r="AW209">
        <v>2</v>
      </c>
      <c r="AX209">
        <v>85998607</v>
      </c>
      <c r="AY209">
        <v>1</v>
      </c>
      <c r="AZ209">
        <v>0</v>
      </c>
      <c r="BA209">
        <v>189</v>
      </c>
      <c r="BB209">
        <v>1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373.21188000000001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1</v>
      </c>
      <c r="BQ209">
        <v>373.21188000000001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1</v>
      </c>
      <c r="CV209">
        <v>0</v>
      </c>
      <c r="CW209">
        <v>0</v>
      </c>
      <c r="CX209">
        <f>ROUND(Y209*Source!I235,7)</f>
        <v>1.0200000000000001E-3</v>
      </c>
      <c r="CY209">
        <f>AA209</f>
        <v>5049.34</v>
      </c>
      <c r="CZ209">
        <f>AE209</f>
        <v>3658.94</v>
      </c>
      <c r="DA209">
        <f>AI209</f>
        <v>1.38</v>
      </c>
      <c r="DB209">
        <f>ROUND(ROUND(AT209*CZ209,2),6)</f>
        <v>373.21</v>
      </c>
      <c r="DC209">
        <f>ROUND(ROUND(AT209*AG209,2),6)</f>
        <v>0</v>
      </c>
      <c r="DD209" t="s">
        <v>3</v>
      </c>
      <c r="DE209" t="s">
        <v>3</v>
      </c>
      <c r="DF209">
        <f>ROUND(ROUND(AE209*AI209,2)*CX209,2)</f>
        <v>5.15</v>
      </c>
      <c r="DG209">
        <f t="shared" si="87"/>
        <v>0</v>
      </c>
      <c r="DH209">
        <f t="shared" si="91"/>
        <v>0</v>
      </c>
      <c r="DI209">
        <f t="shared" si="92"/>
        <v>0</v>
      </c>
      <c r="DJ209">
        <f>DF209</f>
        <v>5.15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ROW(Source!A235)</f>
        <v>235</v>
      </c>
      <c r="B210">
        <v>85997836</v>
      </c>
      <c r="C210">
        <v>85998593</v>
      </c>
      <c r="D210">
        <v>84267698</v>
      </c>
      <c r="E210">
        <v>1</v>
      </c>
      <c r="F210">
        <v>1</v>
      </c>
      <c r="G210">
        <v>1</v>
      </c>
      <c r="H210">
        <v>3</v>
      </c>
      <c r="I210" t="s">
        <v>181</v>
      </c>
      <c r="J210" t="s">
        <v>183</v>
      </c>
      <c r="K210" t="s">
        <v>182</v>
      </c>
      <c r="L210">
        <v>1371</v>
      </c>
      <c r="N210">
        <v>1013</v>
      </c>
      <c r="O210" t="s">
        <v>43</v>
      </c>
      <c r="P210" t="s">
        <v>43</v>
      </c>
      <c r="Q210">
        <v>1</v>
      </c>
      <c r="W210">
        <v>0</v>
      </c>
      <c r="X210">
        <v>910537666</v>
      </c>
      <c r="Y210">
        <f>AT210</f>
        <v>100</v>
      </c>
      <c r="AA210">
        <v>53.22</v>
      </c>
      <c r="AB210">
        <v>0</v>
      </c>
      <c r="AC210">
        <v>0</v>
      </c>
      <c r="AD210">
        <v>0</v>
      </c>
      <c r="AE210">
        <v>53.22</v>
      </c>
      <c r="AF210">
        <v>0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M210">
        <v>0</v>
      </c>
      <c r="AN210">
        <v>0</v>
      </c>
      <c r="AO210">
        <v>0</v>
      </c>
      <c r="AP210">
        <v>1</v>
      </c>
      <c r="AQ210">
        <v>0</v>
      </c>
      <c r="AR210">
        <v>0</v>
      </c>
      <c r="AS210" t="s">
        <v>3</v>
      </c>
      <c r="AT210">
        <v>100</v>
      </c>
      <c r="AU210" t="s">
        <v>3</v>
      </c>
      <c r="AV210">
        <v>0</v>
      </c>
      <c r="AW210">
        <v>1</v>
      </c>
      <c r="AX210">
        <v>-1</v>
      </c>
      <c r="AY210">
        <v>0</v>
      </c>
      <c r="AZ210">
        <v>0</v>
      </c>
      <c r="BA210" t="s">
        <v>3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V210">
        <v>0</v>
      </c>
      <c r="CW210">
        <v>0</v>
      </c>
      <c r="CX210">
        <f>ROUND(Y210*Source!I235,7)</f>
        <v>1</v>
      </c>
      <c r="CY210">
        <f>AA210</f>
        <v>53.22</v>
      </c>
      <c r="CZ210">
        <f>AE210</f>
        <v>53.22</v>
      </c>
      <c r="DA210">
        <f>AI210</f>
        <v>1</v>
      </c>
      <c r="DB210">
        <f>ROUND(ROUND(AT210*CZ210,2),6)</f>
        <v>5322</v>
      </c>
      <c r="DC210">
        <f>ROUND(ROUND(AT210*AG210,2),6)</f>
        <v>0</v>
      </c>
      <c r="DD210" t="s">
        <v>3</v>
      </c>
      <c r="DE210" t="s">
        <v>3</v>
      </c>
      <c r="DF210">
        <f t="shared" ref="DF210:DF215" si="100">ROUND(ROUND(AE210,2)*CX210,2)</f>
        <v>53.22</v>
      </c>
      <c r="DG210">
        <f t="shared" si="87"/>
        <v>0</v>
      </c>
      <c r="DH210">
        <f t="shared" si="91"/>
        <v>0</v>
      </c>
      <c r="DI210">
        <f t="shared" si="92"/>
        <v>0</v>
      </c>
      <c r="DJ210">
        <f>DF210</f>
        <v>53.22</v>
      </c>
      <c r="DK210">
        <v>1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ROW(Source!A235)</f>
        <v>235</v>
      </c>
      <c r="B211">
        <v>85997836</v>
      </c>
      <c r="C211">
        <v>85998593</v>
      </c>
      <c r="D211">
        <v>84170596</v>
      </c>
      <c r="E211">
        <v>117</v>
      </c>
      <c r="F211">
        <v>1</v>
      </c>
      <c r="G211">
        <v>1</v>
      </c>
      <c r="H211">
        <v>3</v>
      </c>
      <c r="I211" t="s">
        <v>55</v>
      </c>
      <c r="J211" t="s">
        <v>3</v>
      </c>
      <c r="K211" t="s">
        <v>56</v>
      </c>
      <c r="L211">
        <v>3277935</v>
      </c>
      <c r="N211">
        <v>1013</v>
      </c>
      <c r="O211" t="s">
        <v>57</v>
      </c>
      <c r="P211" t="s">
        <v>57</v>
      </c>
      <c r="Q211">
        <v>1</v>
      </c>
      <c r="W211">
        <v>0</v>
      </c>
      <c r="X211">
        <v>274903907</v>
      </c>
      <c r="Y211">
        <f>AT211</f>
        <v>2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 t="s">
        <v>3</v>
      </c>
      <c r="AT211">
        <v>2</v>
      </c>
      <c r="AU211" t="s">
        <v>3</v>
      </c>
      <c r="AV211">
        <v>0</v>
      </c>
      <c r="AW211">
        <v>2</v>
      </c>
      <c r="AX211">
        <v>85998608</v>
      </c>
      <c r="AY211">
        <v>1</v>
      </c>
      <c r="AZ211">
        <v>0</v>
      </c>
      <c r="BA211">
        <v>190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V211">
        <v>0</v>
      </c>
      <c r="CW211">
        <v>0</v>
      </c>
      <c r="CX211">
        <f>ROUND(Y211*Source!I235,7)</f>
        <v>0.02</v>
      </c>
      <c r="CY211">
        <f>AA211</f>
        <v>0</v>
      </c>
      <c r="CZ211">
        <f>AE211</f>
        <v>0</v>
      </c>
      <c r="DA211">
        <f>AI211</f>
        <v>1</v>
      </c>
      <c r="DB211">
        <f>ROUND(ROUND(AT211*CZ211,2),6)</f>
        <v>0</v>
      </c>
      <c r="DC211">
        <f>ROUND(ROUND(AT211*AG211,2),6)</f>
        <v>0</v>
      </c>
      <c r="DD211" t="s">
        <v>3</v>
      </c>
      <c r="DE211" t="s">
        <v>3</v>
      </c>
      <c r="DF211">
        <f t="shared" si="100"/>
        <v>0</v>
      </c>
      <c r="DG211">
        <f t="shared" si="87"/>
        <v>0</v>
      </c>
      <c r="DH211">
        <f t="shared" si="91"/>
        <v>0</v>
      </c>
      <c r="DI211">
        <f t="shared" si="92"/>
        <v>0</v>
      </c>
      <c r="DJ211">
        <f>DF211</f>
        <v>0</v>
      </c>
      <c r="DK211">
        <v>0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">
      <c r="A212">
        <f>ROW(Source!A240)</f>
        <v>240</v>
      </c>
      <c r="B212">
        <v>85997836</v>
      </c>
      <c r="C212">
        <v>85998611</v>
      </c>
      <c r="D212">
        <v>84164592</v>
      </c>
      <c r="E212">
        <v>117</v>
      </c>
      <c r="F212">
        <v>1</v>
      </c>
      <c r="G212">
        <v>1</v>
      </c>
      <c r="H212">
        <v>1</v>
      </c>
      <c r="I212" t="s">
        <v>613</v>
      </c>
      <c r="J212" t="s">
        <v>3</v>
      </c>
      <c r="K212" t="s">
        <v>614</v>
      </c>
      <c r="L212">
        <v>1191</v>
      </c>
      <c r="N212">
        <v>1013</v>
      </c>
      <c r="O212" t="s">
        <v>541</v>
      </c>
      <c r="P212" t="s">
        <v>541</v>
      </c>
      <c r="Q212">
        <v>1</v>
      </c>
      <c r="W212">
        <v>0</v>
      </c>
      <c r="X212">
        <v>888410196</v>
      </c>
      <c r="Y212">
        <f>(AT212*ROUND(((0.2+1)*1.15),7))</f>
        <v>22.521599999999999</v>
      </c>
      <c r="AA212">
        <v>0</v>
      </c>
      <c r="AB212">
        <v>0</v>
      </c>
      <c r="AC212">
        <v>0</v>
      </c>
      <c r="AD212">
        <v>722.05</v>
      </c>
      <c r="AE212">
        <v>0</v>
      </c>
      <c r="AF212">
        <v>0</v>
      </c>
      <c r="AG212">
        <v>0</v>
      </c>
      <c r="AH212">
        <v>722.05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3</v>
      </c>
      <c r="AT212">
        <v>16.32</v>
      </c>
      <c r="AU212" t="s">
        <v>330</v>
      </c>
      <c r="AV212">
        <v>1</v>
      </c>
      <c r="AW212">
        <v>2</v>
      </c>
      <c r="AX212">
        <v>85998618</v>
      </c>
      <c r="AY212">
        <v>1</v>
      </c>
      <c r="AZ212">
        <v>0</v>
      </c>
      <c r="BA212">
        <v>191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11783.856</v>
      </c>
      <c r="BN212">
        <v>16.32</v>
      </c>
      <c r="BO212">
        <v>0</v>
      </c>
      <c r="BP212">
        <v>1</v>
      </c>
      <c r="BQ212">
        <v>0</v>
      </c>
      <c r="BR212">
        <v>0</v>
      </c>
      <c r="BS212">
        <v>0</v>
      </c>
      <c r="BT212">
        <v>16261.721279999998</v>
      </c>
      <c r="BU212">
        <v>22.521599999999999</v>
      </c>
      <c r="BV212">
        <v>0</v>
      </c>
      <c r="BW212">
        <v>1</v>
      </c>
      <c r="CU212">
        <f>ROUND(AT212*Source!I240*AH212*AL212,2)</f>
        <v>707.03</v>
      </c>
      <c r="CV212">
        <f>ROUND(Y212*Source!I240,7)</f>
        <v>1.3512960000000001</v>
      </c>
      <c r="CW212">
        <v>0</v>
      </c>
      <c r="CX212">
        <f>ROUND(Y212*Source!I240,7)</f>
        <v>1.3512960000000001</v>
      </c>
      <c r="CY212">
        <f>AD212</f>
        <v>722.05</v>
      </c>
      <c r="CZ212">
        <f>AH212</f>
        <v>722.05</v>
      </c>
      <c r="DA212">
        <f>AL212</f>
        <v>1</v>
      </c>
      <c r="DB212">
        <f>ROUND((ROUND(AT212*CZ212,2)*ROUND(((0.2+1)*1.15),7)),6)</f>
        <v>16261.7268</v>
      </c>
      <c r="DC212">
        <f>ROUND((ROUND(AT212*AG212,2)*ROUND(((0.2+1)*1.15),7)),6)</f>
        <v>0</v>
      </c>
      <c r="DD212" t="s">
        <v>3</v>
      </c>
      <c r="DE212" t="s">
        <v>3</v>
      </c>
      <c r="DF212">
        <f t="shared" si="100"/>
        <v>0</v>
      </c>
      <c r="DG212">
        <f t="shared" si="87"/>
        <v>0</v>
      </c>
      <c r="DH212">
        <f t="shared" si="91"/>
        <v>0</v>
      </c>
      <c r="DI212">
        <f t="shared" si="92"/>
        <v>975.7</v>
      </c>
      <c r="DJ212">
        <f>DI212</f>
        <v>975.7</v>
      </c>
      <c r="DK212">
        <v>1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">
      <c r="A213">
        <f>ROW(Source!A240)</f>
        <v>240</v>
      </c>
      <c r="B213">
        <v>85997836</v>
      </c>
      <c r="C213">
        <v>85998611</v>
      </c>
      <c r="D213">
        <v>84164762</v>
      </c>
      <c r="E213">
        <v>117</v>
      </c>
      <c r="F213">
        <v>1</v>
      </c>
      <c r="G213">
        <v>1</v>
      </c>
      <c r="H213">
        <v>1</v>
      </c>
      <c r="I213" t="s">
        <v>542</v>
      </c>
      <c r="J213" t="s">
        <v>3</v>
      </c>
      <c r="K213" t="s">
        <v>543</v>
      </c>
      <c r="L213">
        <v>1191</v>
      </c>
      <c r="N213">
        <v>1013</v>
      </c>
      <c r="O213" t="s">
        <v>541</v>
      </c>
      <c r="P213" t="s">
        <v>541</v>
      </c>
      <c r="Q213">
        <v>1</v>
      </c>
      <c r="W213">
        <v>0</v>
      </c>
      <c r="X213">
        <v>-1417349443</v>
      </c>
      <c r="Y213">
        <f>(AT213*ROUND(((0.2+1)*1.25),7))</f>
        <v>4.4999999999999998E-2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3</v>
      </c>
      <c r="AT213">
        <v>0.03</v>
      </c>
      <c r="AU213" t="s">
        <v>329</v>
      </c>
      <c r="AV213">
        <v>2</v>
      </c>
      <c r="AW213">
        <v>2</v>
      </c>
      <c r="AX213">
        <v>85998619</v>
      </c>
      <c r="AY213">
        <v>1</v>
      </c>
      <c r="AZ213">
        <v>0</v>
      </c>
      <c r="BA213">
        <v>192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V213">
        <v>0</v>
      </c>
      <c r="CW213">
        <v>0</v>
      </c>
      <c r="CX213">
        <f>ROUND(Y213*Source!I240,7)</f>
        <v>2.7000000000000001E-3</v>
      </c>
      <c r="CY213">
        <f>AD213</f>
        <v>0</v>
      </c>
      <c r="CZ213">
        <f>AH213</f>
        <v>0</v>
      </c>
      <c r="DA213">
        <f>AL213</f>
        <v>1</v>
      </c>
      <c r="DB213">
        <f>ROUND((ROUND(AT213*CZ213,2)*ROUND(((0.2+1)*1.25),7)),6)</f>
        <v>0</v>
      </c>
      <c r="DC213">
        <f>ROUND((ROUND(AT213*AG213,2)*ROUND(((0.2+1)*1.25),7)),6)</f>
        <v>0</v>
      </c>
      <c r="DD213" t="s">
        <v>3</v>
      </c>
      <c r="DE213" t="s">
        <v>3</v>
      </c>
      <c r="DF213">
        <f t="shared" si="100"/>
        <v>0</v>
      </c>
      <c r="DG213">
        <f t="shared" si="87"/>
        <v>0</v>
      </c>
      <c r="DH213">
        <f t="shared" si="91"/>
        <v>0</v>
      </c>
      <c r="DI213">
        <f t="shared" si="92"/>
        <v>0</v>
      </c>
      <c r="DJ213">
        <f>DI213</f>
        <v>0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ROW(Source!A240)</f>
        <v>240</v>
      </c>
      <c r="B214">
        <v>85997836</v>
      </c>
      <c r="C214">
        <v>85998611</v>
      </c>
      <c r="D214">
        <v>84171438</v>
      </c>
      <c r="E214">
        <v>1</v>
      </c>
      <c r="F214">
        <v>1</v>
      </c>
      <c r="G214">
        <v>1</v>
      </c>
      <c r="H214">
        <v>2</v>
      </c>
      <c r="I214" t="s">
        <v>27</v>
      </c>
      <c r="J214" t="s">
        <v>30</v>
      </c>
      <c r="K214" t="s">
        <v>28</v>
      </c>
      <c r="L214">
        <v>1368</v>
      </c>
      <c r="N214">
        <v>1011</v>
      </c>
      <c r="O214" t="s">
        <v>29</v>
      </c>
      <c r="P214" t="s">
        <v>29</v>
      </c>
      <c r="Q214">
        <v>1</v>
      </c>
      <c r="W214">
        <v>0</v>
      </c>
      <c r="X214">
        <v>945201097</v>
      </c>
      <c r="Y214">
        <f>(AT214*ROUND(((0.2+1)*1.25),7))</f>
        <v>1.4999999999999999E-2</v>
      </c>
      <c r="AA214">
        <v>0</v>
      </c>
      <c r="AB214">
        <v>57.47</v>
      </c>
      <c r="AC214">
        <v>641.22</v>
      </c>
      <c r="AD214">
        <v>0</v>
      </c>
      <c r="AE214">
        <v>0</v>
      </c>
      <c r="AF214">
        <v>37.32</v>
      </c>
      <c r="AG214">
        <v>641.22</v>
      </c>
      <c r="AH214">
        <v>0</v>
      </c>
      <c r="AI214">
        <v>1</v>
      </c>
      <c r="AJ214">
        <v>1.54</v>
      </c>
      <c r="AK214">
        <v>1</v>
      </c>
      <c r="AL214">
        <v>1</v>
      </c>
      <c r="AM214">
        <v>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3</v>
      </c>
      <c r="AT214">
        <v>0.01</v>
      </c>
      <c r="AU214" t="s">
        <v>329</v>
      </c>
      <c r="AV214">
        <v>1</v>
      </c>
      <c r="AW214">
        <v>2</v>
      </c>
      <c r="AX214">
        <v>85998620</v>
      </c>
      <c r="AY214">
        <v>1</v>
      </c>
      <c r="AZ214">
        <v>0</v>
      </c>
      <c r="BA214">
        <v>193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0.37320000000000003</v>
      </c>
      <c r="BL214">
        <v>6.4122000000000003</v>
      </c>
      <c r="BM214">
        <v>0</v>
      </c>
      <c r="BN214">
        <v>0</v>
      </c>
      <c r="BO214">
        <v>0.01</v>
      </c>
      <c r="BP214">
        <v>1</v>
      </c>
      <c r="BQ214">
        <v>0</v>
      </c>
      <c r="BR214">
        <v>0.55979999999999996</v>
      </c>
      <c r="BS214">
        <v>9.6182999999999996</v>
      </c>
      <c r="BT214">
        <v>0</v>
      </c>
      <c r="BU214">
        <v>0</v>
      </c>
      <c r="BV214">
        <v>1.4999999999999999E-2</v>
      </c>
      <c r="BW214">
        <v>1</v>
      </c>
      <c r="CV214">
        <v>0</v>
      </c>
      <c r="CW214">
        <f>ROUND(Y214*Source!I240*DO214,7)</f>
        <v>8.9999999999999998E-4</v>
      </c>
      <c r="CX214">
        <f>ROUND(Y214*Source!I240,7)</f>
        <v>8.9999999999999998E-4</v>
      </c>
      <c r="CY214">
        <f>AB214</f>
        <v>57.47</v>
      </c>
      <c r="CZ214">
        <f>AF214</f>
        <v>37.32</v>
      </c>
      <c r="DA214">
        <f>AJ214</f>
        <v>1.54</v>
      </c>
      <c r="DB214">
        <f>ROUND((ROUND(AT214*CZ214,2)*ROUND(((0.2+1)*1.25),7)),6)</f>
        <v>0.55500000000000005</v>
      </c>
      <c r="DC214">
        <f>ROUND((ROUND(AT214*AG214,2)*ROUND(((0.2+1)*1.25),7)),6)</f>
        <v>9.6150000000000002</v>
      </c>
      <c r="DD214" t="s">
        <v>3</v>
      </c>
      <c r="DE214" t="s">
        <v>3</v>
      </c>
      <c r="DF214">
        <f t="shared" si="100"/>
        <v>0</v>
      </c>
      <c r="DG214">
        <f>ROUND(ROUND(AF214*AJ214,2)*CX214,2)</f>
        <v>0.05</v>
      </c>
      <c r="DH214">
        <f t="shared" si="91"/>
        <v>0.57999999999999996</v>
      </c>
      <c r="DI214">
        <f t="shared" si="92"/>
        <v>0</v>
      </c>
      <c r="DJ214">
        <f>DG214+DH214</f>
        <v>0.63</v>
      </c>
      <c r="DK214">
        <v>0</v>
      </c>
      <c r="DL214" t="s">
        <v>544</v>
      </c>
      <c r="DM214">
        <v>3</v>
      </c>
      <c r="DN214" t="s">
        <v>541</v>
      </c>
      <c r="DO214">
        <v>1</v>
      </c>
    </row>
    <row r="215" spans="1:119" x14ac:dyDescent="0.2">
      <c r="A215">
        <f>ROW(Source!A240)</f>
        <v>240</v>
      </c>
      <c r="B215">
        <v>85997836</v>
      </c>
      <c r="C215">
        <v>85998611</v>
      </c>
      <c r="D215">
        <v>84172146</v>
      </c>
      <c r="E215">
        <v>1</v>
      </c>
      <c r="F215">
        <v>1</v>
      </c>
      <c r="G215">
        <v>1</v>
      </c>
      <c r="H215">
        <v>2</v>
      </c>
      <c r="I215" t="s">
        <v>127</v>
      </c>
      <c r="J215" t="s">
        <v>129</v>
      </c>
      <c r="K215" t="s">
        <v>128</v>
      </c>
      <c r="L215">
        <v>1368</v>
      </c>
      <c r="N215">
        <v>1011</v>
      </c>
      <c r="O215" t="s">
        <v>29</v>
      </c>
      <c r="P215" t="s">
        <v>29</v>
      </c>
      <c r="Q215">
        <v>1</v>
      </c>
      <c r="W215">
        <v>0</v>
      </c>
      <c r="X215">
        <v>-849950259</v>
      </c>
      <c r="Y215">
        <f>(AT215*ROUND(((0.2+1)*1.25),7))</f>
        <v>0.03</v>
      </c>
      <c r="AA215">
        <v>0</v>
      </c>
      <c r="AB215">
        <v>643.29</v>
      </c>
      <c r="AC215">
        <v>722.05</v>
      </c>
      <c r="AD215">
        <v>0</v>
      </c>
      <c r="AE215">
        <v>0</v>
      </c>
      <c r="AF215">
        <v>643.29</v>
      </c>
      <c r="AG215">
        <v>722.05</v>
      </c>
      <c r="AH215">
        <v>0</v>
      </c>
      <c r="AI215">
        <v>1</v>
      </c>
      <c r="AJ215">
        <v>1</v>
      </c>
      <c r="AK215">
        <v>1</v>
      </c>
      <c r="AL215">
        <v>1</v>
      </c>
      <c r="AM215">
        <v>-2</v>
      </c>
      <c r="AN215">
        <v>0</v>
      </c>
      <c r="AO215">
        <v>0</v>
      </c>
      <c r="AP215">
        <v>1</v>
      </c>
      <c r="AQ215">
        <v>1</v>
      </c>
      <c r="AR215">
        <v>0</v>
      </c>
      <c r="AS215" t="s">
        <v>3</v>
      </c>
      <c r="AT215">
        <v>0.02</v>
      </c>
      <c r="AU215" t="s">
        <v>329</v>
      </c>
      <c r="AV215">
        <v>1</v>
      </c>
      <c r="AW215">
        <v>2</v>
      </c>
      <c r="AX215">
        <v>85998621</v>
      </c>
      <c r="AY215">
        <v>1</v>
      </c>
      <c r="AZ215">
        <v>0</v>
      </c>
      <c r="BA215">
        <v>194</v>
      </c>
      <c r="BB215">
        <v>1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12.8658</v>
      </c>
      <c r="BL215">
        <v>14.440999999999999</v>
      </c>
      <c r="BM215">
        <v>0</v>
      </c>
      <c r="BN215">
        <v>0</v>
      </c>
      <c r="BO215">
        <v>0.02</v>
      </c>
      <c r="BP215">
        <v>1</v>
      </c>
      <c r="BQ215">
        <v>0</v>
      </c>
      <c r="BR215">
        <v>19.298699999999997</v>
      </c>
      <c r="BS215">
        <v>21.661499999999997</v>
      </c>
      <c r="BT215">
        <v>0</v>
      </c>
      <c r="BU215">
        <v>0</v>
      </c>
      <c r="BV215">
        <v>0.03</v>
      </c>
      <c r="BW215">
        <v>1</v>
      </c>
      <c r="CV215">
        <v>0</v>
      </c>
      <c r="CW215">
        <f>ROUND(Y215*Source!I240*DO215,7)</f>
        <v>1.8E-3</v>
      </c>
      <c r="CX215">
        <f>ROUND(Y215*Source!I240,7)</f>
        <v>1.8E-3</v>
      </c>
      <c r="CY215">
        <f>AB215</f>
        <v>643.29</v>
      </c>
      <c r="CZ215">
        <f>AF215</f>
        <v>643.29</v>
      </c>
      <c r="DA215">
        <f>AJ215</f>
        <v>1</v>
      </c>
      <c r="DB215">
        <f>ROUND((ROUND(AT215*CZ215,2)*ROUND(((0.2+1)*1.25),7)),6)</f>
        <v>19.305</v>
      </c>
      <c r="DC215">
        <f>ROUND((ROUND(AT215*AG215,2)*ROUND(((0.2+1)*1.25),7)),6)</f>
        <v>21.66</v>
      </c>
      <c r="DD215" t="s">
        <v>3</v>
      </c>
      <c r="DE215" t="s">
        <v>3</v>
      </c>
      <c r="DF215">
        <f t="shared" si="100"/>
        <v>0</v>
      </c>
      <c r="DG215">
        <f>ROUND(ROUND(AF215,2)*CX215,2)</f>
        <v>1.1599999999999999</v>
      </c>
      <c r="DH215">
        <f t="shared" si="91"/>
        <v>1.3</v>
      </c>
      <c r="DI215">
        <f t="shared" si="92"/>
        <v>0</v>
      </c>
      <c r="DJ215">
        <f>DG215+DH215</f>
        <v>2.46</v>
      </c>
      <c r="DK215">
        <v>1</v>
      </c>
      <c r="DL215" t="s">
        <v>600</v>
      </c>
      <c r="DM215">
        <v>4</v>
      </c>
      <c r="DN215" t="s">
        <v>541</v>
      </c>
      <c r="DO215">
        <v>1</v>
      </c>
    </row>
    <row r="216" spans="1:119" x14ac:dyDescent="0.2">
      <c r="A216">
        <f>ROW(Source!A240)</f>
        <v>240</v>
      </c>
      <c r="B216">
        <v>85997836</v>
      </c>
      <c r="C216">
        <v>85998611</v>
      </c>
      <c r="D216">
        <v>84241562</v>
      </c>
      <c r="E216">
        <v>1</v>
      </c>
      <c r="F216">
        <v>1</v>
      </c>
      <c r="G216">
        <v>1</v>
      </c>
      <c r="H216">
        <v>3</v>
      </c>
      <c r="I216" t="s">
        <v>669</v>
      </c>
      <c r="J216" t="s">
        <v>670</v>
      </c>
      <c r="K216" t="s">
        <v>671</v>
      </c>
      <c r="L216">
        <v>1346</v>
      </c>
      <c r="N216">
        <v>1009</v>
      </c>
      <c r="O216" t="s">
        <v>170</v>
      </c>
      <c r="P216" t="s">
        <v>170</v>
      </c>
      <c r="Q216">
        <v>1</v>
      </c>
      <c r="W216">
        <v>0</v>
      </c>
      <c r="X216">
        <v>-373327139</v>
      </c>
      <c r="Y216">
        <f>AT216</f>
        <v>0.2</v>
      </c>
      <c r="AA216">
        <v>86.41</v>
      </c>
      <c r="AB216">
        <v>0</v>
      </c>
      <c r="AC216">
        <v>0</v>
      </c>
      <c r="AD216">
        <v>0</v>
      </c>
      <c r="AE216">
        <v>56.11</v>
      </c>
      <c r="AF216">
        <v>0</v>
      </c>
      <c r="AG216">
        <v>0</v>
      </c>
      <c r="AH216">
        <v>0</v>
      </c>
      <c r="AI216">
        <v>1.54</v>
      </c>
      <c r="AJ216">
        <v>1</v>
      </c>
      <c r="AK216">
        <v>1</v>
      </c>
      <c r="AL216">
        <v>1</v>
      </c>
      <c r="AM216">
        <v>2</v>
      </c>
      <c r="AN216">
        <v>0</v>
      </c>
      <c r="AO216">
        <v>0</v>
      </c>
      <c r="AP216">
        <v>1</v>
      </c>
      <c r="AQ216">
        <v>1</v>
      </c>
      <c r="AR216">
        <v>0</v>
      </c>
      <c r="AS216" t="s">
        <v>3</v>
      </c>
      <c r="AT216">
        <v>0.2</v>
      </c>
      <c r="AU216" t="s">
        <v>3</v>
      </c>
      <c r="AV216">
        <v>0</v>
      </c>
      <c r="AW216">
        <v>2</v>
      </c>
      <c r="AX216">
        <v>85998622</v>
      </c>
      <c r="AY216">
        <v>1</v>
      </c>
      <c r="AZ216">
        <v>0</v>
      </c>
      <c r="BA216">
        <v>195</v>
      </c>
      <c r="BB216">
        <v>1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11.222000000000001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1</v>
      </c>
      <c r="BQ216">
        <v>11.222000000000001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1</v>
      </c>
      <c r="CV216">
        <v>0</v>
      </c>
      <c r="CW216">
        <v>0</v>
      </c>
      <c r="CX216">
        <f>ROUND(Y216*Source!I240,7)</f>
        <v>1.2E-2</v>
      </c>
      <c r="CY216">
        <f>AA216</f>
        <v>86.41</v>
      </c>
      <c r="CZ216">
        <f>AE216</f>
        <v>56.11</v>
      </c>
      <c r="DA216">
        <f>AI216</f>
        <v>1.54</v>
      </c>
      <c r="DB216">
        <f>ROUND(ROUND(AT216*CZ216,2),6)</f>
        <v>11.22</v>
      </c>
      <c r="DC216">
        <f>ROUND(ROUND(AT216*AG216,2),6)</f>
        <v>0</v>
      </c>
      <c r="DD216" t="s">
        <v>3</v>
      </c>
      <c r="DE216" t="s">
        <v>3</v>
      </c>
      <c r="DF216">
        <f>ROUND(ROUND(AE216*AI216,2)*CX216,2)</f>
        <v>1.04</v>
      </c>
      <c r="DG216">
        <f>ROUND(ROUND(AF216,2)*CX216,2)</f>
        <v>0</v>
      </c>
      <c r="DH216">
        <f t="shared" si="91"/>
        <v>0</v>
      </c>
      <c r="DI216">
        <f t="shared" si="92"/>
        <v>0</v>
      </c>
      <c r="DJ216">
        <f>DF216</f>
        <v>1.04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">
      <c r="A217">
        <f>ROW(Source!A240)</f>
        <v>240</v>
      </c>
      <c r="B217">
        <v>85997836</v>
      </c>
      <c r="C217">
        <v>85998611</v>
      </c>
      <c r="D217">
        <v>84257462</v>
      </c>
      <c r="E217">
        <v>1</v>
      </c>
      <c r="F217">
        <v>1</v>
      </c>
      <c r="G217">
        <v>1</v>
      </c>
      <c r="H217">
        <v>3</v>
      </c>
      <c r="I217" t="s">
        <v>424</v>
      </c>
      <c r="J217" t="s">
        <v>426</v>
      </c>
      <c r="K217" t="s">
        <v>425</v>
      </c>
      <c r="L217">
        <v>1346</v>
      </c>
      <c r="N217">
        <v>1009</v>
      </c>
      <c r="O217" t="s">
        <v>170</v>
      </c>
      <c r="P217" t="s">
        <v>170</v>
      </c>
      <c r="Q217">
        <v>1</v>
      </c>
      <c r="W217">
        <v>0</v>
      </c>
      <c r="X217">
        <v>519827231</v>
      </c>
      <c r="Y217">
        <f>AT217</f>
        <v>20</v>
      </c>
      <c r="AA217">
        <v>180.15</v>
      </c>
      <c r="AB217">
        <v>0</v>
      </c>
      <c r="AC217">
        <v>0</v>
      </c>
      <c r="AD217">
        <v>0</v>
      </c>
      <c r="AE217">
        <v>144.12</v>
      </c>
      <c r="AF217">
        <v>0</v>
      </c>
      <c r="AG217">
        <v>0</v>
      </c>
      <c r="AH217">
        <v>0</v>
      </c>
      <c r="AI217">
        <v>1.25</v>
      </c>
      <c r="AJ217">
        <v>1</v>
      </c>
      <c r="AK217">
        <v>1</v>
      </c>
      <c r="AL217">
        <v>1</v>
      </c>
      <c r="AM217">
        <v>0</v>
      </c>
      <c r="AN217">
        <v>0</v>
      </c>
      <c r="AO217">
        <v>0</v>
      </c>
      <c r="AP217">
        <v>1</v>
      </c>
      <c r="AQ217">
        <v>0</v>
      </c>
      <c r="AR217">
        <v>0</v>
      </c>
      <c r="AS217" t="s">
        <v>3</v>
      </c>
      <c r="AT217">
        <v>20</v>
      </c>
      <c r="AU217" t="s">
        <v>3</v>
      </c>
      <c r="AV217">
        <v>0</v>
      </c>
      <c r="AW217">
        <v>1</v>
      </c>
      <c r="AX217">
        <v>-1</v>
      </c>
      <c r="AY217">
        <v>0</v>
      </c>
      <c r="AZ217">
        <v>0</v>
      </c>
      <c r="BA217" t="s">
        <v>3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V217">
        <v>0</v>
      </c>
      <c r="CW217">
        <v>0</v>
      </c>
      <c r="CX217">
        <f>ROUND(Y217*Source!I240,7)</f>
        <v>1.2</v>
      </c>
      <c r="CY217">
        <f>AA217</f>
        <v>180.15</v>
      </c>
      <c r="CZ217">
        <f>AE217</f>
        <v>144.12</v>
      </c>
      <c r="DA217">
        <f>AI217</f>
        <v>1.25</v>
      </c>
      <c r="DB217">
        <f>ROUND(ROUND(AT217*CZ217,2),6)</f>
        <v>2882.4</v>
      </c>
      <c r="DC217">
        <f>ROUND(ROUND(AT217*AG217,2),6)</f>
        <v>0</v>
      </c>
      <c r="DD217" t="s">
        <v>3</v>
      </c>
      <c r="DE217" t="s">
        <v>3</v>
      </c>
      <c r="DF217">
        <f>ROUND(ROUND(AE217*AI217,2)*CX217,2)</f>
        <v>216.18</v>
      </c>
      <c r="DG217">
        <f>ROUND(ROUND(AF217,2)*CX217,2)</f>
        <v>0</v>
      </c>
      <c r="DH217">
        <f t="shared" si="91"/>
        <v>0</v>
      </c>
      <c r="DI217">
        <f t="shared" si="92"/>
        <v>0</v>
      </c>
      <c r="DJ217">
        <f>DF217</f>
        <v>216.18</v>
      </c>
      <c r="DK217">
        <v>0</v>
      </c>
      <c r="DL217" t="s">
        <v>3</v>
      </c>
      <c r="DM217">
        <v>0</v>
      </c>
      <c r="DN217" t="s">
        <v>3</v>
      </c>
      <c r="DO217">
        <v>0</v>
      </c>
    </row>
    <row r="218" spans="1:119" x14ac:dyDescent="0.2">
      <c r="A218">
        <f>ROW(Source!A242)</f>
        <v>242</v>
      </c>
      <c r="B218">
        <v>85997836</v>
      </c>
      <c r="C218">
        <v>85998625</v>
      </c>
      <c r="D218">
        <v>84164576</v>
      </c>
      <c r="E218">
        <v>117</v>
      </c>
      <c r="F218">
        <v>1</v>
      </c>
      <c r="G218">
        <v>1</v>
      </c>
      <c r="H218">
        <v>1</v>
      </c>
      <c r="I218" t="s">
        <v>644</v>
      </c>
      <c r="J218" t="s">
        <v>3</v>
      </c>
      <c r="K218" t="s">
        <v>645</v>
      </c>
      <c r="L218">
        <v>1191</v>
      </c>
      <c r="N218">
        <v>1013</v>
      </c>
      <c r="O218" t="s">
        <v>541</v>
      </c>
      <c r="P218" t="s">
        <v>541</v>
      </c>
      <c r="Q218">
        <v>1</v>
      </c>
      <c r="W218">
        <v>0</v>
      </c>
      <c r="X218">
        <v>-1461236815</v>
      </c>
      <c r="Y218">
        <f>(AT218*ROUND(((0.2+1)*1.15),7))</f>
        <v>31.878</v>
      </c>
      <c r="AA218">
        <v>0</v>
      </c>
      <c r="AB218">
        <v>0</v>
      </c>
      <c r="AC218">
        <v>0</v>
      </c>
      <c r="AD218">
        <v>673.55</v>
      </c>
      <c r="AE218">
        <v>0</v>
      </c>
      <c r="AF218">
        <v>0</v>
      </c>
      <c r="AG218">
        <v>0</v>
      </c>
      <c r="AH218">
        <v>673.55</v>
      </c>
      <c r="AI218">
        <v>1</v>
      </c>
      <c r="AJ218">
        <v>1</v>
      </c>
      <c r="AK218">
        <v>1</v>
      </c>
      <c r="AL218">
        <v>1</v>
      </c>
      <c r="AM218">
        <v>-2</v>
      </c>
      <c r="AN218">
        <v>0</v>
      </c>
      <c r="AO218">
        <v>0</v>
      </c>
      <c r="AP218">
        <v>1</v>
      </c>
      <c r="AQ218">
        <v>1</v>
      </c>
      <c r="AR218">
        <v>0</v>
      </c>
      <c r="AS218" t="s">
        <v>3</v>
      </c>
      <c r="AT218">
        <v>23.1</v>
      </c>
      <c r="AU218" t="s">
        <v>330</v>
      </c>
      <c r="AV218">
        <v>1</v>
      </c>
      <c r="AW218">
        <v>2</v>
      </c>
      <c r="AX218">
        <v>85998634</v>
      </c>
      <c r="AY218">
        <v>1</v>
      </c>
      <c r="AZ218">
        <v>0</v>
      </c>
      <c r="BA218">
        <v>197</v>
      </c>
      <c r="BB218">
        <v>1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15559.004999999999</v>
      </c>
      <c r="BN218">
        <v>23.1</v>
      </c>
      <c r="BO218">
        <v>0</v>
      </c>
      <c r="BP218">
        <v>1</v>
      </c>
      <c r="BQ218">
        <v>0</v>
      </c>
      <c r="BR218">
        <v>0</v>
      </c>
      <c r="BS218">
        <v>0</v>
      </c>
      <c r="BT218">
        <v>21471.426899999999</v>
      </c>
      <c r="BU218">
        <v>31.878</v>
      </c>
      <c r="BV218">
        <v>0</v>
      </c>
      <c r="BW218">
        <v>1</v>
      </c>
      <c r="CU218">
        <f>ROUND(AT218*Source!I242*AH218*AL218,2)</f>
        <v>933.54</v>
      </c>
      <c r="CV218">
        <f>ROUND(Y218*Source!I242,7)</f>
        <v>1.9126799999999999</v>
      </c>
      <c r="CW218">
        <v>0</v>
      </c>
      <c r="CX218">
        <f>ROUND(Y218*Source!I242,7)</f>
        <v>1.9126799999999999</v>
      </c>
      <c r="CY218">
        <f>AD218</f>
        <v>673.55</v>
      </c>
      <c r="CZ218">
        <f>AH218</f>
        <v>673.55</v>
      </c>
      <c r="DA218">
        <f>AL218</f>
        <v>1</v>
      </c>
      <c r="DB218">
        <f>ROUND((ROUND(AT218*CZ218,2)*ROUND(((0.2+1)*1.15),7)),6)</f>
        <v>21471.433799999999</v>
      </c>
      <c r="DC218">
        <f>ROUND((ROUND(AT218*AG218,2)*ROUND(((0.2+1)*1.15),7)),6)</f>
        <v>0</v>
      </c>
      <c r="DD218" t="s">
        <v>3</v>
      </c>
      <c r="DE218" t="s">
        <v>3</v>
      </c>
      <c r="DF218">
        <f>ROUND(ROUND(AE218,2)*CX218,2)</f>
        <v>0</v>
      </c>
      <c r="DG218">
        <f>ROUND(ROUND(AF218,2)*CX218,2)</f>
        <v>0</v>
      </c>
      <c r="DH218">
        <f t="shared" si="91"/>
        <v>0</v>
      </c>
      <c r="DI218">
        <f t="shared" si="92"/>
        <v>1288.29</v>
      </c>
      <c r="DJ218">
        <f>DI218</f>
        <v>1288.29</v>
      </c>
      <c r="DK218">
        <v>1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">
      <c r="A219">
        <f>ROW(Source!A242)</f>
        <v>242</v>
      </c>
      <c r="B219">
        <v>85997836</v>
      </c>
      <c r="C219">
        <v>85998625</v>
      </c>
      <c r="D219">
        <v>84164762</v>
      </c>
      <c r="E219">
        <v>117</v>
      </c>
      <c r="F219">
        <v>1</v>
      </c>
      <c r="G219">
        <v>1</v>
      </c>
      <c r="H219">
        <v>1</v>
      </c>
      <c r="I219" t="s">
        <v>542</v>
      </c>
      <c r="J219" t="s">
        <v>3</v>
      </c>
      <c r="K219" t="s">
        <v>543</v>
      </c>
      <c r="L219">
        <v>1191</v>
      </c>
      <c r="N219">
        <v>1013</v>
      </c>
      <c r="O219" t="s">
        <v>541</v>
      </c>
      <c r="P219" t="s">
        <v>541</v>
      </c>
      <c r="Q219">
        <v>1</v>
      </c>
      <c r="W219">
        <v>0</v>
      </c>
      <c r="X219">
        <v>-1417349443</v>
      </c>
      <c r="Y219">
        <f>(AT219*ROUND(((0.2+1)*1.25),7))</f>
        <v>0.16500000000000001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0</v>
      </c>
      <c r="AP219">
        <v>1</v>
      </c>
      <c r="AQ219">
        <v>1</v>
      </c>
      <c r="AR219">
        <v>0</v>
      </c>
      <c r="AS219" t="s">
        <v>3</v>
      </c>
      <c r="AT219">
        <v>0.11</v>
      </c>
      <c r="AU219" t="s">
        <v>329</v>
      </c>
      <c r="AV219">
        <v>2</v>
      </c>
      <c r="AW219">
        <v>2</v>
      </c>
      <c r="AX219">
        <v>85998635</v>
      </c>
      <c r="AY219">
        <v>1</v>
      </c>
      <c r="AZ219">
        <v>0</v>
      </c>
      <c r="BA219">
        <v>198</v>
      </c>
      <c r="BB219">
        <v>1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V219">
        <v>0</v>
      </c>
      <c r="CW219">
        <v>0</v>
      </c>
      <c r="CX219">
        <f>ROUND(Y219*Source!I242,7)</f>
        <v>9.9000000000000008E-3</v>
      </c>
      <c r="CY219">
        <f>AD219</f>
        <v>0</v>
      </c>
      <c r="CZ219">
        <f>AH219</f>
        <v>0</v>
      </c>
      <c r="DA219">
        <f>AL219</f>
        <v>1</v>
      </c>
      <c r="DB219">
        <f>ROUND((ROUND(AT219*CZ219,2)*ROUND(((0.2+1)*1.25),7)),6)</f>
        <v>0</v>
      </c>
      <c r="DC219">
        <f>ROUND((ROUND(AT219*AG219,2)*ROUND(((0.2+1)*1.25),7)),6)</f>
        <v>0</v>
      </c>
      <c r="DD219" t="s">
        <v>3</v>
      </c>
      <c r="DE219" t="s">
        <v>3</v>
      </c>
      <c r="DF219">
        <f>ROUND(ROUND(AE219,2)*CX219,2)</f>
        <v>0</v>
      </c>
      <c r="DG219">
        <f>ROUND(ROUND(AF219,2)*CX219,2)</f>
        <v>0</v>
      </c>
      <c r="DH219">
        <f t="shared" si="91"/>
        <v>0</v>
      </c>
      <c r="DI219">
        <f t="shared" si="92"/>
        <v>0</v>
      </c>
      <c r="DJ219">
        <f>DI219</f>
        <v>0</v>
      </c>
      <c r="DK219">
        <v>0</v>
      </c>
      <c r="DL219" t="s">
        <v>3</v>
      </c>
      <c r="DM219">
        <v>0</v>
      </c>
      <c r="DN219" t="s">
        <v>3</v>
      </c>
      <c r="DO219">
        <v>0</v>
      </c>
    </row>
    <row r="220" spans="1:119" x14ac:dyDescent="0.2">
      <c r="A220">
        <f>ROW(Source!A242)</f>
        <v>242</v>
      </c>
      <c r="B220">
        <v>85997836</v>
      </c>
      <c r="C220">
        <v>85998625</v>
      </c>
      <c r="D220">
        <v>84171438</v>
      </c>
      <c r="E220">
        <v>1</v>
      </c>
      <c r="F220">
        <v>1</v>
      </c>
      <c r="G220">
        <v>1</v>
      </c>
      <c r="H220">
        <v>2</v>
      </c>
      <c r="I220" t="s">
        <v>27</v>
      </c>
      <c r="J220" t="s">
        <v>30</v>
      </c>
      <c r="K220" t="s">
        <v>28</v>
      </c>
      <c r="L220">
        <v>1368</v>
      </c>
      <c r="N220">
        <v>1011</v>
      </c>
      <c r="O220" t="s">
        <v>29</v>
      </c>
      <c r="P220" t="s">
        <v>29</v>
      </c>
      <c r="Q220">
        <v>1</v>
      </c>
      <c r="W220">
        <v>0</v>
      </c>
      <c r="X220">
        <v>945201097</v>
      </c>
      <c r="Y220">
        <f>(AT220*ROUND(((0.2+1)*1.25),7))</f>
        <v>-2.2499999999999999E-2</v>
      </c>
      <c r="AA220">
        <v>0</v>
      </c>
      <c r="AB220">
        <v>57.47</v>
      </c>
      <c r="AC220">
        <v>641.22</v>
      </c>
      <c r="AD220">
        <v>0</v>
      </c>
      <c r="AE220">
        <v>0</v>
      </c>
      <c r="AF220">
        <v>37.32</v>
      </c>
      <c r="AG220">
        <v>641.22</v>
      </c>
      <c r="AH220">
        <v>0</v>
      </c>
      <c r="AI220">
        <v>1</v>
      </c>
      <c r="AJ220">
        <v>1.54</v>
      </c>
      <c r="AK220">
        <v>1</v>
      </c>
      <c r="AL220">
        <v>1</v>
      </c>
      <c r="AM220">
        <v>2</v>
      </c>
      <c r="AN220">
        <v>0</v>
      </c>
      <c r="AO220">
        <v>0</v>
      </c>
      <c r="AP220">
        <v>1</v>
      </c>
      <c r="AQ220">
        <v>0</v>
      </c>
      <c r="AR220">
        <v>0</v>
      </c>
      <c r="AS220" t="s">
        <v>3</v>
      </c>
      <c r="AT220">
        <v>-1.4999999999999999E-2</v>
      </c>
      <c r="AU220" t="s">
        <v>329</v>
      </c>
      <c r="AV220">
        <v>1</v>
      </c>
      <c r="AW220">
        <v>2</v>
      </c>
      <c r="AX220">
        <v>85998636</v>
      </c>
      <c r="AY220">
        <v>1</v>
      </c>
      <c r="AZ220">
        <v>6144</v>
      </c>
      <c r="BA220">
        <v>199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V220">
        <v>0</v>
      </c>
      <c r="CW220">
        <f>ROUND(Y220*Source!I242*DO220,7)</f>
        <v>-1.3500000000000001E-3</v>
      </c>
      <c r="CX220">
        <f>ROUND(Y220*Source!I242,7)</f>
        <v>-1.3500000000000001E-3</v>
      </c>
      <c r="CY220">
        <f>AB220</f>
        <v>57.47</v>
      </c>
      <c r="CZ220">
        <f>AF220</f>
        <v>37.32</v>
      </c>
      <c r="DA220">
        <f>AJ220</f>
        <v>1.54</v>
      </c>
      <c r="DB220">
        <f>ROUND((ROUND(AT220*CZ220,2)*ROUND(((0.2+1)*1.25),7)),6)</f>
        <v>-0.84</v>
      </c>
      <c r="DC220">
        <f>ROUND((ROUND(AT220*AG220,2)*ROUND(((0.2+1)*1.25),7)),6)</f>
        <v>-14.43</v>
      </c>
      <c r="DD220" t="s">
        <v>3</v>
      </c>
      <c r="DE220" t="s">
        <v>3</v>
      </c>
      <c r="DF220">
        <f>ROUND(ROUND(AE220,2)*CX220,2)</f>
        <v>0</v>
      </c>
      <c r="DG220">
        <f>ROUND(ROUND(AF220*AJ220,2)*CX220,2)</f>
        <v>-0.08</v>
      </c>
      <c r="DH220">
        <f t="shared" si="91"/>
        <v>-0.87</v>
      </c>
      <c r="DI220">
        <f t="shared" si="92"/>
        <v>0</v>
      </c>
      <c r="DJ220">
        <f>DG220+DH220</f>
        <v>-0.95</v>
      </c>
      <c r="DK220">
        <v>0</v>
      </c>
      <c r="DL220" t="s">
        <v>544</v>
      </c>
      <c r="DM220">
        <v>3</v>
      </c>
      <c r="DN220" t="s">
        <v>541</v>
      </c>
      <c r="DO220">
        <v>1</v>
      </c>
    </row>
    <row r="221" spans="1:119" x14ac:dyDescent="0.2">
      <c r="A221">
        <f>ROW(Source!A242)</f>
        <v>242</v>
      </c>
      <c r="B221">
        <v>85997836</v>
      </c>
      <c r="C221">
        <v>85998625</v>
      </c>
      <c r="D221">
        <v>84172146</v>
      </c>
      <c r="E221">
        <v>1</v>
      </c>
      <c r="F221">
        <v>1</v>
      </c>
      <c r="G221">
        <v>1</v>
      </c>
      <c r="H221">
        <v>2</v>
      </c>
      <c r="I221" t="s">
        <v>127</v>
      </c>
      <c r="J221" t="s">
        <v>129</v>
      </c>
      <c r="K221" t="s">
        <v>128</v>
      </c>
      <c r="L221">
        <v>1368</v>
      </c>
      <c r="N221">
        <v>1011</v>
      </c>
      <c r="O221" t="s">
        <v>29</v>
      </c>
      <c r="P221" t="s">
        <v>29</v>
      </c>
      <c r="Q221">
        <v>1</v>
      </c>
      <c r="W221">
        <v>0</v>
      </c>
      <c r="X221">
        <v>-849950259</v>
      </c>
      <c r="Y221">
        <f>(AT221*ROUND(((0.2+1)*1.25),7))</f>
        <v>-0.22499999999999998</v>
      </c>
      <c r="AA221">
        <v>0</v>
      </c>
      <c r="AB221">
        <v>643.29</v>
      </c>
      <c r="AC221">
        <v>722.05</v>
      </c>
      <c r="AD221">
        <v>0</v>
      </c>
      <c r="AE221">
        <v>0</v>
      </c>
      <c r="AF221">
        <v>643.29</v>
      </c>
      <c r="AG221">
        <v>722.05</v>
      </c>
      <c r="AH221">
        <v>0</v>
      </c>
      <c r="AI221">
        <v>1</v>
      </c>
      <c r="AJ221">
        <v>1</v>
      </c>
      <c r="AK221">
        <v>1</v>
      </c>
      <c r="AL221">
        <v>1</v>
      </c>
      <c r="AM221">
        <v>-2</v>
      </c>
      <c r="AN221">
        <v>0</v>
      </c>
      <c r="AO221">
        <v>0</v>
      </c>
      <c r="AP221">
        <v>1</v>
      </c>
      <c r="AQ221">
        <v>0</v>
      </c>
      <c r="AR221">
        <v>0</v>
      </c>
      <c r="AS221" t="s">
        <v>3</v>
      </c>
      <c r="AT221">
        <v>-0.15</v>
      </c>
      <c r="AU221" t="s">
        <v>329</v>
      </c>
      <c r="AV221">
        <v>1</v>
      </c>
      <c r="AW221">
        <v>2</v>
      </c>
      <c r="AX221">
        <v>85998637</v>
      </c>
      <c r="AY221">
        <v>1</v>
      </c>
      <c r="AZ221">
        <v>6144</v>
      </c>
      <c r="BA221">
        <v>200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V221">
        <v>0</v>
      </c>
      <c r="CW221">
        <f>ROUND(Y221*Source!I242*DO221,7)</f>
        <v>-1.35E-2</v>
      </c>
      <c r="CX221">
        <f>ROUND(Y221*Source!I242,7)</f>
        <v>-1.35E-2</v>
      </c>
      <c r="CY221">
        <f>AB221</f>
        <v>643.29</v>
      </c>
      <c r="CZ221">
        <f>AF221</f>
        <v>643.29</v>
      </c>
      <c r="DA221">
        <f>AJ221</f>
        <v>1</v>
      </c>
      <c r="DB221">
        <f>ROUND((ROUND(AT221*CZ221,2)*ROUND(((0.2+1)*1.25),7)),6)</f>
        <v>-144.73500000000001</v>
      </c>
      <c r="DC221">
        <f>ROUND((ROUND(AT221*AG221,2)*ROUND(((0.2+1)*1.25),7)),6)</f>
        <v>-162.465</v>
      </c>
      <c r="DD221" t="s">
        <v>3</v>
      </c>
      <c r="DE221" t="s">
        <v>3</v>
      </c>
      <c r="DF221">
        <f>ROUND(ROUND(AE221,2)*CX221,2)</f>
        <v>0</v>
      </c>
      <c r="DG221">
        <f t="shared" ref="DG221:DG227" si="101">ROUND(ROUND(AF221,2)*CX221,2)</f>
        <v>-8.68</v>
      </c>
      <c r="DH221">
        <f t="shared" si="91"/>
        <v>-9.75</v>
      </c>
      <c r="DI221">
        <f t="shared" si="92"/>
        <v>0</v>
      </c>
      <c r="DJ221">
        <f>DG221+DH221</f>
        <v>-18.43</v>
      </c>
      <c r="DK221">
        <v>1</v>
      </c>
      <c r="DL221" t="s">
        <v>600</v>
      </c>
      <c r="DM221">
        <v>4</v>
      </c>
      <c r="DN221" t="s">
        <v>541</v>
      </c>
      <c r="DO221">
        <v>1</v>
      </c>
    </row>
    <row r="222" spans="1:119" x14ac:dyDescent="0.2">
      <c r="A222">
        <f>ROW(Source!A242)</f>
        <v>242</v>
      </c>
      <c r="B222">
        <v>85997836</v>
      </c>
      <c r="C222">
        <v>85998625</v>
      </c>
      <c r="D222">
        <v>84241198</v>
      </c>
      <c r="E222">
        <v>1</v>
      </c>
      <c r="F222">
        <v>1</v>
      </c>
      <c r="G222">
        <v>1</v>
      </c>
      <c r="H222">
        <v>3</v>
      </c>
      <c r="I222" t="s">
        <v>672</v>
      </c>
      <c r="J222" t="s">
        <v>673</v>
      </c>
      <c r="K222" t="s">
        <v>674</v>
      </c>
      <c r="L222">
        <v>1327</v>
      </c>
      <c r="N222">
        <v>1005</v>
      </c>
      <c r="O222" t="s">
        <v>675</v>
      </c>
      <c r="P222" t="s">
        <v>675</v>
      </c>
      <c r="Q222">
        <v>1</v>
      </c>
      <c r="W222">
        <v>0</v>
      </c>
      <c r="X222">
        <v>10451617</v>
      </c>
      <c r="Y222">
        <f>AT222</f>
        <v>0.84</v>
      </c>
      <c r="AA222">
        <v>706.82</v>
      </c>
      <c r="AB222">
        <v>0</v>
      </c>
      <c r="AC222">
        <v>0</v>
      </c>
      <c r="AD222">
        <v>0</v>
      </c>
      <c r="AE222">
        <v>531.44000000000005</v>
      </c>
      <c r="AF222">
        <v>0</v>
      </c>
      <c r="AG222">
        <v>0</v>
      </c>
      <c r="AH222">
        <v>0</v>
      </c>
      <c r="AI222">
        <v>1.33</v>
      </c>
      <c r="AJ222">
        <v>1</v>
      </c>
      <c r="AK222">
        <v>1</v>
      </c>
      <c r="AL222">
        <v>1</v>
      </c>
      <c r="AM222">
        <v>2</v>
      </c>
      <c r="AN222">
        <v>0</v>
      </c>
      <c r="AO222">
        <v>0</v>
      </c>
      <c r="AP222">
        <v>1</v>
      </c>
      <c r="AQ222">
        <v>1</v>
      </c>
      <c r="AR222">
        <v>0</v>
      </c>
      <c r="AS222" t="s">
        <v>3</v>
      </c>
      <c r="AT222">
        <v>0.84</v>
      </c>
      <c r="AU222" t="s">
        <v>3</v>
      </c>
      <c r="AV222">
        <v>0</v>
      </c>
      <c r="AW222">
        <v>2</v>
      </c>
      <c r="AX222">
        <v>85998638</v>
      </c>
      <c r="AY222">
        <v>1</v>
      </c>
      <c r="AZ222">
        <v>0</v>
      </c>
      <c r="BA222">
        <v>201</v>
      </c>
      <c r="BB222">
        <v>1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446.40960000000001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1</v>
      </c>
      <c r="BQ222">
        <v>446.40960000000001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1</v>
      </c>
      <c r="CV222">
        <v>0</v>
      </c>
      <c r="CW222">
        <v>0</v>
      </c>
      <c r="CX222">
        <f>ROUND(Y222*Source!I242,7)</f>
        <v>5.04E-2</v>
      </c>
      <c r="CY222">
        <f>AA222</f>
        <v>706.82</v>
      </c>
      <c r="CZ222">
        <f>AE222</f>
        <v>531.44000000000005</v>
      </c>
      <c r="DA222">
        <f>AI222</f>
        <v>1.33</v>
      </c>
      <c r="DB222">
        <f>ROUND(ROUND(AT222*CZ222,2),6)</f>
        <v>446.41</v>
      </c>
      <c r="DC222">
        <f>ROUND(ROUND(AT222*AG222,2),6)</f>
        <v>0</v>
      </c>
      <c r="DD222" t="s">
        <v>3</v>
      </c>
      <c r="DE222" t="s">
        <v>3</v>
      </c>
      <c r="DF222">
        <f>ROUND(ROUND(AE222*AI222,2)*CX222,2)</f>
        <v>35.619999999999997</v>
      </c>
      <c r="DG222">
        <f t="shared" si="101"/>
        <v>0</v>
      </c>
      <c r="DH222">
        <f t="shared" si="91"/>
        <v>0</v>
      </c>
      <c r="DI222">
        <f t="shared" si="92"/>
        <v>0</v>
      </c>
      <c r="DJ222">
        <f>DF222</f>
        <v>35.619999999999997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">
      <c r="A223">
        <f>ROW(Source!A242)</f>
        <v>242</v>
      </c>
      <c r="B223">
        <v>85997836</v>
      </c>
      <c r="C223">
        <v>85998625</v>
      </c>
      <c r="D223">
        <v>84241562</v>
      </c>
      <c r="E223">
        <v>1</v>
      </c>
      <c r="F223">
        <v>1</v>
      </c>
      <c r="G223">
        <v>1</v>
      </c>
      <c r="H223">
        <v>3</v>
      </c>
      <c r="I223" t="s">
        <v>669</v>
      </c>
      <c r="J223" t="s">
        <v>670</v>
      </c>
      <c r="K223" t="s">
        <v>671</v>
      </c>
      <c r="L223">
        <v>1346</v>
      </c>
      <c r="N223">
        <v>1009</v>
      </c>
      <c r="O223" t="s">
        <v>170</v>
      </c>
      <c r="P223" t="s">
        <v>170</v>
      </c>
      <c r="Q223">
        <v>1</v>
      </c>
      <c r="W223">
        <v>0</v>
      </c>
      <c r="X223">
        <v>-373327139</v>
      </c>
      <c r="Y223">
        <f>AT223</f>
        <v>0.31</v>
      </c>
      <c r="AA223">
        <v>86.41</v>
      </c>
      <c r="AB223">
        <v>0</v>
      </c>
      <c r="AC223">
        <v>0</v>
      </c>
      <c r="AD223">
        <v>0</v>
      </c>
      <c r="AE223">
        <v>56.11</v>
      </c>
      <c r="AF223">
        <v>0</v>
      </c>
      <c r="AG223">
        <v>0</v>
      </c>
      <c r="AH223">
        <v>0</v>
      </c>
      <c r="AI223">
        <v>1.54</v>
      </c>
      <c r="AJ223">
        <v>1</v>
      </c>
      <c r="AK223">
        <v>1</v>
      </c>
      <c r="AL223">
        <v>1</v>
      </c>
      <c r="AM223">
        <v>2</v>
      </c>
      <c r="AN223">
        <v>0</v>
      </c>
      <c r="AO223">
        <v>0</v>
      </c>
      <c r="AP223">
        <v>1</v>
      </c>
      <c r="AQ223">
        <v>1</v>
      </c>
      <c r="AR223">
        <v>0</v>
      </c>
      <c r="AS223" t="s">
        <v>3</v>
      </c>
      <c r="AT223">
        <v>0.31</v>
      </c>
      <c r="AU223" t="s">
        <v>3</v>
      </c>
      <c r="AV223">
        <v>0</v>
      </c>
      <c r="AW223">
        <v>2</v>
      </c>
      <c r="AX223">
        <v>85998639</v>
      </c>
      <c r="AY223">
        <v>1</v>
      </c>
      <c r="AZ223">
        <v>0</v>
      </c>
      <c r="BA223">
        <v>202</v>
      </c>
      <c r="BB223">
        <v>1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17.394099999999998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1</v>
      </c>
      <c r="BQ223">
        <v>17.394099999999998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1</v>
      </c>
      <c r="CV223">
        <v>0</v>
      </c>
      <c r="CW223">
        <v>0</v>
      </c>
      <c r="CX223">
        <f>ROUND(Y223*Source!I242,7)</f>
        <v>1.8599999999999998E-2</v>
      </c>
      <c r="CY223">
        <f>AA223</f>
        <v>86.41</v>
      </c>
      <c r="CZ223">
        <f>AE223</f>
        <v>56.11</v>
      </c>
      <c r="DA223">
        <f>AI223</f>
        <v>1.54</v>
      </c>
      <c r="DB223">
        <f>ROUND(ROUND(AT223*CZ223,2),6)</f>
        <v>17.39</v>
      </c>
      <c r="DC223">
        <f>ROUND(ROUND(AT223*AG223,2),6)</f>
        <v>0</v>
      </c>
      <c r="DD223" t="s">
        <v>3</v>
      </c>
      <c r="DE223" t="s">
        <v>3</v>
      </c>
      <c r="DF223">
        <f>ROUND(ROUND(AE223*AI223,2)*CX223,2)</f>
        <v>1.61</v>
      </c>
      <c r="DG223">
        <f t="shared" si="101"/>
        <v>0</v>
      </c>
      <c r="DH223">
        <f t="shared" si="91"/>
        <v>0</v>
      </c>
      <c r="DI223">
        <f t="shared" si="92"/>
        <v>0</v>
      </c>
      <c r="DJ223">
        <f>DF223</f>
        <v>1.61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">
      <c r="A224">
        <f>ROW(Source!A242)</f>
        <v>242</v>
      </c>
      <c r="B224">
        <v>85997836</v>
      </c>
      <c r="C224">
        <v>85998625</v>
      </c>
      <c r="D224">
        <v>84257486</v>
      </c>
      <c r="E224">
        <v>1</v>
      </c>
      <c r="F224">
        <v>1</v>
      </c>
      <c r="G224">
        <v>1</v>
      </c>
      <c r="H224">
        <v>3</v>
      </c>
      <c r="I224" t="s">
        <v>432</v>
      </c>
      <c r="J224" t="s">
        <v>434</v>
      </c>
      <c r="K224" t="s">
        <v>433</v>
      </c>
      <c r="L224">
        <v>1346</v>
      </c>
      <c r="N224">
        <v>1009</v>
      </c>
      <c r="O224" t="s">
        <v>170</v>
      </c>
      <c r="P224" t="s">
        <v>170</v>
      </c>
      <c r="Q224">
        <v>1</v>
      </c>
      <c r="W224">
        <v>0</v>
      </c>
      <c r="X224">
        <v>-1803956034</v>
      </c>
      <c r="Y224">
        <f>AT224</f>
        <v>63</v>
      </c>
      <c r="AA224">
        <v>808.61</v>
      </c>
      <c r="AB224">
        <v>0</v>
      </c>
      <c r="AC224">
        <v>0</v>
      </c>
      <c r="AD224">
        <v>0</v>
      </c>
      <c r="AE224">
        <v>456.84</v>
      </c>
      <c r="AF224">
        <v>0</v>
      </c>
      <c r="AG224">
        <v>0</v>
      </c>
      <c r="AH224">
        <v>0</v>
      </c>
      <c r="AI224">
        <v>1.77</v>
      </c>
      <c r="AJ224">
        <v>1</v>
      </c>
      <c r="AK224">
        <v>1</v>
      </c>
      <c r="AL224">
        <v>1</v>
      </c>
      <c r="AM224">
        <v>0</v>
      </c>
      <c r="AN224">
        <v>0</v>
      </c>
      <c r="AO224">
        <v>0</v>
      </c>
      <c r="AP224">
        <v>1</v>
      </c>
      <c r="AQ224">
        <v>0</v>
      </c>
      <c r="AR224">
        <v>0</v>
      </c>
      <c r="AS224" t="s">
        <v>3</v>
      </c>
      <c r="AT224">
        <v>63</v>
      </c>
      <c r="AU224" t="s">
        <v>3</v>
      </c>
      <c r="AV224">
        <v>0</v>
      </c>
      <c r="AW224">
        <v>1</v>
      </c>
      <c r="AX224">
        <v>-1</v>
      </c>
      <c r="AY224">
        <v>0</v>
      </c>
      <c r="AZ224">
        <v>0</v>
      </c>
      <c r="BA224" t="s">
        <v>3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V224">
        <v>0</v>
      </c>
      <c r="CW224">
        <v>0</v>
      </c>
      <c r="CX224">
        <f>ROUND(Y224*Source!I242,7)</f>
        <v>3.78</v>
      </c>
      <c r="CY224">
        <f>AA224</f>
        <v>808.61</v>
      </c>
      <c r="CZ224">
        <f>AE224</f>
        <v>456.84</v>
      </c>
      <c r="DA224">
        <f>AI224</f>
        <v>1.77</v>
      </c>
      <c r="DB224">
        <f>ROUND(ROUND(AT224*CZ224,2),6)</f>
        <v>28780.92</v>
      </c>
      <c r="DC224">
        <f>ROUND(ROUND(AT224*AG224,2),6)</f>
        <v>0</v>
      </c>
      <c r="DD224" t="s">
        <v>3</v>
      </c>
      <c r="DE224" t="s">
        <v>3</v>
      </c>
      <c r="DF224">
        <f>ROUND(ROUND(AE224*AI224,2)*CX224,2)</f>
        <v>3056.55</v>
      </c>
      <c r="DG224">
        <f t="shared" si="101"/>
        <v>0</v>
      </c>
      <c r="DH224">
        <f t="shared" si="91"/>
        <v>0</v>
      </c>
      <c r="DI224">
        <f t="shared" si="92"/>
        <v>0</v>
      </c>
      <c r="DJ224">
        <f>DF224</f>
        <v>3056.55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">
      <c r="A225">
        <f>ROW(Source!A242)</f>
        <v>242</v>
      </c>
      <c r="B225">
        <v>85997836</v>
      </c>
      <c r="C225">
        <v>85998625</v>
      </c>
      <c r="D225">
        <v>84258044</v>
      </c>
      <c r="E225">
        <v>1</v>
      </c>
      <c r="F225">
        <v>1</v>
      </c>
      <c r="G225">
        <v>1</v>
      </c>
      <c r="H225">
        <v>3</v>
      </c>
      <c r="I225" t="s">
        <v>676</v>
      </c>
      <c r="J225" t="s">
        <v>677</v>
      </c>
      <c r="K225" t="s">
        <v>678</v>
      </c>
      <c r="L225">
        <v>1348</v>
      </c>
      <c r="N225">
        <v>1009</v>
      </c>
      <c r="O225" t="s">
        <v>165</v>
      </c>
      <c r="P225" t="s">
        <v>165</v>
      </c>
      <c r="Q225">
        <v>1000</v>
      </c>
      <c r="W225">
        <v>0</v>
      </c>
      <c r="X225">
        <v>-1798942978</v>
      </c>
      <c r="Y225">
        <f>AT225</f>
        <v>5.0000000000000001E-3</v>
      </c>
      <c r="AA225">
        <v>36847.39</v>
      </c>
      <c r="AB225">
        <v>0</v>
      </c>
      <c r="AC225">
        <v>0</v>
      </c>
      <c r="AD225">
        <v>0</v>
      </c>
      <c r="AE225">
        <v>25237.94</v>
      </c>
      <c r="AF225">
        <v>0</v>
      </c>
      <c r="AG225">
        <v>0</v>
      </c>
      <c r="AH225">
        <v>0</v>
      </c>
      <c r="AI225">
        <v>1.46</v>
      </c>
      <c r="AJ225">
        <v>1</v>
      </c>
      <c r="AK225">
        <v>1</v>
      </c>
      <c r="AL225">
        <v>1</v>
      </c>
      <c r="AM225">
        <v>2</v>
      </c>
      <c r="AN225">
        <v>0</v>
      </c>
      <c r="AO225">
        <v>0</v>
      </c>
      <c r="AP225">
        <v>1</v>
      </c>
      <c r="AQ225">
        <v>1</v>
      </c>
      <c r="AR225">
        <v>0</v>
      </c>
      <c r="AS225" t="s">
        <v>3</v>
      </c>
      <c r="AT225">
        <v>5.0000000000000001E-3</v>
      </c>
      <c r="AU225" t="s">
        <v>3</v>
      </c>
      <c r="AV225">
        <v>0</v>
      </c>
      <c r="AW225">
        <v>2</v>
      </c>
      <c r="AX225">
        <v>85998641</v>
      </c>
      <c r="AY225">
        <v>1</v>
      </c>
      <c r="AZ225">
        <v>0</v>
      </c>
      <c r="BA225">
        <v>204</v>
      </c>
      <c r="BB225">
        <v>1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126.1897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1</v>
      </c>
      <c r="BQ225">
        <v>126.1897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1</v>
      </c>
      <c r="CV225">
        <v>0</v>
      </c>
      <c r="CW225">
        <v>0</v>
      </c>
      <c r="CX225">
        <f>ROUND(Y225*Source!I242,7)</f>
        <v>2.9999999999999997E-4</v>
      </c>
      <c r="CY225">
        <f>AA225</f>
        <v>36847.39</v>
      </c>
      <c r="CZ225">
        <f>AE225</f>
        <v>25237.94</v>
      </c>
      <c r="DA225">
        <f>AI225</f>
        <v>1.46</v>
      </c>
      <c r="DB225">
        <f>ROUND(ROUND(AT225*CZ225,2),6)</f>
        <v>126.19</v>
      </c>
      <c r="DC225">
        <f>ROUND(ROUND(AT225*AG225,2),6)</f>
        <v>0</v>
      </c>
      <c r="DD225" t="s">
        <v>3</v>
      </c>
      <c r="DE225" t="s">
        <v>3</v>
      </c>
      <c r="DF225">
        <f>ROUND(ROUND(AE225*AI225,2)*CX225,2)</f>
        <v>11.05</v>
      </c>
      <c r="DG225">
        <f t="shared" si="101"/>
        <v>0</v>
      </c>
      <c r="DH225">
        <f t="shared" si="91"/>
        <v>0</v>
      </c>
      <c r="DI225">
        <f t="shared" si="92"/>
        <v>0</v>
      </c>
      <c r="DJ225">
        <f>DF225</f>
        <v>11.05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">
      <c r="A226">
        <f>ROW(Source!A246)</f>
        <v>246</v>
      </c>
      <c r="B226">
        <v>85997836</v>
      </c>
      <c r="C226">
        <v>85998643</v>
      </c>
      <c r="D226">
        <v>84164572</v>
      </c>
      <c r="E226">
        <v>117</v>
      </c>
      <c r="F226">
        <v>1</v>
      </c>
      <c r="G226">
        <v>1</v>
      </c>
      <c r="H226">
        <v>1</v>
      </c>
      <c r="I226" t="s">
        <v>679</v>
      </c>
      <c r="J226" t="s">
        <v>3</v>
      </c>
      <c r="K226" t="s">
        <v>680</v>
      </c>
      <c r="L226">
        <v>1191</v>
      </c>
      <c r="N226">
        <v>1013</v>
      </c>
      <c r="O226" t="s">
        <v>541</v>
      </c>
      <c r="P226" t="s">
        <v>541</v>
      </c>
      <c r="Q226">
        <v>1</v>
      </c>
      <c r="W226">
        <v>0</v>
      </c>
      <c r="X226">
        <v>1958912953</v>
      </c>
      <c r="Y226">
        <f>(AT226*ROUND(((0.2+1)*1.15),7))</f>
        <v>60.1128</v>
      </c>
      <c r="AA226">
        <v>0</v>
      </c>
      <c r="AB226">
        <v>0</v>
      </c>
      <c r="AC226">
        <v>0</v>
      </c>
      <c r="AD226">
        <v>657.38</v>
      </c>
      <c r="AE226">
        <v>0</v>
      </c>
      <c r="AF226">
        <v>0</v>
      </c>
      <c r="AG226">
        <v>0</v>
      </c>
      <c r="AH226">
        <v>657.38</v>
      </c>
      <c r="AI226">
        <v>1</v>
      </c>
      <c r="AJ226">
        <v>1</v>
      </c>
      <c r="AK226">
        <v>1</v>
      </c>
      <c r="AL226">
        <v>1</v>
      </c>
      <c r="AM226">
        <v>-2</v>
      </c>
      <c r="AN226">
        <v>0</v>
      </c>
      <c r="AO226">
        <v>0</v>
      </c>
      <c r="AP226">
        <v>1</v>
      </c>
      <c r="AQ226">
        <v>1</v>
      </c>
      <c r="AR226">
        <v>0</v>
      </c>
      <c r="AS226" t="s">
        <v>3</v>
      </c>
      <c r="AT226">
        <v>43.56</v>
      </c>
      <c r="AU226" t="s">
        <v>330</v>
      </c>
      <c r="AV226">
        <v>1</v>
      </c>
      <c r="AW226">
        <v>2</v>
      </c>
      <c r="AX226">
        <v>85998653</v>
      </c>
      <c r="AY226">
        <v>1</v>
      </c>
      <c r="AZ226">
        <v>0</v>
      </c>
      <c r="BA226">
        <v>205</v>
      </c>
      <c r="BB226">
        <v>1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28635.4728</v>
      </c>
      <c r="BN226">
        <v>43.56</v>
      </c>
      <c r="BO226">
        <v>0</v>
      </c>
      <c r="BP226">
        <v>1</v>
      </c>
      <c r="BQ226">
        <v>0</v>
      </c>
      <c r="BR226">
        <v>0</v>
      </c>
      <c r="BS226">
        <v>0</v>
      </c>
      <c r="BT226">
        <v>39516.952463999995</v>
      </c>
      <c r="BU226">
        <v>60.112799999999993</v>
      </c>
      <c r="BV226">
        <v>0</v>
      </c>
      <c r="BW226">
        <v>1</v>
      </c>
      <c r="CU226">
        <f>ROUND(AT226*Source!I246*AH226*AL226,2)</f>
        <v>2863.55</v>
      </c>
      <c r="CV226">
        <f>ROUND(Y226*Source!I246,7)</f>
        <v>6.0112800000000002</v>
      </c>
      <c r="CW226">
        <v>0</v>
      </c>
      <c r="CX226">
        <f>ROUND(Y226*Source!I246,7)</f>
        <v>6.0112800000000002</v>
      </c>
      <c r="CY226">
        <f>AD226</f>
        <v>657.38</v>
      </c>
      <c r="CZ226">
        <f>AH226</f>
        <v>657.38</v>
      </c>
      <c r="DA226">
        <f>AL226</f>
        <v>1</v>
      </c>
      <c r="DB226">
        <f>ROUND((ROUND(AT226*CZ226,2)*ROUND(((0.2+1)*1.15),7)),6)</f>
        <v>39516.948600000003</v>
      </c>
      <c r="DC226">
        <f>ROUND((ROUND(AT226*AG226,2)*ROUND(((0.2+1)*1.15),7)),6)</f>
        <v>0</v>
      </c>
      <c r="DD226" t="s">
        <v>3</v>
      </c>
      <c r="DE226" t="s">
        <v>3</v>
      </c>
      <c r="DF226">
        <f>ROUND(ROUND(AE226,2)*CX226,2)</f>
        <v>0</v>
      </c>
      <c r="DG226">
        <f t="shared" si="101"/>
        <v>0</v>
      </c>
      <c r="DH226">
        <f t="shared" si="91"/>
        <v>0</v>
      </c>
      <c r="DI226">
        <f t="shared" si="92"/>
        <v>3951.7</v>
      </c>
      <c r="DJ226">
        <f>DI226</f>
        <v>3951.7</v>
      </c>
      <c r="DK226">
        <v>1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">
      <c r="A227">
        <f>ROW(Source!A246)</f>
        <v>246</v>
      </c>
      <c r="B227">
        <v>85997836</v>
      </c>
      <c r="C227">
        <v>85998643</v>
      </c>
      <c r="D227">
        <v>84164762</v>
      </c>
      <c r="E227">
        <v>117</v>
      </c>
      <c r="F227">
        <v>1</v>
      </c>
      <c r="G227">
        <v>1</v>
      </c>
      <c r="H227">
        <v>1</v>
      </c>
      <c r="I227" t="s">
        <v>542</v>
      </c>
      <c r="J227" t="s">
        <v>3</v>
      </c>
      <c r="K227" t="s">
        <v>543</v>
      </c>
      <c r="L227">
        <v>1191</v>
      </c>
      <c r="N227">
        <v>1013</v>
      </c>
      <c r="O227" t="s">
        <v>541</v>
      </c>
      <c r="P227" t="s">
        <v>541</v>
      </c>
      <c r="Q227">
        <v>1</v>
      </c>
      <c r="W227">
        <v>0</v>
      </c>
      <c r="X227">
        <v>-1417349443</v>
      </c>
      <c r="Y227">
        <f>(AT227*ROUND(((0.2+1)*1.25),7))</f>
        <v>0.255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1</v>
      </c>
      <c r="AJ227">
        <v>1</v>
      </c>
      <c r="AK227">
        <v>1</v>
      </c>
      <c r="AL227">
        <v>1</v>
      </c>
      <c r="AM227">
        <v>-2</v>
      </c>
      <c r="AN227">
        <v>0</v>
      </c>
      <c r="AO227">
        <v>0</v>
      </c>
      <c r="AP227">
        <v>1</v>
      </c>
      <c r="AQ227">
        <v>1</v>
      </c>
      <c r="AR227">
        <v>0</v>
      </c>
      <c r="AS227" t="s">
        <v>3</v>
      </c>
      <c r="AT227">
        <v>0.17</v>
      </c>
      <c r="AU227" t="s">
        <v>329</v>
      </c>
      <c r="AV227">
        <v>2</v>
      </c>
      <c r="AW227">
        <v>2</v>
      </c>
      <c r="AX227">
        <v>85998654</v>
      </c>
      <c r="AY227">
        <v>1</v>
      </c>
      <c r="AZ227">
        <v>0</v>
      </c>
      <c r="BA227">
        <v>206</v>
      </c>
      <c r="BB227">
        <v>1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V227">
        <v>0</v>
      </c>
      <c r="CW227">
        <v>0</v>
      </c>
      <c r="CX227">
        <f>ROUND(Y227*Source!I246,7)</f>
        <v>2.5499999999999998E-2</v>
      </c>
      <c r="CY227">
        <f>AD227</f>
        <v>0</v>
      </c>
      <c r="CZ227">
        <f>AH227</f>
        <v>0</v>
      </c>
      <c r="DA227">
        <f>AL227</f>
        <v>1</v>
      </c>
      <c r="DB227">
        <f>ROUND((ROUND(AT227*CZ227,2)*ROUND(((0.2+1)*1.25),7)),6)</f>
        <v>0</v>
      </c>
      <c r="DC227">
        <f>ROUND((ROUND(AT227*AG227,2)*ROUND(((0.2+1)*1.25),7)),6)</f>
        <v>0</v>
      </c>
      <c r="DD227" t="s">
        <v>3</v>
      </c>
      <c r="DE227" t="s">
        <v>3</v>
      </c>
      <c r="DF227">
        <f>ROUND(ROUND(AE227,2)*CX227,2)</f>
        <v>0</v>
      </c>
      <c r="DG227">
        <f t="shared" si="101"/>
        <v>0</v>
      </c>
      <c r="DH227">
        <f t="shared" si="91"/>
        <v>0</v>
      </c>
      <c r="DI227">
        <f t="shared" si="92"/>
        <v>0</v>
      </c>
      <c r="DJ227">
        <f>DI227</f>
        <v>0</v>
      </c>
      <c r="DK227">
        <v>0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">
      <c r="A228">
        <f>ROW(Source!A246)</f>
        <v>246</v>
      </c>
      <c r="B228">
        <v>85997836</v>
      </c>
      <c r="C228">
        <v>85998643</v>
      </c>
      <c r="D228">
        <v>84171436</v>
      </c>
      <c r="E228">
        <v>1</v>
      </c>
      <c r="F228">
        <v>1</v>
      </c>
      <c r="G228">
        <v>1</v>
      </c>
      <c r="H228">
        <v>2</v>
      </c>
      <c r="I228" t="s">
        <v>447</v>
      </c>
      <c r="J228" t="s">
        <v>449</v>
      </c>
      <c r="K228" t="s">
        <v>448</v>
      </c>
      <c r="L228">
        <v>1368</v>
      </c>
      <c r="N228">
        <v>1011</v>
      </c>
      <c r="O228" t="s">
        <v>29</v>
      </c>
      <c r="P228" t="s">
        <v>29</v>
      </c>
      <c r="Q228">
        <v>1</v>
      </c>
      <c r="W228">
        <v>0</v>
      </c>
      <c r="X228">
        <v>1402603762</v>
      </c>
      <c r="Y228">
        <f>(AT228*ROUND(((0.2+1)*1.25),7))</f>
        <v>-4.4999999999999998E-2</v>
      </c>
      <c r="AA228">
        <v>0</v>
      </c>
      <c r="AB228">
        <v>47.14</v>
      </c>
      <c r="AC228">
        <v>641.22</v>
      </c>
      <c r="AD228">
        <v>0</v>
      </c>
      <c r="AE228">
        <v>0</v>
      </c>
      <c r="AF228">
        <v>30.61</v>
      </c>
      <c r="AG228">
        <v>641.22</v>
      </c>
      <c r="AH228">
        <v>0</v>
      </c>
      <c r="AI228">
        <v>1</v>
      </c>
      <c r="AJ228">
        <v>1.54</v>
      </c>
      <c r="AK228">
        <v>1</v>
      </c>
      <c r="AL228">
        <v>1</v>
      </c>
      <c r="AM228">
        <v>2</v>
      </c>
      <c r="AN228">
        <v>0</v>
      </c>
      <c r="AO228">
        <v>0</v>
      </c>
      <c r="AP228">
        <v>1</v>
      </c>
      <c r="AQ228">
        <v>0</v>
      </c>
      <c r="AR228">
        <v>0</v>
      </c>
      <c r="AS228" t="s">
        <v>3</v>
      </c>
      <c r="AT228">
        <v>-0.03</v>
      </c>
      <c r="AU228" t="s">
        <v>329</v>
      </c>
      <c r="AV228">
        <v>1</v>
      </c>
      <c r="AW228">
        <v>2</v>
      </c>
      <c r="AX228">
        <v>85998655</v>
      </c>
      <c r="AY228">
        <v>1</v>
      </c>
      <c r="AZ228">
        <v>6144</v>
      </c>
      <c r="BA228">
        <v>207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V228">
        <v>0</v>
      </c>
      <c r="CW228">
        <f>ROUND(Y228*Source!I246*DO228,7)</f>
        <v>-4.4999999999999997E-3</v>
      </c>
      <c r="CX228">
        <f>ROUND(Y228*Source!I246,7)</f>
        <v>-4.4999999999999997E-3</v>
      </c>
      <c r="CY228">
        <f>AB228</f>
        <v>47.14</v>
      </c>
      <c r="CZ228">
        <f>AF228</f>
        <v>30.61</v>
      </c>
      <c r="DA228">
        <f>AJ228</f>
        <v>1.54</v>
      </c>
      <c r="DB228">
        <f>ROUND((ROUND(AT228*CZ228,2)*ROUND(((0.2+1)*1.25),7)),6)</f>
        <v>-1.38</v>
      </c>
      <c r="DC228">
        <f>ROUND((ROUND(AT228*AG228,2)*ROUND(((0.2+1)*1.25),7)),6)</f>
        <v>-28.86</v>
      </c>
      <c r="DD228" t="s">
        <v>3</v>
      </c>
      <c r="DE228" t="s">
        <v>3</v>
      </c>
      <c r="DF228">
        <f>ROUND(ROUND(AE228,2)*CX228,2)</f>
        <v>0</v>
      </c>
      <c r="DG228">
        <f>ROUND(ROUND(AF228*AJ228,2)*CX228,2)</f>
        <v>-0.21</v>
      </c>
      <c r="DH228">
        <f t="shared" si="91"/>
        <v>-2.89</v>
      </c>
      <c r="DI228">
        <f t="shared" si="92"/>
        <v>0</v>
      </c>
      <c r="DJ228">
        <f>DG228+DH228</f>
        <v>-3.1</v>
      </c>
      <c r="DK228">
        <v>0</v>
      </c>
      <c r="DL228" t="s">
        <v>544</v>
      </c>
      <c r="DM228">
        <v>3</v>
      </c>
      <c r="DN228" t="s">
        <v>541</v>
      </c>
      <c r="DO228">
        <v>1</v>
      </c>
    </row>
    <row r="229" spans="1:119" x14ac:dyDescent="0.2">
      <c r="A229">
        <f>ROW(Source!A246)</f>
        <v>246</v>
      </c>
      <c r="B229">
        <v>85997836</v>
      </c>
      <c r="C229">
        <v>85998643</v>
      </c>
      <c r="D229">
        <v>84172146</v>
      </c>
      <c r="E229">
        <v>1</v>
      </c>
      <c r="F229">
        <v>1</v>
      </c>
      <c r="G229">
        <v>1</v>
      </c>
      <c r="H229">
        <v>2</v>
      </c>
      <c r="I229" t="s">
        <v>127</v>
      </c>
      <c r="J229" t="s">
        <v>129</v>
      </c>
      <c r="K229" t="s">
        <v>128</v>
      </c>
      <c r="L229">
        <v>1368</v>
      </c>
      <c r="N229">
        <v>1011</v>
      </c>
      <c r="O229" t="s">
        <v>29</v>
      </c>
      <c r="P229" t="s">
        <v>29</v>
      </c>
      <c r="Q229">
        <v>1</v>
      </c>
      <c r="W229">
        <v>0</v>
      </c>
      <c r="X229">
        <v>-849950259</v>
      </c>
      <c r="Y229">
        <f>(AT229*ROUND(((0.2+1)*1.25),7))</f>
        <v>-0.33750000000000002</v>
      </c>
      <c r="AA229">
        <v>0</v>
      </c>
      <c r="AB229">
        <v>643.29</v>
      </c>
      <c r="AC229">
        <v>722.05</v>
      </c>
      <c r="AD229">
        <v>0</v>
      </c>
      <c r="AE229">
        <v>0</v>
      </c>
      <c r="AF229">
        <v>643.29</v>
      </c>
      <c r="AG229">
        <v>722.05</v>
      </c>
      <c r="AH229">
        <v>0</v>
      </c>
      <c r="AI229">
        <v>1</v>
      </c>
      <c r="AJ229">
        <v>1</v>
      </c>
      <c r="AK229">
        <v>1</v>
      </c>
      <c r="AL229">
        <v>1</v>
      </c>
      <c r="AM229">
        <v>-2</v>
      </c>
      <c r="AN229">
        <v>0</v>
      </c>
      <c r="AO229">
        <v>0</v>
      </c>
      <c r="AP229">
        <v>1</v>
      </c>
      <c r="AQ229">
        <v>0</v>
      </c>
      <c r="AR229">
        <v>0</v>
      </c>
      <c r="AS229" t="s">
        <v>3</v>
      </c>
      <c r="AT229">
        <v>-0.22500000000000001</v>
      </c>
      <c r="AU229" t="s">
        <v>329</v>
      </c>
      <c r="AV229">
        <v>1</v>
      </c>
      <c r="AW229">
        <v>2</v>
      </c>
      <c r="AX229">
        <v>85998656</v>
      </c>
      <c r="AY229">
        <v>1</v>
      </c>
      <c r="AZ229">
        <v>6144</v>
      </c>
      <c r="BA229">
        <v>208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V229">
        <v>0</v>
      </c>
      <c r="CW229">
        <f>ROUND(Y229*Source!I246*DO229,7)</f>
        <v>-3.3750000000000002E-2</v>
      </c>
      <c r="CX229">
        <f>ROUND(Y229*Source!I246,7)</f>
        <v>-3.3750000000000002E-2</v>
      </c>
      <c r="CY229">
        <f>AB229</f>
        <v>643.29</v>
      </c>
      <c r="CZ229">
        <f>AF229</f>
        <v>643.29</v>
      </c>
      <c r="DA229">
        <f>AJ229</f>
        <v>1</v>
      </c>
      <c r="DB229">
        <f>ROUND((ROUND(AT229*CZ229,2)*ROUND(((0.2+1)*1.25),7)),6)</f>
        <v>-217.11</v>
      </c>
      <c r="DC229">
        <f>ROUND((ROUND(AT229*AG229,2)*ROUND(((0.2+1)*1.25),7)),6)</f>
        <v>-243.69</v>
      </c>
      <c r="DD229" t="s">
        <v>3</v>
      </c>
      <c r="DE229" t="s">
        <v>3</v>
      </c>
      <c r="DF229">
        <f>ROUND(ROUND(AE229,2)*CX229,2)</f>
        <v>0</v>
      </c>
      <c r="DG229">
        <f t="shared" ref="DG229:DG236" si="102">ROUND(ROUND(AF229,2)*CX229,2)</f>
        <v>-21.71</v>
      </c>
      <c r="DH229">
        <f t="shared" si="91"/>
        <v>-24.37</v>
      </c>
      <c r="DI229">
        <f t="shared" si="92"/>
        <v>0</v>
      </c>
      <c r="DJ229">
        <f>DG229+DH229</f>
        <v>-46.08</v>
      </c>
      <c r="DK229">
        <v>1</v>
      </c>
      <c r="DL229" t="s">
        <v>600</v>
      </c>
      <c r="DM229">
        <v>4</v>
      </c>
      <c r="DN229" t="s">
        <v>541</v>
      </c>
      <c r="DO229">
        <v>1</v>
      </c>
    </row>
    <row r="230" spans="1:119" x14ac:dyDescent="0.2">
      <c r="A230">
        <f>ROW(Source!A246)</f>
        <v>246</v>
      </c>
      <c r="B230">
        <v>85997836</v>
      </c>
      <c r="C230">
        <v>85998643</v>
      </c>
      <c r="D230">
        <v>84241198</v>
      </c>
      <c r="E230">
        <v>1</v>
      </c>
      <c r="F230">
        <v>1</v>
      </c>
      <c r="G230">
        <v>1</v>
      </c>
      <c r="H230">
        <v>3</v>
      </c>
      <c r="I230" t="s">
        <v>672</v>
      </c>
      <c r="J230" t="s">
        <v>673</v>
      </c>
      <c r="K230" t="s">
        <v>674</v>
      </c>
      <c r="L230">
        <v>1327</v>
      </c>
      <c r="N230">
        <v>1005</v>
      </c>
      <c r="O230" t="s">
        <v>675</v>
      </c>
      <c r="P230" t="s">
        <v>675</v>
      </c>
      <c r="Q230">
        <v>1</v>
      </c>
      <c r="W230">
        <v>0</v>
      </c>
      <c r="X230">
        <v>10451617</v>
      </c>
      <c r="Y230">
        <f>AT230</f>
        <v>0.84</v>
      </c>
      <c r="AA230">
        <v>706.82</v>
      </c>
      <c r="AB230">
        <v>0</v>
      </c>
      <c r="AC230">
        <v>0</v>
      </c>
      <c r="AD230">
        <v>0</v>
      </c>
      <c r="AE230">
        <v>531.44000000000005</v>
      </c>
      <c r="AF230">
        <v>0</v>
      </c>
      <c r="AG230">
        <v>0</v>
      </c>
      <c r="AH230">
        <v>0</v>
      </c>
      <c r="AI230">
        <v>1.33</v>
      </c>
      <c r="AJ230">
        <v>1</v>
      </c>
      <c r="AK230">
        <v>1</v>
      </c>
      <c r="AL230">
        <v>1</v>
      </c>
      <c r="AM230">
        <v>2</v>
      </c>
      <c r="AN230">
        <v>0</v>
      </c>
      <c r="AO230">
        <v>0</v>
      </c>
      <c r="AP230">
        <v>1</v>
      </c>
      <c r="AQ230">
        <v>1</v>
      </c>
      <c r="AR230">
        <v>0</v>
      </c>
      <c r="AS230" t="s">
        <v>3</v>
      </c>
      <c r="AT230">
        <v>0.84</v>
      </c>
      <c r="AU230" t="s">
        <v>3</v>
      </c>
      <c r="AV230">
        <v>0</v>
      </c>
      <c r="AW230">
        <v>2</v>
      </c>
      <c r="AX230">
        <v>85998657</v>
      </c>
      <c r="AY230">
        <v>1</v>
      </c>
      <c r="AZ230">
        <v>0</v>
      </c>
      <c r="BA230">
        <v>209</v>
      </c>
      <c r="BB230">
        <v>1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446.40960000000001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1</v>
      </c>
      <c r="BQ230">
        <v>446.40960000000001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1</v>
      </c>
      <c r="CV230">
        <v>0</v>
      </c>
      <c r="CW230">
        <v>0</v>
      </c>
      <c r="CX230">
        <f>ROUND(Y230*Source!I246,7)</f>
        <v>8.4000000000000005E-2</v>
      </c>
      <c r="CY230">
        <f>AA230</f>
        <v>706.82</v>
      </c>
      <c r="CZ230">
        <f>AE230</f>
        <v>531.44000000000005</v>
      </c>
      <c r="DA230">
        <f>AI230</f>
        <v>1.33</v>
      </c>
      <c r="DB230">
        <f>ROUND(ROUND(AT230*CZ230,2),6)</f>
        <v>446.41</v>
      </c>
      <c r="DC230">
        <f>ROUND(ROUND(AT230*AG230,2),6)</f>
        <v>0</v>
      </c>
      <c r="DD230" t="s">
        <v>3</v>
      </c>
      <c r="DE230" t="s">
        <v>3</v>
      </c>
      <c r="DF230">
        <f>ROUND(ROUND(AE230*AI230,2)*CX230,2)</f>
        <v>59.37</v>
      </c>
      <c r="DG230">
        <f t="shared" si="102"/>
        <v>0</v>
      </c>
      <c r="DH230">
        <f t="shared" si="91"/>
        <v>0</v>
      </c>
      <c r="DI230">
        <f t="shared" si="92"/>
        <v>0</v>
      </c>
      <c r="DJ230">
        <f>DF230</f>
        <v>59.37</v>
      </c>
      <c r="DK230">
        <v>0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">
      <c r="A231">
        <f>ROW(Source!A246)</f>
        <v>246</v>
      </c>
      <c r="B231">
        <v>85997836</v>
      </c>
      <c r="C231">
        <v>85998643</v>
      </c>
      <c r="D231">
        <v>84241562</v>
      </c>
      <c r="E231">
        <v>1</v>
      </c>
      <c r="F231">
        <v>1</v>
      </c>
      <c r="G231">
        <v>1</v>
      </c>
      <c r="H231">
        <v>3</v>
      </c>
      <c r="I231" t="s">
        <v>669</v>
      </c>
      <c r="J231" t="s">
        <v>670</v>
      </c>
      <c r="K231" t="s">
        <v>671</v>
      </c>
      <c r="L231">
        <v>1346</v>
      </c>
      <c r="N231">
        <v>1009</v>
      </c>
      <c r="O231" t="s">
        <v>170</v>
      </c>
      <c r="P231" t="s">
        <v>170</v>
      </c>
      <c r="Q231">
        <v>1</v>
      </c>
      <c r="W231">
        <v>0</v>
      </c>
      <c r="X231">
        <v>-373327139</v>
      </c>
      <c r="Y231">
        <f>AT231</f>
        <v>0.31</v>
      </c>
      <c r="AA231">
        <v>86.41</v>
      </c>
      <c r="AB231">
        <v>0</v>
      </c>
      <c r="AC231">
        <v>0</v>
      </c>
      <c r="AD231">
        <v>0</v>
      </c>
      <c r="AE231">
        <v>56.11</v>
      </c>
      <c r="AF231">
        <v>0</v>
      </c>
      <c r="AG231">
        <v>0</v>
      </c>
      <c r="AH231">
        <v>0</v>
      </c>
      <c r="AI231">
        <v>1.54</v>
      </c>
      <c r="AJ231">
        <v>1</v>
      </c>
      <c r="AK231">
        <v>1</v>
      </c>
      <c r="AL231">
        <v>1</v>
      </c>
      <c r="AM231">
        <v>2</v>
      </c>
      <c r="AN231">
        <v>0</v>
      </c>
      <c r="AO231">
        <v>0</v>
      </c>
      <c r="AP231">
        <v>1</v>
      </c>
      <c r="AQ231">
        <v>1</v>
      </c>
      <c r="AR231">
        <v>0</v>
      </c>
      <c r="AS231" t="s">
        <v>3</v>
      </c>
      <c r="AT231">
        <v>0.31</v>
      </c>
      <c r="AU231" t="s">
        <v>3</v>
      </c>
      <c r="AV231">
        <v>0</v>
      </c>
      <c r="AW231">
        <v>2</v>
      </c>
      <c r="AX231">
        <v>85998658</v>
      </c>
      <c r="AY231">
        <v>1</v>
      </c>
      <c r="AZ231">
        <v>0</v>
      </c>
      <c r="BA231">
        <v>210</v>
      </c>
      <c r="BB231">
        <v>1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17.394099999999998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1</v>
      </c>
      <c r="BQ231">
        <v>17.394099999999998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1</v>
      </c>
      <c r="CV231">
        <v>0</v>
      </c>
      <c r="CW231">
        <v>0</v>
      </c>
      <c r="CX231">
        <f>ROUND(Y231*Source!I246,7)</f>
        <v>3.1E-2</v>
      </c>
      <c r="CY231">
        <f>AA231</f>
        <v>86.41</v>
      </c>
      <c r="CZ231">
        <f>AE231</f>
        <v>56.11</v>
      </c>
      <c r="DA231">
        <f>AI231</f>
        <v>1.54</v>
      </c>
      <c r="DB231">
        <f>ROUND(ROUND(AT231*CZ231,2),6)</f>
        <v>17.39</v>
      </c>
      <c r="DC231">
        <f>ROUND(ROUND(AT231*AG231,2),6)</f>
        <v>0</v>
      </c>
      <c r="DD231" t="s">
        <v>3</v>
      </c>
      <c r="DE231" t="s">
        <v>3</v>
      </c>
      <c r="DF231">
        <f>ROUND(ROUND(AE231*AI231,2)*CX231,2)</f>
        <v>2.68</v>
      </c>
      <c r="DG231">
        <f t="shared" si="102"/>
        <v>0</v>
      </c>
      <c r="DH231">
        <f t="shared" si="91"/>
        <v>0</v>
      </c>
      <c r="DI231">
        <f t="shared" si="92"/>
        <v>0</v>
      </c>
      <c r="DJ231">
        <f>DF231</f>
        <v>2.68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">
      <c r="A232">
        <f>ROW(Source!A246)</f>
        <v>246</v>
      </c>
      <c r="B232">
        <v>85997836</v>
      </c>
      <c r="C232">
        <v>85998643</v>
      </c>
      <c r="D232">
        <v>84257486</v>
      </c>
      <c r="E232">
        <v>1</v>
      </c>
      <c r="F232">
        <v>1</v>
      </c>
      <c r="G232">
        <v>1</v>
      </c>
      <c r="H232">
        <v>3</v>
      </c>
      <c r="I232" t="s">
        <v>432</v>
      </c>
      <c r="J232" t="s">
        <v>434</v>
      </c>
      <c r="K232" t="s">
        <v>433</v>
      </c>
      <c r="L232">
        <v>1346</v>
      </c>
      <c r="N232">
        <v>1009</v>
      </c>
      <c r="O232" t="s">
        <v>170</v>
      </c>
      <c r="P232" t="s">
        <v>170</v>
      </c>
      <c r="Q232">
        <v>1</v>
      </c>
      <c r="W232">
        <v>0</v>
      </c>
      <c r="X232">
        <v>-1803956034</v>
      </c>
      <c r="Y232">
        <f>AT232</f>
        <v>30</v>
      </c>
      <c r="AA232">
        <v>808.61</v>
      </c>
      <c r="AB232">
        <v>0</v>
      </c>
      <c r="AC232">
        <v>0</v>
      </c>
      <c r="AD232">
        <v>0</v>
      </c>
      <c r="AE232">
        <v>456.84</v>
      </c>
      <c r="AF232">
        <v>0</v>
      </c>
      <c r="AG232">
        <v>0</v>
      </c>
      <c r="AH232">
        <v>0</v>
      </c>
      <c r="AI232">
        <v>1.77</v>
      </c>
      <c r="AJ232">
        <v>1</v>
      </c>
      <c r="AK232">
        <v>1</v>
      </c>
      <c r="AL232">
        <v>1</v>
      </c>
      <c r="AM232">
        <v>0</v>
      </c>
      <c r="AN232">
        <v>0</v>
      </c>
      <c r="AO232">
        <v>0</v>
      </c>
      <c r="AP232">
        <v>1</v>
      </c>
      <c r="AQ232">
        <v>0</v>
      </c>
      <c r="AR232">
        <v>0</v>
      </c>
      <c r="AS232" t="s">
        <v>3</v>
      </c>
      <c r="AT232">
        <v>30</v>
      </c>
      <c r="AU232" t="s">
        <v>3</v>
      </c>
      <c r="AV232">
        <v>0</v>
      </c>
      <c r="AW232">
        <v>1</v>
      </c>
      <c r="AX232">
        <v>-1</v>
      </c>
      <c r="AY232">
        <v>0</v>
      </c>
      <c r="AZ232">
        <v>0</v>
      </c>
      <c r="BA232" t="s">
        <v>3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V232">
        <v>0</v>
      </c>
      <c r="CW232">
        <v>0</v>
      </c>
      <c r="CX232">
        <f>ROUND(Y232*Source!I246,7)</f>
        <v>3</v>
      </c>
      <c r="CY232">
        <f>AA232</f>
        <v>808.61</v>
      </c>
      <c r="CZ232">
        <f>AE232</f>
        <v>456.84</v>
      </c>
      <c r="DA232">
        <f>AI232</f>
        <v>1.77</v>
      </c>
      <c r="DB232">
        <f>ROUND(ROUND(AT232*CZ232,2),6)</f>
        <v>13705.2</v>
      </c>
      <c r="DC232">
        <f>ROUND(ROUND(AT232*AG232,2),6)</f>
        <v>0</v>
      </c>
      <c r="DD232" t="s">
        <v>3</v>
      </c>
      <c r="DE232" t="s">
        <v>3</v>
      </c>
      <c r="DF232">
        <f>ROUND(ROUND(AE232*AI232,2)*CX232,2)</f>
        <v>2425.83</v>
      </c>
      <c r="DG232">
        <f t="shared" si="102"/>
        <v>0</v>
      </c>
      <c r="DH232">
        <f t="shared" si="91"/>
        <v>0</v>
      </c>
      <c r="DI232">
        <f t="shared" si="92"/>
        <v>0</v>
      </c>
      <c r="DJ232">
        <f>DF232</f>
        <v>2425.83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">
      <c r="A233">
        <f>ROW(Source!A246)</f>
        <v>246</v>
      </c>
      <c r="B233">
        <v>85997836</v>
      </c>
      <c r="C233">
        <v>85998643</v>
      </c>
      <c r="D233">
        <v>84257510</v>
      </c>
      <c r="E233">
        <v>1</v>
      </c>
      <c r="F233">
        <v>1</v>
      </c>
      <c r="G233">
        <v>1</v>
      </c>
      <c r="H233">
        <v>3</v>
      </c>
      <c r="I233" t="s">
        <v>443</v>
      </c>
      <c r="J233" t="s">
        <v>445</v>
      </c>
      <c r="K233" t="s">
        <v>444</v>
      </c>
      <c r="L233">
        <v>1346</v>
      </c>
      <c r="N233">
        <v>1009</v>
      </c>
      <c r="O233" t="s">
        <v>170</v>
      </c>
      <c r="P233" t="s">
        <v>170</v>
      </c>
      <c r="Q233">
        <v>1</v>
      </c>
      <c r="W233">
        <v>0</v>
      </c>
      <c r="X233">
        <v>1498993938</v>
      </c>
      <c r="Y233">
        <f>AT233</f>
        <v>20</v>
      </c>
      <c r="AA233">
        <v>105.17</v>
      </c>
      <c r="AB233">
        <v>0</v>
      </c>
      <c r="AC233">
        <v>0</v>
      </c>
      <c r="AD233">
        <v>0</v>
      </c>
      <c r="AE233">
        <v>68.290000000000006</v>
      </c>
      <c r="AF233">
        <v>0</v>
      </c>
      <c r="AG233">
        <v>0</v>
      </c>
      <c r="AH233">
        <v>0</v>
      </c>
      <c r="AI233">
        <v>1.54</v>
      </c>
      <c r="AJ233">
        <v>1</v>
      </c>
      <c r="AK233">
        <v>1</v>
      </c>
      <c r="AL233">
        <v>1</v>
      </c>
      <c r="AM233">
        <v>0</v>
      </c>
      <c r="AN233">
        <v>0</v>
      </c>
      <c r="AO233">
        <v>0</v>
      </c>
      <c r="AP233">
        <v>1</v>
      </c>
      <c r="AQ233">
        <v>0</v>
      </c>
      <c r="AR233">
        <v>0</v>
      </c>
      <c r="AS233" t="s">
        <v>3</v>
      </c>
      <c r="AT233">
        <v>20</v>
      </c>
      <c r="AU233" t="s">
        <v>3</v>
      </c>
      <c r="AV233">
        <v>0</v>
      </c>
      <c r="AW233">
        <v>1</v>
      </c>
      <c r="AX233">
        <v>-1</v>
      </c>
      <c r="AY233">
        <v>0</v>
      </c>
      <c r="AZ233">
        <v>0</v>
      </c>
      <c r="BA233" t="s">
        <v>3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V233">
        <v>0</v>
      </c>
      <c r="CW233">
        <v>0</v>
      </c>
      <c r="CX233">
        <f>ROUND(Y233*Source!I246,7)</f>
        <v>2</v>
      </c>
      <c r="CY233">
        <f>AA233</f>
        <v>105.17</v>
      </c>
      <c r="CZ233">
        <f>AE233</f>
        <v>68.290000000000006</v>
      </c>
      <c r="DA233">
        <f>AI233</f>
        <v>1.54</v>
      </c>
      <c r="DB233">
        <f>ROUND(ROUND(AT233*CZ233,2),6)</f>
        <v>1365.8</v>
      </c>
      <c r="DC233">
        <f>ROUND(ROUND(AT233*AG233,2),6)</f>
        <v>0</v>
      </c>
      <c r="DD233" t="s">
        <v>3</v>
      </c>
      <c r="DE233" t="s">
        <v>3</v>
      </c>
      <c r="DF233">
        <f>ROUND(ROUND(AE233*AI233,2)*CX233,2)</f>
        <v>210.34</v>
      </c>
      <c r="DG233">
        <f t="shared" si="102"/>
        <v>0</v>
      </c>
      <c r="DH233">
        <f t="shared" si="91"/>
        <v>0</v>
      </c>
      <c r="DI233">
        <f t="shared" si="92"/>
        <v>0</v>
      </c>
      <c r="DJ233">
        <f>DF233</f>
        <v>210.34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">
      <c r="A234">
        <f>ROW(Source!A246)</f>
        <v>246</v>
      </c>
      <c r="B234">
        <v>85997836</v>
      </c>
      <c r="C234">
        <v>85998643</v>
      </c>
      <c r="D234">
        <v>84258051</v>
      </c>
      <c r="E234">
        <v>1</v>
      </c>
      <c r="F234">
        <v>1</v>
      </c>
      <c r="G234">
        <v>1</v>
      </c>
      <c r="H234">
        <v>3</v>
      </c>
      <c r="I234" t="s">
        <v>681</v>
      </c>
      <c r="J234" t="s">
        <v>682</v>
      </c>
      <c r="K234" t="s">
        <v>683</v>
      </c>
      <c r="L234">
        <v>1348</v>
      </c>
      <c r="N234">
        <v>1009</v>
      </c>
      <c r="O234" t="s">
        <v>165</v>
      </c>
      <c r="P234" t="s">
        <v>165</v>
      </c>
      <c r="Q234">
        <v>1000</v>
      </c>
      <c r="W234">
        <v>0</v>
      </c>
      <c r="X234">
        <v>802999844</v>
      </c>
      <c r="Y234">
        <f>AT234</f>
        <v>5.0999999999999997E-2</v>
      </c>
      <c r="AA234">
        <v>77073.88</v>
      </c>
      <c r="AB234">
        <v>0</v>
      </c>
      <c r="AC234">
        <v>0</v>
      </c>
      <c r="AD234">
        <v>0</v>
      </c>
      <c r="AE234">
        <v>52790.33</v>
      </c>
      <c r="AF234">
        <v>0</v>
      </c>
      <c r="AG234">
        <v>0</v>
      </c>
      <c r="AH234">
        <v>0</v>
      </c>
      <c r="AI234">
        <v>1.46</v>
      </c>
      <c r="AJ234">
        <v>1</v>
      </c>
      <c r="AK234">
        <v>1</v>
      </c>
      <c r="AL234">
        <v>1</v>
      </c>
      <c r="AM234">
        <v>2</v>
      </c>
      <c r="AN234">
        <v>0</v>
      </c>
      <c r="AO234">
        <v>0</v>
      </c>
      <c r="AP234">
        <v>1</v>
      </c>
      <c r="AQ234">
        <v>1</v>
      </c>
      <c r="AR234">
        <v>0</v>
      </c>
      <c r="AS234" t="s">
        <v>3</v>
      </c>
      <c r="AT234">
        <v>5.0999999999999997E-2</v>
      </c>
      <c r="AU234" t="s">
        <v>3</v>
      </c>
      <c r="AV234">
        <v>0</v>
      </c>
      <c r="AW234">
        <v>2</v>
      </c>
      <c r="AX234">
        <v>85998661</v>
      </c>
      <c r="AY234">
        <v>1</v>
      </c>
      <c r="AZ234">
        <v>0</v>
      </c>
      <c r="BA234">
        <v>213</v>
      </c>
      <c r="BB234">
        <v>1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2692.30683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1</v>
      </c>
      <c r="BQ234">
        <v>2692.30683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1</v>
      </c>
      <c r="CV234">
        <v>0</v>
      </c>
      <c r="CW234">
        <v>0</v>
      </c>
      <c r="CX234">
        <f>ROUND(Y234*Source!I246,7)</f>
        <v>5.1000000000000004E-3</v>
      </c>
      <c r="CY234">
        <f>AA234</f>
        <v>77073.88</v>
      </c>
      <c r="CZ234">
        <f>AE234</f>
        <v>52790.33</v>
      </c>
      <c r="DA234">
        <f>AI234</f>
        <v>1.46</v>
      </c>
      <c r="DB234">
        <f>ROUND(ROUND(AT234*CZ234,2),6)</f>
        <v>2692.31</v>
      </c>
      <c r="DC234">
        <f>ROUND(ROUND(AT234*AG234,2),6)</f>
        <v>0</v>
      </c>
      <c r="DD234" t="s">
        <v>3</v>
      </c>
      <c r="DE234" t="s">
        <v>3</v>
      </c>
      <c r="DF234">
        <f>ROUND(ROUND(AE234*AI234,2)*CX234,2)</f>
        <v>393.08</v>
      </c>
      <c r="DG234">
        <f t="shared" si="102"/>
        <v>0</v>
      </c>
      <c r="DH234">
        <f t="shared" si="91"/>
        <v>0</v>
      </c>
      <c r="DI234">
        <f t="shared" si="92"/>
        <v>0</v>
      </c>
      <c r="DJ234">
        <f>DF234</f>
        <v>393.08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">
      <c r="A235">
        <f>ROW(Source!A251)</f>
        <v>251</v>
      </c>
      <c r="B235">
        <v>85997836</v>
      </c>
      <c r="C235">
        <v>85998664</v>
      </c>
      <c r="D235">
        <v>84164552</v>
      </c>
      <c r="E235">
        <v>117</v>
      </c>
      <c r="F235">
        <v>1</v>
      </c>
      <c r="G235">
        <v>1</v>
      </c>
      <c r="H235">
        <v>1</v>
      </c>
      <c r="I235" t="s">
        <v>684</v>
      </c>
      <c r="J235" t="s">
        <v>3</v>
      </c>
      <c r="K235" t="s">
        <v>685</v>
      </c>
      <c r="L235">
        <v>1191</v>
      </c>
      <c r="N235">
        <v>1013</v>
      </c>
      <c r="O235" t="s">
        <v>541</v>
      </c>
      <c r="P235" t="s">
        <v>541</v>
      </c>
      <c r="Q235">
        <v>1</v>
      </c>
      <c r="W235">
        <v>0</v>
      </c>
      <c r="X235">
        <v>1647542322</v>
      </c>
      <c r="Y235">
        <f>(AT235*ROUND(((0.2+1)*1.15),7))</f>
        <v>22.314600000000002</v>
      </c>
      <c r="AA235">
        <v>0</v>
      </c>
      <c r="AB235">
        <v>0</v>
      </c>
      <c r="AC235">
        <v>0</v>
      </c>
      <c r="AD235">
        <v>619.66999999999996</v>
      </c>
      <c r="AE235">
        <v>0</v>
      </c>
      <c r="AF235">
        <v>0</v>
      </c>
      <c r="AG235">
        <v>0</v>
      </c>
      <c r="AH235">
        <v>619.66999999999996</v>
      </c>
      <c r="AI235">
        <v>1</v>
      </c>
      <c r="AJ235">
        <v>1</v>
      </c>
      <c r="AK235">
        <v>1</v>
      </c>
      <c r="AL235">
        <v>1</v>
      </c>
      <c r="AM235">
        <v>-2</v>
      </c>
      <c r="AN235">
        <v>0</v>
      </c>
      <c r="AO235">
        <v>0</v>
      </c>
      <c r="AP235">
        <v>1</v>
      </c>
      <c r="AQ235">
        <v>1</v>
      </c>
      <c r="AR235">
        <v>0</v>
      </c>
      <c r="AS235" t="s">
        <v>3</v>
      </c>
      <c r="AT235">
        <v>16.170000000000002</v>
      </c>
      <c r="AU235" t="s">
        <v>330</v>
      </c>
      <c r="AV235">
        <v>1</v>
      </c>
      <c r="AW235">
        <v>2</v>
      </c>
      <c r="AX235">
        <v>85998672</v>
      </c>
      <c r="AY235">
        <v>1</v>
      </c>
      <c r="AZ235">
        <v>0</v>
      </c>
      <c r="BA235">
        <v>214</v>
      </c>
      <c r="BB235">
        <v>1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10020.063900000001</v>
      </c>
      <c r="BN235">
        <v>16.170000000000002</v>
      </c>
      <c r="BO235">
        <v>0</v>
      </c>
      <c r="BP235">
        <v>1</v>
      </c>
      <c r="BQ235">
        <v>0</v>
      </c>
      <c r="BR235">
        <v>0</v>
      </c>
      <c r="BS235">
        <v>0</v>
      </c>
      <c r="BT235">
        <v>13827.688181999998</v>
      </c>
      <c r="BU235">
        <v>22.314599999999999</v>
      </c>
      <c r="BV235">
        <v>0</v>
      </c>
      <c r="BW235">
        <v>1</v>
      </c>
      <c r="CU235">
        <f>ROUND(AT235*Source!I251*AH235*AL235,2)</f>
        <v>180.36</v>
      </c>
      <c r="CV235">
        <f>ROUND(Y235*Source!I251,7)</f>
        <v>0.40166279999999999</v>
      </c>
      <c r="CW235">
        <v>0</v>
      </c>
      <c r="CX235">
        <f>ROUND(Y235*Source!I251,7)</f>
        <v>0.40166279999999999</v>
      </c>
      <c r="CY235">
        <f>AD235</f>
        <v>619.66999999999996</v>
      </c>
      <c r="CZ235">
        <f>AH235</f>
        <v>619.66999999999996</v>
      </c>
      <c r="DA235">
        <f>AL235</f>
        <v>1</v>
      </c>
      <c r="DB235">
        <f>ROUND((ROUND(AT235*CZ235,2)*ROUND(((0.2+1)*1.15),7)),6)</f>
        <v>13827.6828</v>
      </c>
      <c r="DC235">
        <f>ROUND((ROUND(AT235*AG235,2)*ROUND(((0.2+1)*1.15),7)),6)</f>
        <v>0</v>
      </c>
      <c r="DD235" t="s">
        <v>3</v>
      </c>
      <c r="DE235" t="s">
        <v>3</v>
      </c>
      <c r="DF235">
        <f>ROUND(ROUND(AE235,2)*CX235,2)</f>
        <v>0</v>
      </c>
      <c r="DG235">
        <f t="shared" si="102"/>
        <v>0</v>
      </c>
      <c r="DH235">
        <f t="shared" si="91"/>
        <v>0</v>
      </c>
      <c r="DI235">
        <f t="shared" si="92"/>
        <v>248.9</v>
      </c>
      <c r="DJ235">
        <f>DI235</f>
        <v>248.9</v>
      </c>
      <c r="DK235">
        <v>1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">
      <c r="A236">
        <f>ROW(Source!A251)</f>
        <v>251</v>
      </c>
      <c r="B236">
        <v>85997836</v>
      </c>
      <c r="C236">
        <v>85998664</v>
      </c>
      <c r="D236">
        <v>84164762</v>
      </c>
      <c r="E236">
        <v>117</v>
      </c>
      <c r="F236">
        <v>1</v>
      </c>
      <c r="G236">
        <v>1</v>
      </c>
      <c r="H236">
        <v>1</v>
      </c>
      <c r="I236" t="s">
        <v>542</v>
      </c>
      <c r="J236" t="s">
        <v>3</v>
      </c>
      <c r="K236" t="s">
        <v>543</v>
      </c>
      <c r="L236">
        <v>1191</v>
      </c>
      <c r="N236">
        <v>1013</v>
      </c>
      <c r="O236" t="s">
        <v>541</v>
      </c>
      <c r="P236" t="s">
        <v>541</v>
      </c>
      <c r="Q236">
        <v>1</v>
      </c>
      <c r="W236">
        <v>0</v>
      </c>
      <c r="X236">
        <v>-1417349443</v>
      </c>
      <c r="Y236">
        <f>(AT236*ROUND(((0.2+1)*1.25),7))</f>
        <v>7.5000000000000011E-2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M236">
        <v>-2</v>
      </c>
      <c r="AN236">
        <v>0</v>
      </c>
      <c r="AO236">
        <v>0</v>
      </c>
      <c r="AP236">
        <v>1</v>
      </c>
      <c r="AQ236">
        <v>1</v>
      </c>
      <c r="AR236">
        <v>0</v>
      </c>
      <c r="AS236" t="s">
        <v>3</v>
      </c>
      <c r="AT236">
        <v>0.05</v>
      </c>
      <c r="AU236" t="s">
        <v>329</v>
      </c>
      <c r="AV236">
        <v>2</v>
      </c>
      <c r="AW236">
        <v>2</v>
      </c>
      <c r="AX236">
        <v>85998673</v>
      </c>
      <c r="AY236">
        <v>1</v>
      </c>
      <c r="AZ236">
        <v>0</v>
      </c>
      <c r="BA236">
        <v>215</v>
      </c>
      <c r="BB236">
        <v>1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V236">
        <v>0</v>
      </c>
      <c r="CW236">
        <v>0</v>
      </c>
      <c r="CX236">
        <f>ROUND(Y236*Source!I251,7)</f>
        <v>1.3500000000000001E-3</v>
      </c>
      <c r="CY236">
        <f>AD236</f>
        <v>0</v>
      </c>
      <c r="CZ236">
        <f>AH236</f>
        <v>0</v>
      </c>
      <c r="DA236">
        <f>AL236</f>
        <v>1</v>
      </c>
      <c r="DB236">
        <f>ROUND((ROUND(AT236*CZ236,2)*ROUND(((0.2+1)*1.25),7)),6)</f>
        <v>0</v>
      </c>
      <c r="DC236">
        <f>ROUND((ROUND(AT236*AG236,2)*ROUND(((0.2+1)*1.25),7)),6)</f>
        <v>0</v>
      </c>
      <c r="DD236" t="s">
        <v>3</v>
      </c>
      <c r="DE236" t="s">
        <v>3</v>
      </c>
      <c r="DF236">
        <f>ROUND(ROUND(AE236,2)*CX236,2)</f>
        <v>0</v>
      </c>
      <c r="DG236">
        <f t="shared" si="102"/>
        <v>0</v>
      </c>
      <c r="DH236">
        <f t="shared" si="91"/>
        <v>0</v>
      </c>
      <c r="DI236">
        <f t="shared" si="92"/>
        <v>0</v>
      </c>
      <c r="DJ236">
        <f>DI236</f>
        <v>0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">
      <c r="A237">
        <f>ROW(Source!A251)</f>
        <v>251</v>
      </c>
      <c r="B237">
        <v>85997836</v>
      </c>
      <c r="C237">
        <v>85998664</v>
      </c>
      <c r="D237">
        <v>84171438</v>
      </c>
      <c r="E237">
        <v>1</v>
      </c>
      <c r="F237">
        <v>1</v>
      </c>
      <c r="G237">
        <v>1</v>
      </c>
      <c r="H237">
        <v>2</v>
      </c>
      <c r="I237" t="s">
        <v>27</v>
      </c>
      <c r="J237" t="s">
        <v>30</v>
      </c>
      <c r="K237" t="s">
        <v>28</v>
      </c>
      <c r="L237">
        <v>1368</v>
      </c>
      <c r="N237">
        <v>1011</v>
      </c>
      <c r="O237" t="s">
        <v>29</v>
      </c>
      <c r="P237" t="s">
        <v>29</v>
      </c>
      <c r="Q237">
        <v>1</v>
      </c>
      <c r="W237">
        <v>0</v>
      </c>
      <c r="X237">
        <v>945201097</v>
      </c>
      <c r="Y237">
        <f>(AT237*ROUND(((0.2+1)*1.25),7))</f>
        <v>-2.2499999999999999E-2</v>
      </c>
      <c r="AA237">
        <v>0</v>
      </c>
      <c r="AB237">
        <v>57.47</v>
      </c>
      <c r="AC237">
        <v>641.22</v>
      </c>
      <c r="AD237">
        <v>0</v>
      </c>
      <c r="AE237">
        <v>0</v>
      </c>
      <c r="AF237">
        <v>37.32</v>
      </c>
      <c r="AG237">
        <v>641.22</v>
      </c>
      <c r="AH237">
        <v>0</v>
      </c>
      <c r="AI237">
        <v>1</v>
      </c>
      <c r="AJ237">
        <v>1.54</v>
      </c>
      <c r="AK237">
        <v>1</v>
      </c>
      <c r="AL237">
        <v>1</v>
      </c>
      <c r="AM237">
        <v>2</v>
      </c>
      <c r="AN237">
        <v>0</v>
      </c>
      <c r="AO237">
        <v>0</v>
      </c>
      <c r="AP237">
        <v>1</v>
      </c>
      <c r="AQ237">
        <v>0</v>
      </c>
      <c r="AR237">
        <v>0</v>
      </c>
      <c r="AS237" t="s">
        <v>3</v>
      </c>
      <c r="AT237">
        <v>-1.4999999999999999E-2</v>
      </c>
      <c r="AU237" t="s">
        <v>329</v>
      </c>
      <c r="AV237">
        <v>1</v>
      </c>
      <c r="AW237">
        <v>2</v>
      </c>
      <c r="AX237">
        <v>85998674</v>
      </c>
      <c r="AY237">
        <v>1</v>
      </c>
      <c r="AZ237">
        <v>6144</v>
      </c>
      <c r="BA237">
        <v>216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V237">
        <v>0</v>
      </c>
      <c r="CW237">
        <f>ROUND(Y237*Source!I251*DO237,7)</f>
        <v>-4.0499999999999998E-4</v>
      </c>
      <c r="CX237">
        <f>ROUND(Y237*Source!I251,7)</f>
        <v>-4.0499999999999998E-4</v>
      </c>
      <c r="CY237">
        <f>AB237</f>
        <v>57.47</v>
      </c>
      <c r="CZ237">
        <f>AF237</f>
        <v>37.32</v>
      </c>
      <c r="DA237">
        <f>AJ237</f>
        <v>1.54</v>
      </c>
      <c r="DB237">
        <f>ROUND((ROUND(AT237*CZ237,2)*ROUND(((0.2+1)*1.25),7)),6)</f>
        <v>-0.84</v>
      </c>
      <c r="DC237">
        <f>ROUND((ROUND(AT237*AG237,2)*ROUND(((0.2+1)*1.25),7)),6)</f>
        <v>-14.43</v>
      </c>
      <c r="DD237" t="s">
        <v>3</v>
      </c>
      <c r="DE237" t="s">
        <v>3</v>
      </c>
      <c r="DF237">
        <f>ROUND(ROUND(AE237,2)*CX237,2)</f>
        <v>0</v>
      </c>
      <c r="DG237">
        <f>ROUND(ROUND(AF237*AJ237,2)*CX237,2)</f>
        <v>-0.02</v>
      </c>
      <c r="DH237">
        <f t="shared" si="91"/>
        <v>-0.26</v>
      </c>
      <c r="DI237">
        <f t="shared" si="92"/>
        <v>0</v>
      </c>
      <c r="DJ237">
        <f>DG237+DH237</f>
        <v>-0.28000000000000003</v>
      </c>
      <c r="DK237">
        <v>0</v>
      </c>
      <c r="DL237" t="s">
        <v>544</v>
      </c>
      <c r="DM237">
        <v>3</v>
      </c>
      <c r="DN237" t="s">
        <v>541</v>
      </c>
      <c r="DO237">
        <v>1</v>
      </c>
    </row>
    <row r="238" spans="1:119" x14ac:dyDescent="0.2">
      <c r="A238">
        <f>ROW(Source!A251)</f>
        <v>251</v>
      </c>
      <c r="B238">
        <v>85997836</v>
      </c>
      <c r="C238">
        <v>85998664</v>
      </c>
      <c r="D238">
        <v>84172146</v>
      </c>
      <c r="E238">
        <v>1</v>
      </c>
      <c r="F238">
        <v>1</v>
      </c>
      <c r="G238">
        <v>1</v>
      </c>
      <c r="H238">
        <v>2</v>
      </c>
      <c r="I238" t="s">
        <v>127</v>
      </c>
      <c r="J238" t="s">
        <v>129</v>
      </c>
      <c r="K238" t="s">
        <v>128</v>
      </c>
      <c r="L238">
        <v>1368</v>
      </c>
      <c r="N238">
        <v>1011</v>
      </c>
      <c r="O238" t="s">
        <v>29</v>
      </c>
      <c r="P238" t="s">
        <v>29</v>
      </c>
      <c r="Q238">
        <v>1</v>
      </c>
      <c r="W238">
        <v>0</v>
      </c>
      <c r="X238">
        <v>-849950259</v>
      </c>
      <c r="Y238">
        <f>(AT238*ROUND(((0.2+1)*1.25),7))</f>
        <v>-0.09</v>
      </c>
      <c r="AA238">
        <v>0</v>
      </c>
      <c r="AB238">
        <v>643.29</v>
      </c>
      <c r="AC238">
        <v>722.05</v>
      </c>
      <c r="AD238">
        <v>0</v>
      </c>
      <c r="AE238">
        <v>0</v>
      </c>
      <c r="AF238">
        <v>643.29</v>
      </c>
      <c r="AG238">
        <v>722.05</v>
      </c>
      <c r="AH238">
        <v>0</v>
      </c>
      <c r="AI238">
        <v>1</v>
      </c>
      <c r="AJ238">
        <v>1</v>
      </c>
      <c r="AK238">
        <v>1</v>
      </c>
      <c r="AL238">
        <v>1</v>
      </c>
      <c r="AM238">
        <v>-2</v>
      </c>
      <c r="AN238">
        <v>0</v>
      </c>
      <c r="AO238">
        <v>0</v>
      </c>
      <c r="AP238">
        <v>1</v>
      </c>
      <c r="AQ238">
        <v>0</v>
      </c>
      <c r="AR238">
        <v>0</v>
      </c>
      <c r="AS238" t="s">
        <v>3</v>
      </c>
      <c r="AT238">
        <v>-0.06</v>
      </c>
      <c r="AU238" t="s">
        <v>329</v>
      </c>
      <c r="AV238">
        <v>1</v>
      </c>
      <c r="AW238">
        <v>2</v>
      </c>
      <c r="AX238">
        <v>85998675</v>
      </c>
      <c r="AY238">
        <v>1</v>
      </c>
      <c r="AZ238">
        <v>6144</v>
      </c>
      <c r="BA238">
        <v>217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V238">
        <v>0</v>
      </c>
      <c r="CW238">
        <f>ROUND(Y238*Source!I251*DO238,7)</f>
        <v>-1.6199999999999999E-3</v>
      </c>
      <c r="CX238">
        <f>ROUND(Y238*Source!I251,7)</f>
        <v>-1.6199999999999999E-3</v>
      </c>
      <c r="CY238">
        <f>AB238</f>
        <v>643.29</v>
      </c>
      <c r="CZ238">
        <f>AF238</f>
        <v>643.29</v>
      </c>
      <c r="DA238">
        <f>AJ238</f>
        <v>1</v>
      </c>
      <c r="DB238">
        <f>ROUND((ROUND(AT238*CZ238,2)*ROUND(((0.2+1)*1.25),7)),6)</f>
        <v>-57.9</v>
      </c>
      <c r="DC238">
        <f>ROUND((ROUND(AT238*AG238,2)*ROUND(((0.2+1)*1.25),7)),6)</f>
        <v>-64.98</v>
      </c>
      <c r="DD238" t="s">
        <v>3</v>
      </c>
      <c r="DE238" t="s">
        <v>3</v>
      </c>
      <c r="DF238">
        <f>ROUND(ROUND(AE238,2)*CX238,2)</f>
        <v>0</v>
      </c>
      <c r="DG238">
        <f>ROUND(ROUND(AF238,2)*CX238,2)</f>
        <v>-1.04</v>
      </c>
      <c r="DH238">
        <f t="shared" si="91"/>
        <v>-1.17</v>
      </c>
      <c r="DI238">
        <f t="shared" si="92"/>
        <v>0</v>
      </c>
      <c r="DJ238">
        <f>DG238+DH238</f>
        <v>-2.21</v>
      </c>
      <c r="DK238">
        <v>1</v>
      </c>
      <c r="DL238" t="s">
        <v>600</v>
      </c>
      <c r="DM238">
        <v>4</v>
      </c>
      <c r="DN238" t="s">
        <v>541</v>
      </c>
      <c r="DO238">
        <v>1</v>
      </c>
    </row>
    <row r="239" spans="1:119" x14ac:dyDescent="0.2">
      <c r="A239">
        <f>ROW(Source!A251)</f>
        <v>251</v>
      </c>
      <c r="B239">
        <v>85997836</v>
      </c>
      <c r="C239">
        <v>85998664</v>
      </c>
      <c r="D239">
        <v>84238902</v>
      </c>
      <c r="E239">
        <v>1</v>
      </c>
      <c r="F239">
        <v>1</v>
      </c>
      <c r="G239">
        <v>1</v>
      </c>
      <c r="H239">
        <v>3</v>
      </c>
      <c r="I239" t="s">
        <v>686</v>
      </c>
      <c r="J239" t="s">
        <v>687</v>
      </c>
      <c r="K239" t="s">
        <v>688</v>
      </c>
      <c r="L239">
        <v>1339</v>
      </c>
      <c r="N239">
        <v>1007</v>
      </c>
      <c r="O239" t="s">
        <v>649</v>
      </c>
      <c r="P239" t="s">
        <v>649</v>
      </c>
      <c r="Q239">
        <v>1</v>
      </c>
      <c r="W239">
        <v>0</v>
      </c>
      <c r="X239">
        <v>1964556667</v>
      </c>
      <c r="Y239">
        <f>AT239</f>
        <v>0.06</v>
      </c>
      <c r="AA239">
        <v>54.64</v>
      </c>
      <c r="AB239">
        <v>0</v>
      </c>
      <c r="AC239">
        <v>0</v>
      </c>
      <c r="AD239">
        <v>0</v>
      </c>
      <c r="AE239">
        <v>35.71</v>
      </c>
      <c r="AF239">
        <v>0</v>
      </c>
      <c r="AG239">
        <v>0</v>
      </c>
      <c r="AH239">
        <v>0</v>
      </c>
      <c r="AI239">
        <v>1.53</v>
      </c>
      <c r="AJ239">
        <v>1</v>
      </c>
      <c r="AK239">
        <v>1</v>
      </c>
      <c r="AL239">
        <v>1</v>
      </c>
      <c r="AM239">
        <v>2</v>
      </c>
      <c r="AN239">
        <v>0</v>
      </c>
      <c r="AO239">
        <v>0</v>
      </c>
      <c r="AP239">
        <v>1</v>
      </c>
      <c r="AQ239">
        <v>1</v>
      </c>
      <c r="AR239">
        <v>0</v>
      </c>
      <c r="AS239" t="s">
        <v>3</v>
      </c>
      <c r="AT239">
        <v>0.06</v>
      </c>
      <c r="AU239" t="s">
        <v>3</v>
      </c>
      <c r="AV239">
        <v>0</v>
      </c>
      <c r="AW239">
        <v>2</v>
      </c>
      <c r="AX239">
        <v>85998676</v>
      </c>
      <c r="AY239">
        <v>1</v>
      </c>
      <c r="AZ239">
        <v>0</v>
      </c>
      <c r="BA239">
        <v>218</v>
      </c>
      <c r="BB239">
        <v>1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2.1425999999999998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1</v>
      </c>
      <c r="BQ239">
        <v>2.1425999999999998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1</v>
      </c>
      <c r="CV239">
        <v>0</v>
      </c>
      <c r="CW239">
        <v>0</v>
      </c>
      <c r="CX239">
        <f>ROUND(Y239*Source!I251,7)</f>
        <v>1.08E-3</v>
      </c>
      <c r="CY239">
        <f>AA239</f>
        <v>54.64</v>
      </c>
      <c r="CZ239">
        <f>AE239</f>
        <v>35.71</v>
      </c>
      <c r="DA239">
        <f>AI239</f>
        <v>1.53</v>
      </c>
      <c r="DB239">
        <f>ROUND(ROUND(AT239*CZ239,2),6)</f>
        <v>2.14</v>
      </c>
      <c r="DC239">
        <f>ROUND(ROUND(AT239*AG239,2),6)</f>
        <v>0</v>
      </c>
      <c r="DD239" t="s">
        <v>3</v>
      </c>
      <c r="DE239" t="s">
        <v>3</v>
      </c>
      <c r="DF239">
        <f>ROUND(ROUND(AE239*AI239,2)*CX239,2)</f>
        <v>0.06</v>
      </c>
      <c r="DG239">
        <f>ROUND(ROUND(AF239,2)*CX239,2)</f>
        <v>0</v>
      </c>
      <c r="DH239">
        <f t="shared" si="91"/>
        <v>0</v>
      </c>
      <c r="DI239">
        <f t="shared" si="92"/>
        <v>0</v>
      </c>
      <c r="DJ239">
        <f>DF239</f>
        <v>0.06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">
      <c r="A240">
        <f>ROW(Source!A251)</f>
        <v>251</v>
      </c>
      <c r="B240">
        <v>85997836</v>
      </c>
      <c r="C240">
        <v>85998664</v>
      </c>
      <c r="D240">
        <v>84241562</v>
      </c>
      <c r="E240">
        <v>1</v>
      </c>
      <c r="F240">
        <v>1</v>
      </c>
      <c r="G240">
        <v>1</v>
      </c>
      <c r="H240">
        <v>3</v>
      </c>
      <c r="I240" t="s">
        <v>669</v>
      </c>
      <c r="J240" t="s">
        <v>670</v>
      </c>
      <c r="K240" t="s">
        <v>671</v>
      </c>
      <c r="L240">
        <v>1346</v>
      </c>
      <c r="N240">
        <v>1009</v>
      </c>
      <c r="O240" t="s">
        <v>170</v>
      </c>
      <c r="P240" t="s">
        <v>170</v>
      </c>
      <c r="Q240">
        <v>1</v>
      </c>
      <c r="W240">
        <v>0</v>
      </c>
      <c r="X240">
        <v>-373327139</v>
      </c>
      <c r="Y240">
        <f>AT240</f>
        <v>0.19</v>
      </c>
      <c r="AA240">
        <v>86.41</v>
      </c>
      <c r="AB240">
        <v>0</v>
      </c>
      <c r="AC240">
        <v>0</v>
      </c>
      <c r="AD240">
        <v>0</v>
      </c>
      <c r="AE240">
        <v>56.11</v>
      </c>
      <c r="AF240">
        <v>0</v>
      </c>
      <c r="AG240">
        <v>0</v>
      </c>
      <c r="AH240">
        <v>0</v>
      </c>
      <c r="AI240">
        <v>1.54</v>
      </c>
      <c r="AJ240">
        <v>1</v>
      </c>
      <c r="AK240">
        <v>1</v>
      </c>
      <c r="AL240">
        <v>1</v>
      </c>
      <c r="AM240">
        <v>2</v>
      </c>
      <c r="AN240">
        <v>0</v>
      </c>
      <c r="AO240">
        <v>0</v>
      </c>
      <c r="AP240">
        <v>1</v>
      </c>
      <c r="AQ240">
        <v>1</v>
      </c>
      <c r="AR240">
        <v>0</v>
      </c>
      <c r="AS240" t="s">
        <v>3</v>
      </c>
      <c r="AT240">
        <v>0.19</v>
      </c>
      <c r="AU240" t="s">
        <v>3</v>
      </c>
      <c r="AV240">
        <v>0</v>
      </c>
      <c r="AW240">
        <v>2</v>
      </c>
      <c r="AX240">
        <v>85998677</v>
      </c>
      <c r="AY240">
        <v>1</v>
      </c>
      <c r="AZ240">
        <v>0</v>
      </c>
      <c r="BA240">
        <v>219</v>
      </c>
      <c r="BB240">
        <v>1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10.6609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1</v>
      </c>
      <c r="BQ240">
        <v>10.6609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1</v>
      </c>
      <c r="CV240">
        <v>0</v>
      </c>
      <c r="CW240">
        <v>0</v>
      </c>
      <c r="CX240">
        <f>ROUND(Y240*Source!I251,7)</f>
        <v>3.4199999999999999E-3</v>
      </c>
      <c r="CY240">
        <f>AA240</f>
        <v>86.41</v>
      </c>
      <c r="CZ240">
        <f>AE240</f>
        <v>56.11</v>
      </c>
      <c r="DA240">
        <f>AI240</f>
        <v>1.54</v>
      </c>
      <c r="DB240">
        <f>ROUND(ROUND(AT240*CZ240,2),6)</f>
        <v>10.66</v>
      </c>
      <c r="DC240">
        <f>ROUND(ROUND(AT240*AG240,2),6)</f>
        <v>0</v>
      </c>
      <c r="DD240" t="s">
        <v>3</v>
      </c>
      <c r="DE240" t="s">
        <v>3</v>
      </c>
      <c r="DF240">
        <f>ROUND(ROUND(AE240*AI240,2)*CX240,2)</f>
        <v>0.3</v>
      </c>
      <c r="DG240">
        <f>ROUND(ROUND(AF240,2)*CX240,2)</f>
        <v>0</v>
      </c>
      <c r="DH240">
        <f t="shared" si="91"/>
        <v>0</v>
      </c>
      <c r="DI240">
        <f t="shared" si="92"/>
        <v>0</v>
      </c>
      <c r="DJ240">
        <f>DF240</f>
        <v>0.3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">
      <c r="A241">
        <f>ROW(Source!A251)</f>
        <v>251</v>
      </c>
      <c r="B241">
        <v>85997836</v>
      </c>
      <c r="C241">
        <v>85998664</v>
      </c>
      <c r="D241">
        <v>84242984</v>
      </c>
      <c r="E241">
        <v>1</v>
      </c>
      <c r="F241">
        <v>1</v>
      </c>
      <c r="G241">
        <v>1</v>
      </c>
      <c r="H241">
        <v>3</v>
      </c>
      <c r="I241" t="s">
        <v>456</v>
      </c>
      <c r="J241" t="s">
        <v>458</v>
      </c>
      <c r="K241" t="s">
        <v>457</v>
      </c>
      <c r="L241">
        <v>1346</v>
      </c>
      <c r="N241">
        <v>1009</v>
      </c>
      <c r="O241" t="s">
        <v>170</v>
      </c>
      <c r="P241" t="s">
        <v>170</v>
      </c>
      <c r="Q241">
        <v>1</v>
      </c>
      <c r="W241">
        <v>0</v>
      </c>
      <c r="X241">
        <v>795970600</v>
      </c>
      <c r="Y241">
        <f>AT241</f>
        <v>50</v>
      </c>
      <c r="AA241">
        <v>123.83</v>
      </c>
      <c r="AB241">
        <v>0</v>
      </c>
      <c r="AC241">
        <v>0</v>
      </c>
      <c r="AD241">
        <v>0</v>
      </c>
      <c r="AE241">
        <v>63.18</v>
      </c>
      <c r="AF241">
        <v>0</v>
      </c>
      <c r="AG241">
        <v>0</v>
      </c>
      <c r="AH241">
        <v>0</v>
      </c>
      <c r="AI241">
        <v>1.96</v>
      </c>
      <c r="AJ241">
        <v>1</v>
      </c>
      <c r="AK241">
        <v>1</v>
      </c>
      <c r="AL241">
        <v>1</v>
      </c>
      <c r="AM241">
        <v>0</v>
      </c>
      <c r="AN241">
        <v>0</v>
      </c>
      <c r="AO241">
        <v>0</v>
      </c>
      <c r="AP241">
        <v>1</v>
      </c>
      <c r="AQ241">
        <v>0</v>
      </c>
      <c r="AR241">
        <v>0</v>
      </c>
      <c r="AS241" t="s">
        <v>3</v>
      </c>
      <c r="AT241">
        <v>50</v>
      </c>
      <c r="AU241" t="s">
        <v>3</v>
      </c>
      <c r="AV241">
        <v>0</v>
      </c>
      <c r="AW241">
        <v>1</v>
      </c>
      <c r="AX241">
        <v>-1</v>
      </c>
      <c r="AY241">
        <v>0</v>
      </c>
      <c r="AZ241">
        <v>0</v>
      </c>
      <c r="BA241" t="s">
        <v>3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V241">
        <v>0</v>
      </c>
      <c r="CW241">
        <v>0</v>
      </c>
      <c r="CX241">
        <f>ROUND(Y241*Source!I251,7)</f>
        <v>0.9</v>
      </c>
      <c r="CY241">
        <f>AA241</f>
        <v>123.83</v>
      </c>
      <c r="CZ241">
        <f>AE241</f>
        <v>63.18</v>
      </c>
      <c r="DA241">
        <f>AI241</f>
        <v>1.96</v>
      </c>
      <c r="DB241">
        <f>ROUND(ROUND(AT241*CZ241,2),6)</f>
        <v>3159</v>
      </c>
      <c r="DC241">
        <f>ROUND(ROUND(AT241*AG241,2),6)</f>
        <v>0</v>
      </c>
      <c r="DD241" t="s">
        <v>3</v>
      </c>
      <c r="DE241" t="s">
        <v>3</v>
      </c>
      <c r="DF241">
        <f>ROUND(ROUND(AE241*AI241,2)*CX241,2)</f>
        <v>111.45</v>
      </c>
      <c r="DG241">
        <f>ROUND(ROUND(AF241,2)*CX241,2)</f>
        <v>0</v>
      </c>
      <c r="DH241">
        <f t="shared" si="91"/>
        <v>0</v>
      </c>
      <c r="DI241">
        <f t="shared" si="92"/>
        <v>0</v>
      </c>
      <c r="DJ241">
        <f>DF241</f>
        <v>111.45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85998137</v>
      </c>
      <c r="C1">
        <v>85998133</v>
      </c>
      <c r="D1">
        <v>84164528</v>
      </c>
      <c r="E1">
        <v>117</v>
      </c>
      <c r="F1">
        <v>1</v>
      </c>
      <c r="G1">
        <v>1</v>
      </c>
      <c r="H1">
        <v>1</v>
      </c>
      <c r="I1" t="s">
        <v>539</v>
      </c>
      <c r="J1" t="s">
        <v>3</v>
      </c>
      <c r="K1" t="s">
        <v>540</v>
      </c>
      <c r="L1">
        <v>1191</v>
      </c>
      <c r="N1">
        <v>1013</v>
      </c>
      <c r="O1" t="s">
        <v>541</v>
      </c>
      <c r="P1" t="s">
        <v>541</v>
      </c>
      <c r="Q1">
        <v>1</v>
      </c>
      <c r="X1">
        <v>6.32</v>
      </c>
      <c r="Y1">
        <v>0</v>
      </c>
      <c r="Z1">
        <v>0</v>
      </c>
      <c r="AA1">
        <v>0</v>
      </c>
      <c r="AB1">
        <v>587.34</v>
      </c>
      <c r="AC1">
        <v>0</v>
      </c>
      <c r="AD1">
        <v>1</v>
      </c>
      <c r="AE1">
        <v>1</v>
      </c>
      <c r="AF1" t="s">
        <v>3</v>
      </c>
      <c r="AG1">
        <v>6.32</v>
      </c>
      <c r="AH1">
        <v>2</v>
      </c>
      <c r="AI1">
        <v>85998134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85998138</v>
      </c>
      <c r="C2">
        <v>85998133</v>
      </c>
      <c r="D2">
        <v>84164762</v>
      </c>
      <c r="E2">
        <v>117</v>
      </c>
      <c r="F2">
        <v>1</v>
      </c>
      <c r="G2">
        <v>1</v>
      </c>
      <c r="H2">
        <v>1</v>
      </c>
      <c r="I2" t="s">
        <v>542</v>
      </c>
      <c r="J2" t="s">
        <v>3</v>
      </c>
      <c r="K2" t="s">
        <v>543</v>
      </c>
      <c r="L2">
        <v>1191</v>
      </c>
      <c r="N2">
        <v>1013</v>
      </c>
      <c r="O2" t="s">
        <v>541</v>
      </c>
      <c r="P2" t="s">
        <v>541</v>
      </c>
      <c r="Q2">
        <v>1</v>
      </c>
      <c r="X2">
        <v>0.03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0.03</v>
      </c>
      <c r="AH2">
        <v>2</v>
      </c>
      <c r="AI2">
        <v>85998135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85998139</v>
      </c>
      <c r="C3">
        <v>85998133</v>
      </c>
      <c r="D3">
        <v>84171438</v>
      </c>
      <c r="E3">
        <v>1</v>
      </c>
      <c r="F3">
        <v>1</v>
      </c>
      <c r="G3">
        <v>1</v>
      </c>
      <c r="H3">
        <v>2</v>
      </c>
      <c r="I3" t="s">
        <v>27</v>
      </c>
      <c r="J3" t="s">
        <v>30</v>
      </c>
      <c r="K3" t="s">
        <v>28</v>
      </c>
      <c r="L3">
        <v>1368</v>
      </c>
      <c r="N3">
        <v>1011</v>
      </c>
      <c r="O3" t="s">
        <v>29</v>
      </c>
      <c r="P3" t="s">
        <v>29</v>
      </c>
      <c r="Q3">
        <v>1</v>
      </c>
      <c r="X3">
        <v>0.03</v>
      </c>
      <c r="Y3">
        <v>0</v>
      </c>
      <c r="Z3">
        <v>37.32</v>
      </c>
      <c r="AA3">
        <v>641.22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0.03</v>
      </c>
      <c r="AH3">
        <v>2</v>
      </c>
      <c r="AI3">
        <v>85998136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85998144</v>
      </c>
      <c r="C4">
        <v>85998140</v>
      </c>
      <c r="D4">
        <v>84164544</v>
      </c>
      <c r="E4">
        <v>117</v>
      </c>
      <c r="F4">
        <v>1</v>
      </c>
      <c r="G4">
        <v>1</v>
      </c>
      <c r="H4">
        <v>1</v>
      </c>
      <c r="I4" t="s">
        <v>545</v>
      </c>
      <c r="J4" t="s">
        <v>3</v>
      </c>
      <c r="K4" t="s">
        <v>546</v>
      </c>
      <c r="L4">
        <v>1191</v>
      </c>
      <c r="N4">
        <v>1013</v>
      </c>
      <c r="O4" t="s">
        <v>541</v>
      </c>
      <c r="P4" t="s">
        <v>541</v>
      </c>
      <c r="Q4">
        <v>1</v>
      </c>
      <c r="X4">
        <v>17.89</v>
      </c>
      <c r="Y4">
        <v>0</v>
      </c>
      <c r="Z4">
        <v>0</v>
      </c>
      <c r="AA4">
        <v>0</v>
      </c>
      <c r="AB4">
        <v>603.5</v>
      </c>
      <c r="AC4">
        <v>0</v>
      </c>
      <c r="AD4">
        <v>1</v>
      </c>
      <c r="AE4">
        <v>1</v>
      </c>
      <c r="AF4" t="s">
        <v>3</v>
      </c>
      <c r="AG4">
        <v>17.89</v>
      </c>
      <c r="AH4">
        <v>2</v>
      </c>
      <c r="AI4">
        <v>85998141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ROW(Source!A30)</f>
        <v>30</v>
      </c>
      <c r="B5">
        <v>85998145</v>
      </c>
      <c r="C5">
        <v>85998140</v>
      </c>
      <c r="D5">
        <v>84164762</v>
      </c>
      <c r="E5">
        <v>117</v>
      </c>
      <c r="F5">
        <v>1</v>
      </c>
      <c r="G5">
        <v>1</v>
      </c>
      <c r="H5">
        <v>1</v>
      </c>
      <c r="I5" t="s">
        <v>542</v>
      </c>
      <c r="J5" t="s">
        <v>3</v>
      </c>
      <c r="K5" t="s">
        <v>543</v>
      </c>
      <c r="L5">
        <v>1191</v>
      </c>
      <c r="N5">
        <v>1013</v>
      </c>
      <c r="O5" t="s">
        <v>541</v>
      </c>
      <c r="P5" t="s">
        <v>541</v>
      </c>
      <c r="Q5">
        <v>1</v>
      </c>
      <c r="X5">
        <v>0.08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2</v>
      </c>
      <c r="AF5" t="s">
        <v>3</v>
      </c>
      <c r="AG5">
        <v>0.08</v>
      </c>
      <c r="AH5">
        <v>2</v>
      </c>
      <c r="AI5">
        <v>85998142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ROW(Source!A30)</f>
        <v>30</v>
      </c>
      <c r="B6">
        <v>85998146</v>
      </c>
      <c r="C6">
        <v>85998140</v>
      </c>
      <c r="D6">
        <v>84171438</v>
      </c>
      <c r="E6">
        <v>1</v>
      </c>
      <c r="F6">
        <v>1</v>
      </c>
      <c r="G6">
        <v>1</v>
      </c>
      <c r="H6">
        <v>2</v>
      </c>
      <c r="I6" t="s">
        <v>27</v>
      </c>
      <c r="J6" t="s">
        <v>30</v>
      </c>
      <c r="K6" t="s">
        <v>28</v>
      </c>
      <c r="L6">
        <v>1368</v>
      </c>
      <c r="N6">
        <v>1011</v>
      </c>
      <c r="O6" t="s">
        <v>29</v>
      </c>
      <c r="P6" t="s">
        <v>29</v>
      </c>
      <c r="Q6">
        <v>1</v>
      </c>
      <c r="X6">
        <v>0.08</v>
      </c>
      <c r="Y6">
        <v>0</v>
      </c>
      <c r="Z6">
        <v>37.32</v>
      </c>
      <c r="AA6">
        <v>641.22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0.08</v>
      </c>
      <c r="AH6">
        <v>2</v>
      </c>
      <c r="AI6">
        <v>85998143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ROW(Source!A32)</f>
        <v>32</v>
      </c>
      <c r="B7">
        <v>85998149</v>
      </c>
      <c r="C7">
        <v>85998147</v>
      </c>
      <c r="D7">
        <v>84164528</v>
      </c>
      <c r="E7">
        <v>117</v>
      </c>
      <c r="F7">
        <v>1</v>
      </c>
      <c r="G7">
        <v>1</v>
      </c>
      <c r="H7">
        <v>1</v>
      </c>
      <c r="I7" t="s">
        <v>539</v>
      </c>
      <c r="J7" t="s">
        <v>3</v>
      </c>
      <c r="K7" t="s">
        <v>540</v>
      </c>
      <c r="L7">
        <v>1191</v>
      </c>
      <c r="N7">
        <v>1013</v>
      </c>
      <c r="O7" t="s">
        <v>541</v>
      </c>
      <c r="P7" t="s">
        <v>541</v>
      </c>
      <c r="Q7">
        <v>1</v>
      </c>
      <c r="X7">
        <v>5.84</v>
      </c>
      <c r="Y7">
        <v>0</v>
      </c>
      <c r="Z7">
        <v>0</v>
      </c>
      <c r="AA7">
        <v>0</v>
      </c>
      <c r="AB7">
        <v>587.34</v>
      </c>
      <c r="AC7">
        <v>0</v>
      </c>
      <c r="AD7">
        <v>1</v>
      </c>
      <c r="AE7">
        <v>1</v>
      </c>
      <c r="AF7" t="s">
        <v>3</v>
      </c>
      <c r="AG7">
        <v>5.84</v>
      </c>
      <c r="AH7">
        <v>2</v>
      </c>
      <c r="AI7">
        <v>85998148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ROW(Source!A33)</f>
        <v>33</v>
      </c>
      <c r="B8">
        <v>85998167</v>
      </c>
      <c r="C8">
        <v>85998150</v>
      </c>
      <c r="D8">
        <v>84164586</v>
      </c>
      <c r="E8">
        <v>117</v>
      </c>
      <c r="F8">
        <v>1</v>
      </c>
      <c r="G8">
        <v>1</v>
      </c>
      <c r="H8">
        <v>1</v>
      </c>
      <c r="I8" t="s">
        <v>547</v>
      </c>
      <c r="J8" t="s">
        <v>3</v>
      </c>
      <c r="K8" t="s">
        <v>548</v>
      </c>
      <c r="L8">
        <v>1191</v>
      </c>
      <c r="N8">
        <v>1013</v>
      </c>
      <c r="O8" t="s">
        <v>541</v>
      </c>
      <c r="P8" t="s">
        <v>541</v>
      </c>
      <c r="Q8">
        <v>1</v>
      </c>
      <c r="X8">
        <v>3</v>
      </c>
      <c r="Y8">
        <v>0</v>
      </c>
      <c r="Z8">
        <v>0</v>
      </c>
      <c r="AA8">
        <v>0</v>
      </c>
      <c r="AB8">
        <v>705.88</v>
      </c>
      <c r="AC8">
        <v>0</v>
      </c>
      <c r="AD8">
        <v>1</v>
      </c>
      <c r="AE8">
        <v>1</v>
      </c>
      <c r="AF8" t="s">
        <v>47</v>
      </c>
      <c r="AG8">
        <v>0.89999999999999991</v>
      </c>
      <c r="AH8">
        <v>2</v>
      </c>
      <c r="AI8">
        <v>85998151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ROW(Source!A33)</f>
        <v>33</v>
      </c>
      <c r="B9">
        <v>85998168</v>
      </c>
      <c r="C9">
        <v>85998150</v>
      </c>
      <c r="D9">
        <v>84172342</v>
      </c>
      <c r="E9">
        <v>1</v>
      </c>
      <c r="F9">
        <v>1</v>
      </c>
      <c r="G9">
        <v>1</v>
      </c>
      <c r="H9">
        <v>2</v>
      </c>
      <c r="I9" t="s">
        <v>549</v>
      </c>
      <c r="J9" t="s">
        <v>550</v>
      </c>
      <c r="K9" t="s">
        <v>551</v>
      </c>
      <c r="L9">
        <v>1368</v>
      </c>
      <c r="N9">
        <v>1011</v>
      </c>
      <c r="O9" t="s">
        <v>29</v>
      </c>
      <c r="P9" t="s">
        <v>29</v>
      </c>
      <c r="Q9">
        <v>1</v>
      </c>
      <c r="X9">
        <v>0.21299999999999999</v>
      </c>
      <c r="Y9">
        <v>0</v>
      </c>
      <c r="Z9">
        <v>32.26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47</v>
      </c>
      <c r="AG9">
        <v>6.3899999999999998E-2</v>
      </c>
      <c r="AH9">
        <v>2</v>
      </c>
      <c r="AI9">
        <v>85998152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ROW(Source!A33)</f>
        <v>33</v>
      </c>
      <c r="B10">
        <v>85998169</v>
      </c>
      <c r="C10">
        <v>85998150</v>
      </c>
      <c r="D10">
        <v>84236848</v>
      </c>
      <c r="E10">
        <v>1</v>
      </c>
      <c r="F10">
        <v>1</v>
      </c>
      <c r="G10">
        <v>1</v>
      </c>
      <c r="H10">
        <v>3</v>
      </c>
      <c r="I10" t="s">
        <v>552</v>
      </c>
      <c r="J10" t="s">
        <v>553</v>
      </c>
      <c r="K10" t="s">
        <v>554</v>
      </c>
      <c r="L10">
        <v>1346</v>
      </c>
      <c r="N10">
        <v>1009</v>
      </c>
      <c r="O10" t="s">
        <v>170</v>
      </c>
      <c r="P10" t="s">
        <v>170</v>
      </c>
      <c r="Q10">
        <v>1</v>
      </c>
      <c r="X10">
        <v>0.02</v>
      </c>
      <c r="Y10">
        <v>150.04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46</v>
      </c>
      <c r="AG10">
        <v>0</v>
      </c>
      <c r="AH10">
        <v>2</v>
      </c>
      <c r="AI10">
        <v>85998153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ROW(Source!A33)</f>
        <v>33</v>
      </c>
      <c r="B11">
        <v>85998170</v>
      </c>
      <c r="C11">
        <v>85998150</v>
      </c>
      <c r="D11">
        <v>84238890</v>
      </c>
      <c r="E11">
        <v>1</v>
      </c>
      <c r="F11">
        <v>1</v>
      </c>
      <c r="G11">
        <v>1</v>
      </c>
      <c r="H11">
        <v>3</v>
      </c>
      <c r="I11" t="s">
        <v>555</v>
      </c>
      <c r="J11" t="s">
        <v>556</v>
      </c>
      <c r="K11" t="s">
        <v>557</v>
      </c>
      <c r="L11">
        <v>1346</v>
      </c>
      <c r="N11">
        <v>1009</v>
      </c>
      <c r="O11" t="s">
        <v>170</v>
      </c>
      <c r="P11" t="s">
        <v>170</v>
      </c>
      <c r="Q11">
        <v>1</v>
      </c>
      <c r="X11">
        <v>4.0000000000000001E-3</v>
      </c>
      <c r="Y11">
        <v>187.38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46</v>
      </c>
      <c r="AG11">
        <v>0</v>
      </c>
      <c r="AH11">
        <v>2</v>
      </c>
      <c r="AI11">
        <v>85998154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ROW(Source!A33)</f>
        <v>33</v>
      </c>
      <c r="B12">
        <v>85998171</v>
      </c>
      <c r="C12">
        <v>85998150</v>
      </c>
      <c r="D12">
        <v>84238914</v>
      </c>
      <c r="E12">
        <v>1</v>
      </c>
      <c r="F12">
        <v>1</v>
      </c>
      <c r="G12">
        <v>1</v>
      </c>
      <c r="H12">
        <v>3</v>
      </c>
      <c r="I12" t="s">
        <v>558</v>
      </c>
      <c r="J12" t="s">
        <v>559</v>
      </c>
      <c r="K12" t="s">
        <v>560</v>
      </c>
      <c r="L12">
        <v>1383</v>
      </c>
      <c r="N12">
        <v>1013</v>
      </c>
      <c r="O12" t="s">
        <v>561</v>
      </c>
      <c r="P12" t="s">
        <v>561</v>
      </c>
      <c r="Q12">
        <v>1</v>
      </c>
      <c r="X12">
        <v>2.0799999999999999E-2</v>
      </c>
      <c r="Y12">
        <v>6.78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46</v>
      </c>
      <c r="AG12">
        <v>0</v>
      </c>
      <c r="AH12">
        <v>2</v>
      </c>
      <c r="AI12">
        <v>85998155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ROW(Source!A33)</f>
        <v>33</v>
      </c>
      <c r="B13">
        <v>85998172</v>
      </c>
      <c r="C13">
        <v>85998150</v>
      </c>
      <c r="D13">
        <v>84239073</v>
      </c>
      <c r="E13">
        <v>1</v>
      </c>
      <c r="F13">
        <v>1</v>
      </c>
      <c r="G13">
        <v>1</v>
      </c>
      <c r="H13">
        <v>3</v>
      </c>
      <c r="I13" t="s">
        <v>562</v>
      </c>
      <c r="J13" t="s">
        <v>563</v>
      </c>
      <c r="K13" t="s">
        <v>564</v>
      </c>
      <c r="L13">
        <v>1301</v>
      </c>
      <c r="N13">
        <v>1003</v>
      </c>
      <c r="O13" t="s">
        <v>364</v>
      </c>
      <c r="P13" t="s">
        <v>364</v>
      </c>
      <c r="Q13">
        <v>1</v>
      </c>
      <c r="X13">
        <v>3.33</v>
      </c>
      <c r="Y13">
        <v>5.87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46</v>
      </c>
      <c r="AG13">
        <v>0</v>
      </c>
      <c r="AH13">
        <v>2</v>
      </c>
      <c r="AI13">
        <v>85998156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ROW(Source!A33)</f>
        <v>33</v>
      </c>
      <c r="B14">
        <v>85998173</v>
      </c>
      <c r="C14">
        <v>85998150</v>
      </c>
      <c r="D14">
        <v>84239655</v>
      </c>
      <c r="E14">
        <v>1</v>
      </c>
      <c r="F14">
        <v>1</v>
      </c>
      <c r="G14">
        <v>1</v>
      </c>
      <c r="H14">
        <v>3</v>
      </c>
      <c r="I14" t="s">
        <v>565</v>
      </c>
      <c r="J14" t="s">
        <v>566</v>
      </c>
      <c r="K14" t="s">
        <v>567</v>
      </c>
      <c r="L14">
        <v>1346</v>
      </c>
      <c r="N14">
        <v>1009</v>
      </c>
      <c r="O14" t="s">
        <v>170</v>
      </c>
      <c r="P14" t="s">
        <v>170</v>
      </c>
      <c r="Q14">
        <v>1</v>
      </c>
      <c r="X14">
        <v>7.0000000000000007E-2</v>
      </c>
      <c r="Y14">
        <v>155.63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46</v>
      </c>
      <c r="AG14">
        <v>0</v>
      </c>
      <c r="AH14">
        <v>2</v>
      </c>
      <c r="AI14">
        <v>85998157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ROW(Source!A33)</f>
        <v>33</v>
      </c>
      <c r="B15">
        <v>85998174</v>
      </c>
      <c r="C15">
        <v>85998150</v>
      </c>
      <c r="D15">
        <v>84240416</v>
      </c>
      <c r="E15">
        <v>1</v>
      </c>
      <c r="F15">
        <v>1</v>
      </c>
      <c r="G15">
        <v>1</v>
      </c>
      <c r="H15">
        <v>3</v>
      </c>
      <c r="I15" t="s">
        <v>301</v>
      </c>
      <c r="J15" t="s">
        <v>303</v>
      </c>
      <c r="K15" t="s">
        <v>302</v>
      </c>
      <c r="L15">
        <v>1346</v>
      </c>
      <c r="N15">
        <v>1009</v>
      </c>
      <c r="O15" t="s">
        <v>170</v>
      </c>
      <c r="P15" t="s">
        <v>170</v>
      </c>
      <c r="Q15">
        <v>1</v>
      </c>
      <c r="X15">
        <v>4.9000000000000002E-2</v>
      </c>
      <c r="Y15">
        <v>174.93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46</v>
      </c>
      <c r="AG15">
        <v>0</v>
      </c>
      <c r="AH15">
        <v>2</v>
      </c>
      <c r="AI15">
        <v>85998158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ROW(Source!A33)</f>
        <v>33</v>
      </c>
      <c r="B16">
        <v>85998175</v>
      </c>
      <c r="C16">
        <v>85998150</v>
      </c>
      <c r="D16">
        <v>84240482</v>
      </c>
      <c r="E16">
        <v>1</v>
      </c>
      <c r="F16">
        <v>1</v>
      </c>
      <c r="G16">
        <v>1</v>
      </c>
      <c r="H16">
        <v>3</v>
      </c>
      <c r="I16" t="s">
        <v>568</v>
      </c>
      <c r="J16" t="s">
        <v>569</v>
      </c>
      <c r="K16" t="s">
        <v>570</v>
      </c>
      <c r="L16">
        <v>1425</v>
      </c>
      <c r="N16">
        <v>1013</v>
      </c>
      <c r="O16" t="s">
        <v>20</v>
      </c>
      <c r="P16" t="s">
        <v>20</v>
      </c>
      <c r="Q16">
        <v>1</v>
      </c>
      <c r="X16">
        <v>1.4E-2</v>
      </c>
      <c r="Y16">
        <v>41.71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46</v>
      </c>
      <c r="AG16">
        <v>0</v>
      </c>
      <c r="AH16">
        <v>2</v>
      </c>
      <c r="AI16">
        <v>85998159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ROW(Source!A33)</f>
        <v>33</v>
      </c>
      <c r="B17">
        <v>85998176</v>
      </c>
      <c r="C17">
        <v>85998150</v>
      </c>
      <c r="D17">
        <v>84241538</v>
      </c>
      <c r="E17">
        <v>1</v>
      </c>
      <c r="F17">
        <v>1</v>
      </c>
      <c r="G17">
        <v>1</v>
      </c>
      <c r="H17">
        <v>3</v>
      </c>
      <c r="I17" t="s">
        <v>571</v>
      </c>
      <c r="J17" t="s">
        <v>572</v>
      </c>
      <c r="K17" t="s">
        <v>573</v>
      </c>
      <c r="L17">
        <v>1346</v>
      </c>
      <c r="N17">
        <v>1009</v>
      </c>
      <c r="O17" t="s">
        <v>170</v>
      </c>
      <c r="P17" t="s">
        <v>170</v>
      </c>
      <c r="Q17">
        <v>1</v>
      </c>
      <c r="X17">
        <v>2E-3</v>
      </c>
      <c r="Y17">
        <v>395.65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46</v>
      </c>
      <c r="AG17">
        <v>0</v>
      </c>
      <c r="AH17">
        <v>2</v>
      </c>
      <c r="AI17">
        <v>85998160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ROW(Source!A33)</f>
        <v>33</v>
      </c>
      <c r="B18">
        <v>85998177</v>
      </c>
      <c r="C18">
        <v>85998150</v>
      </c>
      <c r="D18">
        <v>84245562</v>
      </c>
      <c r="E18">
        <v>1</v>
      </c>
      <c r="F18">
        <v>1</v>
      </c>
      <c r="G18">
        <v>1</v>
      </c>
      <c r="H18">
        <v>3</v>
      </c>
      <c r="I18" t="s">
        <v>574</v>
      </c>
      <c r="J18" t="s">
        <v>575</v>
      </c>
      <c r="K18" t="s">
        <v>576</v>
      </c>
      <c r="L18">
        <v>1348</v>
      </c>
      <c r="N18">
        <v>1009</v>
      </c>
      <c r="O18" t="s">
        <v>165</v>
      </c>
      <c r="P18" t="s">
        <v>165</v>
      </c>
      <c r="Q18">
        <v>1000</v>
      </c>
      <c r="X18">
        <v>2E-3</v>
      </c>
      <c r="Y18">
        <v>105278.81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46</v>
      </c>
      <c r="AG18">
        <v>0</v>
      </c>
      <c r="AH18">
        <v>2</v>
      </c>
      <c r="AI18">
        <v>85998161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ROW(Source!A33)</f>
        <v>33</v>
      </c>
      <c r="B19">
        <v>85998178</v>
      </c>
      <c r="C19">
        <v>85998150</v>
      </c>
      <c r="D19">
        <v>84257608</v>
      </c>
      <c r="E19">
        <v>1</v>
      </c>
      <c r="F19">
        <v>1</v>
      </c>
      <c r="G19">
        <v>1</v>
      </c>
      <c r="H19">
        <v>3</v>
      </c>
      <c r="I19" t="s">
        <v>577</v>
      </c>
      <c r="J19" t="s">
        <v>578</v>
      </c>
      <c r="K19" t="s">
        <v>579</v>
      </c>
      <c r="L19">
        <v>1346</v>
      </c>
      <c r="N19">
        <v>1009</v>
      </c>
      <c r="O19" t="s">
        <v>170</v>
      </c>
      <c r="P19" t="s">
        <v>170</v>
      </c>
      <c r="Q19">
        <v>1</v>
      </c>
      <c r="X19">
        <v>0.03</v>
      </c>
      <c r="Y19">
        <v>79.88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46</v>
      </c>
      <c r="AG19">
        <v>0</v>
      </c>
      <c r="AH19">
        <v>2</v>
      </c>
      <c r="AI19">
        <v>85998162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ROW(Source!A33)</f>
        <v>33</v>
      </c>
      <c r="B20">
        <v>85998179</v>
      </c>
      <c r="C20">
        <v>85998150</v>
      </c>
      <c r="D20">
        <v>84257654</v>
      </c>
      <c r="E20">
        <v>1</v>
      </c>
      <c r="F20">
        <v>1</v>
      </c>
      <c r="G20">
        <v>1</v>
      </c>
      <c r="H20">
        <v>3</v>
      </c>
      <c r="I20" t="s">
        <v>580</v>
      </c>
      <c r="J20" t="s">
        <v>581</v>
      </c>
      <c r="K20" t="s">
        <v>582</v>
      </c>
      <c r="L20">
        <v>1346</v>
      </c>
      <c r="N20">
        <v>1009</v>
      </c>
      <c r="O20" t="s">
        <v>170</v>
      </c>
      <c r="P20" t="s">
        <v>170</v>
      </c>
      <c r="Q20">
        <v>1</v>
      </c>
      <c r="X20">
        <v>0.02</v>
      </c>
      <c r="Y20">
        <v>157.44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46</v>
      </c>
      <c r="AG20">
        <v>0</v>
      </c>
      <c r="AH20">
        <v>2</v>
      </c>
      <c r="AI20">
        <v>85998163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ROW(Source!A33)</f>
        <v>33</v>
      </c>
      <c r="B21">
        <v>85998180</v>
      </c>
      <c r="C21">
        <v>85998150</v>
      </c>
      <c r="D21">
        <v>84265124</v>
      </c>
      <c r="E21">
        <v>1</v>
      </c>
      <c r="F21">
        <v>1</v>
      </c>
      <c r="G21">
        <v>1</v>
      </c>
      <c r="H21">
        <v>3</v>
      </c>
      <c r="I21" t="s">
        <v>583</v>
      </c>
      <c r="J21" t="s">
        <v>584</v>
      </c>
      <c r="K21" t="s">
        <v>585</v>
      </c>
      <c r="L21">
        <v>1455</v>
      </c>
      <c r="N21">
        <v>1013</v>
      </c>
      <c r="O21" t="s">
        <v>586</v>
      </c>
      <c r="P21" t="s">
        <v>586</v>
      </c>
      <c r="Q21">
        <v>1</v>
      </c>
      <c r="X21">
        <v>0.1</v>
      </c>
      <c r="Y21">
        <v>944.69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46</v>
      </c>
      <c r="AG21">
        <v>0</v>
      </c>
      <c r="AH21">
        <v>2</v>
      </c>
      <c r="AI21">
        <v>85998164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ROW(Source!A33)</f>
        <v>33</v>
      </c>
      <c r="B22">
        <v>85998181</v>
      </c>
      <c r="C22">
        <v>85998150</v>
      </c>
      <c r="D22">
        <v>84283124</v>
      </c>
      <c r="E22">
        <v>1</v>
      </c>
      <c r="F22">
        <v>1</v>
      </c>
      <c r="G22">
        <v>1</v>
      </c>
      <c r="H22">
        <v>3</v>
      </c>
      <c r="I22" t="s">
        <v>587</v>
      </c>
      <c r="J22" t="s">
        <v>588</v>
      </c>
      <c r="K22" t="s">
        <v>589</v>
      </c>
      <c r="L22">
        <v>1425</v>
      </c>
      <c r="N22">
        <v>1013</v>
      </c>
      <c r="O22" t="s">
        <v>20</v>
      </c>
      <c r="P22" t="s">
        <v>20</v>
      </c>
      <c r="Q22">
        <v>1</v>
      </c>
      <c r="X22">
        <v>0.2</v>
      </c>
      <c r="Y22">
        <v>655.9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46</v>
      </c>
      <c r="AG22">
        <v>0</v>
      </c>
      <c r="AH22">
        <v>2</v>
      </c>
      <c r="AI22">
        <v>85998165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ROW(Source!A33)</f>
        <v>33</v>
      </c>
      <c r="B23">
        <v>85998182</v>
      </c>
      <c r="C23">
        <v>85998150</v>
      </c>
      <c r="D23">
        <v>84170596</v>
      </c>
      <c r="E23">
        <v>117</v>
      </c>
      <c r="F23">
        <v>1</v>
      </c>
      <c r="G23">
        <v>1</v>
      </c>
      <c r="H23">
        <v>3</v>
      </c>
      <c r="I23" t="s">
        <v>55</v>
      </c>
      <c r="J23" t="s">
        <v>3</v>
      </c>
      <c r="K23" t="s">
        <v>56</v>
      </c>
      <c r="L23">
        <v>3277935</v>
      </c>
      <c r="N23">
        <v>1013</v>
      </c>
      <c r="O23" t="s">
        <v>57</v>
      </c>
      <c r="P23" t="s">
        <v>57</v>
      </c>
      <c r="Q23">
        <v>1</v>
      </c>
      <c r="X23">
        <v>2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 t="s">
        <v>46</v>
      </c>
      <c r="AG23">
        <v>0</v>
      </c>
      <c r="AH23">
        <v>2</v>
      </c>
      <c r="AI23">
        <v>85998166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86000321</v>
      </c>
      <c r="C24">
        <v>86000313</v>
      </c>
      <c r="D24">
        <v>37070202</v>
      </c>
      <c r="E24">
        <v>117</v>
      </c>
      <c r="F24">
        <v>1</v>
      </c>
      <c r="G24">
        <v>1</v>
      </c>
      <c r="H24">
        <v>1</v>
      </c>
      <c r="I24" t="s">
        <v>590</v>
      </c>
      <c r="J24" t="s">
        <v>3</v>
      </c>
      <c r="K24" t="s">
        <v>591</v>
      </c>
      <c r="L24">
        <v>1191</v>
      </c>
      <c r="N24">
        <v>1013</v>
      </c>
      <c r="O24" t="s">
        <v>541</v>
      </c>
      <c r="P24" t="s">
        <v>541</v>
      </c>
      <c r="Q24">
        <v>1</v>
      </c>
      <c r="X24">
        <v>16.29</v>
      </c>
      <c r="Y24">
        <v>0</v>
      </c>
      <c r="Z24">
        <v>0</v>
      </c>
      <c r="AA24">
        <v>0</v>
      </c>
      <c r="AB24">
        <v>713.96</v>
      </c>
      <c r="AC24">
        <v>0</v>
      </c>
      <c r="AD24">
        <v>1</v>
      </c>
      <c r="AE24">
        <v>1</v>
      </c>
      <c r="AF24" t="s">
        <v>47</v>
      </c>
      <c r="AG24">
        <v>4.8869999999999996</v>
      </c>
      <c r="AH24">
        <v>2</v>
      </c>
      <c r="AI24">
        <v>86000314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86000322</v>
      </c>
      <c r="C25">
        <v>86000313</v>
      </c>
      <c r="D25">
        <v>37064876</v>
      </c>
      <c r="E25">
        <v>117</v>
      </c>
      <c r="F25">
        <v>1</v>
      </c>
      <c r="G25">
        <v>1</v>
      </c>
      <c r="H25">
        <v>1</v>
      </c>
      <c r="I25" t="s">
        <v>542</v>
      </c>
      <c r="J25" t="s">
        <v>3</v>
      </c>
      <c r="K25" t="s">
        <v>543</v>
      </c>
      <c r="L25">
        <v>1191</v>
      </c>
      <c r="N25">
        <v>1013</v>
      </c>
      <c r="O25" t="s">
        <v>541</v>
      </c>
      <c r="P25" t="s">
        <v>541</v>
      </c>
      <c r="Q25">
        <v>1</v>
      </c>
      <c r="X25">
        <v>0.01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2</v>
      </c>
      <c r="AF25" t="s">
        <v>47</v>
      </c>
      <c r="AG25">
        <v>3.0000000000000001E-3</v>
      </c>
      <c r="AH25">
        <v>2</v>
      </c>
      <c r="AI25">
        <v>86000315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86000323</v>
      </c>
      <c r="C26">
        <v>86000313</v>
      </c>
      <c r="D26">
        <v>84171438</v>
      </c>
      <c r="E26">
        <v>1</v>
      </c>
      <c r="F26">
        <v>1</v>
      </c>
      <c r="G26">
        <v>1</v>
      </c>
      <c r="H26">
        <v>2</v>
      </c>
      <c r="I26" t="s">
        <v>27</v>
      </c>
      <c r="J26" t="s">
        <v>30</v>
      </c>
      <c r="K26" t="s">
        <v>28</v>
      </c>
      <c r="L26">
        <v>1368</v>
      </c>
      <c r="N26">
        <v>1011</v>
      </c>
      <c r="O26" t="s">
        <v>29</v>
      </c>
      <c r="P26" t="s">
        <v>29</v>
      </c>
      <c r="Q26">
        <v>1</v>
      </c>
      <c r="X26">
        <v>0.01</v>
      </c>
      <c r="Y26">
        <v>0</v>
      </c>
      <c r="Z26">
        <v>37.32</v>
      </c>
      <c r="AA26">
        <v>641.22</v>
      </c>
      <c r="AB26">
        <v>0</v>
      </c>
      <c r="AC26">
        <v>0</v>
      </c>
      <c r="AD26">
        <v>1</v>
      </c>
      <c r="AE26">
        <v>0</v>
      </c>
      <c r="AF26" t="s">
        <v>47</v>
      </c>
      <c r="AG26">
        <v>3.0000000000000001E-3</v>
      </c>
      <c r="AH26">
        <v>2</v>
      </c>
      <c r="AI26">
        <v>86000316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ROW(Source!A35)</f>
        <v>35</v>
      </c>
      <c r="B27">
        <v>86000324</v>
      </c>
      <c r="C27">
        <v>86000313</v>
      </c>
      <c r="D27">
        <v>84238914</v>
      </c>
      <c r="E27">
        <v>1</v>
      </c>
      <c r="F27">
        <v>1</v>
      </c>
      <c r="G27">
        <v>1</v>
      </c>
      <c r="H27">
        <v>3</v>
      </c>
      <c r="I27" t="s">
        <v>558</v>
      </c>
      <c r="J27" t="s">
        <v>559</v>
      </c>
      <c r="K27" t="s">
        <v>560</v>
      </c>
      <c r="L27">
        <v>1383</v>
      </c>
      <c r="N27">
        <v>1013</v>
      </c>
      <c r="O27" t="s">
        <v>561</v>
      </c>
      <c r="P27" t="s">
        <v>561</v>
      </c>
      <c r="Q27">
        <v>1</v>
      </c>
      <c r="X27">
        <v>6.5663999999999998</v>
      </c>
      <c r="Y27">
        <v>6.78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46</v>
      </c>
      <c r="AG27">
        <v>0</v>
      </c>
      <c r="AH27">
        <v>2</v>
      </c>
      <c r="AI27">
        <v>86000317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ROW(Source!A35)</f>
        <v>35</v>
      </c>
      <c r="B28">
        <v>86000325</v>
      </c>
      <c r="C28">
        <v>86000313</v>
      </c>
      <c r="D28">
        <v>84240484</v>
      </c>
      <c r="E28">
        <v>1</v>
      </c>
      <c r="F28">
        <v>1</v>
      </c>
      <c r="G28">
        <v>1</v>
      </c>
      <c r="H28">
        <v>3</v>
      </c>
      <c r="I28" t="s">
        <v>592</v>
      </c>
      <c r="J28" t="s">
        <v>593</v>
      </c>
      <c r="K28" t="s">
        <v>594</v>
      </c>
      <c r="L28">
        <v>1407</v>
      </c>
      <c r="N28">
        <v>1013</v>
      </c>
      <c r="O28" t="s">
        <v>595</v>
      </c>
      <c r="P28" t="s">
        <v>595</v>
      </c>
      <c r="Q28">
        <v>1</v>
      </c>
      <c r="X28">
        <v>0.2</v>
      </c>
      <c r="Y28">
        <v>261.08999999999997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46</v>
      </c>
      <c r="AG28">
        <v>0</v>
      </c>
      <c r="AH28">
        <v>2</v>
      </c>
      <c r="AI28">
        <v>86000318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ROW(Source!A35)</f>
        <v>35</v>
      </c>
      <c r="B29">
        <v>86000326</v>
      </c>
      <c r="C29">
        <v>86000313</v>
      </c>
      <c r="D29">
        <v>84240761</v>
      </c>
      <c r="E29">
        <v>1</v>
      </c>
      <c r="F29">
        <v>1</v>
      </c>
      <c r="G29">
        <v>1</v>
      </c>
      <c r="H29">
        <v>3</v>
      </c>
      <c r="I29" t="s">
        <v>596</v>
      </c>
      <c r="J29" t="s">
        <v>597</v>
      </c>
      <c r="K29" t="s">
        <v>598</v>
      </c>
      <c r="L29">
        <v>1348</v>
      </c>
      <c r="N29">
        <v>1009</v>
      </c>
      <c r="O29" t="s">
        <v>165</v>
      </c>
      <c r="P29" t="s">
        <v>165</v>
      </c>
      <c r="Q29">
        <v>1000</v>
      </c>
      <c r="X29">
        <v>1E-3</v>
      </c>
      <c r="Y29">
        <v>99190.96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46</v>
      </c>
      <c r="AG29">
        <v>0</v>
      </c>
      <c r="AH29">
        <v>2</v>
      </c>
      <c r="AI29">
        <v>86000319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ROW(Source!A35)</f>
        <v>35</v>
      </c>
      <c r="B30">
        <v>86000327</v>
      </c>
      <c r="C30">
        <v>86000313</v>
      </c>
      <c r="D30">
        <v>84170596</v>
      </c>
      <c r="E30">
        <v>117</v>
      </c>
      <c r="F30">
        <v>1</v>
      </c>
      <c r="G30">
        <v>1</v>
      </c>
      <c r="H30">
        <v>3</v>
      </c>
      <c r="I30" t="s">
        <v>55</v>
      </c>
      <c r="J30" t="s">
        <v>3</v>
      </c>
      <c r="K30" t="s">
        <v>56</v>
      </c>
      <c r="L30">
        <v>3277935</v>
      </c>
      <c r="N30">
        <v>1013</v>
      </c>
      <c r="O30" t="s">
        <v>57</v>
      </c>
      <c r="P30" t="s">
        <v>57</v>
      </c>
      <c r="Q30">
        <v>1</v>
      </c>
      <c r="X30">
        <v>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t="s">
        <v>46</v>
      </c>
      <c r="AG30">
        <v>0</v>
      </c>
      <c r="AH30">
        <v>2</v>
      </c>
      <c r="AI30">
        <v>86000320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ROW(Source!A38)</f>
        <v>38</v>
      </c>
      <c r="B31">
        <v>85998188</v>
      </c>
      <c r="C31">
        <v>85998184</v>
      </c>
      <c r="D31">
        <v>84164528</v>
      </c>
      <c r="E31">
        <v>117</v>
      </c>
      <c r="F31">
        <v>1</v>
      </c>
      <c r="G31">
        <v>1</v>
      </c>
      <c r="H31">
        <v>1</v>
      </c>
      <c r="I31" t="s">
        <v>539</v>
      </c>
      <c r="J31" t="s">
        <v>3</v>
      </c>
      <c r="K31" t="s">
        <v>540</v>
      </c>
      <c r="L31">
        <v>1191</v>
      </c>
      <c r="N31">
        <v>1013</v>
      </c>
      <c r="O31" t="s">
        <v>541</v>
      </c>
      <c r="P31" t="s">
        <v>541</v>
      </c>
      <c r="Q31">
        <v>1</v>
      </c>
      <c r="X31">
        <v>9.64</v>
      </c>
      <c r="Y31">
        <v>0</v>
      </c>
      <c r="Z31">
        <v>0</v>
      </c>
      <c r="AA31">
        <v>0</v>
      </c>
      <c r="AB31">
        <v>587.34</v>
      </c>
      <c r="AC31">
        <v>0</v>
      </c>
      <c r="AD31">
        <v>1</v>
      </c>
      <c r="AE31">
        <v>1</v>
      </c>
      <c r="AF31" t="s">
        <v>3</v>
      </c>
      <c r="AG31">
        <v>9.64</v>
      </c>
      <c r="AH31">
        <v>2</v>
      </c>
      <c r="AI31">
        <v>85998185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ROW(Source!A38)</f>
        <v>38</v>
      </c>
      <c r="B32">
        <v>85998189</v>
      </c>
      <c r="C32">
        <v>85998184</v>
      </c>
      <c r="D32">
        <v>84164762</v>
      </c>
      <c r="E32">
        <v>117</v>
      </c>
      <c r="F32">
        <v>1</v>
      </c>
      <c r="G32">
        <v>1</v>
      </c>
      <c r="H32">
        <v>1</v>
      </c>
      <c r="I32" t="s">
        <v>542</v>
      </c>
      <c r="J32" t="s">
        <v>3</v>
      </c>
      <c r="K32" t="s">
        <v>543</v>
      </c>
      <c r="L32">
        <v>1191</v>
      </c>
      <c r="N32">
        <v>1013</v>
      </c>
      <c r="O32" t="s">
        <v>541</v>
      </c>
      <c r="P32" t="s">
        <v>541</v>
      </c>
      <c r="Q32">
        <v>1</v>
      </c>
      <c r="X32">
        <v>0.01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2</v>
      </c>
      <c r="AF32" t="s">
        <v>3</v>
      </c>
      <c r="AG32">
        <v>0.01</v>
      </c>
      <c r="AH32">
        <v>2</v>
      </c>
      <c r="AI32">
        <v>85998186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ROW(Source!A38)</f>
        <v>38</v>
      </c>
      <c r="B33">
        <v>85998190</v>
      </c>
      <c r="C33">
        <v>85998184</v>
      </c>
      <c r="D33">
        <v>84171438</v>
      </c>
      <c r="E33">
        <v>1</v>
      </c>
      <c r="F33">
        <v>1</v>
      </c>
      <c r="G33">
        <v>1</v>
      </c>
      <c r="H33">
        <v>2</v>
      </c>
      <c r="I33" t="s">
        <v>27</v>
      </c>
      <c r="J33" t="s">
        <v>30</v>
      </c>
      <c r="K33" t="s">
        <v>28</v>
      </c>
      <c r="L33">
        <v>1368</v>
      </c>
      <c r="N33">
        <v>1011</v>
      </c>
      <c r="O33" t="s">
        <v>29</v>
      </c>
      <c r="P33" t="s">
        <v>29</v>
      </c>
      <c r="Q33">
        <v>1</v>
      </c>
      <c r="X33">
        <v>0.01</v>
      </c>
      <c r="Y33">
        <v>0</v>
      </c>
      <c r="Z33">
        <v>37.32</v>
      </c>
      <c r="AA33">
        <v>641.22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0.01</v>
      </c>
      <c r="AH33">
        <v>2</v>
      </c>
      <c r="AI33">
        <v>85998187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ROW(Source!A40)</f>
        <v>40</v>
      </c>
      <c r="B34">
        <v>85998216</v>
      </c>
      <c r="C34">
        <v>85998207</v>
      </c>
      <c r="D34">
        <v>84164590</v>
      </c>
      <c r="E34">
        <v>117</v>
      </c>
      <c r="F34">
        <v>1</v>
      </c>
      <c r="G34">
        <v>1</v>
      </c>
      <c r="H34">
        <v>1</v>
      </c>
      <c r="I34" t="s">
        <v>590</v>
      </c>
      <c r="J34" t="s">
        <v>3</v>
      </c>
      <c r="K34" t="s">
        <v>591</v>
      </c>
      <c r="L34">
        <v>1191</v>
      </c>
      <c r="N34">
        <v>1013</v>
      </c>
      <c r="O34" t="s">
        <v>541</v>
      </c>
      <c r="P34" t="s">
        <v>541</v>
      </c>
      <c r="Q34">
        <v>1</v>
      </c>
      <c r="X34">
        <v>16.29</v>
      </c>
      <c r="Y34">
        <v>0</v>
      </c>
      <c r="Z34">
        <v>0</v>
      </c>
      <c r="AA34">
        <v>0</v>
      </c>
      <c r="AB34">
        <v>713.96</v>
      </c>
      <c r="AC34">
        <v>0</v>
      </c>
      <c r="AD34">
        <v>1</v>
      </c>
      <c r="AE34">
        <v>1</v>
      </c>
      <c r="AF34" t="s">
        <v>3</v>
      </c>
      <c r="AG34">
        <v>16.29</v>
      </c>
      <c r="AH34">
        <v>2</v>
      </c>
      <c r="AI34">
        <v>85998208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ROW(Source!A40)</f>
        <v>40</v>
      </c>
      <c r="B35">
        <v>85998217</v>
      </c>
      <c r="C35">
        <v>85998207</v>
      </c>
      <c r="D35">
        <v>84164762</v>
      </c>
      <c r="E35">
        <v>117</v>
      </c>
      <c r="F35">
        <v>1</v>
      </c>
      <c r="G35">
        <v>1</v>
      </c>
      <c r="H35">
        <v>1</v>
      </c>
      <c r="I35" t="s">
        <v>542</v>
      </c>
      <c r="J35" t="s">
        <v>3</v>
      </c>
      <c r="K35" t="s">
        <v>543</v>
      </c>
      <c r="L35">
        <v>1191</v>
      </c>
      <c r="N35">
        <v>1013</v>
      </c>
      <c r="O35" t="s">
        <v>541</v>
      </c>
      <c r="P35" t="s">
        <v>541</v>
      </c>
      <c r="Q35">
        <v>1</v>
      </c>
      <c r="X35">
        <v>0.01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2</v>
      </c>
      <c r="AF35" t="s">
        <v>3</v>
      </c>
      <c r="AG35">
        <v>0.01</v>
      </c>
      <c r="AH35">
        <v>2</v>
      </c>
      <c r="AI35">
        <v>85998209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ROW(Source!A40)</f>
        <v>40</v>
      </c>
      <c r="B36">
        <v>85998218</v>
      </c>
      <c r="C36">
        <v>85998207</v>
      </c>
      <c r="D36">
        <v>84171438</v>
      </c>
      <c r="E36">
        <v>1</v>
      </c>
      <c r="F36">
        <v>1</v>
      </c>
      <c r="G36">
        <v>1</v>
      </c>
      <c r="H36">
        <v>2</v>
      </c>
      <c r="I36" t="s">
        <v>27</v>
      </c>
      <c r="J36" t="s">
        <v>30</v>
      </c>
      <c r="K36" t="s">
        <v>28</v>
      </c>
      <c r="L36">
        <v>1368</v>
      </c>
      <c r="N36">
        <v>1011</v>
      </c>
      <c r="O36" t="s">
        <v>29</v>
      </c>
      <c r="P36" t="s">
        <v>29</v>
      </c>
      <c r="Q36">
        <v>1</v>
      </c>
      <c r="X36">
        <v>0.01</v>
      </c>
      <c r="Y36">
        <v>0</v>
      </c>
      <c r="Z36">
        <v>37.32</v>
      </c>
      <c r="AA36">
        <v>641.22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0.01</v>
      </c>
      <c r="AH36">
        <v>2</v>
      </c>
      <c r="AI36">
        <v>85998210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ROW(Source!A40)</f>
        <v>40</v>
      </c>
      <c r="B37">
        <v>85998219</v>
      </c>
      <c r="C37">
        <v>85998207</v>
      </c>
      <c r="D37">
        <v>84238914</v>
      </c>
      <c r="E37">
        <v>1</v>
      </c>
      <c r="F37">
        <v>1</v>
      </c>
      <c r="G37">
        <v>1</v>
      </c>
      <c r="H37">
        <v>3</v>
      </c>
      <c r="I37" t="s">
        <v>558</v>
      </c>
      <c r="J37" t="s">
        <v>559</v>
      </c>
      <c r="K37" t="s">
        <v>560</v>
      </c>
      <c r="L37">
        <v>1383</v>
      </c>
      <c r="N37">
        <v>1013</v>
      </c>
      <c r="O37" t="s">
        <v>561</v>
      </c>
      <c r="P37" t="s">
        <v>561</v>
      </c>
      <c r="Q37">
        <v>1</v>
      </c>
      <c r="X37">
        <v>6.5663999999999998</v>
      </c>
      <c r="Y37">
        <v>6.78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6.5663999999999998</v>
      </c>
      <c r="AH37">
        <v>2</v>
      </c>
      <c r="AI37">
        <v>85998211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ROW(Source!A40)</f>
        <v>40</v>
      </c>
      <c r="B38">
        <v>85998220</v>
      </c>
      <c r="C38">
        <v>85998207</v>
      </c>
      <c r="D38">
        <v>84240484</v>
      </c>
      <c r="E38">
        <v>1</v>
      </c>
      <c r="F38">
        <v>1</v>
      </c>
      <c r="G38">
        <v>1</v>
      </c>
      <c r="H38">
        <v>3</v>
      </c>
      <c r="I38" t="s">
        <v>592</v>
      </c>
      <c r="J38" t="s">
        <v>593</v>
      </c>
      <c r="K38" t="s">
        <v>594</v>
      </c>
      <c r="L38">
        <v>1407</v>
      </c>
      <c r="N38">
        <v>1013</v>
      </c>
      <c r="O38" t="s">
        <v>595</v>
      </c>
      <c r="P38" t="s">
        <v>595</v>
      </c>
      <c r="Q38">
        <v>1</v>
      </c>
      <c r="X38">
        <v>0.2</v>
      </c>
      <c r="Y38">
        <v>261.08999999999997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0.2</v>
      </c>
      <c r="AH38">
        <v>2</v>
      </c>
      <c r="AI38">
        <v>85998212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ROW(Source!A40)</f>
        <v>40</v>
      </c>
      <c r="B39">
        <v>85998221</v>
      </c>
      <c r="C39">
        <v>85998207</v>
      </c>
      <c r="D39">
        <v>84240761</v>
      </c>
      <c r="E39">
        <v>1</v>
      </c>
      <c r="F39">
        <v>1</v>
      </c>
      <c r="G39">
        <v>1</v>
      </c>
      <c r="H39">
        <v>3</v>
      </c>
      <c r="I39" t="s">
        <v>596</v>
      </c>
      <c r="J39" t="s">
        <v>597</v>
      </c>
      <c r="K39" t="s">
        <v>598</v>
      </c>
      <c r="L39">
        <v>1348</v>
      </c>
      <c r="N39">
        <v>1009</v>
      </c>
      <c r="O39" t="s">
        <v>165</v>
      </c>
      <c r="P39" t="s">
        <v>165</v>
      </c>
      <c r="Q39">
        <v>1000</v>
      </c>
      <c r="X39">
        <v>1E-3</v>
      </c>
      <c r="Y39">
        <v>99190.96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1E-3</v>
      </c>
      <c r="AH39">
        <v>2</v>
      </c>
      <c r="AI39">
        <v>85998213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ROW(Source!A40)</f>
        <v>40</v>
      </c>
      <c r="B40">
        <v>85998222</v>
      </c>
      <c r="C40">
        <v>85998207</v>
      </c>
      <c r="D40">
        <v>84170596</v>
      </c>
      <c r="E40">
        <v>117</v>
      </c>
      <c r="F40">
        <v>1</v>
      </c>
      <c r="G40">
        <v>1</v>
      </c>
      <c r="H40">
        <v>3</v>
      </c>
      <c r="I40" t="s">
        <v>55</v>
      </c>
      <c r="J40" t="s">
        <v>3</v>
      </c>
      <c r="K40" t="s">
        <v>56</v>
      </c>
      <c r="L40">
        <v>3277935</v>
      </c>
      <c r="N40">
        <v>1013</v>
      </c>
      <c r="O40" t="s">
        <v>57</v>
      </c>
      <c r="P40" t="s">
        <v>57</v>
      </c>
      <c r="Q40">
        <v>1</v>
      </c>
      <c r="X40">
        <v>2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 t="s">
        <v>3</v>
      </c>
      <c r="AG40">
        <v>2</v>
      </c>
      <c r="AH40">
        <v>2</v>
      </c>
      <c r="AI40">
        <v>85998214</v>
      </c>
      <c r="AJ40">
        <v>41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ROW(Source!A44)</f>
        <v>44</v>
      </c>
      <c r="B41">
        <v>85998238</v>
      </c>
      <c r="C41">
        <v>85998225</v>
      </c>
      <c r="D41">
        <v>84164590</v>
      </c>
      <c r="E41">
        <v>117</v>
      </c>
      <c r="F41">
        <v>1</v>
      </c>
      <c r="G41">
        <v>1</v>
      </c>
      <c r="H41">
        <v>1</v>
      </c>
      <c r="I41" t="s">
        <v>590</v>
      </c>
      <c r="J41" t="s">
        <v>3</v>
      </c>
      <c r="K41" t="s">
        <v>591</v>
      </c>
      <c r="L41">
        <v>1191</v>
      </c>
      <c r="N41">
        <v>1013</v>
      </c>
      <c r="O41" t="s">
        <v>541</v>
      </c>
      <c r="P41" t="s">
        <v>541</v>
      </c>
      <c r="Q41">
        <v>1</v>
      </c>
      <c r="X41">
        <v>20.329999999999998</v>
      </c>
      <c r="Y41">
        <v>0</v>
      </c>
      <c r="Z41">
        <v>0</v>
      </c>
      <c r="AA41">
        <v>0</v>
      </c>
      <c r="AB41">
        <v>713.96</v>
      </c>
      <c r="AC41">
        <v>0</v>
      </c>
      <c r="AD41">
        <v>1</v>
      </c>
      <c r="AE41">
        <v>1</v>
      </c>
      <c r="AF41" t="s">
        <v>3</v>
      </c>
      <c r="AG41">
        <v>20.329999999999998</v>
      </c>
      <c r="AH41">
        <v>2</v>
      </c>
      <c r="AI41">
        <v>85998226</v>
      </c>
      <c r="AJ41">
        <v>42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ROW(Source!A44)</f>
        <v>44</v>
      </c>
      <c r="B42">
        <v>85998239</v>
      </c>
      <c r="C42">
        <v>85998225</v>
      </c>
      <c r="D42">
        <v>84164762</v>
      </c>
      <c r="E42">
        <v>117</v>
      </c>
      <c r="F42">
        <v>1</v>
      </c>
      <c r="G42">
        <v>1</v>
      </c>
      <c r="H42">
        <v>1</v>
      </c>
      <c r="I42" t="s">
        <v>542</v>
      </c>
      <c r="J42" t="s">
        <v>3</v>
      </c>
      <c r="K42" t="s">
        <v>543</v>
      </c>
      <c r="L42">
        <v>1191</v>
      </c>
      <c r="N42">
        <v>1013</v>
      </c>
      <c r="O42" t="s">
        <v>541</v>
      </c>
      <c r="P42" t="s">
        <v>541</v>
      </c>
      <c r="Q42">
        <v>1</v>
      </c>
      <c r="X42">
        <v>0.01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2</v>
      </c>
      <c r="AF42" t="s">
        <v>3</v>
      </c>
      <c r="AG42">
        <v>0.01</v>
      </c>
      <c r="AH42">
        <v>2</v>
      </c>
      <c r="AI42">
        <v>85998227</v>
      </c>
      <c r="AJ42">
        <v>43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ROW(Source!A44)</f>
        <v>44</v>
      </c>
      <c r="B43">
        <v>85998240</v>
      </c>
      <c r="C43">
        <v>85998225</v>
      </c>
      <c r="D43">
        <v>84171438</v>
      </c>
      <c r="E43">
        <v>1</v>
      </c>
      <c r="F43">
        <v>1</v>
      </c>
      <c r="G43">
        <v>1</v>
      </c>
      <c r="H43">
        <v>2</v>
      </c>
      <c r="I43" t="s">
        <v>27</v>
      </c>
      <c r="J43" t="s">
        <v>30</v>
      </c>
      <c r="K43" t="s">
        <v>28</v>
      </c>
      <c r="L43">
        <v>1368</v>
      </c>
      <c r="N43">
        <v>1011</v>
      </c>
      <c r="O43" t="s">
        <v>29</v>
      </c>
      <c r="P43" t="s">
        <v>29</v>
      </c>
      <c r="Q43">
        <v>1</v>
      </c>
      <c r="X43">
        <v>0.01</v>
      </c>
      <c r="Y43">
        <v>0</v>
      </c>
      <c r="Z43">
        <v>37.32</v>
      </c>
      <c r="AA43">
        <v>641.22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0.01</v>
      </c>
      <c r="AH43">
        <v>2</v>
      </c>
      <c r="AI43">
        <v>85998228</v>
      </c>
      <c r="AJ43">
        <v>44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ROW(Source!A44)</f>
        <v>44</v>
      </c>
      <c r="B44">
        <v>85998241</v>
      </c>
      <c r="C44">
        <v>85998225</v>
      </c>
      <c r="D44">
        <v>84238914</v>
      </c>
      <c r="E44">
        <v>1</v>
      </c>
      <c r="F44">
        <v>1</v>
      </c>
      <c r="G44">
        <v>1</v>
      </c>
      <c r="H44">
        <v>3</v>
      </c>
      <c r="I44" t="s">
        <v>558</v>
      </c>
      <c r="J44" t="s">
        <v>559</v>
      </c>
      <c r="K44" t="s">
        <v>560</v>
      </c>
      <c r="L44">
        <v>1383</v>
      </c>
      <c r="N44">
        <v>1013</v>
      </c>
      <c r="O44" t="s">
        <v>561</v>
      </c>
      <c r="P44" t="s">
        <v>561</v>
      </c>
      <c r="Q44">
        <v>1</v>
      </c>
      <c r="X44">
        <v>8.2403999999999993</v>
      </c>
      <c r="Y44">
        <v>6.78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8.2403999999999993</v>
      </c>
      <c r="AH44">
        <v>2</v>
      </c>
      <c r="AI44">
        <v>85998229</v>
      </c>
      <c r="AJ44">
        <v>45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ROW(Source!A44)</f>
        <v>44</v>
      </c>
      <c r="B45">
        <v>85998242</v>
      </c>
      <c r="C45">
        <v>85998225</v>
      </c>
      <c r="D45">
        <v>84240484</v>
      </c>
      <c r="E45">
        <v>1</v>
      </c>
      <c r="F45">
        <v>1</v>
      </c>
      <c r="G45">
        <v>1</v>
      </c>
      <c r="H45">
        <v>3</v>
      </c>
      <c r="I45" t="s">
        <v>592</v>
      </c>
      <c r="J45" t="s">
        <v>593</v>
      </c>
      <c r="K45" t="s">
        <v>594</v>
      </c>
      <c r="L45">
        <v>1407</v>
      </c>
      <c r="N45">
        <v>1013</v>
      </c>
      <c r="O45" t="s">
        <v>595</v>
      </c>
      <c r="P45" t="s">
        <v>595</v>
      </c>
      <c r="Q45">
        <v>1</v>
      </c>
      <c r="X45">
        <v>0.4</v>
      </c>
      <c r="Y45">
        <v>261.08999999999997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0.4</v>
      </c>
      <c r="AH45">
        <v>2</v>
      </c>
      <c r="AI45">
        <v>85998230</v>
      </c>
      <c r="AJ45">
        <v>46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ROW(Source!A44)</f>
        <v>44</v>
      </c>
      <c r="B46">
        <v>85998243</v>
      </c>
      <c r="C46">
        <v>85998225</v>
      </c>
      <c r="D46">
        <v>84240761</v>
      </c>
      <c r="E46">
        <v>1</v>
      </c>
      <c r="F46">
        <v>1</v>
      </c>
      <c r="G46">
        <v>1</v>
      </c>
      <c r="H46">
        <v>3</v>
      </c>
      <c r="I46" t="s">
        <v>596</v>
      </c>
      <c r="J46" t="s">
        <v>597</v>
      </c>
      <c r="K46" t="s">
        <v>598</v>
      </c>
      <c r="L46">
        <v>1348</v>
      </c>
      <c r="N46">
        <v>1009</v>
      </c>
      <c r="O46" t="s">
        <v>165</v>
      </c>
      <c r="P46" t="s">
        <v>165</v>
      </c>
      <c r="Q46">
        <v>1000</v>
      </c>
      <c r="X46">
        <v>1.4E-3</v>
      </c>
      <c r="Y46">
        <v>99190.96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1.4E-3</v>
      </c>
      <c r="AH46">
        <v>2</v>
      </c>
      <c r="AI46">
        <v>85998231</v>
      </c>
      <c r="AJ46">
        <v>47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ROW(Source!A44)</f>
        <v>44</v>
      </c>
      <c r="B47">
        <v>85998244</v>
      </c>
      <c r="C47">
        <v>85998225</v>
      </c>
      <c r="D47">
        <v>84170596</v>
      </c>
      <c r="E47">
        <v>117</v>
      </c>
      <c r="F47">
        <v>1</v>
      </c>
      <c r="G47">
        <v>1</v>
      </c>
      <c r="H47">
        <v>3</v>
      </c>
      <c r="I47" t="s">
        <v>55</v>
      </c>
      <c r="J47" t="s">
        <v>3</v>
      </c>
      <c r="K47" t="s">
        <v>56</v>
      </c>
      <c r="L47">
        <v>3277935</v>
      </c>
      <c r="N47">
        <v>1013</v>
      </c>
      <c r="O47" t="s">
        <v>57</v>
      </c>
      <c r="P47" t="s">
        <v>57</v>
      </c>
      <c r="Q47">
        <v>1</v>
      </c>
      <c r="X47">
        <v>2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 t="s">
        <v>3</v>
      </c>
      <c r="AG47">
        <v>2</v>
      </c>
      <c r="AH47">
        <v>2</v>
      </c>
      <c r="AI47">
        <v>85998232</v>
      </c>
      <c r="AJ47">
        <v>53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ROW(Source!A52)</f>
        <v>52</v>
      </c>
      <c r="B48">
        <v>86000389</v>
      </c>
      <c r="C48">
        <v>86000378</v>
      </c>
      <c r="D48">
        <v>37064878</v>
      </c>
      <c r="E48">
        <v>117</v>
      </c>
      <c r="F48">
        <v>1</v>
      </c>
      <c r="G48">
        <v>1</v>
      </c>
      <c r="H48">
        <v>1</v>
      </c>
      <c r="I48" t="s">
        <v>547</v>
      </c>
      <c r="J48" t="s">
        <v>3</v>
      </c>
      <c r="K48" t="s">
        <v>548</v>
      </c>
      <c r="L48">
        <v>1191</v>
      </c>
      <c r="N48">
        <v>1013</v>
      </c>
      <c r="O48" t="s">
        <v>541</v>
      </c>
      <c r="P48" t="s">
        <v>541</v>
      </c>
      <c r="Q48">
        <v>1</v>
      </c>
      <c r="X48">
        <v>2.82</v>
      </c>
      <c r="Y48">
        <v>0</v>
      </c>
      <c r="Z48">
        <v>0</v>
      </c>
      <c r="AA48">
        <v>0</v>
      </c>
      <c r="AB48">
        <v>705.88</v>
      </c>
      <c r="AC48">
        <v>0</v>
      </c>
      <c r="AD48">
        <v>1</v>
      </c>
      <c r="AE48">
        <v>1</v>
      </c>
      <c r="AF48" t="s">
        <v>3</v>
      </c>
      <c r="AG48">
        <v>2.82</v>
      </c>
      <c r="AH48">
        <v>2</v>
      </c>
      <c r="AI48">
        <v>86000379</v>
      </c>
      <c r="AJ48">
        <v>54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ROW(Source!A52)</f>
        <v>52</v>
      </c>
      <c r="B49">
        <v>86000390</v>
      </c>
      <c r="C49">
        <v>86000378</v>
      </c>
      <c r="D49">
        <v>37064876</v>
      </c>
      <c r="E49">
        <v>117</v>
      </c>
      <c r="F49">
        <v>1</v>
      </c>
      <c r="G49">
        <v>1</v>
      </c>
      <c r="H49">
        <v>1</v>
      </c>
      <c r="I49" t="s">
        <v>542</v>
      </c>
      <c r="J49" t="s">
        <v>3</v>
      </c>
      <c r="K49" t="s">
        <v>543</v>
      </c>
      <c r="L49">
        <v>1191</v>
      </c>
      <c r="N49">
        <v>1013</v>
      </c>
      <c r="O49" t="s">
        <v>541</v>
      </c>
      <c r="P49" t="s">
        <v>541</v>
      </c>
      <c r="Q49">
        <v>1</v>
      </c>
      <c r="X49">
        <v>0.02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2</v>
      </c>
      <c r="AF49" t="s">
        <v>3</v>
      </c>
      <c r="AG49">
        <v>0.02</v>
      </c>
      <c r="AH49">
        <v>2</v>
      </c>
      <c r="AI49">
        <v>86000380</v>
      </c>
      <c r="AJ49">
        <v>55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ROW(Source!A52)</f>
        <v>52</v>
      </c>
      <c r="B50">
        <v>86000391</v>
      </c>
      <c r="C50">
        <v>86000378</v>
      </c>
      <c r="D50">
        <v>84171251</v>
      </c>
      <c r="E50">
        <v>1</v>
      </c>
      <c r="F50">
        <v>1</v>
      </c>
      <c r="G50">
        <v>1</v>
      </c>
      <c r="H50">
        <v>2</v>
      </c>
      <c r="I50" t="s">
        <v>123</v>
      </c>
      <c r="J50" t="s">
        <v>125</v>
      </c>
      <c r="K50" t="s">
        <v>124</v>
      </c>
      <c r="L50">
        <v>1368</v>
      </c>
      <c r="N50">
        <v>1011</v>
      </c>
      <c r="O50" t="s">
        <v>29</v>
      </c>
      <c r="P50" t="s">
        <v>29</v>
      </c>
      <c r="Q50">
        <v>1</v>
      </c>
      <c r="X50">
        <v>0.01</v>
      </c>
      <c r="Y50">
        <v>0</v>
      </c>
      <c r="Z50">
        <v>1629.55</v>
      </c>
      <c r="AA50">
        <v>969.91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0.01</v>
      </c>
      <c r="AH50">
        <v>2</v>
      </c>
      <c r="AI50">
        <v>86000381</v>
      </c>
      <c r="AJ50">
        <v>56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ROW(Source!A52)</f>
        <v>52</v>
      </c>
      <c r="B51">
        <v>86000392</v>
      </c>
      <c r="C51">
        <v>86000378</v>
      </c>
      <c r="D51">
        <v>84172146</v>
      </c>
      <c r="E51">
        <v>1</v>
      </c>
      <c r="F51">
        <v>1</v>
      </c>
      <c r="G51">
        <v>1</v>
      </c>
      <c r="H51">
        <v>2</v>
      </c>
      <c r="I51" t="s">
        <v>127</v>
      </c>
      <c r="J51" t="s">
        <v>129</v>
      </c>
      <c r="K51" t="s">
        <v>128</v>
      </c>
      <c r="L51">
        <v>1368</v>
      </c>
      <c r="N51">
        <v>1011</v>
      </c>
      <c r="O51" t="s">
        <v>29</v>
      </c>
      <c r="P51" t="s">
        <v>29</v>
      </c>
      <c r="Q51">
        <v>1</v>
      </c>
      <c r="X51">
        <v>0.01</v>
      </c>
      <c r="Y51">
        <v>0</v>
      </c>
      <c r="Z51">
        <v>643.29</v>
      </c>
      <c r="AA51">
        <v>722.05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0.01</v>
      </c>
      <c r="AH51">
        <v>2</v>
      </c>
      <c r="AI51">
        <v>86000382</v>
      </c>
      <c r="AJ51">
        <v>57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ROW(Source!A52)</f>
        <v>52</v>
      </c>
      <c r="B52">
        <v>86000393</v>
      </c>
      <c r="C52">
        <v>86000378</v>
      </c>
      <c r="D52">
        <v>84239073</v>
      </c>
      <c r="E52">
        <v>1</v>
      </c>
      <c r="F52">
        <v>1</v>
      </c>
      <c r="G52">
        <v>1</v>
      </c>
      <c r="H52">
        <v>3</v>
      </c>
      <c r="I52" t="s">
        <v>562</v>
      </c>
      <c r="J52" t="s">
        <v>563</v>
      </c>
      <c r="K52" t="s">
        <v>564</v>
      </c>
      <c r="L52">
        <v>1301</v>
      </c>
      <c r="N52">
        <v>1003</v>
      </c>
      <c r="O52" t="s">
        <v>364</v>
      </c>
      <c r="P52" t="s">
        <v>364</v>
      </c>
      <c r="Q52">
        <v>1</v>
      </c>
      <c r="X52">
        <v>13.33</v>
      </c>
      <c r="Y52">
        <v>5.87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13.33</v>
      </c>
      <c r="AH52">
        <v>2</v>
      </c>
      <c r="AI52">
        <v>86000383</v>
      </c>
      <c r="AJ52">
        <v>58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ROW(Source!A52)</f>
        <v>52</v>
      </c>
      <c r="B53">
        <v>86000394</v>
      </c>
      <c r="C53">
        <v>86000378</v>
      </c>
      <c r="D53">
        <v>84239087</v>
      </c>
      <c r="E53">
        <v>1</v>
      </c>
      <c r="F53">
        <v>1</v>
      </c>
      <c r="G53">
        <v>1</v>
      </c>
      <c r="H53">
        <v>3</v>
      </c>
      <c r="I53" t="s">
        <v>601</v>
      </c>
      <c r="J53" t="s">
        <v>602</v>
      </c>
      <c r="K53" t="s">
        <v>603</v>
      </c>
      <c r="L53">
        <v>1302</v>
      </c>
      <c r="N53">
        <v>1003</v>
      </c>
      <c r="O53" t="s">
        <v>604</v>
      </c>
      <c r="P53" t="s">
        <v>604</v>
      </c>
      <c r="Q53">
        <v>10</v>
      </c>
      <c r="X53">
        <v>0.5</v>
      </c>
      <c r="Y53">
        <v>37.71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0.5</v>
      </c>
      <c r="AH53">
        <v>2</v>
      </c>
      <c r="AI53">
        <v>86000384</v>
      </c>
      <c r="AJ53">
        <v>59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ROW(Source!A52)</f>
        <v>52</v>
      </c>
      <c r="B54">
        <v>86000395</v>
      </c>
      <c r="C54">
        <v>86000378</v>
      </c>
      <c r="D54">
        <v>84257608</v>
      </c>
      <c r="E54">
        <v>1</v>
      </c>
      <c r="F54">
        <v>1</v>
      </c>
      <c r="G54">
        <v>1</v>
      </c>
      <c r="H54">
        <v>3</v>
      </c>
      <c r="I54" t="s">
        <v>577</v>
      </c>
      <c r="J54" t="s">
        <v>578</v>
      </c>
      <c r="K54" t="s">
        <v>579</v>
      </c>
      <c r="L54">
        <v>1346</v>
      </c>
      <c r="N54">
        <v>1009</v>
      </c>
      <c r="O54" t="s">
        <v>170</v>
      </c>
      <c r="P54" t="s">
        <v>170</v>
      </c>
      <c r="Q54">
        <v>1</v>
      </c>
      <c r="X54">
        <v>0.05</v>
      </c>
      <c r="Y54">
        <v>79.88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0.05</v>
      </c>
      <c r="AH54">
        <v>2</v>
      </c>
      <c r="AI54">
        <v>86000385</v>
      </c>
      <c r="AJ54">
        <v>60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ROW(Source!A52)</f>
        <v>52</v>
      </c>
      <c r="B55">
        <v>86000396</v>
      </c>
      <c r="C55">
        <v>86000378</v>
      </c>
      <c r="D55">
        <v>84170596</v>
      </c>
      <c r="E55">
        <v>117</v>
      </c>
      <c r="F55">
        <v>1</v>
      </c>
      <c r="G55">
        <v>1</v>
      </c>
      <c r="H55">
        <v>3</v>
      </c>
      <c r="I55" t="s">
        <v>55</v>
      </c>
      <c r="J55" t="s">
        <v>3</v>
      </c>
      <c r="K55" t="s">
        <v>56</v>
      </c>
      <c r="L55">
        <v>3277935</v>
      </c>
      <c r="N55">
        <v>1013</v>
      </c>
      <c r="O55" t="s">
        <v>57</v>
      </c>
      <c r="P55" t="s">
        <v>57</v>
      </c>
      <c r="Q55">
        <v>1</v>
      </c>
      <c r="X55">
        <v>2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 t="s">
        <v>3</v>
      </c>
      <c r="AG55">
        <v>2</v>
      </c>
      <c r="AH55">
        <v>2</v>
      </c>
      <c r="AI55">
        <v>86000388</v>
      </c>
      <c r="AJ55">
        <v>63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ROW(Source!A58)</f>
        <v>58</v>
      </c>
      <c r="B56">
        <v>86000365</v>
      </c>
      <c r="C56">
        <v>86000354</v>
      </c>
      <c r="D56">
        <v>37080781</v>
      </c>
      <c r="E56">
        <v>117</v>
      </c>
      <c r="F56">
        <v>1</v>
      </c>
      <c r="G56">
        <v>1</v>
      </c>
      <c r="H56">
        <v>1</v>
      </c>
      <c r="I56" t="s">
        <v>605</v>
      </c>
      <c r="J56" t="s">
        <v>3</v>
      </c>
      <c r="K56" t="s">
        <v>606</v>
      </c>
      <c r="L56">
        <v>1191</v>
      </c>
      <c r="N56">
        <v>1013</v>
      </c>
      <c r="O56" t="s">
        <v>541</v>
      </c>
      <c r="P56" t="s">
        <v>541</v>
      </c>
      <c r="Q56">
        <v>1</v>
      </c>
      <c r="X56">
        <v>30.48</v>
      </c>
      <c r="Y56">
        <v>0</v>
      </c>
      <c r="Z56">
        <v>0</v>
      </c>
      <c r="AA56">
        <v>0</v>
      </c>
      <c r="AB56">
        <v>743.6</v>
      </c>
      <c r="AC56">
        <v>0</v>
      </c>
      <c r="AD56">
        <v>1</v>
      </c>
      <c r="AE56">
        <v>1</v>
      </c>
      <c r="AF56" t="s">
        <v>3</v>
      </c>
      <c r="AG56">
        <v>30.48</v>
      </c>
      <c r="AH56">
        <v>2</v>
      </c>
      <c r="AI56">
        <v>86000355</v>
      </c>
      <c r="AJ56">
        <v>64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ROW(Source!A58)</f>
        <v>58</v>
      </c>
      <c r="B57">
        <v>86000366</v>
      </c>
      <c r="C57">
        <v>86000354</v>
      </c>
      <c r="D57">
        <v>37064876</v>
      </c>
      <c r="E57">
        <v>117</v>
      </c>
      <c r="F57">
        <v>1</v>
      </c>
      <c r="G57">
        <v>1</v>
      </c>
      <c r="H57">
        <v>1</v>
      </c>
      <c r="I57" t="s">
        <v>542</v>
      </c>
      <c r="J57" t="s">
        <v>3</v>
      </c>
      <c r="K57" t="s">
        <v>543</v>
      </c>
      <c r="L57">
        <v>1191</v>
      </c>
      <c r="N57">
        <v>1013</v>
      </c>
      <c r="O57" t="s">
        <v>541</v>
      </c>
      <c r="P57" t="s">
        <v>541</v>
      </c>
      <c r="Q57">
        <v>1</v>
      </c>
      <c r="X57">
        <v>0.05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2</v>
      </c>
      <c r="AF57" t="s">
        <v>3</v>
      </c>
      <c r="AG57">
        <v>0.05</v>
      </c>
      <c r="AH57">
        <v>2</v>
      </c>
      <c r="AI57">
        <v>86000356</v>
      </c>
      <c r="AJ57">
        <v>65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ROW(Source!A58)</f>
        <v>58</v>
      </c>
      <c r="B58">
        <v>86000367</v>
      </c>
      <c r="C58">
        <v>86000354</v>
      </c>
      <c r="D58">
        <v>84171251</v>
      </c>
      <c r="E58">
        <v>1</v>
      </c>
      <c r="F58">
        <v>1</v>
      </c>
      <c r="G58">
        <v>1</v>
      </c>
      <c r="H58">
        <v>2</v>
      </c>
      <c r="I58" t="s">
        <v>123</v>
      </c>
      <c r="J58" t="s">
        <v>125</v>
      </c>
      <c r="K58" t="s">
        <v>124</v>
      </c>
      <c r="L58">
        <v>1368</v>
      </c>
      <c r="N58">
        <v>1011</v>
      </c>
      <c r="O58" t="s">
        <v>29</v>
      </c>
      <c r="P58" t="s">
        <v>29</v>
      </c>
      <c r="Q58">
        <v>1</v>
      </c>
      <c r="X58">
        <v>0.03</v>
      </c>
      <c r="Y58">
        <v>0</v>
      </c>
      <c r="Z58">
        <v>1629.55</v>
      </c>
      <c r="AA58">
        <v>969.91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0.03</v>
      </c>
      <c r="AH58">
        <v>2</v>
      </c>
      <c r="AI58">
        <v>86000357</v>
      </c>
      <c r="AJ58">
        <v>66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ROW(Source!A58)</f>
        <v>58</v>
      </c>
      <c r="B59">
        <v>86000368</v>
      </c>
      <c r="C59">
        <v>86000354</v>
      </c>
      <c r="D59">
        <v>84172146</v>
      </c>
      <c r="E59">
        <v>1</v>
      </c>
      <c r="F59">
        <v>1</v>
      </c>
      <c r="G59">
        <v>1</v>
      </c>
      <c r="H59">
        <v>2</v>
      </c>
      <c r="I59" t="s">
        <v>127</v>
      </c>
      <c r="J59" t="s">
        <v>129</v>
      </c>
      <c r="K59" t="s">
        <v>128</v>
      </c>
      <c r="L59">
        <v>1368</v>
      </c>
      <c r="N59">
        <v>1011</v>
      </c>
      <c r="O59" t="s">
        <v>29</v>
      </c>
      <c r="P59" t="s">
        <v>29</v>
      </c>
      <c r="Q59">
        <v>1</v>
      </c>
      <c r="X59">
        <v>0.02</v>
      </c>
      <c r="Y59">
        <v>0</v>
      </c>
      <c r="Z59">
        <v>643.29</v>
      </c>
      <c r="AA59">
        <v>722.05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0.02</v>
      </c>
      <c r="AH59">
        <v>3</v>
      </c>
      <c r="AI59">
        <v>-1</v>
      </c>
      <c r="AJ59" t="s">
        <v>3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ROW(Source!A58)</f>
        <v>58</v>
      </c>
      <c r="B60">
        <v>86000369</v>
      </c>
      <c r="C60">
        <v>86000354</v>
      </c>
      <c r="D60">
        <v>84239073</v>
      </c>
      <c r="E60">
        <v>1</v>
      </c>
      <c r="F60">
        <v>1</v>
      </c>
      <c r="G60">
        <v>1</v>
      </c>
      <c r="H60">
        <v>3</v>
      </c>
      <c r="I60" t="s">
        <v>562</v>
      </c>
      <c r="J60" t="s">
        <v>563</v>
      </c>
      <c r="K60" t="s">
        <v>564</v>
      </c>
      <c r="L60">
        <v>1301</v>
      </c>
      <c r="N60">
        <v>1003</v>
      </c>
      <c r="O60" t="s">
        <v>364</v>
      </c>
      <c r="P60" t="s">
        <v>364</v>
      </c>
      <c r="Q60">
        <v>1</v>
      </c>
      <c r="X60">
        <v>35</v>
      </c>
      <c r="Y60">
        <v>5.87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35</v>
      </c>
      <c r="AH60">
        <v>2</v>
      </c>
      <c r="AI60">
        <v>86000358</v>
      </c>
      <c r="AJ60">
        <v>67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ROW(Source!A58)</f>
        <v>58</v>
      </c>
      <c r="B61">
        <v>86000370</v>
      </c>
      <c r="C61">
        <v>86000354</v>
      </c>
      <c r="D61">
        <v>84240416</v>
      </c>
      <c r="E61">
        <v>1</v>
      </c>
      <c r="F61">
        <v>1</v>
      </c>
      <c r="G61">
        <v>1</v>
      </c>
      <c r="H61">
        <v>3</v>
      </c>
      <c r="I61" t="s">
        <v>301</v>
      </c>
      <c r="J61" t="s">
        <v>303</v>
      </c>
      <c r="K61" t="s">
        <v>302</v>
      </c>
      <c r="L61">
        <v>1346</v>
      </c>
      <c r="N61">
        <v>1009</v>
      </c>
      <c r="O61" t="s">
        <v>170</v>
      </c>
      <c r="P61" t="s">
        <v>170</v>
      </c>
      <c r="Q61">
        <v>1</v>
      </c>
      <c r="X61">
        <v>1.5</v>
      </c>
      <c r="Y61">
        <v>174.93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1.5</v>
      </c>
      <c r="AH61">
        <v>2</v>
      </c>
      <c r="AI61">
        <v>86000359</v>
      </c>
      <c r="AJ61">
        <v>68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ROW(Source!A58)</f>
        <v>58</v>
      </c>
      <c r="B62">
        <v>86000371</v>
      </c>
      <c r="C62">
        <v>86000354</v>
      </c>
      <c r="D62">
        <v>84242262</v>
      </c>
      <c r="E62">
        <v>1</v>
      </c>
      <c r="F62">
        <v>1</v>
      </c>
      <c r="G62">
        <v>1</v>
      </c>
      <c r="H62">
        <v>3</v>
      </c>
      <c r="I62" t="s">
        <v>607</v>
      </c>
      <c r="J62" t="s">
        <v>608</v>
      </c>
      <c r="K62" t="s">
        <v>609</v>
      </c>
      <c r="L62">
        <v>1348</v>
      </c>
      <c r="N62">
        <v>1009</v>
      </c>
      <c r="O62" t="s">
        <v>165</v>
      </c>
      <c r="P62" t="s">
        <v>165</v>
      </c>
      <c r="Q62">
        <v>1000</v>
      </c>
      <c r="X62">
        <v>3.15E-3</v>
      </c>
      <c r="Y62">
        <v>4338.2700000000004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3.15E-3</v>
      </c>
      <c r="AH62">
        <v>2</v>
      </c>
      <c r="AI62">
        <v>86000360</v>
      </c>
      <c r="AJ62">
        <v>69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ROW(Source!A58)</f>
        <v>58</v>
      </c>
      <c r="B63">
        <v>86000372</v>
      </c>
      <c r="C63">
        <v>86000354</v>
      </c>
      <c r="D63">
        <v>84265246</v>
      </c>
      <c r="E63">
        <v>1</v>
      </c>
      <c r="F63">
        <v>1</v>
      </c>
      <c r="G63">
        <v>1</v>
      </c>
      <c r="H63">
        <v>3</v>
      </c>
      <c r="I63" t="s">
        <v>610</v>
      </c>
      <c r="J63" t="s">
        <v>611</v>
      </c>
      <c r="K63" t="s">
        <v>612</v>
      </c>
      <c r="L63">
        <v>1407</v>
      </c>
      <c r="N63">
        <v>1013</v>
      </c>
      <c r="O63" t="s">
        <v>595</v>
      </c>
      <c r="P63" t="s">
        <v>595</v>
      </c>
      <c r="Q63">
        <v>1</v>
      </c>
      <c r="X63">
        <v>0.10199999999999999</v>
      </c>
      <c r="Y63">
        <v>3658.94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0.10199999999999999</v>
      </c>
      <c r="AH63">
        <v>2</v>
      </c>
      <c r="AI63">
        <v>86000361</v>
      </c>
      <c r="AJ63">
        <v>70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ROW(Source!A58)</f>
        <v>58</v>
      </c>
      <c r="B64">
        <v>86000373</v>
      </c>
      <c r="C64">
        <v>86000354</v>
      </c>
      <c r="D64">
        <v>84170596</v>
      </c>
      <c r="E64">
        <v>117</v>
      </c>
      <c r="F64">
        <v>1</v>
      </c>
      <c r="G64">
        <v>1</v>
      </c>
      <c r="H64">
        <v>3</v>
      </c>
      <c r="I64" t="s">
        <v>55</v>
      </c>
      <c r="J64" t="s">
        <v>3</v>
      </c>
      <c r="K64" t="s">
        <v>56</v>
      </c>
      <c r="L64">
        <v>3277935</v>
      </c>
      <c r="N64">
        <v>1013</v>
      </c>
      <c r="O64" t="s">
        <v>57</v>
      </c>
      <c r="P64" t="s">
        <v>57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3</v>
      </c>
      <c r="AG64">
        <v>2</v>
      </c>
      <c r="AH64">
        <v>2</v>
      </c>
      <c r="AI64">
        <v>86000364</v>
      </c>
      <c r="AJ64">
        <v>73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ROW(Source!A63)</f>
        <v>63</v>
      </c>
      <c r="B65">
        <v>85999056</v>
      </c>
      <c r="C65">
        <v>85998251</v>
      </c>
      <c r="D65">
        <v>84164592</v>
      </c>
      <c r="E65">
        <v>117</v>
      </c>
      <c r="F65">
        <v>1</v>
      </c>
      <c r="G65">
        <v>1</v>
      </c>
      <c r="H65">
        <v>1</v>
      </c>
      <c r="I65" t="s">
        <v>613</v>
      </c>
      <c r="J65" t="s">
        <v>3</v>
      </c>
      <c r="K65" t="s">
        <v>614</v>
      </c>
      <c r="L65">
        <v>1191</v>
      </c>
      <c r="N65">
        <v>1013</v>
      </c>
      <c r="O65" t="s">
        <v>541</v>
      </c>
      <c r="P65" t="s">
        <v>541</v>
      </c>
      <c r="Q65">
        <v>1</v>
      </c>
      <c r="X65">
        <v>2</v>
      </c>
      <c r="Y65">
        <v>0</v>
      </c>
      <c r="Z65">
        <v>0</v>
      </c>
      <c r="AA65">
        <v>0</v>
      </c>
      <c r="AB65">
        <v>722.05</v>
      </c>
      <c r="AC65">
        <v>0</v>
      </c>
      <c r="AD65">
        <v>1</v>
      </c>
      <c r="AE65">
        <v>1</v>
      </c>
      <c r="AF65" t="s">
        <v>3</v>
      </c>
      <c r="AG65">
        <v>2</v>
      </c>
      <c r="AH65">
        <v>2</v>
      </c>
      <c r="AI65">
        <v>85999056</v>
      </c>
      <c r="AJ65">
        <v>74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ROW(Source!A63)</f>
        <v>63</v>
      </c>
      <c r="B66">
        <v>85999057</v>
      </c>
      <c r="C66">
        <v>85998251</v>
      </c>
      <c r="D66">
        <v>84164762</v>
      </c>
      <c r="E66">
        <v>117</v>
      </c>
      <c r="F66">
        <v>1</v>
      </c>
      <c r="G66">
        <v>1</v>
      </c>
      <c r="H66">
        <v>1</v>
      </c>
      <c r="I66" t="s">
        <v>542</v>
      </c>
      <c r="J66" t="s">
        <v>3</v>
      </c>
      <c r="K66" t="s">
        <v>543</v>
      </c>
      <c r="L66">
        <v>1191</v>
      </c>
      <c r="N66">
        <v>1013</v>
      </c>
      <c r="O66" t="s">
        <v>541</v>
      </c>
      <c r="P66" t="s">
        <v>541</v>
      </c>
      <c r="Q66">
        <v>1</v>
      </c>
      <c r="X66">
        <v>0.34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2</v>
      </c>
      <c r="AF66" t="s">
        <v>3</v>
      </c>
      <c r="AG66">
        <v>0.34</v>
      </c>
      <c r="AH66">
        <v>2</v>
      </c>
      <c r="AI66">
        <v>85999057</v>
      </c>
      <c r="AJ66">
        <v>75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ROW(Source!A63)</f>
        <v>63</v>
      </c>
      <c r="B67">
        <v>85999058</v>
      </c>
      <c r="C67">
        <v>85998251</v>
      </c>
      <c r="D67">
        <v>84171993</v>
      </c>
      <c r="E67">
        <v>1</v>
      </c>
      <c r="F67">
        <v>1</v>
      </c>
      <c r="G67">
        <v>1</v>
      </c>
      <c r="H67">
        <v>2</v>
      </c>
      <c r="I67" t="s">
        <v>159</v>
      </c>
      <c r="J67" t="s">
        <v>161</v>
      </c>
      <c r="K67" t="s">
        <v>160</v>
      </c>
      <c r="L67">
        <v>1368</v>
      </c>
      <c r="N67">
        <v>1011</v>
      </c>
      <c r="O67" t="s">
        <v>29</v>
      </c>
      <c r="P67" t="s">
        <v>29</v>
      </c>
      <c r="Q67">
        <v>1</v>
      </c>
      <c r="X67">
        <v>0.34</v>
      </c>
      <c r="Y67">
        <v>0</v>
      </c>
      <c r="Z67">
        <v>995.51</v>
      </c>
      <c r="AA67">
        <v>829.81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0.34</v>
      </c>
      <c r="AH67">
        <v>2</v>
      </c>
      <c r="AI67">
        <v>85999058</v>
      </c>
      <c r="AJ67">
        <v>76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ROW(Source!A63)</f>
        <v>63</v>
      </c>
      <c r="B68">
        <v>85999059</v>
      </c>
      <c r="C68">
        <v>85998251</v>
      </c>
      <c r="D68">
        <v>84236841</v>
      </c>
      <c r="E68">
        <v>1</v>
      </c>
      <c r="F68">
        <v>1</v>
      </c>
      <c r="G68">
        <v>1</v>
      </c>
      <c r="H68">
        <v>3</v>
      </c>
      <c r="I68" t="s">
        <v>163</v>
      </c>
      <c r="J68" t="s">
        <v>166</v>
      </c>
      <c r="K68" t="s">
        <v>164</v>
      </c>
      <c r="L68">
        <v>1348</v>
      </c>
      <c r="N68">
        <v>1009</v>
      </c>
      <c r="O68" t="s">
        <v>165</v>
      </c>
      <c r="P68" t="s">
        <v>165</v>
      </c>
      <c r="Q68">
        <v>1000</v>
      </c>
      <c r="X68">
        <v>1.5E-3</v>
      </c>
      <c r="Y68">
        <v>116448.72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1.5E-3</v>
      </c>
      <c r="AH68">
        <v>2</v>
      </c>
      <c r="AI68">
        <v>85999059</v>
      </c>
      <c r="AJ68">
        <v>77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ROW(Source!A63)</f>
        <v>63</v>
      </c>
      <c r="B69">
        <v>85999060</v>
      </c>
      <c r="C69">
        <v>85998251</v>
      </c>
      <c r="D69">
        <v>84236922</v>
      </c>
      <c r="E69">
        <v>1</v>
      </c>
      <c r="F69">
        <v>1</v>
      </c>
      <c r="G69">
        <v>1</v>
      </c>
      <c r="H69">
        <v>3</v>
      </c>
      <c r="I69" t="s">
        <v>168</v>
      </c>
      <c r="J69" t="s">
        <v>171</v>
      </c>
      <c r="K69" t="s">
        <v>169</v>
      </c>
      <c r="L69">
        <v>1346</v>
      </c>
      <c r="N69">
        <v>1009</v>
      </c>
      <c r="O69" t="s">
        <v>170</v>
      </c>
      <c r="P69" t="s">
        <v>170</v>
      </c>
      <c r="Q69">
        <v>1</v>
      </c>
      <c r="X69">
        <v>0.10299999999999999</v>
      </c>
      <c r="Y69">
        <v>41.38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0.10299999999999999</v>
      </c>
      <c r="AH69">
        <v>2</v>
      </c>
      <c r="AI69">
        <v>85999060</v>
      </c>
      <c r="AJ69">
        <v>78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ROW(Source!A63)</f>
        <v>63</v>
      </c>
      <c r="B70">
        <v>85999061</v>
      </c>
      <c r="C70">
        <v>85998251</v>
      </c>
      <c r="D70">
        <v>84237050</v>
      </c>
      <c r="E70">
        <v>1</v>
      </c>
      <c r="F70">
        <v>1</v>
      </c>
      <c r="G70">
        <v>1</v>
      </c>
      <c r="H70">
        <v>3</v>
      </c>
      <c r="I70" t="s">
        <v>173</v>
      </c>
      <c r="J70" t="s">
        <v>175</v>
      </c>
      <c r="K70" t="s">
        <v>174</v>
      </c>
      <c r="L70">
        <v>1346</v>
      </c>
      <c r="N70">
        <v>1009</v>
      </c>
      <c r="O70" t="s">
        <v>170</v>
      </c>
      <c r="P70" t="s">
        <v>170</v>
      </c>
      <c r="Q70">
        <v>1</v>
      </c>
      <c r="X70">
        <v>0.02</v>
      </c>
      <c r="Y70">
        <v>284.14999999999998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0.02</v>
      </c>
      <c r="AH70">
        <v>2</v>
      </c>
      <c r="AI70">
        <v>85999061</v>
      </c>
      <c r="AJ70">
        <v>79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ROW(Source!A63)</f>
        <v>63</v>
      </c>
      <c r="B71">
        <v>85999062</v>
      </c>
      <c r="C71">
        <v>85998251</v>
      </c>
      <c r="D71">
        <v>84239059</v>
      </c>
      <c r="E71">
        <v>1</v>
      </c>
      <c r="F71">
        <v>1</v>
      </c>
      <c r="G71">
        <v>1</v>
      </c>
      <c r="H71">
        <v>3</v>
      </c>
      <c r="I71" t="s">
        <v>616</v>
      </c>
      <c r="J71" t="s">
        <v>617</v>
      </c>
      <c r="K71" t="s">
        <v>618</v>
      </c>
      <c r="L71">
        <v>1346</v>
      </c>
      <c r="N71">
        <v>1009</v>
      </c>
      <c r="O71" t="s">
        <v>170</v>
      </c>
      <c r="P71" t="s">
        <v>170</v>
      </c>
      <c r="Q71">
        <v>1</v>
      </c>
      <c r="X71">
        <v>0.02</v>
      </c>
      <c r="Y71">
        <v>675.01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0.02</v>
      </c>
      <c r="AH71">
        <v>2</v>
      </c>
      <c r="AI71">
        <v>85999062</v>
      </c>
      <c r="AJ71">
        <v>80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ROW(Source!A63)</f>
        <v>63</v>
      </c>
      <c r="B72">
        <v>85999063</v>
      </c>
      <c r="C72">
        <v>85998251</v>
      </c>
      <c r="D72">
        <v>84241536</v>
      </c>
      <c r="E72">
        <v>1</v>
      </c>
      <c r="F72">
        <v>1</v>
      </c>
      <c r="G72">
        <v>1</v>
      </c>
      <c r="H72">
        <v>3</v>
      </c>
      <c r="I72" t="s">
        <v>619</v>
      </c>
      <c r="J72" t="s">
        <v>620</v>
      </c>
      <c r="K72" t="s">
        <v>621</v>
      </c>
      <c r="L72">
        <v>1346</v>
      </c>
      <c r="N72">
        <v>1009</v>
      </c>
      <c r="O72" t="s">
        <v>170</v>
      </c>
      <c r="P72" t="s">
        <v>170</v>
      </c>
      <c r="Q72">
        <v>1</v>
      </c>
      <c r="X72">
        <v>4.0000000000000001E-3</v>
      </c>
      <c r="Y72">
        <v>373.74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4.0000000000000001E-3</v>
      </c>
      <c r="AH72">
        <v>2</v>
      </c>
      <c r="AI72">
        <v>85999063</v>
      </c>
      <c r="AJ72">
        <v>81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ROW(Source!A63)</f>
        <v>63</v>
      </c>
      <c r="B73">
        <v>85999064</v>
      </c>
      <c r="C73">
        <v>85998251</v>
      </c>
      <c r="D73">
        <v>84249427</v>
      </c>
      <c r="E73">
        <v>1</v>
      </c>
      <c r="F73">
        <v>1</v>
      </c>
      <c r="G73">
        <v>1</v>
      </c>
      <c r="H73">
        <v>3</v>
      </c>
      <c r="I73" t="s">
        <v>622</v>
      </c>
      <c r="J73" t="s">
        <v>623</v>
      </c>
      <c r="K73" t="s">
        <v>624</v>
      </c>
      <c r="L73">
        <v>1346</v>
      </c>
      <c r="N73">
        <v>1009</v>
      </c>
      <c r="O73" t="s">
        <v>170</v>
      </c>
      <c r="P73" t="s">
        <v>170</v>
      </c>
      <c r="Q73">
        <v>1</v>
      </c>
      <c r="X73">
        <v>0.02</v>
      </c>
      <c r="Y73">
        <v>931.11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0.02</v>
      </c>
      <c r="AH73">
        <v>2</v>
      </c>
      <c r="AI73">
        <v>85999064</v>
      </c>
      <c r="AJ73">
        <v>82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ROW(Source!A63)</f>
        <v>63</v>
      </c>
      <c r="B74">
        <v>85999065</v>
      </c>
      <c r="C74">
        <v>85998251</v>
      </c>
      <c r="D74">
        <v>84257640</v>
      </c>
      <c r="E74">
        <v>1</v>
      </c>
      <c r="F74">
        <v>1</v>
      </c>
      <c r="G74">
        <v>1</v>
      </c>
      <c r="H74">
        <v>3</v>
      </c>
      <c r="I74" t="s">
        <v>625</v>
      </c>
      <c r="J74" t="s">
        <v>626</v>
      </c>
      <c r="K74" t="s">
        <v>627</v>
      </c>
      <c r="L74">
        <v>1348</v>
      </c>
      <c r="N74">
        <v>1009</v>
      </c>
      <c r="O74" t="s">
        <v>165</v>
      </c>
      <c r="P74" t="s">
        <v>165</v>
      </c>
      <c r="Q74">
        <v>1000</v>
      </c>
      <c r="X74">
        <v>2.0000000000000002E-5</v>
      </c>
      <c r="Y74">
        <v>80020.98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2.0000000000000002E-5</v>
      </c>
      <c r="AH74">
        <v>2</v>
      </c>
      <c r="AI74">
        <v>85999065</v>
      </c>
      <c r="AJ74">
        <v>83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ROW(Source!A63)</f>
        <v>63</v>
      </c>
      <c r="B75">
        <v>85999066</v>
      </c>
      <c r="C75">
        <v>85998251</v>
      </c>
      <c r="D75">
        <v>84170596</v>
      </c>
      <c r="E75">
        <v>117</v>
      </c>
      <c r="F75">
        <v>1</v>
      </c>
      <c r="G75">
        <v>1</v>
      </c>
      <c r="H75">
        <v>3</v>
      </c>
      <c r="I75" t="s">
        <v>55</v>
      </c>
      <c r="J75" t="s">
        <v>3</v>
      </c>
      <c r="K75" t="s">
        <v>56</v>
      </c>
      <c r="L75">
        <v>3277935</v>
      </c>
      <c r="N75">
        <v>1013</v>
      </c>
      <c r="O75" t="s">
        <v>57</v>
      </c>
      <c r="P75" t="s">
        <v>57</v>
      </c>
      <c r="Q75">
        <v>1</v>
      </c>
      <c r="X75">
        <v>2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 t="s">
        <v>3</v>
      </c>
      <c r="AG75">
        <v>2</v>
      </c>
      <c r="AH75">
        <v>2</v>
      </c>
      <c r="AI75">
        <v>85999066</v>
      </c>
      <c r="AJ75">
        <v>85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ROW(Source!A70)</f>
        <v>70</v>
      </c>
      <c r="B76">
        <v>85998332</v>
      </c>
      <c r="C76">
        <v>85998323</v>
      </c>
      <c r="D76">
        <v>84164598</v>
      </c>
      <c r="E76">
        <v>117</v>
      </c>
      <c r="F76">
        <v>1</v>
      </c>
      <c r="G76">
        <v>1</v>
      </c>
      <c r="H76">
        <v>1</v>
      </c>
      <c r="I76" t="s">
        <v>605</v>
      </c>
      <c r="J76" t="s">
        <v>3</v>
      </c>
      <c r="K76" t="s">
        <v>606</v>
      </c>
      <c r="L76">
        <v>1191</v>
      </c>
      <c r="N76">
        <v>1013</v>
      </c>
      <c r="O76" t="s">
        <v>541</v>
      </c>
      <c r="P76" t="s">
        <v>541</v>
      </c>
      <c r="Q76">
        <v>1</v>
      </c>
      <c r="X76">
        <v>25.76</v>
      </c>
      <c r="Y76">
        <v>0</v>
      </c>
      <c r="Z76">
        <v>0</v>
      </c>
      <c r="AA76">
        <v>0</v>
      </c>
      <c r="AB76">
        <v>743.6</v>
      </c>
      <c r="AC76">
        <v>0</v>
      </c>
      <c r="AD76">
        <v>1</v>
      </c>
      <c r="AE76">
        <v>1</v>
      </c>
      <c r="AF76" t="s">
        <v>3</v>
      </c>
      <c r="AG76">
        <v>25.76</v>
      </c>
      <c r="AH76">
        <v>2</v>
      </c>
      <c r="AI76">
        <v>85998324</v>
      </c>
      <c r="AJ76">
        <v>86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ROW(Source!A70)</f>
        <v>70</v>
      </c>
      <c r="B77">
        <v>85998333</v>
      </c>
      <c r="C77">
        <v>85998323</v>
      </c>
      <c r="D77">
        <v>84164762</v>
      </c>
      <c r="E77">
        <v>117</v>
      </c>
      <c r="F77">
        <v>1</v>
      </c>
      <c r="G77">
        <v>1</v>
      </c>
      <c r="H77">
        <v>1</v>
      </c>
      <c r="I77" t="s">
        <v>542</v>
      </c>
      <c r="J77" t="s">
        <v>3</v>
      </c>
      <c r="K77" t="s">
        <v>543</v>
      </c>
      <c r="L77">
        <v>1191</v>
      </c>
      <c r="N77">
        <v>1013</v>
      </c>
      <c r="O77" t="s">
        <v>541</v>
      </c>
      <c r="P77" t="s">
        <v>541</v>
      </c>
      <c r="Q77">
        <v>1</v>
      </c>
      <c r="X77">
        <v>0.05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2</v>
      </c>
      <c r="AF77" t="s">
        <v>3</v>
      </c>
      <c r="AG77">
        <v>0.05</v>
      </c>
      <c r="AH77">
        <v>2</v>
      </c>
      <c r="AI77">
        <v>85998325</v>
      </c>
      <c r="AJ77">
        <v>87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ROW(Source!A70)</f>
        <v>70</v>
      </c>
      <c r="B78">
        <v>85998334</v>
      </c>
      <c r="C78">
        <v>85998323</v>
      </c>
      <c r="D78">
        <v>84171251</v>
      </c>
      <c r="E78">
        <v>1</v>
      </c>
      <c r="F78">
        <v>1</v>
      </c>
      <c r="G78">
        <v>1</v>
      </c>
      <c r="H78">
        <v>2</v>
      </c>
      <c r="I78" t="s">
        <v>123</v>
      </c>
      <c r="J78" t="s">
        <v>125</v>
      </c>
      <c r="K78" t="s">
        <v>124</v>
      </c>
      <c r="L78">
        <v>1368</v>
      </c>
      <c r="N78">
        <v>1011</v>
      </c>
      <c r="O78" t="s">
        <v>29</v>
      </c>
      <c r="P78" t="s">
        <v>29</v>
      </c>
      <c r="Q78">
        <v>1</v>
      </c>
      <c r="X78">
        <v>0.03</v>
      </c>
      <c r="Y78">
        <v>0</v>
      </c>
      <c r="Z78">
        <v>1629.55</v>
      </c>
      <c r="AA78">
        <v>969.91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0.03</v>
      </c>
      <c r="AH78">
        <v>2</v>
      </c>
      <c r="AI78">
        <v>85998326</v>
      </c>
      <c r="AJ78">
        <v>88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ROW(Source!A70)</f>
        <v>70</v>
      </c>
      <c r="B79">
        <v>85998335</v>
      </c>
      <c r="C79">
        <v>85998323</v>
      </c>
      <c r="D79">
        <v>84172146</v>
      </c>
      <c r="E79">
        <v>1</v>
      </c>
      <c r="F79">
        <v>1</v>
      </c>
      <c r="G79">
        <v>1</v>
      </c>
      <c r="H79">
        <v>2</v>
      </c>
      <c r="I79" t="s">
        <v>127</v>
      </c>
      <c r="J79" t="s">
        <v>129</v>
      </c>
      <c r="K79" t="s">
        <v>128</v>
      </c>
      <c r="L79">
        <v>1368</v>
      </c>
      <c r="N79">
        <v>1011</v>
      </c>
      <c r="O79" t="s">
        <v>29</v>
      </c>
      <c r="P79" t="s">
        <v>29</v>
      </c>
      <c r="Q79">
        <v>1</v>
      </c>
      <c r="X79">
        <v>0.02</v>
      </c>
      <c r="Y79">
        <v>0</v>
      </c>
      <c r="Z79">
        <v>643.29</v>
      </c>
      <c r="AA79">
        <v>722.05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0.02</v>
      </c>
      <c r="AH79">
        <v>2</v>
      </c>
      <c r="AI79">
        <v>85998327</v>
      </c>
      <c r="AJ79">
        <v>89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ROW(Source!A70)</f>
        <v>70</v>
      </c>
      <c r="B80">
        <v>85998336</v>
      </c>
      <c r="C80">
        <v>85998323</v>
      </c>
      <c r="D80">
        <v>84242262</v>
      </c>
      <c r="E80">
        <v>1</v>
      </c>
      <c r="F80">
        <v>1</v>
      </c>
      <c r="G80">
        <v>1</v>
      </c>
      <c r="H80">
        <v>3</v>
      </c>
      <c r="I80" t="s">
        <v>607</v>
      </c>
      <c r="J80" t="s">
        <v>608</v>
      </c>
      <c r="K80" t="s">
        <v>609</v>
      </c>
      <c r="L80">
        <v>1348</v>
      </c>
      <c r="N80">
        <v>1009</v>
      </c>
      <c r="O80" t="s">
        <v>165</v>
      </c>
      <c r="P80" t="s">
        <v>165</v>
      </c>
      <c r="Q80">
        <v>1000</v>
      </c>
      <c r="X80">
        <v>3.15E-3</v>
      </c>
      <c r="Y80">
        <v>4338.2700000000004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3.15E-3</v>
      </c>
      <c r="AH80">
        <v>2</v>
      </c>
      <c r="AI80">
        <v>85998328</v>
      </c>
      <c r="AJ80">
        <v>90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ROW(Source!A70)</f>
        <v>70</v>
      </c>
      <c r="B81">
        <v>85998337</v>
      </c>
      <c r="C81">
        <v>85998323</v>
      </c>
      <c r="D81">
        <v>84265246</v>
      </c>
      <c r="E81">
        <v>1</v>
      </c>
      <c r="F81">
        <v>1</v>
      </c>
      <c r="G81">
        <v>1</v>
      </c>
      <c r="H81">
        <v>3</v>
      </c>
      <c r="I81" t="s">
        <v>610</v>
      </c>
      <c r="J81" t="s">
        <v>611</v>
      </c>
      <c r="K81" t="s">
        <v>612</v>
      </c>
      <c r="L81">
        <v>1407</v>
      </c>
      <c r="N81">
        <v>1013</v>
      </c>
      <c r="O81" t="s">
        <v>595</v>
      </c>
      <c r="P81" t="s">
        <v>595</v>
      </c>
      <c r="Q81">
        <v>1</v>
      </c>
      <c r="X81">
        <v>0.10199999999999999</v>
      </c>
      <c r="Y81">
        <v>3658.94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0.10199999999999999</v>
      </c>
      <c r="AH81">
        <v>2</v>
      </c>
      <c r="AI81">
        <v>85998329</v>
      </c>
      <c r="AJ81">
        <v>91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ROW(Source!A70)</f>
        <v>70</v>
      </c>
      <c r="B82">
        <v>85998338</v>
      </c>
      <c r="C82">
        <v>85998323</v>
      </c>
      <c r="D82">
        <v>84170596</v>
      </c>
      <c r="E82">
        <v>117</v>
      </c>
      <c r="F82">
        <v>1</v>
      </c>
      <c r="G82">
        <v>1</v>
      </c>
      <c r="H82">
        <v>3</v>
      </c>
      <c r="I82" t="s">
        <v>55</v>
      </c>
      <c r="J82" t="s">
        <v>3</v>
      </c>
      <c r="K82" t="s">
        <v>56</v>
      </c>
      <c r="L82">
        <v>3277935</v>
      </c>
      <c r="N82">
        <v>1013</v>
      </c>
      <c r="O82" t="s">
        <v>57</v>
      </c>
      <c r="P82" t="s">
        <v>57</v>
      </c>
      <c r="Q82">
        <v>1</v>
      </c>
      <c r="X82">
        <v>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3</v>
      </c>
      <c r="AG82">
        <v>2</v>
      </c>
      <c r="AH82">
        <v>2</v>
      </c>
      <c r="AI82">
        <v>85998330</v>
      </c>
      <c r="AJ82">
        <v>93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ROW(Source!A75)</f>
        <v>75</v>
      </c>
      <c r="B83">
        <v>85998359</v>
      </c>
      <c r="C83">
        <v>85998341</v>
      </c>
      <c r="D83">
        <v>84164590</v>
      </c>
      <c r="E83">
        <v>117</v>
      </c>
      <c r="F83">
        <v>1</v>
      </c>
      <c r="G83">
        <v>1</v>
      </c>
      <c r="H83">
        <v>1</v>
      </c>
      <c r="I83" t="s">
        <v>590</v>
      </c>
      <c r="J83" t="s">
        <v>3</v>
      </c>
      <c r="K83" t="s">
        <v>591</v>
      </c>
      <c r="L83">
        <v>1191</v>
      </c>
      <c r="N83">
        <v>1013</v>
      </c>
      <c r="O83" t="s">
        <v>541</v>
      </c>
      <c r="P83" t="s">
        <v>541</v>
      </c>
      <c r="Q83">
        <v>1</v>
      </c>
      <c r="X83">
        <v>1.34</v>
      </c>
      <c r="Y83">
        <v>0</v>
      </c>
      <c r="Z83">
        <v>0</v>
      </c>
      <c r="AA83">
        <v>0</v>
      </c>
      <c r="AB83">
        <v>713.96</v>
      </c>
      <c r="AC83">
        <v>0</v>
      </c>
      <c r="AD83">
        <v>1</v>
      </c>
      <c r="AE83">
        <v>1</v>
      </c>
      <c r="AF83" t="s">
        <v>3</v>
      </c>
      <c r="AG83">
        <v>1.34</v>
      </c>
      <c r="AH83">
        <v>2</v>
      </c>
      <c r="AI83">
        <v>85998342</v>
      </c>
      <c r="AJ83">
        <v>94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ROW(Source!A75)</f>
        <v>75</v>
      </c>
      <c r="B84">
        <v>85998360</v>
      </c>
      <c r="C84">
        <v>85998341</v>
      </c>
      <c r="D84">
        <v>84172342</v>
      </c>
      <c r="E84">
        <v>1</v>
      </c>
      <c r="F84">
        <v>1</v>
      </c>
      <c r="G84">
        <v>1</v>
      </c>
      <c r="H84">
        <v>2</v>
      </c>
      <c r="I84" t="s">
        <v>549</v>
      </c>
      <c r="J84" t="s">
        <v>550</v>
      </c>
      <c r="K84" t="s">
        <v>551</v>
      </c>
      <c r="L84">
        <v>1368</v>
      </c>
      <c r="N84">
        <v>1011</v>
      </c>
      <c r="O84" t="s">
        <v>29</v>
      </c>
      <c r="P84" t="s">
        <v>29</v>
      </c>
      <c r="Q84">
        <v>1</v>
      </c>
      <c r="X84">
        <v>0.108</v>
      </c>
      <c r="Y84">
        <v>0</v>
      </c>
      <c r="Z84">
        <v>32.26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0.108</v>
      </c>
      <c r="AH84">
        <v>2</v>
      </c>
      <c r="AI84">
        <v>85998343</v>
      </c>
      <c r="AJ84">
        <v>95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ROW(Source!A75)</f>
        <v>75</v>
      </c>
      <c r="B85">
        <v>85998361</v>
      </c>
      <c r="C85">
        <v>85998341</v>
      </c>
      <c r="D85">
        <v>84236848</v>
      </c>
      <c r="E85">
        <v>1</v>
      </c>
      <c r="F85">
        <v>1</v>
      </c>
      <c r="G85">
        <v>1</v>
      </c>
      <c r="H85">
        <v>3</v>
      </c>
      <c r="I85" t="s">
        <v>552</v>
      </c>
      <c r="J85" t="s">
        <v>553</v>
      </c>
      <c r="K85" t="s">
        <v>554</v>
      </c>
      <c r="L85">
        <v>1346</v>
      </c>
      <c r="N85">
        <v>1009</v>
      </c>
      <c r="O85" t="s">
        <v>170</v>
      </c>
      <c r="P85" t="s">
        <v>170</v>
      </c>
      <c r="Q85">
        <v>1</v>
      </c>
      <c r="X85">
        <v>6.0000000000000001E-3</v>
      </c>
      <c r="Y85">
        <v>150.04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6.0000000000000001E-3</v>
      </c>
      <c r="AH85">
        <v>2</v>
      </c>
      <c r="AI85">
        <v>85998344</v>
      </c>
      <c r="AJ85">
        <v>96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ROW(Source!A75)</f>
        <v>75</v>
      </c>
      <c r="B86">
        <v>85998362</v>
      </c>
      <c r="C86">
        <v>85998341</v>
      </c>
      <c r="D86">
        <v>84238890</v>
      </c>
      <c r="E86">
        <v>1</v>
      </c>
      <c r="F86">
        <v>1</v>
      </c>
      <c r="G86">
        <v>1</v>
      </c>
      <c r="H86">
        <v>3</v>
      </c>
      <c r="I86" t="s">
        <v>555</v>
      </c>
      <c r="J86" t="s">
        <v>556</v>
      </c>
      <c r="K86" t="s">
        <v>557</v>
      </c>
      <c r="L86">
        <v>1346</v>
      </c>
      <c r="N86">
        <v>1009</v>
      </c>
      <c r="O86" t="s">
        <v>170</v>
      </c>
      <c r="P86" t="s">
        <v>170</v>
      </c>
      <c r="Q86">
        <v>1</v>
      </c>
      <c r="X86">
        <v>1E-3</v>
      </c>
      <c r="Y86">
        <v>187.38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1E-3</v>
      </c>
      <c r="AH86">
        <v>2</v>
      </c>
      <c r="AI86">
        <v>85998345</v>
      </c>
      <c r="AJ86">
        <v>97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ROW(Source!A75)</f>
        <v>75</v>
      </c>
      <c r="B87">
        <v>85998363</v>
      </c>
      <c r="C87">
        <v>85998341</v>
      </c>
      <c r="D87">
        <v>84238914</v>
      </c>
      <c r="E87">
        <v>1</v>
      </c>
      <c r="F87">
        <v>1</v>
      </c>
      <c r="G87">
        <v>1</v>
      </c>
      <c r="H87">
        <v>3</v>
      </c>
      <c r="I87" t="s">
        <v>558</v>
      </c>
      <c r="J87" t="s">
        <v>559</v>
      </c>
      <c r="K87" t="s">
        <v>560</v>
      </c>
      <c r="L87">
        <v>1383</v>
      </c>
      <c r="N87">
        <v>1013</v>
      </c>
      <c r="O87" t="s">
        <v>561</v>
      </c>
      <c r="P87" t="s">
        <v>561</v>
      </c>
      <c r="Q87">
        <v>1</v>
      </c>
      <c r="X87">
        <v>2.0799999999999999E-2</v>
      </c>
      <c r="Y87">
        <v>6.78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2.0799999999999999E-2</v>
      </c>
      <c r="AH87">
        <v>2</v>
      </c>
      <c r="AI87">
        <v>85998346</v>
      </c>
      <c r="AJ87">
        <v>98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ROW(Source!A75)</f>
        <v>75</v>
      </c>
      <c r="B88">
        <v>85998364</v>
      </c>
      <c r="C88">
        <v>85998341</v>
      </c>
      <c r="D88">
        <v>84239073</v>
      </c>
      <c r="E88">
        <v>1</v>
      </c>
      <c r="F88">
        <v>1</v>
      </c>
      <c r="G88">
        <v>1</v>
      </c>
      <c r="H88">
        <v>3</v>
      </c>
      <c r="I88" t="s">
        <v>562</v>
      </c>
      <c r="J88" t="s">
        <v>563</v>
      </c>
      <c r="K88" t="s">
        <v>564</v>
      </c>
      <c r="L88">
        <v>1301</v>
      </c>
      <c r="N88">
        <v>1003</v>
      </c>
      <c r="O88" t="s">
        <v>364</v>
      </c>
      <c r="P88" t="s">
        <v>364</v>
      </c>
      <c r="Q88">
        <v>1</v>
      </c>
      <c r="X88">
        <v>1</v>
      </c>
      <c r="Y88">
        <v>5.87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1</v>
      </c>
      <c r="AH88">
        <v>2</v>
      </c>
      <c r="AI88">
        <v>85998347</v>
      </c>
      <c r="AJ88">
        <v>99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ROW(Source!A75)</f>
        <v>75</v>
      </c>
      <c r="B89">
        <v>85998365</v>
      </c>
      <c r="C89">
        <v>85998341</v>
      </c>
      <c r="D89">
        <v>84239655</v>
      </c>
      <c r="E89">
        <v>1</v>
      </c>
      <c r="F89">
        <v>1</v>
      </c>
      <c r="G89">
        <v>1</v>
      </c>
      <c r="H89">
        <v>3</v>
      </c>
      <c r="I89" t="s">
        <v>565</v>
      </c>
      <c r="J89" t="s">
        <v>566</v>
      </c>
      <c r="K89" t="s">
        <v>567</v>
      </c>
      <c r="L89">
        <v>1346</v>
      </c>
      <c r="N89">
        <v>1009</v>
      </c>
      <c r="O89" t="s">
        <v>170</v>
      </c>
      <c r="P89" t="s">
        <v>170</v>
      </c>
      <c r="Q89">
        <v>1</v>
      </c>
      <c r="X89">
        <v>7.0000000000000007E-2</v>
      </c>
      <c r="Y89">
        <v>155.63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7.0000000000000007E-2</v>
      </c>
      <c r="AH89">
        <v>2</v>
      </c>
      <c r="AI89">
        <v>85998348</v>
      </c>
      <c r="AJ89">
        <v>100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ROW(Source!A75)</f>
        <v>75</v>
      </c>
      <c r="B90">
        <v>85998366</v>
      </c>
      <c r="C90">
        <v>85998341</v>
      </c>
      <c r="D90">
        <v>84240416</v>
      </c>
      <c r="E90">
        <v>1</v>
      </c>
      <c r="F90">
        <v>1</v>
      </c>
      <c r="G90">
        <v>1</v>
      </c>
      <c r="H90">
        <v>3</v>
      </c>
      <c r="I90" t="s">
        <v>301</v>
      </c>
      <c r="J90" t="s">
        <v>303</v>
      </c>
      <c r="K90" t="s">
        <v>302</v>
      </c>
      <c r="L90">
        <v>1346</v>
      </c>
      <c r="N90">
        <v>1009</v>
      </c>
      <c r="O90" t="s">
        <v>170</v>
      </c>
      <c r="P90" t="s">
        <v>170</v>
      </c>
      <c r="Q90">
        <v>1</v>
      </c>
      <c r="X90">
        <v>4.9000000000000002E-2</v>
      </c>
      <c r="Y90">
        <v>174.93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4.9000000000000002E-2</v>
      </c>
      <c r="AH90">
        <v>2</v>
      </c>
      <c r="AI90">
        <v>85998349</v>
      </c>
      <c r="AJ90">
        <v>101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ROW(Source!A75)</f>
        <v>75</v>
      </c>
      <c r="B91">
        <v>85998367</v>
      </c>
      <c r="C91">
        <v>85998341</v>
      </c>
      <c r="D91">
        <v>84240482</v>
      </c>
      <c r="E91">
        <v>1</v>
      </c>
      <c r="F91">
        <v>1</v>
      </c>
      <c r="G91">
        <v>1</v>
      </c>
      <c r="H91">
        <v>3</v>
      </c>
      <c r="I91" t="s">
        <v>568</v>
      </c>
      <c r="J91" t="s">
        <v>569</v>
      </c>
      <c r="K91" t="s">
        <v>570</v>
      </c>
      <c r="L91">
        <v>1425</v>
      </c>
      <c r="N91">
        <v>1013</v>
      </c>
      <c r="O91" t="s">
        <v>20</v>
      </c>
      <c r="P91" t="s">
        <v>20</v>
      </c>
      <c r="Q91">
        <v>1</v>
      </c>
      <c r="X91">
        <v>1.4E-2</v>
      </c>
      <c r="Y91">
        <v>41.71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1.4E-2</v>
      </c>
      <c r="AH91">
        <v>2</v>
      </c>
      <c r="AI91">
        <v>85998350</v>
      </c>
      <c r="AJ91">
        <v>102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ROW(Source!A75)</f>
        <v>75</v>
      </c>
      <c r="B92">
        <v>85998368</v>
      </c>
      <c r="C92">
        <v>85998341</v>
      </c>
      <c r="D92">
        <v>84241538</v>
      </c>
      <c r="E92">
        <v>1</v>
      </c>
      <c r="F92">
        <v>1</v>
      </c>
      <c r="G92">
        <v>1</v>
      </c>
      <c r="H92">
        <v>3</v>
      </c>
      <c r="I92" t="s">
        <v>571</v>
      </c>
      <c r="J92" t="s">
        <v>572</v>
      </c>
      <c r="K92" t="s">
        <v>573</v>
      </c>
      <c r="L92">
        <v>1346</v>
      </c>
      <c r="N92">
        <v>1009</v>
      </c>
      <c r="O92" t="s">
        <v>170</v>
      </c>
      <c r="P92" t="s">
        <v>170</v>
      </c>
      <c r="Q92">
        <v>1</v>
      </c>
      <c r="X92">
        <v>1E-3</v>
      </c>
      <c r="Y92">
        <v>395.65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1E-3</v>
      </c>
      <c r="AH92">
        <v>2</v>
      </c>
      <c r="AI92">
        <v>85998351</v>
      </c>
      <c r="AJ92">
        <v>103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ROW(Source!A75)</f>
        <v>75</v>
      </c>
      <c r="B93">
        <v>85998369</v>
      </c>
      <c r="C93">
        <v>85998341</v>
      </c>
      <c r="D93">
        <v>84245562</v>
      </c>
      <c r="E93">
        <v>1</v>
      </c>
      <c r="F93">
        <v>1</v>
      </c>
      <c r="G93">
        <v>1</v>
      </c>
      <c r="H93">
        <v>3</v>
      </c>
      <c r="I93" t="s">
        <v>574</v>
      </c>
      <c r="J93" t="s">
        <v>575</v>
      </c>
      <c r="K93" t="s">
        <v>576</v>
      </c>
      <c r="L93">
        <v>1348</v>
      </c>
      <c r="N93">
        <v>1009</v>
      </c>
      <c r="O93" t="s">
        <v>165</v>
      </c>
      <c r="P93" t="s">
        <v>165</v>
      </c>
      <c r="Q93">
        <v>1000</v>
      </c>
      <c r="X93">
        <v>1E-3</v>
      </c>
      <c r="Y93">
        <v>105278.81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1E-3</v>
      </c>
      <c r="AH93">
        <v>2</v>
      </c>
      <c r="AI93">
        <v>85998352</v>
      </c>
      <c r="AJ93">
        <v>104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ROW(Source!A75)</f>
        <v>75</v>
      </c>
      <c r="B94">
        <v>85998370</v>
      </c>
      <c r="C94">
        <v>85998341</v>
      </c>
      <c r="D94">
        <v>84257608</v>
      </c>
      <c r="E94">
        <v>1</v>
      </c>
      <c r="F94">
        <v>1</v>
      </c>
      <c r="G94">
        <v>1</v>
      </c>
      <c r="H94">
        <v>3</v>
      </c>
      <c r="I94" t="s">
        <v>577</v>
      </c>
      <c r="J94" t="s">
        <v>578</v>
      </c>
      <c r="K94" t="s">
        <v>579</v>
      </c>
      <c r="L94">
        <v>1346</v>
      </c>
      <c r="N94">
        <v>1009</v>
      </c>
      <c r="O94" t="s">
        <v>170</v>
      </c>
      <c r="P94" t="s">
        <v>170</v>
      </c>
      <c r="Q94">
        <v>1</v>
      </c>
      <c r="X94">
        <v>3.5999999999999997E-2</v>
      </c>
      <c r="Y94">
        <v>79.88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3.5999999999999997E-2</v>
      </c>
      <c r="AH94">
        <v>2</v>
      </c>
      <c r="AI94">
        <v>85998353</v>
      </c>
      <c r="AJ94">
        <v>105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ROW(Source!A75)</f>
        <v>75</v>
      </c>
      <c r="B95">
        <v>85998371</v>
      </c>
      <c r="C95">
        <v>85998341</v>
      </c>
      <c r="D95">
        <v>84257654</v>
      </c>
      <c r="E95">
        <v>1</v>
      </c>
      <c r="F95">
        <v>1</v>
      </c>
      <c r="G95">
        <v>1</v>
      </c>
      <c r="H95">
        <v>3</v>
      </c>
      <c r="I95" t="s">
        <v>580</v>
      </c>
      <c r="J95" t="s">
        <v>581</v>
      </c>
      <c r="K95" t="s">
        <v>582</v>
      </c>
      <c r="L95">
        <v>1346</v>
      </c>
      <c r="N95">
        <v>1009</v>
      </c>
      <c r="O95" t="s">
        <v>170</v>
      </c>
      <c r="P95" t="s">
        <v>170</v>
      </c>
      <c r="Q95">
        <v>1</v>
      </c>
      <c r="X95">
        <v>6.0000000000000001E-3</v>
      </c>
      <c r="Y95">
        <v>157.44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6.0000000000000001E-3</v>
      </c>
      <c r="AH95">
        <v>2</v>
      </c>
      <c r="AI95">
        <v>85998354</v>
      </c>
      <c r="AJ95">
        <v>106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ROW(Source!A75)</f>
        <v>75</v>
      </c>
      <c r="B96">
        <v>85998372</v>
      </c>
      <c r="C96">
        <v>85998341</v>
      </c>
      <c r="D96">
        <v>84265124</v>
      </c>
      <c r="E96">
        <v>1</v>
      </c>
      <c r="F96">
        <v>1</v>
      </c>
      <c r="G96">
        <v>1</v>
      </c>
      <c r="H96">
        <v>3</v>
      </c>
      <c r="I96" t="s">
        <v>583</v>
      </c>
      <c r="J96" t="s">
        <v>584</v>
      </c>
      <c r="K96" t="s">
        <v>585</v>
      </c>
      <c r="L96">
        <v>1455</v>
      </c>
      <c r="N96">
        <v>1013</v>
      </c>
      <c r="O96" t="s">
        <v>586</v>
      </c>
      <c r="P96" t="s">
        <v>586</v>
      </c>
      <c r="Q96">
        <v>1</v>
      </c>
      <c r="X96">
        <v>0.1</v>
      </c>
      <c r="Y96">
        <v>944.69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0.1</v>
      </c>
      <c r="AH96">
        <v>2</v>
      </c>
      <c r="AI96">
        <v>85998355</v>
      </c>
      <c r="AJ96">
        <v>107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ROW(Source!A75)</f>
        <v>75</v>
      </c>
      <c r="B97">
        <v>85998373</v>
      </c>
      <c r="C97">
        <v>85998341</v>
      </c>
      <c r="D97">
        <v>84170596</v>
      </c>
      <c r="E97">
        <v>117</v>
      </c>
      <c r="F97">
        <v>1</v>
      </c>
      <c r="G97">
        <v>1</v>
      </c>
      <c r="H97">
        <v>3</v>
      </c>
      <c r="I97" t="s">
        <v>55</v>
      </c>
      <c r="J97" t="s">
        <v>3</v>
      </c>
      <c r="K97" t="s">
        <v>56</v>
      </c>
      <c r="L97">
        <v>3277935</v>
      </c>
      <c r="N97">
        <v>1013</v>
      </c>
      <c r="O97" t="s">
        <v>57</v>
      </c>
      <c r="P97" t="s">
        <v>57</v>
      </c>
      <c r="Q97">
        <v>1</v>
      </c>
      <c r="X97">
        <v>2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 t="s">
        <v>3</v>
      </c>
      <c r="AG97">
        <v>2</v>
      </c>
      <c r="AH97">
        <v>2</v>
      </c>
      <c r="AI97">
        <v>85998358</v>
      </c>
      <c r="AJ97">
        <v>108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ROW(Source!A79)</f>
        <v>79</v>
      </c>
      <c r="B98">
        <v>85998389</v>
      </c>
      <c r="C98">
        <v>85998377</v>
      </c>
      <c r="D98">
        <v>84164716</v>
      </c>
      <c r="E98">
        <v>117</v>
      </c>
      <c r="F98">
        <v>1</v>
      </c>
      <c r="G98">
        <v>1</v>
      </c>
      <c r="H98">
        <v>1</v>
      </c>
      <c r="I98" t="s">
        <v>628</v>
      </c>
      <c r="J98" t="s">
        <v>3</v>
      </c>
      <c r="K98" t="s">
        <v>629</v>
      </c>
      <c r="L98">
        <v>1369</v>
      </c>
      <c r="N98">
        <v>1013</v>
      </c>
      <c r="O98" t="s">
        <v>630</v>
      </c>
      <c r="P98" t="s">
        <v>630</v>
      </c>
      <c r="Q98">
        <v>1</v>
      </c>
      <c r="X98">
        <v>0.3</v>
      </c>
      <c r="Y98">
        <v>0</v>
      </c>
      <c r="Z98">
        <v>0</v>
      </c>
      <c r="AA98">
        <v>0</v>
      </c>
      <c r="AB98">
        <v>538.84</v>
      </c>
      <c r="AC98">
        <v>0</v>
      </c>
      <c r="AD98">
        <v>1</v>
      </c>
      <c r="AE98">
        <v>1</v>
      </c>
      <c r="AF98" t="s">
        <v>3</v>
      </c>
      <c r="AG98">
        <v>0.3</v>
      </c>
      <c r="AH98">
        <v>2</v>
      </c>
      <c r="AI98">
        <v>85998378</v>
      </c>
      <c r="AJ98">
        <v>111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ROW(Source!A79)</f>
        <v>79</v>
      </c>
      <c r="B99">
        <v>85998390</v>
      </c>
      <c r="C99">
        <v>85998377</v>
      </c>
      <c r="D99">
        <v>84164720</v>
      </c>
      <c r="E99">
        <v>117</v>
      </c>
      <c r="F99">
        <v>1</v>
      </c>
      <c r="G99">
        <v>1</v>
      </c>
      <c r="H99">
        <v>1</v>
      </c>
      <c r="I99" t="s">
        <v>631</v>
      </c>
      <c r="J99" t="s">
        <v>3</v>
      </c>
      <c r="K99" t="s">
        <v>632</v>
      </c>
      <c r="L99">
        <v>1369</v>
      </c>
      <c r="N99">
        <v>1013</v>
      </c>
      <c r="O99" t="s">
        <v>630</v>
      </c>
      <c r="P99" t="s">
        <v>630</v>
      </c>
      <c r="Q99">
        <v>1</v>
      </c>
      <c r="X99">
        <v>29.74</v>
      </c>
      <c r="Y99">
        <v>0</v>
      </c>
      <c r="Z99">
        <v>0</v>
      </c>
      <c r="AA99">
        <v>0</v>
      </c>
      <c r="AB99">
        <v>587.34</v>
      </c>
      <c r="AC99">
        <v>0</v>
      </c>
      <c r="AD99">
        <v>1</v>
      </c>
      <c r="AE99">
        <v>1</v>
      </c>
      <c r="AF99" t="s">
        <v>3</v>
      </c>
      <c r="AG99">
        <v>29.74</v>
      </c>
      <c r="AH99">
        <v>2</v>
      </c>
      <c r="AI99">
        <v>85998379</v>
      </c>
      <c r="AJ99">
        <v>112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ROW(Source!A79)</f>
        <v>79</v>
      </c>
      <c r="B100">
        <v>85998391</v>
      </c>
      <c r="C100">
        <v>85998377</v>
      </c>
      <c r="D100">
        <v>84164726</v>
      </c>
      <c r="E100">
        <v>117</v>
      </c>
      <c r="F100">
        <v>1</v>
      </c>
      <c r="G100">
        <v>1</v>
      </c>
      <c r="H100">
        <v>1</v>
      </c>
      <c r="I100" t="s">
        <v>633</v>
      </c>
      <c r="J100" t="s">
        <v>3</v>
      </c>
      <c r="K100" t="s">
        <v>634</v>
      </c>
      <c r="L100">
        <v>1369</v>
      </c>
      <c r="N100">
        <v>1013</v>
      </c>
      <c r="O100" t="s">
        <v>630</v>
      </c>
      <c r="P100" t="s">
        <v>630</v>
      </c>
      <c r="Q100">
        <v>1</v>
      </c>
      <c r="X100">
        <v>28.35</v>
      </c>
      <c r="Y100">
        <v>0</v>
      </c>
      <c r="Z100">
        <v>0</v>
      </c>
      <c r="AA100">
        <v>0</v>
      </c>
      <c r="AB100">
        <v>722.05</v>
      </c>
      <c r="AC100">
        <v>0</v>
      </c>
      <c r="AD100">
        <v>1</v>
      </c>
      <c r="AE100">
        <v>1</v>
      </c>
      <c r="AF100" t="s">
        <v>3</v>
      </c>
      <c r="AG100">
        <v>28.35</v>
      </c>
      <c r="AH100">
        <v>2</v>
      </c>
      <c r="AI100">
        <v>85998380</v>
      </c>
      <c r="AJ100">
        <v>113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ROW(Source!A79)</f>
        <v>79</v>
      </c>
      <c r="B101">
        <v>85998392</v>
      </c>
      <c r="C101">
        <v>85998377</v>
      </c>
      <c r="D101">
        <v>84164762</v>
      </c>
      <c r="E101">
        <v>117</v>
      </c>
      <c r="F101">
        <v>1</v>
      </c>
      <c r="G101">
        <v>1</v>
      </c>
      <c r="H101">
        <v>1</v>
      </c>
      <c r="I101" t="s">
        <v>542</v>
      </c>
      <c r="J101" t="s">
        <v>3</v>
      </c>
      <c r="K101" t="s">
        <v>543</v>
      </c>
      <c r="L101">
        <v>1191</v>
      </c>
      <c r="N101">
        <v>1013</v>
      </c>
      <c r="O101" t="s">
        <v>541</v>
      </c>
      <c r="P101" t="s">
        <v>541</v>
      </c>
      <c r="Q101">
        <v>1</v>
      </c>
      <c r="X101">
        <v>0.2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2</v>
      </c>
      <c r="AF101" t="s">
        <v>3</v>
      </c>
      <c r="AG101">
        <v>0.2</v>
      </c>
      <c r="AH101">
        <v>2</v>
      </c>
      <c r="AI101">
        <v>85998381</v>
      </c>
      <c r="AJ101">
        <v>114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ROW(Source!A79)</f>
        <v>79</v>
      </c>
      <c r="B102">
        <v>85998393</v>
      </c>
      <c r="C102">
        <v>85998377</v>
      </c>
      <c r="D102">
        <v>84172146</v>
      </c>
      <c r="E102">
        <v>1</v>
      </c>
      <c r="F102">
        <v>1</v>
      </c>
      <c r="G102">
        <v>1</v>
      </c>
      <c r="H102">
        <v>2</v>
      </c>
      <c r="I102" t="s">
        <v>127</v>
      </c>
      <c r="J102" t="s">
        <v>129</v>
      </c>
      <c r="K102" t="s">
        <v>128</v>
      </c>
      <c r="L102">
        <v>1368</v>
      </c>
      <c r="N102">
        <v>1011</v>
      </c>
      <c r="O102" t="s">
        <v>29</v>
      </c>
      <c r="P102" t="s">
        <v>29</v>
      </c>
      <c r="Q102">
        <v>1</v>
      </c>
      <c r="X102">
        <v>0.2</v>
      </c>
      <c r="Y102">
        <v>0</v>
      </c>
      <c r="Z102">
        <v>643.29</v>
      </c>
      <c r="AA102">
        <v>722.05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0.2</v>
      </c>
      <c r="AH102">
        <v>2</v>
      </c>
      <c r="AI102">
        <v>85998382</v>
      </c>
      <c r="AJ102">
        <v>115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ROW(Source!A79)</f>
        <v>79</v>
      </c>
      <c r="B103">
        <v>85998394</v>
      </c>
      <c r="C103">
        <v>85998377</v>
      </c>
      <c r="D103">
        <v>84238914</v>
      </c>
      <c r="E103">
        <v>1</v>
      </c>
      <c r="F103">
        <v>1</v>
      </c>
      <c r="G103">
        <v>1</v>
      </c>
      <c r="H103">
        <v>3</v>
      </c>
      <c r="I103" t="s">
        <v>558</v>
      </c>
      <c r="J103" t="s">
        <v>559</v>
      </c>
      <c r="K103" t="s">
        <v>560</v>
      </c>
      <c r="L103">
        <v>1383</v>
      </c>
      <c r="N103">
        <v>1013</v>
      </c>
      <c r="O103" t="s">
        <v>561</v>
      </c>
      <c r="P103" t="s">
        <v>561</v>
      </c>
      <c r="Q103">
        <v>1</v>
      </c>
      <c r="X103">
        <v>0.96799999999999997</v>
      </c>
      <c r="Y103">
        <v>6.78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0.96799999999999997</v>
      </c>
      <c r="AH103">
        <v>2</v>
      </c>
      <c r="AI103">
        <v>85998383</v>
      </c>
      <c r="AJ103">
        <v>116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ROW(Source!A79)</f>
        <v>79</v>
      </c>
      <c r="B104">
        <v>85998395</v>
      </c>
      <c r="C104">
        <v>85998377</v>
      </c>
      <c r="D104">
        <v>84240483</v>
      </c>
      <c r="E104">
        <v>1</v>
      </c>
      <c r="F104">
        <v>1</v>
      </c>
      <c r="G104">
        <v>1</v>
      </c>
      <c r="H104">
        <v>3</v>
      </c>
      <c r="I104" t="s">
        <v>635</v>
      </c>
      <c r="J104" t="s">
        <v>636</v>
      </c>
      <c r="K104" t="s">
        <v>637</v>
      </c>
      <c r="L104">
        <v>1407</v>
      </c>
      <c r="N104">
        <v>1013</v>
      </c>
      <c r="O104" t="s">
        <v>595</v>
      </c>
      <c r="P104" t="s">
        <v>595</v>
      </c>
      <c r="Q104">
        <v>1</v>
      </c>
      <c r="X104">
        <v>0.20200000000000001</v>
      </c>
      <c r="Y104">
        <v>174.13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0.20200000000000001</v>
      </c>
      <c r="AH104">
        <v>2</v>
      </c>
      <c r="AI104">
        <v>85998384</v>
      </c>
      <c r="AJ104">
        <v>117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ROW(Source!A79)</f>
        <v>79</v>
      </c>
      <c r="B105">
        <v>85998396</v>
      </c>
      <c r="C105">
        <v>85998377</v>
      </c>
      <c r="D105">
        <v>84240760</v>
      </c>
      <c r="E105">
        <v>1</v>
      </c>
      <c r="F105">
        <v>1</v>
      </c>
      <c r="G105">
        <v>1</v>
      </c>
      <c r="H105">
        <v>3</v>
      </c>
      <c r="I105" t="s">
        <v>638</v>
      </c>
      <c r="J105" t="s">
        <v>639</v>
      </c>
      <c r="K105" t="s">
        <v>640</v>
      </c>
      <c r="L105">
        <v>1346</v>
      </c>
      <c r="N105">
        <v>1009</v>
      </c>
      <c r="O105" t="s">
        <v>170</v>
      </c>
      <c r="P105" t="s">
        <v>170</v>
      </c>
      <c r="Q105">
        <v>1</v>
      </c>
      <c r="X105">
        <v>0.2525</v>
      </c>
      <c r="Y105">
        <v>114.9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0.2525</v>
      </c>
      <c r="AH105">
        <v>2</v>
      </c>
      <c r="AI105">
        <v>85998385</v>
      </c>
      <c r="AJ105">
        <v>118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ROW(Source!A79)</f>
        <v>79</v>
      </c>
      <c r="B106">
        <v>85998397</v>
      </c>
      <c r="C106">
        <v>85998377</v>
      </c>
      <c r="D106">
        <v>84241160</v>
      </c>
      <c r="E106">
        <v>1</v>
      </c>
      <c r="F106">
        <v>1</v>
      </c>
      <c r="G106">
        <v>1</v>
      </c>
      <c r="H106">
        <v>3</v>
      </c>
      <c r="I106" t="s">
        <v>641</v>
      </c>
      <c r="J106" t="s">
        <v>642</v>
      </c>
      <c r="K106" t="s">
        <v>643</v>
      </c>
      <c r="L106">
        <v>1371</v>
      </c>
      <c r="N106">
        <v>1013</v>
      </c>
      <c r="O106" t="s">
        <v>43</v>
      </c>
      <c r="P106" t="s">
        <v>43</v>
      </c>
      <c r="Q106">
        <v>1</v>
      </c>
      <c r="X106">
        <v>0.5</v>
      </c>
      <c r="Y106">
        <v>53.58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0.5</v>
      </c>
      <c r="AH106">
        <v>2</v>
      </c>
      <c r="AI106">
        <v>85998386</v>
      </c>
      <c r="AJ106">
        <v>119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ROW(Source!A79)</f>
        <v>79</v>
      </c>
      <c r="B107">
        <v>85998398</v>
      </c>
      <c r="C107">
        <v>85998377</v>
      </c>
      <c r="D107">
        <v>84170596</v>
      </c>
      <c r="E107">
        <v>117</v>
      </c>
      <c r="F107">
        <v>1</v>
      </c>
      <c r="G107">
        <v>1</v>
      </c>
      <c r="H107">
        <v>3</v>
      </c>
      <c r="I107" t="s">
        <v>55</v>
      </c>
      <c r="J107" t="s">
        <v>3</v>
      </c>
      <c r="K107" t="s">
        <v>56</v>
      </c>
      <c r="L107">
        <v>3277935</v>
      </c>
      <c r="N107">
        <v>1013</v>
      </c>
      <c r="O107" t="s">
        <v>57</v>
      </c>
      <c r="P107" t="s">
        <v>57</v>
      </c>
      <c r="Q107">
        <v>1</v>
      </c>
      <c r="X107">
        <v>2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 t="s">
        <v>3</v>
      </c>
      <c r="AG107">
        <v>2</v>
      </c>
      <c r="AH107">
        <v>2</v>
      </c>
      <c r="AI107">
        <v>85998387</v>
      </c>
      <c r="AJ107">
        <v>121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ROW(Source!A117)</f>
        <v>117</v>
      </c>
      <c r="B108">
        <v>85998410</v>
      </c>
      <c r="C108">
        <v>85998401</v>
      </c>
      <c r="D108">
        <v>84164576</v>
      </c>
      <c r="E108">
        <v>117</v>
      </c>
      <c r="F108">
        <v>1</v>
      </c>
      <c r="G108">
        <v>1</v>
      </c>
      <c r="H108">
        <v>1</v>
      </c>
      <c r="I108" t="s">
        <v>644</v>
      </c>
      <c r="J108" t="s">
        <v>3</v>
      </c>
      <c r="K108" t="s">
        <v>645</v>
      </c>
      <c r="L108">
        <v>1191</v>
      </c>
      <c r="N108">
        <v>1013</v>
      </c>
      <c r="O108" t="s">
        <v>541</v>
      </c>
      <c r="P108" t="s">
        <v>541</v>
      </c>
      <c r="Q108">
        <v>1</v>
      </c>
      <c r="X108">
        <v>1.07</v>
      </c>
      <c r="Y108">
        <v>0</v>
      </c>
      <c r="Z108">
        <v>0</v>
      </c>
      <c r="AA108">
        <v>0</v>
      </c>
      <c r="AB108">
        <v>673.55</v>
      </c>
      <c r="AC108">
        <v>0</v>
      </c>
      <c r="AD108">
        <v>1</v>
      </c>
      <c r="AE108">
        <v>1</v>
      </c>
      <c r="AF108" t="s">
        <v>268</v>
      </c>
      <c r="AG108">
        <v>0.86134999999999995</v>
      </c>
      <c r="AH108">
        <v>2</v>
      </c>
      <c r="AI108">
        <v>85998402</v>
      </c>
      <c r="AJ108">
        <v>122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ROW(Source!A117)</f>
        <v>117</v>
      </c>
      <c r="B109">
        <v>85998411</v>
      </c>
      <c r="C109">
        <v>85998401</v>
      </c>
      <c r="D109">
        <v>84164762</v>
      </c>
      <c r="E109">
        <v>117</v>
      </c>
      <c r="F109">
        <v>1</v>
      </c>
      <c r="G109">
        <v>1</v>
      </c>
      <c r="H109">
        <v>1</v>
      </c>
      <c r="I109" t="s">
        <v>542</v>
      </c>
      <c r="J109" t="s">
        <v>3</v>
      </c>
      <c r="K109" t="s">
        <v>543</v>
      </c>
      <c r="L109">
        <v>1191</v>
      </c>
      <c r="N109">
        <v>1013</v>
      </c>
      <c r="O109" t="s">
        <v>541</v>
      </c>
      <c r="P109" t="s">
        <v>541</v>
      </c>
      <c r="Q109">
        <v>1</v>
      </c>
      <c r="X109">
        <v>0.01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2</v>
      </c>
      <c r="AF109" t="s">
        <v>267</v>
      </c>
      <c r="AG109">
        <v>8.7499999999999991E-3</v>
      </c>
      <c r="AH109">
        <v>2</v>
      </c>
      <c r="AI109">
        <v>85998403</v>
      </c>
      <c r="AJ109">
        <v>123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ROW(Source!A117)</f>
        <v>117</v>
      </c>
      <c r="B110">
        <v>85998412</v>
      </c>
      <c r="C110">
        <v>85998401</v>
      </c>
      <c r="D110">
        <v>84172146</v>
      </c>
      <c r="E110">
        <v>1</v>
      </c>
      <c r="F110">
        <v>1</v>
      </c>
      <c r="G110">
        <v>1</v>
      </c>
      <c r="H110">
        <v>2</v>
      </c>
      <c r="I110" t="s">
        <v>127</v>
      </c>
      <c r="J110" t="s">
        <v>129</v>
      </c>
      <c r="K110" t="s">
        <v>128</v>
      </c>
      <c r="L110">
        <v>1368</v>
      </c>
      <c r="N110">
        <v>1011</v>
      </c>
      <c r="O110" t="s">
        <v>29</v>
      </c>
      <c r="P110" t="s">
        <v>29</v>
      </c>
      <c r="Q110">
        <v>1</v>
      </c>
      <c r="X110">
        <v>0.01</v>
      </c>
      <c r="Y110">
        <v>0</v>
      </c>
      <c r="Z110">
        <v>643.29</v>
      </c>
      <c r="AA110">
        <v>722.05</v>
      </c>
      <c r="AB110">
        <v>0</v>
      </c>
      <c r="AC110">
        <v>0</v>
      </c>
      <c r="AD110">
        <v>1</v>
      </c>
      <c r="AE110">
        <v>0</v>
      </c>
      <c r="AF110" t="s">
        <v>267</v>
      </c>
      <c r="AG110">
        <v>8.7499999999999991E-3</v>
      </c>
      <c r="AH110">
        <v>2</v>
      </c>
      <c r="AI110">
        <v>85998404</v>
      </c>
      <c r="AJ110">
        <v>124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ROW(Source!A117)</f>
        <v>117</v>
      </c>
      <c r="B111">
        <v>85998413</v>
      </c>
      <c r="C111">
        <v>85998401</v>
      </c>
      <c r="D111">
        <v>84172342</v>
      </c>
      <c r="E111">
        <v>1</v>
      </c>
      <c r="F111">
        <v>1</v>
      </c>
      <c r="G111">
        <v>1</v>
      </c>
      <c r="H111">
        <v>2</v>
      </c>
      <c r="I111" t="s">
        <v>549</v>
      </c>
      <c r="J111" t="s">
        <v>550</v>
      </c>
      <c r="K111" t="s">
        <v>551</v>
      </c>
      <c r="L111">
        <v>1368</v>
      </c>
      <c r="N111">
        <v>1011</v>
      </c>
      <c r="O111" t="s">
        <v>29</v>
      </c>
      <c r="P111" t="s">
        <v>29</v>
      </c>
      <c r="Q111">
        <v>1</v>
      </c>
      <c r="X111">
        <v>0.1</v>
      </c>
      <c r="Y111">
        <v>0</v>
      </c>
      <c r="Z111">
        <v>32.26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267</v>
      </c>
      <c r="AG111">
        <v>8.7499999999999994E-2</v>
      </c>
      <c r="AH111">
        <v>2</v>
      </c>
      <c r="AI111">
        <v>85998405</v>
      </c>
      <c r="AJ111">
        <v>125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ROW(Source!A117)</f>
        <v>117</v>
      </c>
      <c r="B112">
        <v>85998414</v>
      </c>
      <c r="C112">
        <v>85998401</v>
      </c>
      <c r="D112">
        <v>84238914</v>
      </c>
      <c r="E112">
        <v>1</v>
      </c>
      <c r="F112">
        <v>1</v>
      </c>
      <c r="G112">
        <v>1</v>
      </c>
      <c r="H112">
        <v>3</v>
      </c>
      <c r="I112" t="s">
        <v>558</v>
      </c>
      <c r="J112" t="s">
        <v>559</v>
      </c>
      <c r="K112" t="s">
        <v>560</v>
      </c>
      <c r="L112">
        <v>1383</v>
      </c>
      <c r="N112">
        <v>1013</v>
      </c>
      <c r="O112" t="s">
        <v>561</v>
      </c>
      <c r="P112" t="s">
        <v>561</v>
      </c>
      <c r="Q112">
        <v>1</v>
      </c>
      <c r="X112">
        <v>0.1404</v>
      </c>
      <c r="Y112">
        <v>6.78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46</v>
      </c>
      <c r="AG112">
        <v>0</v>
      </c>
      <c r="AH112">
        <v>2</v>
      </c>
      <c r="AI112">
        <v>85998406</v>
      </c>
      <c r="AJ112">
        <v>126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ROW(Source!A117)</f>
        <v>117</v>
      </c>
      <c r="B113">
        <v>85998415</v>
      </c>
      <c r="C113">
        <v>85998401</v>
      </c>
      <c r="D113">
        <v>84239655</v>
      </c>
      <c r="E113">
        <v>1</v>
      </c>
      <c r="F113">
        <v>1</v>
      </c>
      <c r="G113">
        <v>1</v>
      </c>
      <c r="H113">
        <v>3</v>
      </c>
      <c r="I113" t="s">
        <v>565</v>
      </c>
      <c r="J113" t="s">
        <v>566</v>
      </c>
      <c r="K113" t="s">
        <v>567</v>
      </c>
      <c r="L113">
        <v>1346</v>
      </c>
      <c r="N113">
        <v>1009</v>
      </c>
      <c r="O113" t="s">
        <v>170</v>
      </c>
      <c r="P113" t="s">
        <v>170</v>
      </c>
      <c r="Q113">
        <v>1</v>
      </c>
      <c r="X113">
        <v>0.11</v>
      </c>
      <c r="Y113">
        <v>155.63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46</v>
      </c>
      <c r="AG113">
        <v>0</v>
      </c>
      <c r="AH113">
        <v>2</v>
      </c>
      <c r="AI113">
        <v>85998407</v>
      </c>
      <c r="AJ113">
        <v>127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ROW(Source!A117)</f>
        <v>117</v>
      </c>
      <c r="B114">
        <v>85998416</v>
      </c>
      <c r="C114">
        <v>85998401</v>
      </c>
      <c r="D114">
        <v>84242872</v>
      </c>
      <c r="E114">
        <v>1</v>
      </c>
      <c r="F114">
        <v>1</v>
      </c>
      <c r="G114">
        <v>1</v>
      </c>
      <c r="H114">
        <v>3</v>
      </c>
      <c r="I114" t="s">
        <v>646</v>
      </c>
      <c r="J114" t="s">
        <v>647</v>
      </c>
      <c r="K114" t="s">
        <v>648</v>
      </c>
      <c r="L114">
        <v>1339</v>
      </c>
      <c r="N114">
        <v>1007</v>
      </c>
      <c r="O114" t="s">
        <v>649</v>
      </c>
      <c r="P114" t="s">
        <v>649</v>
      </c>
      <c r="Q114">
        <v>1</v>
      </c>
      <c r="X114">
        <v>2.9999999999999997E-4</v>
      </c>
      <c r="Y114">
        <v>5103.8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46</v>
      </c>
      <c r="AG114">
        <v>0</v>
      </c>
      <c r="AH114">
        <v>2</v>
      </c>
      <c r="AI114">
        <v>85998408</v>
      </c>
      <c r="AJ114">
        <v>128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ROW(Source!A117)</f>
        <v>117</v>
      </c>
      <c r="B115">
        <v>85998417</v>
      </c>
      <c r="C115">
        <v>85998401</v>
      </c>
      <c r="D115">
        <v>84248127</v>
      </c>
      <c r="E115">
        <v>1</v>
      </c>
      <c r="F115">
        <v>1</v>
      </c>
      <c r="G115">
        <v>1</v>
      </c>
      <c r="H115">
        <v>3</v>
      </c>
      <c r="I115" t="s">
        <v>650</v>
      </c>
      <c r="J115" t="s">
        <v>651</v>
      </c>
      <c r="K115" t="s">
        <v>652</v>
      </c>
      <c r="L115">
        <v>1348</v>
      </c>
      <c r="N115">
        <v>1009</v>
      </c>
      <c r="O115" t="s">
        <v>165</v>
      </c>
      <c r="P115" t="s">
        <v>165</v>
      </c>
      <c r="Q115">
        <v>1000</v>
      </c>
      <c r="X115">
        <v>4.2999999999999999E-4</v>
      </c>
      <c r="Y115">
        <v>42458.05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46</v>
      </c>
      <c r="AG115">
        <v>0</v>
      </c>
      <c r="AH115">
        <v>2</v>
      </c>
      <c r="AI115">
        <v>85998409</v>
      </c>
      <c r="AJ115">
        <v>129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ROW(Source!A117)</f>
        <v>117</v>
      </c>
      <c r="B116">
        <v>85998418</v>
      </c>
      <c r="C116">
        <v>85998401</v>
      </c>
      <c r="D116">
        <v>84169354</v>
      </c>
      <c r="E116">
        <v>117</v>
      </c>
      <c r="F116">
        <v>1</v>
      </c>
      <c r="G116">
        <v>1</v>
      </c>
      <c r="H116">
        <v>3</v>
      </c>
      <c r="I116" t="s">
        <v>689</v>
      </c>
      <c r="J116" t="s">
        <v>3</v>
      </c>
      <c r="K116" t="s">
        <v>690</v>
      </c>
      <c r="L116">
        <v>1371</v>
      </c>
      <c r="N116">
        <v>1013</v>
      </c>
      <c r="O116" t="s">
        <v>43</v>
      </c>
      <c r="P116" t="s">
        <v>43</v>
      </c>
      <c r="Q116">
        <v>1</v>
      </c>
      <c r="X116">
        <v>1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46</v>
      </c>
      <c r="AG116">
        <v>0</v>
      </c>
      <c r="AH116">
        <v>3</v>
      </c>
      <c r="AI116">
        <v>-1</v>
      </c>
      <c r="AJ116" t="s">
        <v>3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ROW(Source!A119)</f>
        <v>119</v>
      </c>
      <c r="B117">
        <v>85998429</v>
      </c>
      <c r="C117">
        <v>85998419</v>
      </c>
      <c r="D117">
        <v>84164568</v>
      </c>
      <c r="E117">
        <v>117</v>
      </c>
      <c r="F117">
        <v>1</v>
      </c>
      <c r="G117">
        <v>1</v>
      </c>
      <c r="H117">
        <v>1</v>
      </c>
      <c r="I117" t="s">
        <v>653</v>
      </c>
      <c r="J117" t="s">
        <v>3</v>
      </c>
      <c r="K117" t="s">
        <v>654</v>
      </c>
      <c r="L117">
        <v>1191</v>
      </c>
      <c r="N117">
        <v>1013</v>
      </c>
      <c r="O117" t="s">
        <v>541</v>
      </c>
      <c r="P117" t="s">
        <v>541</v>
      </c>
      <c r="Q117">
        <v>1</v>
      </c>
      <c r="X117">
        <v>2.65</v>
      </c>
      <c r="Y117">
        <v>0</v>
      </c>
      <c r="Z117">
        <v>0</v>
      </c>
      <c r="AA117">
        <v>0</v>
      </c>
      <c r="AB117">
        <v>641.22</v>
      </c>
      <c r="AC117">
        <v>0</v>
      </c>
      <c r="AD117">
        <v>1</v>
      </c>
      <c r="AE117">
        <v>1</v>
      </c>
      <c r="AF117" t="s">
        <v>283</v>
      </c>
      <c r="AG117">
        <v>1.2189999999999999</v>
      </c>
      <c r="AH117">
        <v>2</v>
      </c>
      <c r="AI117">
        <v>85998420</v>
      </c>
      <c r="AJ117">
        <v>130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ROW(Source!A119)</f>
        <v>119</v>
      </c>
      <c r="B118">
        <v>85998430</v>
      </c>
      <c r="C118">
        <v>85998419</v>
      </c>
      <c r="D118">
        <v>84164762</v>
      </c>
      <c r="E118">
        <v>117</v>
      </c>
      <c r="F118">
        <v>1</v>
      </c>
      <c r="G118">
        <v>1</v>
      </c>
      <c r="H118">
        <v>1</v>
      </c>
      <c r="I118" t="s">
        <v>542</v>
      </c>
      <c r="J118" t="s">
        <v>3</v>
      </c>
      <c r="K118" t="s">
        <v>543</v>
      </c>
      <c r="L118">
        <v>1191</v>
      </c>
      <c r="N118">
        <v>1013</v>
      </c>
      <c r="O118" t="s">
        <v>541</v>
      </c>
      <c r="P118" t="s">
        <v>541</v>
      </c>
      <c r="Q118">
        <v>1</v>
      </c>
      <c r="X118">
        <v>0.01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282</v>
      </c>
      <c r="AG118">
        <v>5.0000000000000001E-3</v>
      </c>
      <c r="AH118">
        <v>2</v>
      </c>
      <c r="AI118">
        <v>85998421</v>
      </c>
      <c r="AJ118">
        <v>131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ROW(Source!A119)</f>
        <v>119</v>
      </c>
      <c r="B119">
        <v>85998431</v>
      </c>
      <c r="C119">
        <v>85998419</v>
      </c>
      <c r="D119">
        <v>84171378</v>
      </c>
      <c r="E119">
        <v>1</v>
      </c>
      <c r="F119">
        <v>1</v>
      </c>
      <c r="G119">
        <v>1</v>
      </c>
      <c r="H119">
        <v>2</v>
      </c>
      <c r="I119" t="s">
        <v>292</v>
      </c>
      <c r="J119" t="s">
        <v>294</v>
      </c>
      <c r="K119" t="s">
        <v>293</v>
      </c>
      <c r="L119">
        <v>1368</v>
      </c>
      <c r="N119">
        <v>1011</v>
      </c>
      <c r="O119" t="s">
        <v>29</v>
      </c>
      <c r="P119" t="s">
        <v>29</v>
      </c>
      <c r="Q119">
        <v>1</v>
      </c>
      <c r="X119">
        <v>0.66</v>
      </c>
      <c r="Y119">
        <v>0</v>
      </c>
      <c r="Z119">
        <v>2.36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282</v>
      </c>
      <c r="AG119">
        <v>0.33</v>
      </c>
      <c r="AH119">
        <v>2</v>
      </c>
      <c r="AI119">
        <v>85998422</v>
      </c>
      <c r="AJ119">
        <v>132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ROW(Source!A119)</f>
        <v>119</v>
      </c>
      <c r="B120">
        <v>85998432</v>
      </c>
      <c r="C120">
        <v>85998419</v>
      </c>
      <c r="D120">
        <v>84172146</v>
      </c>
      <c r="E120">
        <v>1</v>
      </c>
      <c r="F120">
        <v>1</v>
      </c>
      <c r="G120">
        <v>1</v>
      </c>
      <c r="H120">
        <v>2</v>
      </c>
      <c r="I120" t="s">
        <v>127</v>
      </c>
      <c r="J120" t="s">
        <v>129</v>
      </c>
      <c r="K120" t="s">
        <v>128</v>
      </c>
      <c r="L120">
        <v>1368</v>
      </c>
      <c r="N120">
        <v>1011</v>
      </c>
      <c r="O120" t="s">
        <v>29</v>
      </c>
      <c r="P120" t="s">
        <v>29</v>
      </c>
      <c r="Q120">
        <v>1</v>
      </c>
      <c r="X120">
        <v>0.01</v>
      </c>
      <c r="Y120">
        <v>0</v>
      </c>
      <c r="Z120">
        <v>643.29</v>
      </c>
      <c r="AA120">
        <v>722.05</v>
      </c>
      <c r="AB120">
        <v>0</v>
      </c>
      <c r="AC120">
        <v>0</v>
      </c>
      <c r="AD120">
        <v>1</v>
      </c>
      <c r="AE120">
        <v>0</v>
      </c>
      <c r="AF120" t="s">
        <v>282</v>
      </c>
      <c r="AG120">
        <v>5.0000000000000001E-3</v>
      </c>
      <c r="AH120">
        <v>2</v>
      </c>
      <c r="AI120">
        <v>85998423</v>
      </c>
      <c r="AJ120">
        <v>133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ROW(Source!A119)</f>
        <v>119</v>
      </c>
      <c r="B121">
        <v>85998433</v>
      </c>
      <c r="C121">
        <v>85998419</v>
      </c>
      <c r="D121">
        <v>84236654</v>
      </c>
      <c r="E121">
        <v>1</v>
      </c>
      <c r="F121">
        <v>1</v>
      </c>
      <c r="G121">
        <v>1</v>
      </c>
      <c r="H121">
        <v>3</v>
      </c>
      <c r="I121" t="s">
        <v>297</v>
      </c>
      <c r="J121" t="s">
        <v>299</v>
      </c>
      <c r="K121" t="s">
        <v>298</v>
      </c>
      <c r="L121">
        <v>1348</v>
      </c>
      <c r="N121">
        <v>1009</v>
      </c>
      <c r="O121" t="s">
        <v>165</v>
      </c>
      <c r="P121" t="s">
        <v>165</v>
      </c>
      <c r="Q121">
        <v>1000</v>
      </c>
      <c r="X121">
        <v>5.0000000000000002E-5</v>
      </c>
      <c r="Y121">
        <v>453122.24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5.0000000000000002E-5</v>
      </c>
      <c r="AH121">
        <v>2</v>
      </c>
      <c r="AI121">
        <v>85998424</v>
      </c>
      <c r="AJ121">
        <v>134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ROW(Source!A119)</f>
        <v>119</v>
      </c>
      <c r="B122">
        <v>85998434</v>
      </c>
      <c r="C122">
        <v>85998419</v>
      </c>
      <c r="D122">
        <v>84240416</v>
      </c>
      <c r="E122">
        <v>1</v>
      </c>
      <c r="F122">
        <v>1</v>
      </c>
      <c r="G122">
        <v>1</v>
      </c>
      <c r="H122">
        <v>3</v>
      </c>
      <c r="I122" t="s">
        <v>301</v>
      </c>
      <c r="J122" t="s">
        <v>303</v>
      </c>
      <c r="K122" t="s">
        <v>302</v>
      </c>
      <c r="L122">
        <v>1346</v>
      </c>
      <c r="N122">
        <v>1009</v>
      </c>
      <c r="O122" t="s">
        <v>170</v>
      </c>
      <c r="P122" t="s">
        <v>170</v>
      </c>
      <c r="Q122">
        <v>1</v>
      </c>
      <c r="X122">
        <v>0.03</v>
      </c>
      <c r="Y122">
        <v>174.93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0.03</v>
      </c>
      <c r="AH122">
        <v>2</v>
      </c>
      <c r="AI122">
        <v>85998425</v>
      </c>
      <c r="AJ122">
        <v>135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ROW(Source!A119)</f>
        <v>119</v>
      </c>
      <c r="B123">
        <v>85998435</v>
      </c>
      <c r="C123">
        <v>85998419</v>
      </c>
      <c r="D123">
        <v>84241418</v>
      </c>
      <c r="E123">
        <v>1</v>
      </c>
      <c r="F123">
        <v>1</v>
      </c>
      <c r="G123">
        <v>1</v>
      </c>
      <c r="H123">
        <v>3</v>
      </c>
      <c r="I123" t="s">
        <v>305</v>
      </c>
      <c r="J123" t="s">
        <v>307</v>
      </c>
      <c r="K123" t="s">
        <v>306</v>
      </c>
      <c r="L123">
        <v>1346</v>
      </c>
      <c r="N123">
        <v>1009</v>
      </c>
      <c r="O123" t="s">
        <v>170</v>
      </c>
      <c r="P123" t="s">
        <v>170</v>
      </c>
      <c r="Q123">
        <v>1</v>
      </c>
      <c r="X123">
        <v>0.115</v>
      </c>
      <c r="Y123">
        <v>138.5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0.115</v>
      </c>
      <c r="AH123">
        <v>2</v>
      </c>
      <c r="AI123">
        <v>85998426</v>
      </c>
      <c r="AJ123">
        <v>136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ROW(Source!A119)</f>
        <v>119</v>
      </c>
      <c r="B124">
        <v>85998436</v>
      </c>
      <c r="C124">
        <v>85998419</v>
      </c>
      <c r="D124">
        <v>84169120</v>
      </c>
      <c r="E124">
        <v>117</v>
      </c>
      <c r="F124">
        <v>1</v>
      </c>
      <c r="G124">
        <v>1</v>
      </c>
      <c r="H124">
        <v>3</v>
      </c>
      <c r="I124" t="s">
        <v>286</v>
      </c>
      <c r="J124" t="s">
        <v>3</v>
      </c>
      <c r="K124" t="s">
        <v>287</v>
      </c>
      <c r="L124">
        <v>1371</v>
      </c>
      <c r="N124">
        <v>1013</v>
      </c>
      <c r="O124" t="s">
        <v>43</v>
      </c>
      <c r="P124" t="s">
        <v>43</v>
      </c>
      <c r="Q124">
        <v>1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1</v>
      </c>
      <c r="AD124">
        <v>0</v>
      </c>
      <c r="AE124">
        <v>0</v>
      </c>
      <c r="AF124" t="s">
        <v>3</v>
      </c>
      <c r="AG124">
        <v>0</v>
      </c>
      <c r="AH124">
        <v>2</v>
      </c>
      <c r="AI124">
        <v>85998427</v>
      </c>
      <c r="AJ124">
        <v>137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ROW(Source!A119)</f>
        <v>119</v>
      </c>
      <c r="B125">
        <v>85998437</v>
      </c>
      <c r="C125">
        <v>85998419</v>
      </c>
      <c r="D125">
        <v>84169318</v>
      </c>
      <c r="E125">
        <v>117</v>
      </c>
      <c r="F125">
        <v>1</v>
      </c>
      <c r="G125">
        <v>1</v>
      </c>
      <c r="H125">
        <v>3</v>
      </c>
      <c r="I125" t="s">
        <v>289</v>
      </c>
      <c r="J125" t="s">
        <v>3</v>
      </c>
      <c r="K125" t="s">
        <v>290</v>
      </c>
      <c r="L125">
        <v>1371</v>
      </c>
      <c r="N125">
        <v>1013</v>
      </c>
      <c r="O125" t="s">
        <v>43</v>
      </c>
      <c r="P125" t="s">
        <v>43</v>
      </c>
      <c r="Q125">
        <v>1</v>
      </c>
      <c r="X125">
        <v>1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 t="s">
        <v>3</v>
      </c>
      <c r="AG125">
        <v>1</v>
      </c>
      <c r="AH125">
        <v>2</v>
      </c>
      <c r="AI125">
        <v>85998428</v>
      </c>
      <c r="AJ125">
        <v>138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ROW(Source!A127)</f>
        <v>127</v>
      </c>
      <c r="B126">
        <v>85998444</v>
      </c>
      <c r="C126">
        <v>85998440</v>
      </c>
      <c r="D126">
        <v>84164568</v>
      </c>
      <c r="E126">
        <v>117</v>
      </c>
      <c r="F126">
        <v>1</v>
      </c>
      <c r="G126">
        <v>1</v>
      </c>
      <c r="H126">
        <v>1</v>
      </c>
      <c r="I126" t="s">
        <v>653</v>
      </c>
      <c r="J126" t="s">
        <v>3</v>
      </c>
      <c r="K126" t="s">
        <v>654</v>
      </c>
      <c r="L126">
        <v>1191</v>
      </c>
      <c r="N126">
        <v>1013</v>
      </c>
      <c r="O126" t="s">
        <v>541</v>
      </c>
      <c r="P126" t="s">
        <v>541</v>
      </c>
      <c r="Q126">
        <v>1</v>
      </c>
      <c r="X126">
        <v>48</v>
      </c>
      <c r="Y126">
        <v>0</v>
      </c>
      <c r="Z126">
        <v>0</v>
      </c>
      <c r="AA126">
        <v>0</v>
      </c>
      <c r="AB126">
        <v>641.22</v>
      </c>
      <c r="AC126">
        <v>0</v>
      </c>
      <c r="AD126">
        <v>1</v>
      </c>
      <c r="AE126">
        <v>1</v>
      </c>
      <c r="AF126" t="s">
        <v>3</v>
      </c>
      <c r="AG126">
        <v>48</v>
      </c>
      <c r="AH126">
        <v>2</v>
      </c>
      <c r="AI126">
        <v>85998441</v>
      </c>
      <c r="AJ126">
        <v>139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ROW(Source!A127)</f>
        <v>127</v>
      </c>
      <c r="B127">
        <v>85998445</v>
      </c>
      <c r="C127">
        <v>85998440</v>
      </c>
      <c r="D127">
        <v>84164762</v>
      </c>
      <c r="E127">
        <v>117</v>
      </c>
      <c r="F127">
        <v>1</v>
      </c>
      <c r="G127">
        <v>1</v>
      </c>
      <c r="H127">
        <v>1</v>
      </c>
      <c r="I127" t="s">
        <v>542</v>
      </c>
      <c r="J127" t="s">
        <v>3</v>
      </c>
      <c r="K127" t="s">
        <v>543</v>
      </c>
      <c r="L127">
        <v>1191</v>
      </c>
      <c r="N127">
        <v>1013</v>
      </c>
      <c r="O127" t="s">
        <v>541</v>
      </c>
      <c r="P127" t="s">
        <v>541</v>
      </c>
      <c r="Q127">
        <v>1</v>
      </c>
      <c r="X127">
        <v>0.75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2</v>
      </c>
      <c r="AF127" t="s">
        <v>3</v>
      </c>
      <c r="AG127">
        <v>0.75</v>
      </c>
      <c r="AH127">
        <v>2</v>
      </c>
      <c r="AI127">
        <v>85998442</v>
      </c>
      <c r="AJ127">
        <v>140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ROW(Source!A127)</f>
        <v>127</v>
      </c>
      <c r="B128">
        <v>85998446</v>
      </c>
      <c r="C128">
        <v>85998440</v>
      </c>
      <c r="D128">
        <v>84171438</v>
      </c>
      <c r="E128">
        <v>1</v>
      </c>
      <c r="F128">
        <v>1</v>
      </c>
      <c r="G128">
        <v>1</v>
      </c>
      <c r="H128">
        <v>2</v>
      </c>
      <c r="I128" t="s">
        <v>27</v>
      </c>
      <c r="J128" t="s">
        <v>30</v>
      </c>
      <c r="K128" t="s">
        <v>28</v>
      </c>
      <c r="L128">
        <v>1368</v>
      </c>
      <c r="N128">
        <v>1011</v>
      </c>
      <c r="O128" t="s">
        <v>29</v>
      </c>
      <c r="P128" t="s">
        <v>29</v>
      </c>
      <c r="Q128">
        <v>1</v>
      </c>
      <c r="X128">
        <v>0.75</v>
      </c>
      <c r="Y128">
        <v>0</v>
      </c>
      <c r="Z128">
        <v>37.32</v>
      </c>
      <c r="AA128">
        <v>641.22</v>
      </c>
      <c r="AB128">
        <v>0</v>
      </c>
      <c r="AC128">
        <v>0</v>
      </c>
      <c r="AD128">
        <v>1</v>
      </c>
      <c r="AE128">
        <v>0</v>
      </c>
      <c r="AF128" t="s">
        <v>3</v>
      </c>
      <c r="AG128">
        <v>0.75</v>
      </c>
      <c r="AH128">
        <v>2</v>
      </c>
      <c r="AI128">
        <v>85998443</v>
      </c>
      <c r="AJ128">
        <v>141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ROW(Source!A129)</f>
        <v>129</v>
      </c>
      <c r="B129">
        <v>85998451</v>
      </c>
      <c r="C129">
        <v>85998447</v>
      </c>
      <c r="D129">
        <v>84164568</v>
      </c>
      <c r="E129">
        <v>117</v>
      </c>
      <c r="F129">
        <v>1</v>
      </c>
      <c r="G129">
        <v>1</v>
      </c>
      <c r="H129">
        <v>1</v>
      </c>
      <c r="I129" t="s">
        <v>653</v>
      </c>
      <c r="J129" t="s">
        <v>3</v>
      </c>
      <c r="K129" t="s">
        <v>654</v>
      </c>
      <c r="L129">
        <v>1191</v>
      </c>
      <c r="N129">
        <v>1013</v>
      </c>
      <c r="O129" t="s">
        <v>541</v>
      </c>
      <c r="P129" t="s">
        <v>541</v>
      </c>
      <c r="Q129">
        <v>1</v>
      </c>
      <c r="X129">
        <v>36</v>
      </c>
      <c r="Y129">
        <v>0</v>
      </c>
      <c r="Z129">
        <v>0</v>
      </c>
      <c r="AA129">
        <v>0</v>
      </c>
      <c r="AB129">
        <v>641.22</v>
      </c>
      <c r="AC129">
        <v>0</v>
      </c>
      <c r="AD129">
        <v>1</v>
      </c>
      <c r="AE129">
        <v>1</v>
      </c>
      <c r="AF129" t="s">
        <v>3</v>
      </c>
      <c r="AG129">
        <v>36</v>
      </c>
      <c r="AH129">
        <v>2</v>
      </c>
      <c r="AI129">
        <v>85998448</v>
      </c>
      <c r="AJ129">
        <v>142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ROW(Source!A129)</f>
        <v>129</v>
      </c>
      <c r="B130">
        <v>85998452</v>
      </c>
      <c r="C130">
        <v>85998447</v>
      </c>
      <c r="D130">
        <v>84164762</v>
      </c>
      <c r="E130">
        <v>117</v>
      </c>
      <c r="F130">
        <v>1</v>
      </c>
      <c r="G130">
        <v>1</v>
      </c>
      <c r="H130">
        <v>1</v>
      </c>
      <c r="I130" t="s">
        <v>542</v>
      </c>
      <c r="J130" t="s">
        <v>3</v>
      </c>
      <c r="K130" t="s">
        <v>543</v>
      </c>
      <c r="L130">
        <v>1191</v>
      </c>
      <c r="N130">
        <v>1013</v>
      </c>
      <c r="O130" t="s">
        <v>541</v>
      </c>
      <c r="P130" t="s">
        <v>541</v>
      </c>
      <c r="Q130">
        <v>1</v>
      </c>
      <c r="X130">
        <v>0.75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3</v>
      </c>
      <c r="AG130">
        <v>0.75</v>
      </c>
      <c r="AH130">
        <v>2</v>
      </c>
      <c r="AI130">
        <v>85998449</v>
      </c>
      <c r="AJ130">
        <v>143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ROW(Source!A129)</f>
        <v>129</v>
      </c>
      <c r="B131">
        <v>85998453</v>
      </c>
      <c r="C131">
        <v>85998447</v>
      </c>
      <c r="D131">
        <v>84171438</v>
      </c>
      <c r="E131">
        <v>1</v>
      </c>
      <c r="F131">
        <v>1</v>
      </c>
      <c r="G131">
        <v>1</v>
      </c>
      <c r="H131">
        <v>2</v>
      </c>
      <c r="I131" t="s">
        <v>27</v>
      </c>
      <c r="J131" t="s">
        <v>30</v>
      </c>
      <c r="K131" t="s">
        <v>28</v>
      </c>
      <c r="L131">
        <v>1368</v>
      </c>
      <c r="N131">
        <v>1011</v>
      </c>
      <c r="O131" t="s">
        <v>29</v>
      </c>
      <c r="P131" t="s">
        <v>29</v>
      </c>
      <c r="Q131">
        <v>1</v>
      </c>
      <c r="X131">
        <v>0.75</v>
      </c>
      <c r="Y131">
        <v>0</v>
      </c>
      <c r="Z131">
        <v>37.32</v>
      </c>
      <c r="AA131">
        <v>641.22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0.75</v>
      </c>
      <c r="AH131">
        <v>2</v>
      </c>
      <c r="AI131">
        <v>85998450</v>
      </c>
      <c r="AJ131">
        <v>144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ROW(Source!A166)</f>
        <v>166</v>
      </c>
      <c r="B132">
        <v>85998467</v>
      </c>
      <c r="C132">
        <v>85998454</v>
      </c>
      <c r="D132">
        <v>84164586</v>
      </c>
      <c r="E132">
        <v>117</v>
      </c>
      <c r="F132">
        <v>1</v>
      </c>
      <c r="G132">
        <v>1</v>
      </c>
      <c r="H132">
        <v>1</v>
      </c>
      <c r="I132" t="s">
        <v>547</v>
      </c>
      <c r="J132" t="s">
        <v>3</v>
      </c>
      <c r="K132" t="s">
        <v>548</v>
      </c>
      <c r="L132">
        <v>1191</v>
      </c>
      <c r="N132">
        <v>1013</v>
      </c>
      <c r="O132" t="s">
        <v>541</v>
      </c>
      <c r="P132" t="s">
        <v>541</v>
      </c>
      <c r="Q132">
        <v>1</v>
      </c>
      <c r="X132">
        <v>80.099999999999994</v>
      </c>
      <c r="Y132">
        <v>0</v>
      </c>
      <c r="Z132">
        <v>0</v>
      </c>
      <c r="AA132">
        <v>0</v>
      </c>
      <c r="AB132">
        <v>705.88</v>
      </c>
      <c r="AC132">
        <v>0</v>
      </c>
      <c r="AD132">
        <v>1</v>
      </c>
      <c r="AE132">
        <v>1</v>
      </c>
      <c r="AF132" t="s">
        <v>330</v>
      </c>
      <c r="AG132">
        <v>110.53799999999998</v>
      </c>
      <c r="AH132">
        <v>2</v>
      </c>
      <c r="AI132">
        <v>85998455</v>
      </c>
      <c r="AJ132">
        <v>145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ROW(Source!A166)</f>
        <v>166</v>
      </c>
      <c r="B133">
        <v>85998468</v>
      </c>
      <c r="C133">
        <v>85998454</v>
      </c>
      <c r="D133">
        <v>84164762</v>
      </c>
      <c r="E133">
        <v>117</v>
      </c>
      <c r="F133">
        <v>1</v>
      </c>
      <c r="G133">
        <v>1</v>
      </c>
      <c r="H133">
        <v>1</v>
      </c>
      <c r="I133" t="s">
        <v>542</v>
      </c>
      <c r="J133" t="s">
        <v>3</v>
      </c>
      <c r="K133" t="s">
        <v>543</v>
      </c>
      <c r="L133">
        <v>1191</v>
      </c>
      <c r="N133">
        <v>1013</v>
      </c>
      <c r="O133" t="s">
        <v>541</v>
      </c>
      <c r="P133" t="s">
        <v>541</v>
      </c>
      <c r="Q133">
        <v>1</v>
      </c>
      <c r="X133">
        <v>10.24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2</v>
      </c>
      <c r="AF133" t="s">
        <v>329</v>
      </c>
      <c r="AG133">
        <v>15.36</v>
      </c>
      <c r="AH133">
        <v>2</v>
      </c>
      <c r="AI133">
        <v>85998456</v>
      </c>
      <c r="AJ133">
        <v>146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ROW(Source!A166)</f>
        <v>166</v>
      </c>
      <c r="B134">
        <v>85998469</v>
      </c>
      <c r="C134">
        <v>85998454</v>
      </c>
      <c r="D134">
        <v>84171199</v>
      </c>
      <c r="E134">
        <v>1</v>
      </c>
      <c r="F134">
        <v>1</v>
      </c>
      <c r="G134">
        <v>1</v>
      </c>
      <c r="H134">
        <v>2</v>
      </c>
      <c r="I134" t="s">
        <v>347</v>
      </c>
      <c r="J134" t="s">
        <v>349</v>
      </c>
      <c r="K134" t="s">
        <v>348</v>
      </c>
      <c r="L134">
        <v>1368</v>
      </c>
      <c r="N134">
        <v>1011</v>
      </c>
      <c r="O134" t="s">
        <v>29</v>
      </c>
      <c r="P134" t="s">
        <v>29</v>
      </c>
      <c r="Q134">
        <v>1</v>
      </c>
      <c r="X134">
        <v>7.08</v>
      </c>
      <c r="Y134">
        <v>0</v>
      </c>
      <c r="Z134">
        <v>1039.32</v>
      </c>
      <c r="AA134">
        <v>969.91</v>
      </c>
      <c r="AB134">
        <v>0</v>
      </c>
      <c r="AC134">
        <v>0</v>
      </c>
      <c r="AD134">
        <v>1</v>
      </c>
      <c r="AE134">
        <v>0</v>
      </c>
      <c r="AF134" t="s">
        <v>329</v>
      </c>
      <c r="AG134">
        <v>10.620000000000001</v>
      </c>
      <c r="AH134">
        <v>2</v>
      </c>
      <c r="AI134">
        <v>85998457</v>
      </c>
      <c r="AJ134">
        <v>147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ROW(Source!A166)</f>
        <v>166</v>
      </c>
      <c r="B135">
        <v>85998470</v>
      </c>
      <c r="C135">
        <v>85998454</v>
      </c>
      <c r="D135">
        <v>84171251</v>
      </c>
      <c r="E135">
        <v>1</v>
      </c>
      <c r="F135">
        <v>1</v>
      </c>
      <c r="G135">
        <v>1</v>
      </c>
      <c r="H135">
        <v>2</v>
      </c>
      <c r="I135" t="s">
        <v>123</v>
      </c>
      <c r="J135" t="s">
        <v>125</v>
      </c>
      <c r="K135" t="s">
        <v>124</v>
      </c>
      <c r="L135">
        <v>1368</v>
      </c>
      <c r="N135">
        <v>1011</v>
      </c>
      <c r="O135" t="s">
        <v>29</v>
      </c>
      <c r="P135" t="s">
        <v>29</v>
      </c>
      <c r="Q135">
        <v>1</v>
      </c>
      <c r="X135">
        <v>1.26</v>
      </c>
      <c r="Y135">
        <v>0</v>
      </c>
      <c r="Z135">
        <v>1629.55</v>
      </c>
      <c r="AA135">
        <v>969.91</v>
      </c>
      <c r="AB135">
        <v>0</v>
      </c>
      <c r="AC135">
        <v>0</v>
      </c>
      <c r="AD135">
        <v>1</v>
      </c>
      <c r="AE135">
        <v>0</v>
      </c>
      <c r="AF135" t="s">
        <v>329</v>
      </c>
      <c r="AG135">
        <v>1.8900000000000001</v>
      </c>
      <c r="AH135">
        <v>2</v>
      </c>
      <c r="AI135">
        <v>85998458</v>
      </c>
      <c r="AJ135">
        <v>148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ROW(Source!A166)</f>
        <v>166</v>
      </c>
      <c r="B136">
        <v>85998471</v>
      </c>
      <c r="C136">
        <v>85998454</v>
      </c>
      <c r="D136">
        <v>84172146</v>
      </c>
      <c r="E136">
        <v>1</v>
      </c>
      <c r="F136">
        <v>1</v>
      </c>
      <c r="G136">
        <v>1</v>
      </c>
      <c r="H136">
        <v>2</v>
      </c>
      <c r="I136" t="s">
        <v>127</v>
      </c>
      <c r="J136" t="s">
        <v>129</v>
      </c>
      <c r="K136" t="s">
        <v>128</v>
      </c>
      <c r="L136">
        <v>1368</v>
      </c>
      <c r="N136">
        <v>1011</v>
      </c>
      <c r="O136" t="s">
        <v>29</v>
      </c>
      <c r="P136" t="s">
        <v>29</v>
      </c>
      <c r="Q136">
        <v>1</v>
      </c>
      <c r="X136">
        <v>1.9</v>
      </c>
      <c r="Y136">
        <v>0</v>
      </c>
      <c r="Z136">
        <v>643.29</v>
      </c>
      <c r="AA136">
        <v>722.05</v>
      </c>
      <c r="AB136">
        <v>0</v>
      </c>
      <c r="AC136">
        <v>0</v>
      </c>
      <c r="AD136">
        <v>1</v>
      </c>
      <c r="AE136">
        <v>0</v>
      </c>
      <c r="AF136" t="s">
        <v>329</v>
      </c>
      <c r="AG136">
        <v>2.8499999999999996</v>
      </c>
      <c r="AH136">
        <v>2</v>
      </c>
      <c r="AI136">
        <v>85998459</v>
      </c>
      <c r="AJ136">
        <v>149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ROW(Source!A166)</f>
        <v>166</v>
      </c>
      <c r="B137">
        <v>85998472</v>
      </c>
      <c r="C137">
        <v>85998454</v>
      </c>
      <c r="D137">
        <v>84165112</v>
      </c>
      <c r="E137">
        <v>117</v>
      </c>
      <c r="F137">
        <v>1</v>
      </c>
      <c r="G137">
        <v>1</v>
      </c>
      <c r="H137">
        <v>3</v>
      </c>
      <c r="I137" t="s">
        <v>337</v>
      </c>
      <c r="J137" t="s">
        <v>3</v>
      </c>
      <c r="K137" t="s">
        <v>338</v>
      </c>
      <c r="L137">
        <v>1377</v>
      </c>
      <c r="N137">
        <v>1013</v>
      </c>
      <c r="O137" t="s">
        <v>339</v>
      </c>
      <c r="P137" t="s">
        <v>339</v>
      </c>
      <c r="Q137">
        <v>1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 t="s">
        <v>3</v>
      </c>
      <c r="AG137">
        <v>0</v>
      </c>
      <c r="AH137">
        <v>2</v>
      </c>
      <c r="AI137">
        <v>85998460</v>
      </c>
      <c r="AJ137">
        <v>150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ROW(Source!A166)</f>
        <v>166</v>
      </c>
      <c r="B138">
        <v>85998473</v>
      </c>
      <c r="C138">
        <v>85998454</v>
      </c>
      <c r="D138">
        <v>84240078</v>
      </c>
      <c r="E138">
        <v>1</v>
      </c>
      <c r="F138">
        <v>1</v>
      </c>
      <c r="G138">
        <v>1</v>
      </c>
      <c r="H138">
        <v>3</v>
      </c>
      <c r="I138" t="s">
        <v>655</v>
      </c>
      <c r="J138" t="s">
        <v>656</v>
      </c>
      <c r="K138" t="s">
        <v>657</v>
      </c>
      <c r="L138">
        <v>1371</v>
      </c>
      <c r="N138">
        <v>1013</v>
      </c>
      <c r="O138" t="s">
        <v>43</v>
      </c>
      <c r="P138" t="s">
        <v>43</v>
      </c>
      <c r="Q138">
        <v>1</v>
      </c>
      <c r="X138">
        <v>22.2</v>
      </c>
      <c r="Y138">
        <v>241.35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22.2</v>
      </c>
      <c r="AH138">
        <v>2</v>
      </c>
      <c r="AI138">
        <v>85998461</v>
      </c>
      <c r="AJ138">
        <v>151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ROW(Source!A166)</f>
        <v>166</v>
      </c>
      <c r="B139">
        <v>85998474</v>
      </c>
      <c r="C139">
        <v>85998454</v>
      </c>
      <c r="D139">
        <v>84240467</v>
      </c>
      <c r="E139">
        <v>1</v>
      </c>
      <c r="F139">
        <v>1</v>
      </c>
      <c r="G139">
        <v>1</v>
      </c>
      <c r="H139">
        <v>3</v>
      </c>
      <c r="I139" t="s">
        <v>658</v>
      </c>
      <c r="J139" t="s">
        <v>659</v>
      </c>
      <c r="K139" t="s">
        <v>660</v>
      </c>
      <c r="L139">
        <v>1348</v>
      </c>
      <c r="N139">
        <v>1009</v>
      </c>
      <c r="O139" t="s">
        <v>165</v>
      </c>
      <c r="P139" t="s">
        <v>165</v>
      </c>
      <c r="Q139">
        <v>1000</v>
      </c>
      <c r="X139">
        <v>1.6800000000000001E-3</v>
      </c>
      <c r="Y139">
        <v>70296.2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1.6800000000000001E-3</v>
      </c>
      <c r="AH139">
        <v>2</v>
      </c>
      <c r="AI139">
        <v>85998462</v>
      </c>
      <c r="AJ139">
        <v>152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ROW(Source!A166)</f>
        <v>166</v>
      </c>
      <c r="B140">
        <v>85998475</v>
      </c>
      <c r="C140">
        <v>85998454</v>
      </c>
      <c r="D140">
        <v>84165420</v>
      </c>
      <c r="E140">
        <v>117</v>
      </c>
      <c r="F140">
        <v>1</v>
      </c>
      <c r="G140">
        <v>1</v>
      </c>
      <c r="H140">
        <v>3</v>
      </c>
      <c r="I140" t="s">
        <v>341</v>
      </c>
      <c r="J140" t="s">
        <v>3</v>
      </c>
      <c r="K140" t="s">
        <v>342</v>
      </c>
      <c r="L140">
        <v>1346</v>
      </c>
      <c r="N140">
        <v>1009</v>
      </c>
      <c r="O140" t="s">
        <v>170</v>
      </c>
      <c r="P140" t="s">
        <v>170</v>
      </c>
      <c r="Q140">
        <v>1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1</v>
      </c>
      <c r="AD140">
        <v>0</v>
      </c>
      <c r="AE140">
        <v>0</v>
      </c>
      <c r="AF140" t="s">
        <v>3</v>
      </c>
      <c r="AG140">
        <v>0</v>
      </c>
      <c r="AH140">
        <v>2</v>
      </c>
      <c r="AI140">
        <v>85998463</v>
      </c>
      <c r="AJ140">
        <v>153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ROW(Source!A166)</f>
        <v>166</v>
      </c>
      <c r="B141">
        <v>85998476</v>
      </c>
      <c r="C141">
        <v>85998454</v>
      </c>
      <c r="D141">
        <v>84242866</v>
      </c>
      <c r="E141">
        <v>1</v>
      </c>
      <c r="F141">
        <v>1</v>
      </c>
      <c r="G141">
        <v>1</v>
      </c>
      <c r="H141">
        <v>3</v>
      </c>
      <c r="I141" t="s">
        <v>661</v>
      </c>
      <c r="J141" t="s">
        <v>662</v>
      </c>
      <c r="K141" t="s">
        <v>663</v>
      </c>
      <c r="L141">
        <v>1339</v>
      </c>
      <c r="N141">
        <v>1007</v>
      </c>
      <c r="O141" t="s">
        <v>649</v>
      </c>
      <c r="P141" t="s">
        <v>649</v>
      </c>
      <c r="Q141">
        <v>1</v>
      </c>
      <c r="X141">
        <v>7.5999999999999998E-2</v>
      </c>
      <c r="Y141">
        <v>3878.19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7.5999999999999998E-2</v>
      </c>
      <c r="AH141">
        <v>2</v>
      </c>
      <c r="AI141">
        <v>85998464</v>
      </c>
      <c r="AJ141">
        <v>154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ROW(Source!A166)</f>
        <v>166</v>
      </c>
      <c r="B142">
        <v>85998477</v>
      </c>
      <c r="C142">
        <v>85998454</v>
      </c>
      <c r="D142">
        <v>84249856</v>
      </c>
      <c r="E142">
        <v>1</v>
      </c>
      <c r="F142">
        <v>1</v>
      </c>
      <c r="G142">
        <v>1</v>
      </c>
      <c r="H142">
        <v>3</v>
      </c>
      <c r="I142" t="s">
        <v>664</v>
      </c>
      <c r="J142" t="s">
        <v>665</v>
      </c>
      <c r="K142" t="s">
        <v>666</v>
      </c>
      <c r="L142">
        <v>1339</v>
      </c>
      <c r="N142">
        <v>1007</v>
      </c>
      <c r="O142" t="s">
        <v>649</v>
      </c>
      <c r="P142" t="s">
        <v>649</v>
      </c>
      <c r="Q142">
        <v>1</v>
      </c>
      <c r="X142">
        <v>7.0000000000000007E-2</v>
      </c>
      <c r="Y142">
        <v>5764.42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7.0000000000000007E-2</v>
      </c>
      <c r="AH142">
        <v>2</v>
      </c>
      <c r="AI142">
        <v>85998465</v>
      </c>
      <c r="AJ142">
        <v>155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ROW(Source!A166)</f>
        <v>166</v>
      </c>
      <c r="B143">
        <v>85998478</v>
      </c>
      <c r="C143">
        <v>85998454</v>
      </c>
      <c r="D143">
        <v>84167694</v>
      </c>
      <c r="E143">
        <v>117</v>
      </c>
      <c r="F143">
        <v>1</v>
      </c>
      <c r="G143">
        <v>1</v>
      </c>
      <c r="H143">
        <v>3</v>
      </c>
      <c r="I143" t="s">
        <v>344</v>
      </c>
      <c r="J143" t="s">
        <v>3</v>
      </c>
      <c r="K143" t="s">
        <v>345</v>
      </c>
      <c r="L143">
        <v>1327</v>
      </c>
      <c r="N143">
        <v>1005</v>
      </c>
      <c r="O143" t="s">
        <v>675</v>
      </c>
      <c r="P143" t="s">
        <v>675</v>
      </c>
      <c r="Q143">
        <v>1</v>
      </c>
      <c r="X143">
        <v>100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 t="s">
        <v>3</v>
      </c>
      <c r="AG143">
        <v>100</v>
      </c>
      <c r="AH143">
        <v>2</v>
      </c>
      <c r="AI143">
        <v>85998466</v>
      </c>
      <c r="AJ143">
        <v>156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ROW(Source!A174)</f>
        <v>174</v>
      </c>
      <c r="B144">
        <v>85998493</v>
      </c>
      <c r="C144">
        <v>85998487</v>
      </c>
      <c r="D144">
        <v>84164550</v>
      </c>
      <c r="E144">
        <v>117</v>
      </c>
      <c r="F144">
        <v>1</v>
      </c>
      <c r="G144">
        <v>1</v>
      </c>
      <c r="H144">
        <v>1</v>
      </c>
      <c r="I144" t="s">
        <v>667</v>
      </c>
      <c r="J144" t="s">
        <v>3</v>
      </c>
      <c r="K144" t="s">
        <v>668</v>
      </c>
      <c r="L144">
        <v>1191</v>
      </c>
      <c r="N144">
        <v>1013</v>
      </c>
      <c r="O144" t="s">
        <v>541</v>
      </c>
      <c r="P144" t="s">
        <v>541</v>
      </c>
      <c r="Q144">
        <v>1</v>
      </c>
      <c r="X144">
        <v>7.82</v>
      </c>
      <c r="Y144">
        <v>0</v>
      </c>
      <c r="Z144">
        <v>0</v>
      </c>
      <c r="AA144">
        <v>0</v>
      </c>
      <c r="AB144">
        <v>614.28</v>
      </c>
      <c r="AC144">
        <v>0</v>
      </c>
      <c r="AD144">
        <v>1</v>
      </c>
      <c r="AE144">
        <v>1</v>
      </c>
      <c r="AF144" t="s">
        <v>330</v>
      </c>
      <c r="AG144">
        <v>10.791599999999999</v>
      </c>
      <c r="AH144">
        <v>2</v>
      </c>
      <c r="AI144">
        <v>85998488</v>
      </c>
      <c r="AJ144">
        <v>157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ROW(Source!A174)</f>
        <v>174</v>
      </c>
      <c r="B145">
        <v>85998494</v>
      </c>
      <c r="C145">
        <v>85998487</v>
      </c>
      <c r="D145">
        <v>84164762</v>
      </c>
      <c r="E145">
        <v>117</v>
      </c>
      <c r="F145">
        <v>1</v>
      </c>
      <c r="G145">
        <v>1</v>
      </c>
      <c r="H145">
        <v>1</v>
      </c>
      <c r="I145" t="s">
        <v>542</v>
      </c>
      <c r="J145" t="s">
        <v>3</v>
      </c>
      <c r="K145" t="s">
        <v>543</v>
      </c>
      <c r="L145">
        <v>1191</v>
      </c>
      <c r="N145">
        <v>1013</v>
      </c>
      <c r="O145" t="s">
        <v>541</v>
      </c>
      <c r="P145" t="s">
        <v>541</v>
      </c>
      <c r="Q145">
        <v>1</v>
      </c>
      <c r="X145">
        <v>0.04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1</v>
      </c>
      <c r="AE145">
        <v>2</v>
      </c>
      <c r="AF145" t="s">
        <v>329</v>
      </c>
      <c r="AG145">
        <v>0.06</v>
      </c>
      <c r="AH145">
        <v>2</v>
      </c>
      <c r="AI145">
        <v>85998489</v>
      </c>
      <c r="AJ145">
        <v>158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ROW(Source!A174)</f>
        <v>174</v>
      </c>
      <c r="B146">
        <v>85998495</v>
      </c>
      <c r="C146">
        <v>85998487</v>
      </c>
      <c r="D146">
        <v>84172146</v>
      </c>
      <c r="E146">
        <v>1</v>
      </c>
      <c r="F146">
        <v>1</v>
      </c>
      <c r="G146">
        <v>1</v>
      </c>
      <c r="H146">
        <v>2</v>
      </c>
      <c r="I146" t="s">
        <v>127</v>
      </c>
      <c r="J146" t="s">
        <v>129</v>
      </c>
      <c r="K146" t="s">
        <v>128</v>
      </c>
      <c r="L146">
        <v>1368</v>
      </c>
      <c r="N146">
        <v>1011</v>
      </c>
      <c r="O146" t="s">
        <v>29</v>
      </c>
      <c r="P146" t="s">
        <v>29</v>
      </c>
      <c r="Q146">
        <v>1</v>
      </c>
      <c r="X146">
        <v>0.04</v>
      </c>
      <c r="Y146">
        <v>0</v>
      </c>
      <c r="Z146">
        <v>643.29</v>
      </c>
      <c r="AA146">
        <v>722.05</v>
      </c>
      <c r="AB146">
        <v>0</v>
      </c>
      <c r="AC146">
        <v>0</v>
      </c>
      <c r="AD146">
        <v>1</v>
      </c>
      <c r="AE146">
        <v>0</v>
      </c>
      <c r="AF146" t="s">
        <v>329</v>
      </c>
      <c r="AG146">
        <v>0.06</v>
      </c>
      <c r="AH146">
        <v>2</v>
      </c>
      <c r="AI146">
        <v>85998490</v>
      </c>
      <c r="AJ146">
        <v>159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ROW(Source!A174)</f>
        <v>174</v>
      </c>
      <c r="B147">
        <v>85998496</v>
      </c>
      <c r="C147">
        <v>85998487</v>
      </c>
      <c r="D147">
        <v>84240467</v>
      </c>
      <c r="E147">
        <v>1</v>
      </c>
      <c r="F147">
        <v>1</v>
      </c>
      <c r="G147">
        <v>1</v>
      </c>
      <c r="H147">
        <v>3</v>
      </c>
      <c r="I147" t="s">
        <v>658</v>
      </c>
      <c r="J147" t="s">
        <v>659</v>
      </c>
      <c r="K147" t="s">
        <v>660</v>
      </c>
      <c r="L147">
        <v>1348</v>
      </c>
      <c r="N147">
        <v>1009</v>
      </c>
      <c r="O147" t="s">
        <v>165</v>
      </c>
      <c r="P147" t="s">
        <v>165</v>
      </c>
      <c r="Q147">
        <v>1000</v>
      </c>
      <c r="X147">
        <v>7.1000000000000002E-4</v>
      </c>
      <c r="Y147">
        <v>70296.2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7.1000000000000002E-4</v>
      </c>
      <c r="AH147">
        <v>2</v>
      </c>
      <c r="AI147">
        <v>85998491</v>
      </c>
      <c r="AJ147">
        <v>160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ROW(Source!A174)</f>
        <v>174</v>
      </c>
      <c r="B148">
        <v>85998497</v>
      </c>
      <c r="C148">
        <v>85998487</v>
      </c>
      <c r="D148">
        <v>84167616</v>
      </c>
      <c r="E148">
        <v>117</v>
      </c>
      <c r="F148">
        <v>1</v>
      </c>
      <c r="G148">
        <v>1</v>
      </c>
      <c r="H148">
        <v>3</v>
      </c>
      <c r="I148" t="s">
        <v>691</v>
      </c>
      <c r="J148" t="s">
        <v>3</v>
      </c>
      <c r="K148" t="s">
        <v>692</v>
      </c>
      <c r="L148">
        <v>1301</v>
      </c>
      <c r="N148">
        <v>1003</v>
      </c>
      <c r="O148" t="s">
        <v>364</v>
      </c>
      <c r="P148" t="s">
        <v>364</v>
      </c>
      <c r="Q148">
        <v>1</v>
      </c>
      <c r="X148">
        <v>112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 t="s">
        <v>3</v>
      </c>
      <c r="AG148">
        <v>112</v>
      </c>
      <c r="AH148">
        <v>3</v>
      </c>
      <c r="AI148">
        <v>-1</v>
      </c>
      <c r="AJ148" t="s">
        <v>3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ROW(Source!A212)</f>
        <v>212</v>
      </c>
      <c r="B149">
        <v>85998507</v>
      </c>
      <c r="C149">
        <v>85998499</v>
      </c>
      <c r="D149">
        <v>84164590</v>
      </c>
      <c r="E149">
        <v>117</v>
      </c>
      <c r="F149">
        <v>1</v>
      </c>
      <c r="G149">
        <v>1</v>
      </c>
      <c r="H149">
        <v>1</v>
      </c>
      <c r="I149" t="s">
        <v>590</v>
      </c>
      <c r="J149" t="s">
        <v>3</v>
      </c>
      <c r="K149" t="s">
        <v>591</v>
      </c>
      <c r="L149">
        <v>1191</v>
      </c>
      <c r="N149">
        <v>1013</v>
      </c>
      <c r="O149" t="s">
        <v>541</v>
      </c>
      <c r="P149" t="s">
        <v>541</v>
      </c>
      <c r="Q149">
        <v>1</v>
      </c>
      <c r="X149">
        <v>20.329999999999998</v>
      </c>
      <c r="Y149">
        <v>0</v>
      </c>
      <c r="Z149">
        <v>0</v>
      </c>
      <c r="AA149">
        <v>0</v>
      </c>
      <c r="AB149">
        <v>713.96</v>
      </c>
      <c r="AC149">
        <v>0</v>
      </c>
      <c r="AD149">
        <v>1</v>
      </c>
      <c r="AE149">
        <v>1</v>
      </c>
      <c r="AF149" t="s">
        <v>47</v>
      </c>
      <c r="AG149">
        <v>6.0989999999999993</v>
      </c>
      <c r="AH149">
        <v>2</v>
      </c>
      <c r="AI149">
        <v>85998500</v>
      </c>
      <c r="AJ149">
        <v>162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ROW(Source!A212)</f>
        <v>212</v>
      </c>
      <c r="B150">
        <v>85998508</v>
      </c>
      <c r="C150">
        <v>85998499</v>
      </c>
      <c r="D150">
        <v>84164762</v>
      </c>
      <c r="E150">
        <v>117</v>
      </c>
      <c r="F150">
        <v>1</v>
      </c>
      <c r="G150">
        <v>1</v>
      </c>
      <c r="H150">
        <v>1</v>
      </c>
      <c r="I150" t="s">
        <v>542</v>
      </c>
      <c r="J150" t="s">
        <v>3</v>
      </c>
      <c r="K150" t="s">
        <v>543</v>
      </c>
      <c r="L150">
        <v>1191</v>
      </c>
      <c r="N150">
        <v>1013</v>
      </c>
      <c r="O150" t="s">
        <v>541</v>
      </c>
      <c r="P150" t="s">
        <v>541</v>
      </c>
      <c r="Q150">
        <v>1</v>
      </c>
      <c r="X150">
        <v>0.01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2</v>
      </c>
      <c r="AF150" t="s">
        <v>47</v>
      </c>
      <c r="AG150">
        <v>3.0000000000000001E-3</v>
      </c>
      <c r="AH150">
        <v>2</v>
      </c>
      <c r="AI150">
        <v>85998501</v>
      </c>
      <c r="AJ150">
        <v>163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ROW(Source!A212)</f>
        <v>212</v>
      </c>
      <c r="B151">
        <v>85998509</v>
      </c>
      <c r="C151">
        <v>85998499</v>
      </c>
      <c r="D151">
        <v>84171438</v>
      </c>
      <c r="E151">
        <v>1</v>
      </c>
      <c r="F151">
        <v>1</v>
      </c>
      <c r="G151">
        <v>1</v>
      </c>
      <c r="H151">
        <v>2</v>
      </c>
      <c r="I151" t="s">
        <v>27</v>
      </c>
      <c r="J151" t="s">
        <v>30</v>
      </c>
      <c r="K151" t="s">
        <v>28</v>
      </c>
      <c r="L151">
        <v>1368</v>
      </c>
      <c r="N151">
        <v>1011</v>
      </c>
      <c r="O151" t="s">
        <v>29</v>
      </c>
      <c r="P151" t="s">
        <v>29</v>
      </c>
      <c r="Q151">
        <v>1</v>
      </c>
      <c r="X151">
        <v>0.01</v>
      </c>
      <c r="Y151">
        <v>0</v>
      </c>
      <c r="Z151">
        <v>37.32</v>
      </c>
      <c r="AA151">
        <v>641.22</v>
      </c>
      <c r="AB151">
        <v>0</v>
      </c>
      <c r="AC151">
        <v>0</v>
      </c>
      <c r="AD151">
        <v>1</v>
      </c>
      <c r="AE151">
        <v>0</v>
      </c>
      <c r="AF151" t="s">
        <v>47</v>
      </c>
      <c r="AG151">
        <v>3.0000000000000001E-3</v>
      </c>
      <c r="AH151">
        <v>2</v>
      </c>
      <c r="AI151">
        <v>85998502</v>
      </c>
      <c r="AJ151">
        <v>164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ROW(Source!A212)</f>
        <v>212</v>
      </c>
      <c r="B152">
        <v>85998510</v>
      </c>
      <c r="C152">
        <v>85998499</v>
      </c>
      <c r="D152">
        <v>84238914</v>
      </c>
      <c r="E152">
        <v>1</v>
      </c>
      <c r="F152">
        <v>1</v>
      </c>
      <c r="G152">
        <v>1</v>
      </c>
      <c r="H152">
        <v>3</v>
      </c>
      <c r="I152" t="s">
        <v>558</v>
      </c>
      <c r="J152" t="s">
        <v>559</v>
      </c>
      <c r="K152" t="s">
        <v>560</v>
      </c>
      <c r="L152">
        <v>1383</v>
      </c>
      <c r="N152">
        <v>1013</v>
      </c>
      <c r="O152" t="s">
        <v>561</v>
      </c>
      <c r="P152" t="s">
        <v>561</v>
      </c>
      <c r="Q152">
        <v>1</v>
      </c>
      <c r="X152">
        <v>8.2403999999999993</v>
      </c>
      <c r="Y152">
        <v>6.78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46</v>
      </c>
      <c r="AG152">
        <v>0</v>
      </c>
      <c r="AH152">
        <v>2</v>
      </c>
      <c r="AI152">
        <v>85998503</v>
      </c>
      <c r="AJ152">
        <v>165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ROW(Source!A212)</f>
        <v>212</v>
      </c>
      <c r="B153">
        <v>85998511</v>
      </c>
      <c r="C153">
        <v>85998499</v>
      </c>
      <c r="D153">
        <v>84240484</v>
      </c>
      <c r="E153">
        <v>1</v>
      </c>
      <c r="F153">
        <v>1</v>
      </c>
      <c r="G153">
        <v>1</v>
      </c>
      <c r="H153">
        <v>3</v>
      </c>
      <c r="I153" t="s">
        <v>592</v>
      </c>
      <c r="J153" t="s">
        <v>593</v>
      </c>
      <c r="K153" t="s">
        <v>594</v>
      </c>
      <c r="L153">
        <v>1407</v>
      </c>
      <c r="N153">
        <v>1013</v>
      </c>
      <c r="O153" t="s">
        <v>595</v>
      </c>
      <c r="P153" t="s">
        <v>595</v>
      </c>
      <c r="Q153">
        <v>1</v>
      </c>
      <c r="X153">
        <v>0.4</v>
      </c>
      <c r="Y153">
        <v>261.08999999999997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46</v>
      </c>
      <c r="AG153">
        <v>0</v>
      </c>
      <c r="AH153">
        <v>2</v>
      </c>
      <c r="AI153">
        <v>85998504</v>
      </c>
      <c r="AJ153">
        <v>166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ROW(Source!A212)</f>
        <v>212</v>
      </c>
      <c r="B154">
        <v>85998512</v>
      </c>
      <c r="C154">
        <v>85998499</v>
      </c>
      <c r="D154">
        <v>84240761</v>
      </c>
      <c r="E154">
        <v>1</v>
      </c>
      <c r="F154">
        <v>1</v>
      </c>
      <c r="G154">
        <v>1</v>
      </c>
      <c r="H154">
        <v>3</v>
      </c>
      <c r="I154" t="s">
        <v>596</v>
      </c>
      <c r="J154" t="s">
        <v>597</v>
      </c>
      <c r="K154" t="s">
        <v>598</v>
      </c>
      <c r="L154">
        <v>1348</v>
      </c>
      <c r="N154">
        <v>1009</v>
      </c>
      <c r="O154" t="s">
        <v>165</v>
      </c>
      <c r="P154" t="s">
        <v>165</v>
      </c>
      <c r="Q154">
        <v>1000</v>
      </c>
      <c r="X154">
        <v>1.4E-3</v>
      </c>
      <c r="Y154">
        <v>99190.96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46</v>
      </c>
      <c r="AG154">
        <v>0</v>
      </c>
      <c r="AH154">
        <v>2</v>
      </c>
      <c r="AI154">
        <v>85998505</v>
      </c>
      <c r="AJ154">
        <v>167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ROW(Source!A212)</f>
        <v>212</v>
      </c>
      <c r="B155">
        <v>85998513</v>
      </c>
      <c r="C155">
        <v>85998499</v>
      </c>
      <c r="D155">
        <v>84170596</v>
      </c>
      <c r="E155">
        <v>117</v>
      </c>
      <c r="F155">
        <v>1</v>
      </c>
      <c r="G155">
        <v>1</v>
      </c>
      <c r="H155">
        <v>3</v>
      </c>
      <c r="I155" t="s">
        <v>55</v>
      </c>
      <c r="J155" t="s">
        <v>3</v>
      </c>
      <c r="K155" t="s">
        <v>56</v>
      </c>
      <c r="L155">
        <v>3277935</v>
      </c>
      <c r="N155">
        <v>1013</v>
      </c>
      <c r="O155" t="s">
        <v>57</v>
      </c>
      <c r="P155" t="s">
        <v>57</v>
      </c>
      <c r="Q155">
        <v>1</v>
      </c>
      <c r="X155">
        <v>2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 t="s">
        <v>46</v>
      </c>
      <c r="AG155">
        <v>0</v>
      </c>
      <c r="AH155">
        <v>2</v>
      </c>
      <c r="AI155">
        <v>85998506</v>
      </c>
      <c r="AJ155">
        <v>168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ROW(Source!A215)</f>
        <v>215</v>
      </c>
      <c r="B156">
        <v>85998519</v>
      </c>
      <c r="C156">
        <v>85998515</v>
      </c>
      <c r="D156">
        <v>84164528</v>
      </c>
      <c r="E156">
        <v>117</v>
      </c>
      <c r="F156">
        <v>1</v>
      </c>
      <c r="G156">
        <v>1</v>
      </c>
      <c r="H156">
        <v>1</v>
      </c>
      <c r="I156" t="s">
        <v>539</v>
      </c>
      <c r="J156" t="s">
        <v>3</v>
      </c>
      <c r="K156" t="s">
        <v>540</v>
      </c>
      <c r="L156">
        <v>1191</v>
      </c>
      <c r="N156">
        <v>1013</v>
      </c>
      <c r="O156" t="s">
        <v>541</v>
      </c>
      <c r="P156" t="s">
        <v>541</v>
      </c>
      <c r="Q156">
        <v>1</v>
      </c>
      <c r="X156">
        <v>9.64</v>
      </c>
      <c r="Y156">
        <v>0</v>
      </c>
      <c r="Z156">
        <v>0</v>
      </c>
      <c r="AA156">
        <v>0</v>
      </c>
      <c r="AB156">
        <v>587.34</v>
      </c>
      <c r="AC156">
        <v>0</v>
      </c>
      <c r="AD156">
        <v>1</v>
      </c>
      <c r="AE156">
        <v>1</v>
      </c>
      <c r="AF156" t="s">
        <v>3</v>
      </c>
      <c r="AG156">
        <v>9.64</v>
      </c>
      <c r="AH156">
        <v>2</v>
      </c>
      <c r="AI156">
        <v>85998516</v>
      </c>
      <c r="AJ156">
        <v>169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ROW(Source!A215)</f>
        <v>215</v>
      </c>
      <c r="B157">
        <v>85998520</v>
      </c>
      <c r="C157">
        <v>85998515</v>
      </c>
      <c r="D157">
        <v>84164762</v>
      </c>
      <c r="E157">
        <v>117</v>
      </c>
      <c r="F157">
        <v>1</v>
      </c>
      <c r="G157">
        <v>1</v>
      </c>
      <c r="H157">
        <v>1</v>
      </c>
      <c r="I157" t="s">
        <v>542</v>
      </c>
      <c r="J157" t="s">
        <v>3</v>
      </c>
      <c r="K157" t="s">
        <v>543</v>
      </c>
      <c r="L157">
        <v>1191</v>
      </c>
      <c r="N157">
        <v>1013</v>
      </c>
      <c r="O157" t="s">
        <v>541</v>
      </c>
      <c r="P157" t="s">
        <v>541</v>
      </c>
      <c r="Q157">
        <v>1</v>
      </c>
      <c r="X157">
        <v>0.01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2</v>
      </c>
      <c r="AF157" t="s">
        <v>3</v>
      </c>
      <c r="AG157">
        <v>0.01</v>
      </c>
      <c r="AH157">
        <v>2</v>
      </c>
      <c r="AI157">
        <v>85998517</v>
      </c>
      <c r="AJ157">
        <v>170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ROW(Source!A215)</f>
        <v>215</v>
      </c>
      <c r="B158">
        <v>85998521</v>
      </c>
      <c r="C158">
        <v>85998515</v>
      </c>
      <c r="D158">
        <v>84171438</v>
      </c>
      <c r="E158">
        <v>1</v>
      </c>
      <c r="F158">
        <v>1</v>
      </c>
      <c r="G158">
        <v>1</v>
      </c>
      <c r="H158">
        <v>2</v>
      </c>
      <c r="I158" t="s">
        <v>27</v>
      </c>
      <c r="J158" t="s">
        <v>30</v>
      </c>
      <c r="K158" t="s">
        <v>28</v>
      </c>
      <c r="L158">
        <v>1368</v>
      </c>
      <c r="N158">
        <v>1011</v>
      </c>
      <c r="O158" t="s">
        <v>29</v>
      </c>
      <c r="P158" t="s">
        <v>29</v>
      </c>
      <c r="Q158">
        <v>1</v>
      </c>
      <c r="X158">
        <v>0.01</v>
      </c>
      <c r="Y158">
        <v>0</v>
      </c>
      <c r="Z158">
        <v>37.32</v>
      </c>
      <c r="AA158">
        <v>641.22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0.01</v>
      </c>
      <c r="AH158">
        <v>2</v>
      </c>
      <c r="AI158">
        <v>85998518</v>
      </c>
      <c r="AJ158">
        <v>171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ROW(Source!A216)</f>
        <v>216</v>
      </c>
      <c r="B159">
        <v>85998524</v>
      </c>
      <c r="C159">
        <v>85998522</v>
      </c>
      <c r="D159">
        <v>84164528</v>
      </c>
      <c r="E159">
        <v>117</v>
      </c>
      <c r="F159">
        <v>1</v>
      </c>
      <c r="G159">
        <v>1</v>
      </c>
      <c r="H159">
        <v>1</v>
      </c>
      <c r="I159" t="s">
        <v>539</v>
      </c>
      <c r="J159" t="s">
        <v>3</v>
      </c>
      <c r="K159" t="s">
        <v>540</v>
      </c>
      <c r="L159">
        <v>1191</v>
      </c>
      <c r="N159">
        <v>1013</v>
      </c>
      <c r="O159" t="s">
        <v>541</v>
      </c>
      <c r="P159" t="s">
        <v>541</v>
      </c>
      <c r="Q159">
        <v>1</v>
      </c>
      <c r="X159">
        <v>5.84</v>
      </c>
      <c r="Y159">
        <v>0</v>
      </c>
      <c r="Z159">
        <v>0</v>
      </c>
      <c r="AA159">
        <v>0</v>
      </c>
      <c r="AB159">
        <v>587.34</v>
      </c>
      <c r="AC159">
        <v>0</v>
      </c>
      <c r="AD159">
        <v>1</v>
      </c>
      <c r="AE159">
        <v>1</v>
      </c>
      <c r="AF159" t="s">
        <v>3</v>
      </c>
      <c r="AG159">
        <v>5.84</v>
      </c>
      <c r="AH159">
        <v>2</v>
      </c>
      <c r="AI159">
        <v>85998523</v>
      </c>
      <c r="AJ159">
        <v>172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ROW(Source!A217)</f>
        <v>217</v>
      </c>
      <c r="B160">
        <v>85998538</v>
      </c>
      <c r="C160">
        <v>85998525</v>
      </c>
      <c r="D160">
        <v>84164590</v>
      </c>
      <c r="E160">
        <v>117</v>
      </c>
      <c r="F160">
        <v>1</v>
      </c>
      <c r="G160">
        <v>1</v>
      </c>
      <c r="H160">
        <v>1</v>
      </c>
      <c r="I160" t="s">
        <v>590</v>
      </c>
      <c r="J160" t="s">
        <v>3</v>
      </c>
      <c r="K160" t="s">
        <v>591</v>
      </c>
      <c r="L160">
        <v>1191</v>
      </c>
      <c r="N160">
        <v>1013</v>
      </c>
      <c r="O160" t="s">
        <v>541</v>
      </c>
      <c r="P160" t="s">
        <v>541</v>
      </c>
      <c r="Q160">
        <v>1</v>
      </c>
      <c r="X160">
        <v>20.329999999999998</v>
      </c>
      <c r="Y160">
        <v>0</v>
      </c>
      <c r="Z160">
        <v>0</v>
      </c>
      <c r="AA160">
        <v>0</v>
      </c>
      <c r="AB160">
        <v>713.96</v>
      </c>
      <c r="AC160">
        <v>0</v>
      </c>
      <c r="AD160">
        <v>1</v>
      </c>
      <c r="AE160">
        <v>1</v>
      </c>
      <c r="AF160" t="s">
        <v>3</v>
      </c>
      <c r="AG160">
        <v>20.329999999999998</v>
      </c>
      <c r="AH160">
        <v>2</v>
      </c>
      <c r="AI160">
        <v>85998526</v>
      </c>
      <c r="AJ160">
        <v>173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ROW(Source!A217)</f>
        <v>217</v>
      </c>
      <c r="B161">
        <v>85998539</v>
      </c>
      <c r="C161">
        <v>85998525</v>
      </c>
      <c r="D161">
        <v>84164762</v>
      </c>
      <c r="E161">
        <v>117</v>
      </c>
      <c r="F161">
        <v>1</v>
      </c>
      <c r="G161">
        <v>1</v>
      </c>
      <c r="H161">
        <v>1</v>
      </c>
      <c r="I161" t="s">
        <v>542</v>
      </c>
      <c r="J161" t="s">
        <v>3</v>
      </c>
      <c r="K161" t="s">
        <v>543</v>
      </c>
      <c r="L161">
        <v>1191</v>
      </c>
      <c r="N161">
        <v>1013</v>
      </c>
      <c r="O161" t="s">
        <v>541</v>
      </c>
      <c r="P161" t="s">
        <v>541</v>
      </c>
      <c r="Q161">
        <v>1</v>
      </c>
      <c r="X161">
        <v>0.01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2</v>
      </c>
      <c r="AF161" t="s">
        <v>3</v>
      </c>
      <c r="AG161">
        <v>0.01</v>
      </c>
      <c r="AH161">
        <v>2</v>
      </c>
      <c r="AI161">
        <v>85998527</v>
      </c>
      <c r="AJ161">
        <v>174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ROW(Source!A217)</f>
        <v>217</v>
      </c>
      <c r="B162">
        <v>85998540</v>
      </c>
      <c r="C162">
        <v>85998525</v>
      </c>
      <c r="D162">
        <v>84171438</v>
      </c>
      <c r="E162">
        <v>1</v>
      </c>
      <c r="F162">
        <v>1</v>
      </c>
      <c r="G162">
        <v>1</v>
      </c>
      <c r="H162">
        <v>2</v>
      </c>
      <c r="I162" t="s">
        <v>27</v>
      </c>
      <c r="J162" t="s">
        <v>30</v>
      </c>
      <c r="K162" t="s">
        <v>28</v>
      </c>
      <c r="L162">
        <v>1368</v>
      </c>
      <c r="N162">
        <v>1011</v>
      </c>
      <c r="O162" t="s">
        <v>29</v>
      </c>
      <c r="P162" t="s">
        <v>29</v>
      </c>
      <c r="Q162">
        <v>1</v>
      </c>
      <c r="X162">
        <v>0.01</v>
      </c>
      <c r="Y162">
        <v>0</v>
      </c>
      <c r="Z162">
        <v>37.32</v>
      </c>
      <c r="AA162">
        <v>641.22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0.01</v>
      </c>
      <c r="AH162">
        <v>2</v>
      </c>
      <c r="AI162">
        <v>85998528</v>
      </c>
      <c r="AJ162">
        <v>175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ROW(Source!A217)</f>
        <v>217</v>
      </c>
      <c r="B163">
        <v>85998541</v>
      </c>
      <c r="C163">
        <v>85998525</v>
      </c>
      <c r="D163">
        <v>84238914</v>
      </c>
      <c r="E163">
        <v>1</v>
      </c>
      <c r="F163">
        <v>1</v>
      </c>
      <c r="G163">
        <v>1</v>
      </c>
      <c r="H163">
        <v>3</v>
      </c>
      <c r="I163" t="s">
        <v>558</v>
      </c>
      <c r="J163" t="s">
        <v>559</v>
      </c>
      <c r="K163" t="s">
        <v>560</v>
      </c>
      <c r="L163">
        <v>1383</v>
      </c>
      <c r="N163">
        <v>1013</v>
      </c>
      <c r="O163" t="s">
        <v>561</v>
      </c>
      <c r="P163" t="s">
        <v>561</v>
      </c>
      <c r="Q163">
        <v>1</v>
      </c>
      <c r="X163">
        <v>8.2403999999999993</v>
      </c>
      <c r="Y163">
        <v>6.78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8.2403999999999993</v>
      </c>
      <c r="AH163">
        <v>2</v>
      </c>
      <c r="AI163">
        <v>85998529</v>
      </c>
      <c r="AJ163">
        <v>176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ROW(Source!A217)</f>
        <v>217</v>
      </c>
      <c r="B164">
        <v>85998542</v>
      </c>
      <c r="C164">
        <v>85998525</v>
      </c>
      <c r="D164">
        <v>84240484</v>
      </c>
      <c r="E164">
        <v>1</v>
      </c>
      <c r="F164">
        <v>1</v>
      </c>
      <c r="G164">
        <v>1</v>
      </c>
      <c r="H164">
        <v>3</v>
      </c>
      <c r="I164" t="s">
        <v>592</v>
      </c>
      <c r="J164" t="s">
        <v>593</v>
      </c>
      <c r="K164" t="s">
        <v>594</v>
      </c>
      <c r="L164">
        <v>1407</v>
      </c>
      <c r="N164">
        <v>1013</v>
      </c>
      <c r="O164" t="s">
        <v>595</v>
      </c>
      <c r="P164" t="s">
        <v>595</v>
      </c>
      <c r="Q164">
        <v>1</v>
      </c>
      <c r="X164">
        <v>0.4</v>
      </c>
      <c r="Y164">
        <v>261.08999999999997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0.4</v>
      </c>
      <c r="AH164">
        <v>2</v>
      </c>
      <c r="AI164">
        <v>85998530</v>
      </c>
      <c r="AJ164">
        <v>177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ROW(Source!A217)</f>
        <v>217</v>
      </c>
      <c r="B165">
        <v>85998543</v>
      </c>
      <c r="C165">
        <v>85998525</v>
      </c>
      <c r="D165">
        <v>84240761</v>
      </c>
      <c r="E165">
        <v>1</v>
      </c>
      <c r="F165">
        <v>1</v>
      </c>
      <c r="G165">
        <v>1</v>
      </c>
      <c r="H165">
        <v>3</v>
      </c>
      <c r="I165" t="s">
        <v>596</v>
      </c>
      <c r="J165" t="s">
        <v>597</v>
      </c>
      <c r="K165" t="s">
        <v>598</v>
      </c>
      <c r="L165">
        <v>1348</v>
      </c>
      <c r="N165">
        <v>1009</v>
      </c>
      <c r="O165" t="s">
        <v>165</v>
      </c>
      <c r="P165" t="s">
        <v>165</v>
      </c>
      <c r="Q165">
        <v>1000</v>
      </c>
      <c r="X165">
        <v>1.4E-3</v>
      </c>
      <c r="Y165">
        <v>99190.96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1.4E-3</v>
      </c>
      <c r="AH165">
        <v>2</v>
      </c>
      <c r="AI165">
        <v>85998531</v>
      </c>
      <c r="AJ165">
        <v>178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ROW(Source!A217)</f>
        <v>217</v>
      </c>
      <c r="B166">
        <v>85998544</v>
      </c>
      <c r="C166">
        <v>85998525</v>
      </c>
      <c r="D166">
        <v>84170596</v>
      </c>
      <c r="E166">
        <v>117</v>
      </c>
      <c r="F166">
        <v>1</v>
      </c>
      <c r="G166">
        <v>1</v>
      </c>
      <c r="H166">
        <v>3</v>
      </c>
      <c r="I166" t="s">
        <v>55</v>
      </c>
      <c r="J166" t="s">
        <v>3</v>
      </c>
      <c r="K166" t="s">
        <v>56</v>
      </c>
      <c r="L166">
        <v>3277935</v>
      </c>
      <c r="N166">
        <v>1013</v>
      </c>
      <c r="O166" t="s">
        <v>57</v>
      </c>
      <c r="P166" t="s">
        <v>57</v>
      </c>
      <c r="Q166">
        <v>1</v>
      </c>
      <c r="X166">
        <v>2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 t="s">
        <v>3</v>
      </c>
      <c r="AG166">
        <v>2</v>
      </c>
      <c r="AH166">
        <v>2</v>
      </c>
      <c r="AI166">
        <v>85998532</v>
      </c>
      <c r="AJ166">
        <v>184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ROW(Source!A225)</f>
        <v>225</v>
      </c>
      <c r="B167">
        <v>85998561</v>
      </c>
      <c r="C167">
        <v>85998551</v>
      </c>
      <c r="D167">
        <v>84164586</v>
      </c>
      <c r="E167">
        <v>117</v>
      </c>
      <c r="F167">
        <v>1</v>
      </c>
      <c r="G167">
        <v>1</v>
      </c>
      <c r="H167">
        <v>1</v>
      </c>
      <c r="I167" t="s">
        <v>547</v>
      </c>
      <c r="J167" t="s">
        <v>3</v>
      </c>
      <c r="K167" t="s">
        <v>548</v>
      </c>
      <c r="L167">
        <v>1191</v>
      </c>
      <c r="N167">
        <v>1013</v>
      </c>
      <c r="O167" t="s">
        <v>541</v>
      </c>
      <c r="P167" t="s">
        <v>541</v>
      </c>
      <c r="Q167">
        <v>1</v>
      </c>
      <c r="X167">
        <v>2.82</v>
      </c>
      <c r="Y167">
        <v>0</v>
      </c>
      <c r="Z167">
        <v>0</v>
      </c>
      <c r="AA167">
        <v>0</v>
      </c>
      <c r="AB167">
        <v>705.88</v>
      </c>
      <c r="AC167">
        <v>0</v>
      </c>
      <c r="AD167">
        <v>1</v>
      </c>
      <c r="AE167">
        <v>1</v>
      </c>
      <c r="AF167" t="s">
        <v>398</v>
      </c>
      <c r="AG167">
        <v>3.3839999999999999</v>
      </c>
      <c r="AH167">
        <v>2</v>
      </c>
      <c r="AI167">
        <v>85998552</v>
      </c>
      <c r="AJ167">
        <v>185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ROW(Source!A225)</f>
        <v>225</v>
      </c>
      <c r="B168">
        <v>85998562</v>
      </c>
      <c r="C168">
        <v>85998551</v>
      </c>
      <c r="D168">
        <v>84164762</v>
      </c>
      <c r="E168">
        <v>117</v>
      </c>
      <c r="F168">
        <v>1</v>
      </c>
      <c r="G168">
        <v>1</v>
      </c>
      <c r="H168">
        <v>1</v>
      </c>
      <c r="I168" t="s">
        <v>542</v>
      </c>
      <c r="J168" t="s">
        <v>3</v>
      </c>
      <c r="K168" t="s">
        <v>543</v>
      </c>
      <c r="L168">
        <v>1191</v>
      </c>
      <c r="N168">
        <v>1013</v>
      </c>
      <c r="O168" t="s">
        <v>541</v>
      </c>
      <c r="P168" t="s">
        <v>541</v>
      </c>
      <c r="Q168">
        <v>1</v>
      </c>
      <c r="X168">
        <v>0.02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2</v>
      </c>
      <c r="AF168" t="s">
        <v>398</v>
      </c>
      <c r="AG168">
        <v>2.4E-2</v>
      </c>
      <c r="AH168">
        <v>2</v>
      </c>
      <c r="AI168">
        <v>85998553</v>
      </c>
      <c r="AJ168">
        <v>186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ROW(Source!A225)</f>
        <v>225</v>
      </c>
      <c r="B169">
        <v>85998563</v>
      </c>
      <c r="C169">
        <v>85998551</v>
      </c>
      <c r="D169">
        <v>84171251</v>
      </c>
      <c r="E169">
        <v>1</v>
      </c>
      <c r="F169">
        <v>1</v>
      </c>
      <c r="G169">
        <v>1</v>
      </c>
      <c r="H169">
        <v>2</v>
      </c>
      <c r="I169" t="s">
        <v>123</v>
      </c>
      <c r="J169" t="s">
        <v>125</v>
      </c>
      <c r="K169" t="s">
        <v>124</v>
      </c>
      <c r="L169">
        <v>1368</v>
      </c>
      <c r="N169">
        <v>1011</v>
      </c>
      <c r="O169" t="s">
        <v>29</v>
      </c>
      <c r="P169" t="s">
        <v>29</v>
      </c>
      <c r="Q169">
        <v>1</v>
      </c>
      <c r="X169">
        <v>0.01</v>
      </c>
      <c r="Y169">
        <v>0</v>
      </c>
      <c r="Z169">
        <v>1629.55</v>
      </c>
      <c r="AA169">
        <v>969.91</v>
      </c>
      <c r="AB169">
        <v>0</v>
      </c>
      <c r="AC169">
        <v>0</v>
      </c>
      <c r="AD169">
        <v>1</v>
      </c>
      <c r="AE169">
        <v>0</v>
      </c>
      <c r="AF169" t="s">
        <v>398</v>
      </c>
      <c r="AG169">
        <v>1.2E-2</v>
      </c>
      <c r="AH169">
        <v>2</v>
      </c>
      <c r="AI169">
        <v>85998554</v>
      </c>
      <c r="AJ169">
        <v>187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ROW(Source!A225)</f>
        <v>225</v>
      </c>
      <c r="B170">
        <v>85998564</v>
      </c>
      <c r="C170">
        <v>85998551</v>
      </c>
      <c r="D170">
        <v>84172146</v>
      </c>
      <c r="E170">
        <v>1</v>
      </c>
      <c r="F170">
        <v>1</v>
      </c>
      <c r="G170">
        <v>1</v>
      </c>
      <c r="H170">
        <v>2</v>
      </c>
      <c r="I170" t="s">
        <v>127</v>
      </c>
      <c r="J170" t="s">
        <v>129</v>
      </c>
      <c r="K170" t="s">
        <v>128</v>
      </c>
      <c r="L170">
        <v>1368</v>
      </c>
      <c r="N170">
        <v>1011</v>
      </c>
      <c r="O170" t="s">
        <v>29</v>
      </c>
      <c r="P170" t="s">
        <v>29</v>
      </c>
      <c r="Q170">
        <v>1</v>
      </c>
      <c r="X170">
        <v>0.01</v>
      </c>
      <c r="Y170">
        <v>0</v>
      </c>
      <c r="Z170">
        <v>643.29</v>
      </c>
      <c r="AA170">
        <v>722.05</v>
      </c>
      <c r="AB170">
        <v>0</v>
      </c>
      <c r="AC170">
        <v>0</v>
      </c>
      <c r="AD170">
        <v>1</v>
      </c>
      <c r="AE170">
        <v>0</v>
      </c>
      <c r="AF170" t="s">
        <v>398</v>
      </c>
      <c r="AG170">
        <v>1.2E-2</v>
      </c>
      <c r="AH170">
        <v>2</v>
      </c>
      <c r="AI170">
        <v>85998555</v>
      </c>
      <c r="AJ170">
        <v>188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ROW(Source!A225)</f>
        <v>225</v>
      </c>
      <c r="B171">
        <v>85998565</v>
      </c>
      <c r="C171">
        <v>85998551</v>
      </c>
      <c r="D171">
        <v>84239073</v>
      </c>
      <c r="E171">
        <v>1</v>
      </c>
      <c r="F171">
        <v>1</v>
      </c>
      <c r="G171">
        <v>1</v>
      </c>
      <c r="H171">
        <v>3</v>
      </c>
      <c r="I171" t="s">
        <v>562</v>
      </c>
      <c r="J171" t="s">
        <v>563</v>
      </c>
      <c r="K171" t="s">
        <v>564</v>
      </c>
      <c r="L171">
        <v>1301</v>
      </c>
      <c r="N171">
        <v>1003</v>
      </c>
      <c r="O171" t="s">
        <v>364</v>
      </c>
      <c r="P171" t="s">
        <v>364</v>
      </c>
      <c r="Q171">
        <v>1</v>
      </c>
      <c r="X171">
        <v>13.33</v>
      </c>
      <c r="Y171">
        <v>5.87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13.33</v>
      </c>
      <c r="AH171">
        <v>2</v>
      </c>
      <c r="AI171">
        <v>85998556</v>
      </c>
      <c r="AJ171">
        <v>189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ROW(Source!A225)</f>
        <v>225</v>
      </c>
      <c r="B172">
        <v>85998566</v>
      </c>
      <c r="C172">
        <v>85998551</v>
      </c>
      <c r="D172">
        <v>84239087</v>
      </c>
      <c r="E172">
        <v>1</v>
      </c>
      <c r="F172">
        <v>1</v>
      </c>
      <c r="G172">
        <v>1</v>
      </c>
      <c r="H172">
        <v>3</v>
      </c>
      <c r="I172" t="s">
        <v>601</v>
      </c>
      <c r="J172" t="s">
        <v>602</v>
      </c>
      <c r="K172" t="s">
        <v>603</v>
      </c>
      <c r="L172">
        <v>1302</v>
      </c>
      <c r="N172">
        <v>1003</v>
      </c>
      <c r="O172" t="s">
        <v>604</v>
      </c>
      <c r="P172" t="s">
        <v>604</v>
      </c>
      <c r="Q172">
        <v>10</v>
      </c>
      <c r="X172">
        <v>0.5</v>
      </c>
      <c r="Y172">
        <v>37.71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0.5</v>
      </c>
      <c r="AH172">
        <v>2</v>
      </c>
      <c r="AI172">
        <v>85998557</v>
      </c>
      <c r="AJ172">
        <v>190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ROW(Source!A225)</f>
        <v>225</v>
      </c>
      <c r="B173">
        <v>85998567</v>
      </c>
      <c r="C173">
        <v>85998551</v>
      </c>
      <c r="D173">
        <v>84257608</v>
      </c>
      <c r="E173">
        <v>1</v>
      </c>
      <c r="F173">
        <v>1</v>
      </c>
      <c r="G173">
        <v>1</v>
      </c>
      <c r="H173">
        <v>3</v>
      </c>
      <c r="I173" t="s">
        <v>577</v>
      </c>
      <c r="J173" t="s">
        <v>578</v>
      </c>
      <c r="K173" t="s">
        <v>579</v>
      </c>
      <c r="L173">
        <v>1346</v>
      </c>
      <c r="N173">
        <v>1009</v>
      </c>
      <c r="O173" t="s">
        <v>170</v>
      </c>
      <c r="P173" t="s">
        <v>170</v>
      </c>
      <c r="Q173">
        <v>1</v>
      </c>
      <c r="X173">
        <v>0.05</v>
      </c>
      <c r="Y173">
        <v>79.88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0.05</v>
      </c>
      <c r="AH173">
        <v>2</v>
      </c>
      <c r="AI173">
        <v>85998558</v>
      </c>
      <c r="AJ173">
        <v>191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ROW(Source!A225)</f>
        <v>225</v>
      </c>
      <c r="B174">
        <v>85998568</v>
      </c>
      <c r="C174">
        <v>85998551</v>
      </c>
      <c r="D174">
        <v>84170596</v>
      </c>
      <c r="E174">
        <v>117</v>
      </c>
      <c r="F174">
        <v>1</v>
      </c>
      <c r="G174">
        <v>1</v>
      </c>
      <c r="H174">
        <v>3</v>
      </c>
      <c r="I174" t="s">
        <v>55</v>
      </c>
      <c r="J174" t="s">
        <v>3</v>
      </c>
      <c r="K174" t="s">
        <v>56</v>
      </c>
      <c r="L174">
        <v>3277935</v>
      </c>
      <c r="N174">
        <v>1013</v>
      </c>
      <c r="O174" t="s">
        <v>57</v>
      </c>
      <c r="P174" t="s">
        <v>57</v>
      </c>
      <c r="Q174">
        <v>1</v>
      </c>
      <c r="X174">
        <v>2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 t="s">
        <v>3</v>
      </c>
      <c r="AG174">
        <v>2</v>
      </c>
      <c r="AH174">
        <v>2</v>
      </c>
      <c r="AI174">
        <v>85998559</v>
      </c>
      <c r="AJ174">
        <v>193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ROW(Source!A230)</f>
        <v>230</v>
      </c>
      <c r="B175">
        <v>85998582</v>
      </c>
      <c r="C175">
        <v>85998571</v>
      </c>
      <c r="D175">
        <v>84164598</v>
      </c>
      <c r="E175">
        <v>117</v>
      </c>
      <c r="F175">
        <v>1</v>
      </c>
      <c r="G175">
        <v>1</v>
      </c>
      <c r="H175">
        <v>1</v>
      </c>
      <c r="I175" t="s">
        <v>605</v>
      </c>
      <c r="J175" t="s">
        <v>3</v>
      </c>
      <c r="K175" t="s">
        <v>606</v>
      </c>
      <c r="L175">
        <v>1191</v>
      </c>
      <c r="N175">
        <v>1013</v>
      </c>
      <c r="O175" t="s">
        <v>541</v>
      </c>
      <c r="P175" t="s">
        <v>541</v>
      </c>
      <c r="Q175">
        <v>1</v>
      </c>
      <c r="X175">
        <v>30.48</v>
      </c>
      <c r="Y175">
        <v>0</v>
      </c>
      <c r="Z175">
        <v>0</v>
      </c>
      <c r="AA175">
        <v>0</v>
      </c>
      <c r="AB175">
        <v>743.6</v>
      </c>
      <c r="AC175">
        <v>0</v>
      </c>
      <c r="AD175">
        <v>1</v>
      </c>
      <c r="AE175">
        <v>1</v>
      </c>
      <c r="AF175" t="s">
        <v>398</v>
      </c>
      <c r="AG175">
        <v>36.576000000000001</v>
      </c>
      <c r="AH175">
        <v>2</v>
      </c>
      <c r="AI175">
        <v>85998572</v>
      </c>
      <c r="AJ175">
        <v>194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ROW(Source!A230)</f>
        <v>230</v>
      </c>
      <c r="B176">
        <v>85998583</v>
      </c>
      <c r="C176">
        <v>85998571</v>
      </c>
      <c r="D176">
        <v>84164762</v>
      </c>
      <c r="E176">
        <v>117</v>
      </c>
      <c r="F176">
        <v>1</v>
      </c>
      <c r="G176">
        <v>1</v>
      </c>
      <c r="H176">
        <v>1</v>
      </c>
      <c r="I176" t="s">
        <v>542</v>
      </c>
      <c r="J176" t="s">
        <v>3</v>
      </c>
      <c r="K176" t="s">
        <v>543</v>
      </c>
      <c r="L176">
        <v>1191</v>
      </c>
      <c r="N176">
        <v>1013</v>
      </c>
      <c r="O176" t="s">
        <v>541</v>
      </c>
      <c r="P176" t="s">
        <v>541</v>
      </c>
      <c r="Q176">
        <v>1</v>
      </c>
      <c r="X176">
        <v>0.05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2</v>
      </c>
      <c r="AF176" t="s">
        <v>398</v>
      </c>
      <c r="AG176">
        <v>0.06</v>
      </c>
      <c r="AH176">
        <v>2</v>
      </c>
      <c r="AI176">
        <v>85998573</v>
      </c>
      <c r="AJ176">
        <v>195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ROW(Source!A230)</f>
        <v>230</v>
      </c>
      <c r="B177">
        <v>85998584</v>
      </c>
      <c r="C177">
        <v>85998571</v>
      </c>
      <c r="D177">
        <v>84171251</v>
      </c>
      <c r="E177">
        <v>1</v>
      </c>
      <c r="F177">
        <v>1</v>
      </c>
      <c r="G177">
        <v>1</v>
      </c>
      <c r="H177">
        <v>2</v>
      </c>
      <c r="I177" t="s">
        <v>123</v>
      </c>
      <c r="J177" t="s">
        <v>125</v>
      </c>
      <c r="K177" t="s">
        <v>124</v>
      </c>
      <c r="L177">
        <v>1368</v>
      </c>
      <c r="N177">
        <v>1011</v>
      </c>
      <c r="O177" t="s">
        <v>29</v>
      </c>
      <c r="P177" t="s">
        <v>29</v>
      </c>
      <c r="Q177">
        <v>1</v>
      </c>
      <c r="X177">
        <v>0.03</v>
      </c>
      <c r="Y177">
        <v>0</v>
      </c>
      <c r="Z177">
        <v>1629.55</v>
      </c>
      <c r="AA177">
        <v>969.91</v>
      </c>
      <c r="AB177">
        <v>0</v>
      </c>
      <c r="AC177">
        <v>0</v>
      </c>
      <c r="AD177">
        <v>1</v>
      </c>
      <c r="AE177">
        <v>0</v>
      </c>
      <c r="AF177" t="s">
        <v>398</v>
      </c>
      <c r="AG177">
        <v>3.5999999999999997E-2</v>
      </c>
      <c r="AH177">
        <v>2</v>
      </c>
      <c r="AI177">
        <v>85998574</v>
      </c>
      <c r="AJ177">
        <v>196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ROW(Source!A230)</f>
        <v>230</v>
      </c>
      <c r="B178">
        <v>85998585</v>
      </c>
      <c r="C178">
        <v>85998571</v>
      </c>
      <c r="D178">
        <v>84172146</v>
      </c>
      <c r="E178">
        <v>1</v>
      </c>
      <c r="F178">
        <v>1</v>
      </c>
      <c r="G178">
        <v>1</v>
      </c>
      <c r="H178">
        <v>2</v>
      </c>
      <c r="I178" t="s">
        <v>127</v>
      </c>
      <c r="J178" t="s">
        <v>129</v>
      </c>
      <c r="K178" t="s">
        <v>128</v>
      </c>
      <c r="L178">
        <v>1368</v>
      </c>
      <c r="N178">
        <v>1011</v>
      </c>
      <c r="O178" t="s">
        <v>29</v>
      </c>
      <c r="P178" t="s">
        <v>29</v>
      </c>
      <c r="Q178">
        <v>1</v>
      </c>
      <c r="X178">
        <v>0.02</v>
      </c>
      <c r="Y178">
        <v>0</v>
      </c>
      <c r="Z178">
        <v>643.29</v>
      </c>
      <c r="AA178">
        <v>722.05</v>
      </c>
      <c r="AB178">
        <v>0</v>
      </c>
      <c r="AC178">
        <v>0</v>
      </c>
      <c r="AD178">
        <v>1</v>
      </c>
      <c r="AE178">
        <v>0</v>
      </c>
      <c r="AF178" t="s">
        <v>398</v>
      </c>
      <c r="AG178">
        <v>2.4E-2</v>
      </c>
      <c r="AH178">
        <v>2</v>
      </c>
      <c r="AI178">
        <v>85998575</v>
      </c>
      <c r="AJ178">
        <v>197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ROW(Source!A230)</f>
        <v>230</v>
      </c>
      <c r="B179">
        <v>85998586</v>
      </c>
      <c r="C179">
        <v>85998571</v>
      </c>
      <c r="D179">
        <v>84239073</v>
      </c>
      <c r="E179">
        <v>1</v>
      </c>
      <c r="F179">
        <v>1</v>
      </c>
      <c r="G179">
        <v>1</v>
      </c>
      <c r="H179">
        <v>3</v>
      </c>
      <c r="I179" t="s">
        <v>562</v>
      </c>
      <c r="J179" t="s">
        <v>563</v>
      </c>
      <c r="K179" t="s">
        <v>564</v>
      </c>
      <c r="L179">
        <v>1301</v>
      </c>
      <c r="N179">
        <v>1003</v>
      </c>
      <c r="O179" t="s">
        <v>364</v>
      </c>
      <c r="P179" t="s">
        <v>364</v>
      </c>
      <c r="Q179">
        <v>1</v>
      </c>
      <c r="X179">
        <v>35</v>
      </c>
      <c r="Y179">
        <v>5.87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</v>
      </c>
      <c r="AG179">
        <v>35</v>
      </c>
      <c r="AH179">
        <v>2</v>
      </c>
      <c r="AI179">
        <v>85998576</v>
      </c>
      <c r="AJ179">
        <v>198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ROW(Source!A230)</f>
        <v>230</v>
      </c>
      <c r="B180">
        <v>85998587</v>
      </c>
      <c r="C180">
        <v>85998571</v>
      </c>
      <c r="D180">
        <v>84240416</v>
      </c>
      <c r="E180">
        <v>1</v>
      </c>
      <c r="F180">
        <v>1</v>
      </c>
      <c r="G180">
        <v>1</v>
      </c>
      <c r="H180">
        <v>3</v>
      </c>
      <c r="I180" t="s">
        <v>301</v>
      </c>
      <c r="J180" t="s">
        <v>303</v>
      </c>
      <c r="K180" t="s">
        <v>302</v>
      </c>
      <c r="L180">
        <v>1346</v>
      </c>
      <c r="N180">
        <v>1009</v>
      </c>
      <c r="O180" t="s">
        <v>170</v>
      </c>
      <c r="P180" t="s">
        <v>170</v>
      </c>
      <c r="Q180">
        <v>1</v>
      </c>
      <c r="X180">
        <v>1.5</v>
      </c>
      <c r="Y180">
        <v>174.93</v>
      </c>
      <c r="Z180">
        <v>0</v>
      </c>
      <c r="AA180">
        <v>0</v>
      </c>
      <c r="AB180">
        <v>0</v>
      </c>
      <c r="AC180">
        <v>0</v>
      </c>
      <c r="AD180">
        <v>1</v>
      </c>
      <c r="AE180">
        <v>0</v>
      </c>
      <c r="AF180" t="s">
        <v>3</v>
      </c>
      <c r="AG180">
        <v>1.5</v>
      </c>
      <c r="AH180">
        <v>2</v>
      </c>
      <c r="AI180">
        <v>85998577</v>
      </c>
      <c r="AJ180">
        <v>199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ROW(Source!A230)</f>
        <v>230</v>
      </c>
      <c r="B181">
        <v>85998588</v>
      </c>
      <c r="C181">
        <v>85998571</v>
      </c>
      <c r="D181">
        <v>84242262</v>
      </c>
      <c r="E181">
        <v>1</v>
      </c>
      <c r="F181">
        <v>1</v>
      </c>
      <c r="G181">
        <v>1</v>
      </c>
      <c r="H181">
        <v>3</v>
      </c>
      <c r="I181" t="s">
        <v>607</v>
      </c>
      <c r="J181" t="s">
        <v>608</v>
      </c>
      <c r="K181" t="s">
        <v>609</v>
      </c>
      <c r="L181">
        <v>1348</v>
      </c>
      <c r="N181">
        <v>1009</v>
      </c>
      <c r="O181" t="s">
        <v>165</v>
      </c>
      <c r="P181" t="s">
        <v>165</v>
      </c>
      <c r="Q181">
        <v>1000</v>
      </c>
      <c r="X181">
        <v>3.15E-3</v>
      </c>
      <c r="Y181">
        <v>4338.2700000000004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</v>
      </c>
      <c r="AG181">
        <v>3.15E-3</v>
      </c>
      <c r="AH181">
        <v>2</v>
      </c>
      <c r="AI181">
        <v>85998578</v>
      </c>
      <c r="AJ181">
        <v>200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ROW(Source!A230)</f>
        <v>230</v>
      </c>
      <c r="B182">
        <v>85998589</v>
      </c>
      <c r="C182">
        <v>85998571</v>
      </c>
      <c r="D182">
        <v>84265246</v>
      </c>
      <c r="E182">
        <v>1</v>
      </c>
      <c r="F182">
        <v>1</v>
      </c>
      <c r="G182">
        <v>1</v>
      </c>
      <c r="H182">
        <v>3</v>
      </c>
      <c r="I182" t="s">
        <v>610</v>
      </c>
      <c r="J182" t="s">
        <v>611</v>
      </c>
      <c r="K182" t="s">
        <v>612</v>
      </c>
      <c r="L182">
        <v>1407</v>
      </c>
      <c r="N182">
        <v>1013</v>
      </c>
      <c r="O182" t="s">
        <v>595</v>
      </c>
      <c r="P182" t="s">
        <v>595</v>
      </c>
      <c r="Q182">
        <v>1</v>
      </c>
      <c r="X182">
        <v>0.10199999999999999</v>
      </c>
      <c r="Y182">
        <v>3658.94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0.10199999999999999</v>
      </c>
      <c r="AH182">
        <v>2</v>
      </c>
      <c r="AI182">
        <v>85998579</v>
      </c>
      <c r="AJ182">
        <v>201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ROW(Source!A230)</f>
        <v>230</v>
      </c>
      <c r="B183">
        <v>85998590</v>
      </c>
      <c r="C183">
        <v>85998571</v>
      </c>
      <c r="D183">
        <v>84170596</v>
      </c>
      <c r="E183">
        <v>117</v>
      </c>
      <c r="F183">
        <v>1</v>
      </c>
      <c r="G183">
        <v>1</v>
      </c>
      <c r="H183">
        <v>3</v>
      </c>
      <c r="I183" t="s">
        <v>55</v>
      </c>
      <c r="J183" t="s">
        <v>3</v>
      </c>
      <c r="K183" t="s">
        <v>56</v>
      </c>
      <c r="L183">
        <v>3277935</v>
      </c>
      <c r="N183">
        <v>1013</v>
      </c>
      <c r="O183" t="s">
        <v>57</v>
      </c>
      <c r="P183" t="s">
        <v>57</v>
      </c>
      <c r="Q183">
        <v>1</v>
      </c>
      <c r="X183">
        <v>2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 t="s">
        <v>3</v>
      </c>
      <c r="AG183">
        <v>2</v>
      </c>
      <c r="AH183">
        <v>2</v>
      </c>
      <c r="AI183">
        <v>85998580</v>
      </c>
      <c r="AJ183">
        <v>203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ROW(Source!A235)</f>
        <v>235</v>
      </c>
      <c r="B184">
        <v>85998602</v>
      </c>
      <c r="C184">
        <v>85998593</v>
      </c>
      <c r="D184">
        <v>84164598</v>
      </c>
      <c r="E184">
        <v>117</v>
      </c>
      <c r="F184">
        <v>1</v>
      </c>
      <c r="G184">
        <v>1</v>
      </c>
      <c r="H184">
        <v>1</v>
      </c>
      <c r="I184" t="s">
        <v>605</v>
      </c>
      <c r="J184" t="s">
        <v>3</v>
      </c>
      <c r="K184" t="s">
        <v>606</v>
      </c>
      <c r="L184">
        <v>1191</v>
      </c>
      <c r="N184">
        <v>1013</v>
      </c>
      <c r="O184" t="s">
        <v>541</v>
      </c>
      <c r="P184" t="s">
        <v>541</v>
      </c>
      <c r="Q184">
        <v>1</v>
      </c>
      <c r="X184">
        <v>25.76</v>
      </c>
      <c r="Y184">
        <v>0</v>
      </c>
      <c r="Z184">
        <v>0</v>
      </c>
      <c r="AA184">
        <v>0</v>
      </c>
      <c r="AB184">
        <v>743.6</v>
      </c>
      <c r="AC184">
        <v>0</v>
      </c>
      <c r="AD184">
        <v>1</v>
      </c>
      <c r="AE184">
        <v>1</v>
      </c>
      <c r="AF184" t="s">
        <v>398</v>
      </c>
      <c r="AG184">
        <v>30.911999999999999</v>
      </c>
      <c r="AH184">
        <v>2</v>
      </c>
      <c r="AI184">
        <v>85998594</v>
      </c>
      <c r="AJ184">
        <v>204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ROW(Source!A235)</f>
        <v>235</v>
      </c>
      <c r="B185">
        <v>85998603</v>
      </c>
      <c r="C185">
        <v>85998593</v>
      </c>
      <c r="D185">
        <v>84164762</v>
      </c>
      <c r="E185">
        <v>117</v>
      </c>
      <c r="F185">
        <v>1</v>
      </c>
      <c r="G185">
        <v>1</v>
      </c>
      <c r="H185">
        <v>1</v>
      </c>
      <c r="I185" t="s">
        <v>542</v>
      </c>
      <c r="J185" t="s">
        <v>3</v>
      </c>
      <c r="K185" t="s">
        <v>543</v>
      </c>
      <c r="L185">
        <v>1191</v>
      </c>
      <c r="N185">
        <v>1013</v>
      </c>
      <c r="O185" t="s">
        <v>541</v>
      </c>
      <c r="P185" t="s">
        <v>541</v>
      </c>
      <c r="Q185">
        <v>1</v>
      </c>
      <c r="X185">
        <v>0.05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2</v>
      </c>
      <c r="AF185" t="s">
        <v>398</v>
      </c>
      <c r="AG185">
        <v>0.06</v>
      </c>
      <c r="AH185">
        <v>2</v>
      </c>
      <c r="AI185">
        <v>85998595</v>
      </c>
      <c r="AJ185">
        <v>205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ROW(Source!A235)</f>
        <v>235</v>
      </c>
      <c r="B186">
        <v>85998604</v>
      </c>
      <c r="C186">
        <v>85998593</v>
      </c>
      <c r="D186">
        <v>84171251</v>
      </c>
      <c r="E186">
        <v>1</v>
      </c>
      <c r="F186">
        <v>1</v>
      </c>
      <c r="G186">
        <v>1</v>
      </c>
      <c r="H186">
        <v>2</v>
      </c>
      <c r="I186" t="s">
        <v>123</v>
      </c>
      <c r="J186" t="s">
        <v>125</v>
      </c>
      <c r="K186" t="s">
        <v>124</v>
      </c>
      <c r="L186">
        <v>1368</v>
      </c>
      <c r="N186">
        <v>1011</v>
      </c>
      <c r="O186" t="s">
        <v>29</v>
      </c>
      <c r="P186" t="s">
        <v>29</v>
      </c>
      <c r="Q186">
        <v>1</v>
      </c>
      <c r="X186">
        <v>0.03</v>
      </c>
      <c r="Y186">
        <v>0</v>
      </c>
      <c r="Z186">
        <v>1629.55</v>
      </c>
      <c r="AA186">
        <v>969.91</v>
      </c>
      <c r="AB186">
        <v>0</v>
      </c>
      <c r="AC186">
        <v>0</v>
      </c>
      <c r="AD186">
        <v>1</v>
      </c>
      <c r="AE186">
        <v>0</v>
      </c>
      <c r="AF186" t="s">
        <v>398</v>
      </c>
      <c r="AG186">
        <v>3.5999999999999997E-2</v>
      </c>
      <c r="AH186">
        <v>2</v>
      </c>
      <c r="AI186">
        <v>85998596</v>
      </c>
      <c r="AJ186">
        <v>206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ROW(Source!A235)</f>
        <v>235</v>
      </c>
      <c r="B187">
        <v>85998605</v>
      </c>
      <c r="C187">
        <v>85998593</v>
      </c>
      <c r="D187">
        <v>84172146</v>
      </c>
      <c r="E187">
        <v>1</v>
      </c>
      <c r="F187">
        <v>1</v>
      </c>
      <c r="G187">
        <v>1</v>
      </c>
      <c r="H187">
        <v>2</v>
      </c>
      <c r="I187" t="s">
        <v>127</v>
      </c>
      <c r="J187" t="s">
        <v>129</v>
      </c>
      <c r="K187" t="s">
        <v>128</v>
      </c>
      <c r="L187">
        <v>1368</v>
      </c>
      <c r="N187">
        <v>1011</v>
      </c>
      <c r="O187" t="s">
        <v>29</v>
      </c>
      <c r="P187" t="s">
        <v>29</v>
      </c>
      <c r="Q187">
        <v>1</v>
      </c>
      <c r="X187">
        <v>0.02</v>
      </c>
      <c r="Y187">
        <v>0</v>
      </c>
      <c r="Z187">
        <v>643.29</v>
      </c>
      <c r="AA187">
        <v>722.05</v>
      </c>
      <c r="AB187">
        <v>0</v>
      </c>
      <c r="AC187">
        <v>0</v>
      </c>
      <c r="AD187">
        <v>1</v>
      </c>
      <c r="AE187">
        <v>0</v>
      </c>
      <c r="AF187" t="s">
        <v>398</v>
      </c>
      <c r="AG187">
        <v>2.4E-2</v>
      </c>
      <c r="AH187">
        <v>2</v>
      </c>
      <c r="AI187">
        <v>85998597</v>
      </c>
      <c r="AJ187">
        <v>207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ROW(Source!A235)</f>
        <v>235</v>
      </c>
      <c r="B188">
        <v>85998606</v>
      </c>
      <c r="C188">
        <v>85998593</v>
      </c>
      <c r="D188">
        <v>84242262</v>
      </c>
      <c r="E188">
        <v>1</v>
      </c>
      <c r="F188">
        <v>1</v>
      </c>
      <c r="G188">
        <v>1</v>
      </c>
      <c r="H188">
        <v>3</v>
      </c>
      <c r="I188" t="s">
        <v>607</v>
      </c>
      <c r="J188" t="s">
        <v>608</v>
      </c>
      <c r="K188" t="s">
        <v>609</v>
      </c>
      <c r="L188">
        <v>1348</v>
      </c>
      <c r="N188">
        <v>1009</v>
      </c>
      <c r="O188" t="s">
        <v>165</v>
      </c>
      <c r="P188" t="s">
        <v>165</v>
      </c>
      <c r="Q188">
        <v>1000</v>
      </c>
      <c r="X188">
        <v>3.15E-3</v>
      </c>
      <c r="Y188">
        <v>4338.2700000000004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3.15E-3</v>
      </c>
      <c r="AH188">
        <v>2</v>
      </c>
      <c r="AI188">
        <v>85998598</v>
      </c>
      <c r="AJ188">
        <v>208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ROW(Source!A235)</f>
        <v>235</v>
      </c>
      <c r="B189">
        <v>85998607</v>
      </c>
      <c r="C189">
        <v>85998593</v>
      </c>
      <c r="D189">
        <v>84265246</v>
      </c>
      <c r="E189">
        <v>1</v>
      </c>
      <c r="F189">
        <v>1</v>
      </c>
      <c r="G189">
        <v>1</v>
      </c>
      <c r="H189">
        <v>3</v>
      </c>
      <c r="I189" t="s">
        <v>610</v>
      </c>
      <c r="J189" t="s">
        <v>611</v>
      </c>
      <c r="K189" t="s">
        <v>612</v>
      </c>
      <c r="L189">
        <v>1407</v>
      </c>
      <c r="N189">
        <v>1013</v>
      </c>
      <c r="O189" t="s">
        <v>595</v>
      </c>
      <c r="P189" t="s">
        <v>595</v>
      </c>
      <c r="Q189">
        <v>1</v>
      </c>
      <c r="X189">
        <v>0.10199999999999999</v>
      </c>
      <c r="Y189">
        <v>3658.94</v>
      </c>
      <c r="Z189">
        <v>0</v>
      </c>
      <c r="AA189">
        <v>0</v>
      </c>
      <c r="AB189">
        <v>0</v>
      </c>
      <c r="AC189">
        <v>0</v>
      </c>
      <c r="AD189">
        <v>1</v>
      </c>
      <c r="AE189">
        <v>0</v>
      </c>
      <c r="AF189" t="s">
        <v>3</v>
      </c>
      <c r="AG189">
        <v>0.10199999999999999</v>
      </c>
      <c r="AH189">
        <v>2</v>
      </c>
      <c r="AI189">
        <v>85998599</v>
      </c>
      <c r="AJ189">
        <v>209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ROW(Source!A235)</f>
        <v>235</v>
      </c>
      <c r="B190">
        <v>85998608</v>
      </c>
      <c r="C190">
        <v>85998593</v>
      </c>
      <c r="D190">
        <v>84170596</v>
      </c>
      <c r="E190">
        <v>117</v>
      </c>
      <c r="F190">
        <v>1</v>
      </c>
      <c r="G190">
        <v>1</v>
      </c>
      <c r="H190">
        <v>3</v>
      </c>
      <c r="I190" t="s">
        <v>55</v>
      </c>
      <c r="J190" t="s">
        <v>3</v>
      </c>
      <c r="K190" t="s">
        <v>56</v>
      </c>
      <c r="L190">
        <v>3277935</v>
      </c>
      <c r="N190">
        <v>1013</v>
      </c>
      <c r="O190" t="s">
        <v>57</v>
      </c>
      <c r="P190" t="s">
        <v>57</v>
      </c>
      <c r="Q190">
        <v>1</v>
      </c>
      <c r="X190">
        <v>2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 t="s">
        <v>3</v>
      </c>
      <c r="AG190">
        <v>2</v>
      </c>
      <c r="AH190">
        <v>2</v>
      </c>
      <c r="AI190">
        <v>85998600</v>
      </c>
      <c r="AJ190">
        <v>211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ROW(Source!A240)</f>
        <v>240</v>
      </c>
      <c r="B191">
        <v>85998618</v>
      </c>
      <c r="C191">
        <v>85998611</v>
      </c>
      <c r="D191">
        <v>84164592</v>
      </c>
      <c r="E191">
        <v>117</v>
      </c>
      <c r="F191">
        <v>1</v>
      </c>
      <c r="G191">
        <v>1</v>
      </c>
      <c r="H191">
        <v>1</v>
      </c>
      <c r="I191" t="s">
        <v>613</v>
      </c>
      <c r="J191" t="s">
        <v>3</v>
      </c>
      <c r="K191" t="s">
        <v>614</v>
      </c>
      <c r="L191">
        <v>1191</v>
      </c>
      <c r="N191">
        <v>1013</v>
      </c>
      <c r="O191" t="s">
        <v>541</v>
      </c>
      <c r="P191" t="s">
        <v>541</v>
      </c>
      <c r="Q191">
        <v>1</v>
      </c>
      <c r="X191">
        <v>16.32</v>
      </c>
      <c r="Y191">
        <v>0</v>
      </c>
      <c r="Z191">
        <v>0</v>
      </c>
      <c r="AA191">
        <v>0</v>
      </c>
      <c r="AB191">
        <v>722.05</v>
      </c>
      <c r="AC191">
        <v>0</v>
      </c>
      <c r="AD191">
        <v>1</v>
      </c>
      <c r="AE191">
        <v>1</v>
      </c>
      <c r="AF191" t="s">
        <v>330</v>
      </c>
      <c r="AG191">
        <v>22.521599999999999</v>
      </c>
      <c r="AH191">
        <v>2</v>
      </c>
      <c r="AI191">
        <v>85998612</v>
      </c>
      <c r="AJ191">
        <v>212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ROW(Source!A240)</f>
        <v>240</v>
      </c>
      <c r="B192">
        <v>85998619</v>
      </c>
      <c r="C192">
        <v>85998611</v>
      </c>
      <c r="D192">
        <v>84164762</v>
      </c>
      <c r="E192">
        <v>117</v>
      </c>
      <c r="F192">
        <v>1</v>
      </c>
      <c r="G192">
        <v>1</v>
      </c>
      <c r="H192">
        <v>1</v>
      </c>
      <c r="I192" t="s">
        <v>542</v>
      </c>
      <c r="J192" t="s">
        <v>3</v>
      </c>
      <c r="K192" t="s">
        <v>543</v>
      </c>
      <c r="L192">
        <v>1191</v>
      </c>
      <c r="N192">
        <v>1013</v>
      </c>
      <c r="O192" t="s">
        <v>541</v>
      </c>
      <c r="P192" t="s">
        <v>541</v>
      </c>
      <c r="Q192">
        <v>1</v>
      </c>
      <c r="X192">
        <v>0.03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1</v>
      </c>
      <c r="AE192">
        <v>2</v>
      </c>
      <c r="AF192" t="s">
        <v>329</v>
      </c>
      <c r="AG192">
        <v>4.4999999999999998E-2</v>
      </c>
      <c r="AH192">
        <v>2</v>
      </c>
      <c r="AI192">
        <v>85998613</v>
      </c>
      <c r="AJ192">
        <v>213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ROW(Source!A240)</f>
        <v>240</v>
      </c>
      <c r="B193">
        <v>85998620</v>
      </c>
      <c r="C193">
        <v>85998611</v>
      </c>
      <c r="D193">
        <v>84171438</v>
      </c>
      <c r="E193">
        <v>1</v>
      </c>
      <c r="F193">
        <v>1</v>
      </c>
      <c r="G193">
        <v>1</v>
      </c>
      <c r="H193">
        <v>2</v>
      </c>
      <c r="I193" t="s">
        <v>27</v>
      </c>
      <c r="J193" t="s">
        <v>30</v>
      </c>
      <c r="K193" t="s">
        <v>28</v>
      </c>
      <c r="L193">
        <v>1368</v>
      </c>
      <c r="N193">
        <v>1011</v>
      </c>
      <c r="O193" t="s">
        <v>29</v>
      </c>
      <c r="P193" t="s">
        <v>29</v>
      </c>
      <c r="Q193">
        <v>1</v>
      </c>
      <c r="X193">
        <v>0.01</v>
      </c>
      <c r="Y193">
        <v>0</v>
      </c>
      <c r="Z193">
        <v>37.32</v>
      </c>
      <c r="AA193">
        <v>641.22</v>
      </c>
      <c r="AB193">
        <v>0</v>
      </c>
      <c r="AC193">
        <v>0</v>
      </c>
      <c r="AD193">
        <v>1</v>
      </c>
      <c r="AE193">
        <v>0</v>
      </c>
      <c r="AF193" t="s">
        <v>329</v>
      </c>
      <c r="AG193">
        <v>1.4999999999999999E-2</v>
      </c>
      <c r="AH193">
        <v>2</v>
      </c>
      <c r="AI193">
        <v>85998614</v>
      </c>
      <c r="AJ193">
        <v>214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ROW(Source!A240)</f>
        <v>240</v>
      </c>
      <c r="B194">
        <v>85998621</v>
      </c>
      <c r="C194">
        <v>85998611</v>
      </c>
      <c r="D194">
        <v>84172146</v>
      </c>
      <c r="E194">
        <v>1</v>
      </c>
      <c r="F194">
        <v>1</v>
      </c>
      <c r="G194">
        <v>1</v>
      </c>
      <c r="H194">
        <v>2</v>
      </c>
      <c r="I194" t="s">
        <v>127</v>
      </c>
      <c r="J194" t="s">
        <v>129</v>
      </c>
      <c r="K194" t="s">
        <v>128</v>
      </c>
      <c r="L194">
        <v>1368</v>
      </c>
      <c r="N194">
        <v>1011</v>
      </c>
      <c r="O194" t="s">
        <v>29</v>
      </c>
      <c r="P194" t="s">
        <v>29</v>
      </c>
      <c r="Q194">
        <v>1</v>
      </c>
      <c r="X194">
        <v>0.02</v>
      </c>
      <c r="Y194">
        <v>0</v>
      </c>
      <c r="Z194">
        <v>643.29</v>
      </c>
      <c r="AA194">
        <v>722.05</v>
      </c>
      <c r="AB194">
        <v>0</v>
      </c>
      <c r="AC194">
        <v>0</v>
      </c>
      <c r="AD194">
        <v>1</v>
      </c>
      <c r="AE194">
        <v>0</v>
      </c>
      <c r="AF194" t="s">
        <v>329</v>
      </c>
      <c r="AG194">
        <v>0.03</v>
      </c>
      <c r="AH194">
        <v>2</v>
      </c>
      <c r="AI194">
        <v>85998615</v>
      </c>
      <c r="AJ194">
        <v>215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ROW(Source!A240)</f>
        <v>240</v>
      </c>
      <c r="B195">
        <v>85998622</v>
      </c>
      <c r="C195">
        <v>85998611</v>
      </c>
      <c r="D195">
        <v>84241562</v>
      </c>
      <c r="E195">
        <v>1</v>
      </c>
      <c r="F195">
        <v>1</v>
      </c>
      <c r="G195">
        <v>1</v>
      </c>
      <c r="H195">
        <v>3</v>
      </c>
      <c r="I195" t="s">
        <v>669</v>
      </c>
      <c r="J195" t="s">
        <v>670</v>
      </c>
      <c r="K195" t="s">
        <v>671</v>
      </c>
      <c r="L195">
        <v>1346</v>
      </c>
      <c r="N195">
        <v>1009</v>
      </c>
      <c r="O195" t="s">
        <v>170</v>
      </c>
      <c r="P195" t="s">
        <v>170</v>
      </c>
      <c r="Q195">
        <v>1</v>
      </c>
      <c r="X195">
        <v>0.2</v>
      </c>
      <c r="Y195">
        <v>56.11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0.2</v>
      </c>
      <c r="AH195">
        <v>2</v>
      </c>
      <c r="AI195">
        <v>85998616</v>
      </c>
      <c r="AJ195">
        <v>216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ROW(Source!A240)</f>
        <v>240</v>
      </c>
      <c r="B196">
        <v>85998623</v>
      </c>
      <c r="C196">
        <v>85998611</v>
      </c>
      <c r="D196">
        <v>84168452</v>
      </c>
      <c r="E196">
        <v>117</v>
      </c>
      <c r="F196">
        <v>1</v>
      </c>
      <c r="G196">
        <v>1</v>
      </c>
      <c r="H196">
        <v>3</v>
      </c>
      <c r="I196" t="s">
        <v>693</v>
      </c>
      <c r="J196" t="s">
        <v>3</v>
      </c>
      <c r="K196" t="s">
        <v>694</v>
      </c>
      <c r="L196">
        <v>1348</v>
      </c>
      <c r="N196">
        <v>1009</v>
      </c>
      <c r="O196" t="s">
        <v>165</v>
      </c>
      <c r="P196" t="s">
        <v>165</v>
      </c>
      <c r="Q196">
        <v>1000</v>
      </c>
      <c r="X196">
        <v>0.02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 t="s">
        <v>3</v>
      </c>
      <c r="AG196">
        <v>0.02</v>
      </c>
      <c r="AH196">
        <v>3</v>
      </c>
      <c r="AI196">
        <v>-1</v>
      </c>
      <c r="AJ196" t="s">
        <v>3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ROW(Source!A242)</f>
        <v>242</v>
      </c>
      <c r="B197">
        <v>85998634</v>
      </c>
      <c r="C197">
        <v>85998625</v>
      </c>
      <c r="D197">
        <v>84164576</v>
      </c>
      <c r="E197">
        <v>117</v>
      </c>
      <c r="F197">
        <v>1</v>
      </c>
      <c r="G197">
        <v>1</v>
      </c>
      <c r="H197">
        <v>1</v>
      </c>
      <c r="I197" t="s">
        <v>644</v>
      </c>
      <c r="J197" t="s">
        <v>3</v>
      </c>
      <c r="K197" t="s">
        <v>645</v>
      </c>
      <c r="L197">
        <v>1191</v>
      </c>
      <c r="N197">
        <v>1013</v>
      </c>
      <c r="O197" t="s">
        <v>541</v>
      </c>
      <c r="P197" t="s">
        <v>541</v>
      </c>
      <c r="Q197">
        <v>1</v>
      </c>
      <c r="X197">
        <v>23.1</v>
      </c>
      <c r="Y197">
        <v>0</v>
      </c>
      <c r="Z197">
        <v>0</v>
      </c>
      <c r="AA197">
        <v>0</v>
      </c>
      <c r="AB197">
        <v>673.55</v>
      </c>
      <c r="AC197">
        <v>0</v>
      </c>
      <c r="AD197">
        <v>1</v>
      </c>
      <c r="AE197">
        <v>1</v>
      </c>
      <c r="AF197" t="s">
        <v>330</v>
      </c>
      <c r="AG197">
        <v>31.878</v>
      </c>
      <c r="AH197">
        <v>2</v>
      </c>
      <c r="AI197">
        <v>85998626</v>
      </c>
      <c r="AJ197">
        <v>218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ROW(Source!A242)</f>
        <v>242</v>
      </c>
      <c r="B198">
        <v>85998635</v>
      </c>
      <c r="C198">
        <v>85998625</v>
      </c>
      <c r="D198">
        <v>84164762</v>
      </c>
      <c r="E198">
        <v>117</v>
      </c>
      <c r="F198">
        <v>1</v>
      </c>
      <c r="G198">
        <v>1</v>
      </c>
      <c r="H198">
        <v>1</v>
      </c>
      <c r="I198" t="s">
        <v>542</v>
      </c>
      <c r="J198" t="s">
        <v>3</v>
      </c>
      <c r="K198" t="s">
        <v>543</v>
      </c>
      <c r="L198">
        <v>1191</v>
      </c>
      <c r="N198">
        <v>1013</v>
      </c>
      <c r="O198" t="s">
        <v>541</v>
      </c>
      <c r="P198" t="s">
        <v>541</v>
      </c>
      <c r="Q198">
        <v>1</v>
      </c>
      <c r="X198">
        <v>0.11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2</v>
      </c>
      <c r="AF198" t="s">
        <v>329</v>
      </c>
      <c r="AG198">
        <v>0.16500000000000001</v>
      </c>
      <c r="AH198">
        <v>2</v>
      </c>
      <c r="AI198">
        <v>85998627</v>
      </c>
      <c r="AJ198">
        <v>219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ROW(Source!A242)</f>
        <v>242</v>
      </c>
      <c r="B199">
        <v>85998636</v>
      </c>
      <c r="C199">
        <v>85998625</v>
      </c>
      <c r="D199">
        <v>84171438</v>
      </c>
      <c r="E199">
        <v>1</v>
      </c>
      <c r="F199">
        <v>1</v>
      </c>
      <c r="G199">
        <v>1</v>
      </c>
      <c r="H199">
        <v>2</v>
      </c>
      <c r="I199" t="s">
        <v>27</v>
      </c>
      <c r="J199" t="s">
        <v>30</v>
      </c>
      <c r="K199" t="s">
        <v>28</v>
      </c>
      <c r="L199">
        <v>1368</v>
      </c>
      <c r="N199">
        <v>1011</v>
      </c>
      <c r="O199" t="s">
        <v>29</v>
      </c>
      <c r="P199" t="s">
        <v>29</v>
      </c>
      <c r="Q199">
        <v>1</v>
      </c>
      <c r="X199">
        <v>0.01</v>
      </c>
      <c r="Y199">
        <v>0</v>
      </c>
      <c r="Z199">
        <v>37.32</v>
      </c>
      <c r="AA199">
        <v>641.22</v>
      </c>
      <c r="AB199">
        <v>0</v>
      </c>
      <c r="AC199">
        <v>0</v>
      </c>
      <c r="AD199">
        <v>1</v>
      </c>
      <c r="AE199">
        <v>0</v>
      </c>
      <c r="AF199" t="s">
        <v>329</v>
      </c>
      <c r="AG199">
        <v>1.4999999999999999E-2</v>
      </c>
      <c r="AH199">
        <v>2</v>
      </c>
      <c r="AI199">
        <v>85998628</v>
      </c>
      <c r="AJ199">
        <v>220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ROW(Source!A242)</f>
        <v>242</v>
      </c>
      <c r="B200">
        <v>85998637</v>
      </c>
      <c r="C200">
        <v>85998625</v>
      </c>
      <c r="D200">
        <v>84172146</v>
      </c>
      <c r="E200">
        <v>1</v>
      </c>
      <c r="F200">
        <v>1</v>
      </c>
      <c r="G200">
        <v>1</v>
      </c>
      <c r="H200">
        <v>2</v>
      </c>
      <c r="I200" t="s">
        <v>127</v>
      </c>
      <c r="J200" t="s">
        <v>129</v>
      </c>
      <c r="K200" t="s">
        <v>128</v>
      </c>
      <c r="L200">
        <v>1368</v>
      </c>
      <c r="N200">
        <v>1011</v>
      </c>
      <c r="O200" t="s">
        <v>29</v>
      </c>
      <c r="P200" t="s">
        <v>29</v>
      </c>
      <c r="Q200">
        <v>1</v>
      </c>
      <c r="X200">
        <v>0.1</v>
      </c>
      <c r="Y200">
        <v>0</v>
      </c>
      <c r="Z200">
        <v>643.29</v>
      </c>
      <c r="AA200">
        <v>722.05</v>
      </c>
      <c r="AB200">
        <v>0</v>
      </c>
      <c r="AC200">
        <v>0</v>
      </c>
      <c r="AD200">
        <v>1</v>
      </c>
      <c r="AE200">
        <v>0</v>
      </c>
      <c r="AF200" t="s">
        <v>329</v>
      </c>
      <c r="AG200">
        <v>0.15</v>
      </c>
      <c r="AH200">
        <v>2</v>
      </c>
      <c r="AI200">
        <v>85998629</v>
      </c>
      <c r="AJ200">
        <v>221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ROW(Source!A242)</f>
        <v>242</v>
      </c>
      <c r="B201">
        <v>85998638</v>
      </c>
      <c r="C201">
        <v>85998625</v>
      </c>
      <c r="D201">
        <v>84241198</v>
      </c>
      <c r="E201">
        <v>1</v>
      </c>
      <c r="F201">
        <v>1</v>
      </c>
      <c r="G201">
        <v>1</v>
      </c>
      <c r="H201">
        <v>3</v>
      </c>
      <c r="I201" t="s">
        <v>672</v>
      </c>
      <c r="J201" t="s">
        <v>673</v>
      </c>
      <c r="K201" t="s">
        <v>674</v>
      </c>
      <c r="L201">
        <v>1327</v>
      </c>
      <c r="N201">
        <v>1005</v>
      </c>
      <c r="O201" t="s">
        <v>675</v>
      </c>
      <c r="P201" t="s">
        <v>675</v>
      </c>
      <c r="Q201">
        <v>1</v>
      </c>
      <c r="X201">
        <v>0.84</v>
      </c>
      <c r="Y201">
        <v>531.44000000000005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</v>
      </c>
      <c r="AG201">
        <v>0.84</v>
      </c>
      <c r="AH201">
        <v>2</v>
      </c>
      <c r="AI201">
        <v>85998630</v>
      </c>
      <c r="AJ201">
        <v>222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ROW(Source!A242)</f>
        <v>242</v>
      </c>
      <c r="B202">
        <v>85998639</v>
      </c>
      <c r="C202">
        <v>85998625</v>
      </c>
      <c r="D202">
        <v>84241562</v>
      </c>
      <c r="E202">
        <v>1</v>
      </c>
      <c r="F202">
        <v>1</v>
      </c>
      <c r="G202">
        <v>1</v>
      </c>
      <c r="H202">
        <v>3</v>
      </c>
      <c r="I202" t="s">
        <v>669</v>
      </c>
      <c r="J202" t="s">
        <v>670</v>
      </c>
      <c r="K202" t="s">
        <v>671</v>
      </c>
      <c r="L202">
        <v>1346</v>
      </c>
      <c r="N202">
        <v>1009</v>
      </c>
      <c r="O202" t="s">
        <v>170</v>
      </c>
      <c r="P202" t="s">
        <v>170</v>
      </c>
      <c r="Q202">
        <v>1</v>
      </c>
      <c r="X202">
        <v>0.31</v>
      </c>
      <c r="Y202">
        <v>56.11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0</v>
      </c>
      <c r="AF202" t="s">
        <v>3</v>
      </c>
      <c r="AG202">
        <v>0.31</v>
      </c>
      <c r="AH202">
        <v>2</v>
      </c>
      <c r="AI202">
        <v>85998631</v>
      </c>
      <c r="AJ202">
        <v>223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ROW(Source!A242)</f>
        <v>242</v>
      </c>
      <c r="B203">
        <v>85998640</v>
      </c>
      <c r="C203">
        <v>85998625</v>
      </c>
      <c r="D203">
        <v>84168457</v>
      </c>
      <c r="E203">
        <v>117</v>
      </c>
      <c r="F203">
        <v>1</v>
      </c>
      <c r="G203">
        <v>1</v>
      </c>
      <c r="H203">
        <v>3</v>
      </c>
      <c r="I203" t="s">
        <v>695</v>
      </c>
      <c r="J203" t="s">
        <v>3</v>
      </c>
      <c r="K203" t="s">
        <v>696</v>
      </c>
      <c r="L203">
        <v>1348</v>
      </c>
      <c r="N203">
        <v>1009</v>
      </c>
      <c r="O203" t="s">
        <v>165</v>
      </c>
      <c r="P203" t="s">
        <v>165</v>
      </c>
      <c r="Q203">
        <v>1000</v>
      </c>
      <c r="X203">
        <v>6.3E-2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 t="s">
        <v>3</v>
      </c>
      <c r="AG203">
        <v>6.3E-2</v>
      </c>
      <c r="AH203">
        <v>3</v>
      </c>
      <c r="AI203">
        <v>-1</v>
      </c>
      <c r="AJ203" t="s">
        <v>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ROW(Source!A242)</f>
        <v>242</v>
      </c>
      <c r="B204">
        <v>85998641</v>
      </c>
      <c r="C204">
        <v>85998625</v>
      </c>
      <c r="D204">
        <v>84258044</v>
      </c>
      <c r="E204">
        <v>1</v>
      </c>
      <c r="F204">
        <v>1</v>
      </c>
      <c r="G204">
        <v>1</v>
      </c>
      <c r="H204">
        <v>3</v>
      </c>
      <c r="I204" t="s">
        <v>676</v>
      </c>
      <c r="J204" t="s">
        <v>677</v>
      </c>
      <c r="K204" t="s">
        <v>678</v>
      </c>
      <c r="L204">
        <v>1348</v>
      </c>
      <c r="N204">
        <v>1009</v>
      </c>
      <c r="O204" t="s">
        <v>165</v>
      </c>
      <c r="P204" t="s">
        <v>165</v>
      </c>
      <c r="Q204">
        <v>1000</v>
      </c>
      <c r="X204">
        <v>5.0000000000000001E-3</v>
      </c>
      <c r="Y204">
        <v>25237.94</v>
      </c>
      <c r="Z204">
        <v>0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3</v>
      </c>
      <c r="AG204">
        <v>5.0000000000000001E-3</v>
      </c>
      <c r="AH204">
        <v>2</v>
      </c>
      <c r="AI204">
        <v>85998632</v>
      </c>
      <c r="AJ204">
        <v>225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ROW(Source!A246)</f>
        <v>246</v>
      </c>
      <c r="B205">
        <v>85998653</v>
      </c>
      <c r="C205">
        <v>85998643</v>
      </c>
      <c r="D205">
        <v>84164572</v>
      </c>
      <c r="E205">
        <v>117</v>
      </c>
      <c r="F205">
        <v>1</v>
      </c>
      <c r="G205">
        <v>1</v>
      </c>
      <c r="H205">
        <v>1</v>
      </c>
      <c r="I205" t="s">
        <v>679</v>
      </c>
      <c r="J205" t="s">
        <v>3</v>
      </c>
      <c r="K205" t="s">
        <v>680</v>
      </c>
      <c r="L205">
        <v>1191</v>
      </c>
      <c r="N205">
        <v>1013</v>
      </c>
      <c r="O205" t="s">
        <v>541</v>
      </c>
      <c r="P205" t="s">
        <v>541</v>
      </c>
      <c r="Q205">
        <v>1</v>
      </c>
      <c r="X205">
        <v>43.56</v>
      </c>
      <c r="Y205">
        <v>0</v>
      </c>
      <c r="Z205">
        <v>0</v>
      </c>
      <c r="AA205">
        <v>0</v>
      </c>
      <c r="AB205">
        <v>657.38</v>
      </c>
      <c r="AC205">
        <v>0</v>
      </c>
      <c r="AD205">
        <v>1</v>
      </c>
      <c r="AE205">
        <v>1</v>
      </c>
      <c r="AF205" t="s">
        <v>330</v>
      </c>
      <c r="AG205">
        <v>60.112799999999993</v>
      </c>
      <c r="AH205">
        <v>2</v>
      </c>
      <c r="AI205">
        <v>85998644</v>
      </c>
      <c r="AJ205">
        <v>226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ROW(Source!A246)</f>
        <v>246</v>
      </c>
      <c r="B206">
        <v>85998654</v>
      </c>
      <c r="C206">
        <v>85998643</v>
      </c>
      <c r="D206">
        <v>84164762</v>
      </c>
      <c r="E206">
        <v>117</v>
      </c>
      <c r="F206">
        <v>1</v>
      </c>
      <c r="G206">
        <v>1</v>
      </c>
      <c r="H206">
        <v>1</v>
      </c>
      <c r="I206" t="s">
        <v>542</v>
      </c>
      <c r="J206" t="s">
        <v>3</v>
      </c>
      <c r="K206" t="s">
        <v>543</v>
      </c>
      <c r="L206">
        <v>1191</v>
      </c>
      <c r="N206">
        <v>1013</v>
      </c>
      <c r="O206" t="s">
        <v>541</v>
      </c>
      <c r="P206" t="s">
        <v>541</v>
      </c>
      <c r="Q206">
        <v>1</v>
      </c>
      <c r="X206">
        <v>0.17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2</v>
      </c>
      <c r="AF206" t="s">
        <v>329</v>
      </c>
      <c r="AG206">
        <v>0.255</v>
      </c>
      <c r="AH206">
        <v>2</v>
      </c>
      <c r="AI206">
        <v>85998645</v>
      </c>
      <c r="AJ206">
        <v>227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ROW(Source!A246)</f>
        <v>246</v>
      </c>
      <c r="B207">
        <v>85998655</v>
      </c>
      <c r="C207">
        <v>85998643</v>
      </c>
      <c r="D207">
        <v>84171436</v>
      </c>
      <c r="E207">
        <v>1</v>
      </c>
      <c r="F207">
        <v>1</v>
      </c>
      <c r="G207">
        <v>1</v>
      </c>
      <c r="H207">
        <v>2</v>
      </c>
      <c r="I207" t="s">
        <v>447</v>
      </c>
      <c r="J207" t="s">
        <v>449</v>
      </c>
      <c r="K207" t="s">
        <v>448</v>
      </c>
      <c r="L207">
        <v>1368</v>
      </c>
      <c r="N207">
        <v>1011</v>
      </c>
      <c r="O207" t="s">
        <v>29</v>
      </c>
      <c r="P207" t="s">
        <v>29</v>
      </c>
      <c r="Q207">
        <v>1</v>
      </c>
      <c r="X207">
        <v>0.02</v>
      </c>
      <c r="Y207">
        <v>0</v>
      </c>
      <c r="Z207">
        <v>30.61</v>
      </c>
      <c r="AA207">
        <v>641.22</v>
      </c>
      <c r="AB207">
        <v>0</v>
      </c>
      <c r="AC207">
        <v>0</v>
      </c>
      <c r="AD207">
        <v>1</v>
      </c>
      <c r="AE207">
        <v>0</v>
      </c>
      <c r="AF207" t="s">
        <v>329</v>
      </c>
      <c r="AG207">
        <v>0.03</v>
      </c>
      <c r="AH207">
        <v>2</v>
      </c>
      <c r="AI207">
        <v>85998646</v>
      </c>
      <c r="AJ207">
        <v>228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ROW(Source!A246)</f>
        <v>246</v>
      </c>
      <c r="B208">
        <v>85998656</v>
      </c>
      <c r="C208">
        <v>85998643</v>
      </c>
      <c r="D208">
        <v>84172146</v>
      </c>
      <c r="E208">
        <v>1</v>
      </c>
      <c r="F208">
        <v>1</v>
      </c>
      <c r="G208">
        <v>1</v>
      </c>
      <c r="H208">
        <v>2</v>
      </c>
      <c r="I208" t="s">
        <v>127</v>
      </c>
      <c r="J208" t="s">
        <v>129</v>
      </c>
      <c r="K208" t="s">
        <v>128</v>
      </c>
      <c r="L208">
        <v>1368</v>
      </c>
      <c r="N208">
        <v>1011</v>
      </c>
      <c r="O208" t="s">
        <v>29</v>
      </c>
      <c r="P208" t="s">
        <v>29</v>
      </c>
      <c r="Q208">
        <v>1</v>
      </c>
      <c r="X208">
        <v>0.15</v>
      </c>
      <c r="Y208">
        <v>0</v>
      </c>
      <c r="Z208">
        <v>643.29</v>
      </c>
      <c r="AA208">
        <v>722.05</v>
      </c>
      <c r="AB208">
        <v>0</v>
      </c>
      <c r="AC208">
        <v>0</v>
      </c>
      <c r="AD208">
        <v>1</v>
      </c>
      <c r="AE208">
        <v>0</v>
      </c>
      <c r="AF208" t="s">
        <v>329</v>
      </c>
      <c r="AG208">
        <v>0.22499999999999998</v>
      </c>
      <c r="AH208">
        <v>2</v>
      </c>
      <c r="AI208">
        <v>85998647</v>
      </c>
      <c r="AJ208">
        <v>229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ROW(Source!A246)</f>
        <v>246</v>
      </c>
      <c r="B209">
        <v>85998657</v>
      </c>
      <c r="C209">
        <v>85998643</v>
      </c>
      <c r="D209">
        <v>84241198</v>
      </c>
      <c r="E209">
        <v>1</v>
      </c>
      <c r="F209">
        <v>1</v>
      </c>
      <c r="G209">
        <v>1</v>
      </c>
      <c r="H209">
        <v>3</v>
      </c>
      <c r="I209" t="s">
        <v>672</v>
      </c>
      <c r="J209" t="s">
        <v>673</v>
      </c>
      <c r="K209" t="s">
        <v>674</v>
      </c>
      <c r="L209">
        <v>1327</v>
      </c>
      <c r="N209">
        <v>1005</v>
      </c>
      <c r="O209" t="s">
        <v>675</v>
      </c>
      <c r="P209" t="s">
        <v>675</v>
      </c>
      <c r="Q209">
        <v>1</v>
      </c>
      <c r="X209">
        <v>0.84</v>
      </c>
      <c r="Y209">
        <v>531.44000000000005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3</v>
      </c>
      <c r="AG209">
        <v>0.84</v>
      </c>
      <c r="AH209">
        <v>2</v>
      </c>
      <c r="AI209">
        <v>85998648</v>
      </c>
      <c r="AJ209">
        <v>230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ROW(Source!A246)</f>
        <v>246</v>
      </c>
      <c r="B210">
        <v>85998658</v>
      </c>
      <c r="C210">
        <v>85998643</v>
      </c>
      <c r="D210">
        <v>84241562</v>
      </c>
      <c r="E210">
        <v>1</v>
      </c>
      <c r="F210">
        <v>1</v>
      </c>
      <c r="G210">
        <v>1</v>
      </c>
      <c r="H210">
        <v>3</v>
      </c>
      <c r="I210" t="s">
        <v>669</v>
      </c>
      <c r="J210" t="s">
        <v>670</v>
      </c>
      <c r="K210" t="s">
        <v>671</v>
      </c>
      <c r="L210">
        <v>1346</v>
      </c>
      <c r="N210">
        <v>1009</v>
      </c>
      <c r="O210" t="s">
        <v>170</v>
      </c>
      <c r="P210" t="s">
        <v>170</v>
      </c>
      <c r="Q210">
        <v>1</v>
      </c>
      <c r="X210">
        <v>0.31</v>
      </c>
      <c r="Y210">
        <v>56.11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</v>
      </c>
      <c r="AG210">
        <v>0.31</v>
      </c>
      <c r="AH210">
        <v>2</v>
      </c>
      <c r="AI210">
        <v>85998649</v>
      </c>
      <c r="AJ210">
        <v>231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ROW(Source!A246)</f>
        <v>246</v>
      </c>
      <c r="B211">
        <v>85998659</v>
      </c>
      <c r="C211">
        <v>85998643</v>
      </c>
      <c r="D211">
        <v>84168457</v>
      </c>
      <c r="E211">
        <v>117</v>
      </c>
      <c r="F211">
        <v>1</v>
      </c>
      <c r="G211">
        <v>1</v>
      </c>
      <c r="H211">
        <v>3</v>
      </c>
      <c r="I211" t="s">
        <v>695</v>
      </c>
      <c r="J211" t="s">
        <v>3</v>
      </c>
      <c r="K211" t="s">
        <v>697</v>
      </c>
      <c r="L211">
        <v>1348</v>
      </c>
      <c r="N211">
        <v>1009</v>
      </c>
      <c r="O211" t="s">
        <v>165</v>
      </c>
      <c r="P211" t="s">
        <v>165</v>
      </c>
      <c r="Q211">
        <v>1000</v>
      </c>
      <c r="X211">
        <v>0.03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3</v>
      </c>
      <c r="AG211">
        <v>0.03</v>
      </c>
      <c r="AH211">
        <v>3</v>
      </c>
      <c r="AI211">
        <v>-1</v>
      </c>
      <c r="AJ211" t="s">
        <v>3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ROW(Source!A246)</f>
        <v>246</v>
      </c>
      <c r="B212">
        <v>85998660</v>
      </c>
      <c r="C212">
        <v>85998643</v>
      </c>
      <c r="D212">
        <v>84168475</v>
      </c>
      <c r="E212">
        <v>117</v>
      </c>
      <c r="F212">
        <v>1</v>
      </c>
      <c r="G212">
        <v>1</v>
      </c>
      <c r="H212">
        <v>3</v>
      </c>
      <c r="I212" t="s">
        <v>698</v>
      </c>
      <c r="J212" t="s">
        <v>3</v>
      </c>
      <c r="K212" t="s">
        <v>694</v>
      </c>
      <c r="L212">
        <v>1348</v>
      </c>
      <c r="N212">
        <v>1009</v>
      </c>
      <c r="O212" t="s">
        <v>165</v>
      </c>
      <c r="P212" t="s">
        <v>165</v>
      </c>
      <c r="Q212">
        <v>1000</v>
      </c>
      <c r="X212">
        <v>0.02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 t="s">
        <v>3</v>
      </c>
      <c r="AG212">
        <v>0.02</v>
      </c>
      <c r="AH212">
        <v>3</v>
      </c>
      <c r="AI212">
        <v>-1</v>
      </c>
      <c r="AJ212" t="s">
        <v>3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ROW(Source!A246)</f>
        <v>246</v>
      </c>
      <c r="B213">
        <v>85998661</v>
      </c>
      <c r="C213">
        <v>85998643</v>
      </c>
      <c r="D213">
        <v>84258051</v>
      </c>
      <c r="E213">
        <v>1</v>
      </c>
      <c r="F213">
        <v>1</v>
      </c>
      <c r="G213">
        <v>1</v>
      </c>
      <c r="H213">
        <v>3</v>
      </c>
      <c r="I213" t="s">
        <v>681</v>
      </c>
      <c r="J213" t="s">
        <v>682</v>
      </c>
      <c r="K213" t="s">
        <v>683</v>
      </c>
      <c r="L213">
        <v>1348</v>
      </c>
      <c r="N213">
        <v>1009</v>
      </c>
      <c r="O213" t="s">
        <v>165</v>
      </c>
      <c r="P213" t="s">
        <v>165</v>
      </c>
      <c r="Q213">
        <v>1000</v>
      </c>
      <c r="X213">
        <v>5.0999999999999997E-2</v>
      </c>
      <c r="Y213">
        <v>52790.33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5.0999999999999997E-2</v>
      </c>
      <c r="AH213">
        <v>2</v>
      </c>
      <c r="AI213">
        <v>85998650</v>
      </c>
      <c r="AJ213">
        <v>234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ROW(Source!A251)</f>
        <v>251</v>
      </c>
      <c r="B214">
        <v>85998672</v>
      </c>
      <c r="C214">
        <v>85998664</v>
      </c>
      <c r="D214">
        <v>84164552</v>
      </c>
      <c r="E214">
        <v>117</v>
      </c>
      <c r="F214">
        <v>1</v>
      </c>
      <c r="G214">
        <v>1</v>
      </c>
      <c r="H214">
        <v>1</v>
      </c>
      <c r="I214" t="s">
        <v>684</v>
      </c>
      <c r="J214" t="s">
        <v>3</v>
      </c>
      <c r="K214" t="s">
        <v>685</v>
      </c>
      <c r="L214">
        <v>1191</v>
      </c>
      <c r="N214">
        <v>1013</v>
      </c>
      <c r="O214" t="s">
        <v>541</v>
      </c>
      <c r="P214" t="s">
        <v>541</v>
      </c>
      <c r="Q214">
        <v>1</v>
      </c>
      <c r="X214">
        <v>16.170000000000002</v>
      </c>
      <c r="Y214">
        <v>0</v>
      </c>
      <c r="Z214">
        <v>0</v>
      </c>
      <c r="AA214">
        <v>0</v>
      </c>
      <c r="AB214">
        <v>619.66999999999996</v>
      </c>
      <c r="AC214">
        <v>0</v>
      </c>
      <c r="AD214">
        <v>1</v>
      </c>
      <c r="AE214">
        <v>1</v>
      </c>
      <c r="AF214" t="s">
        <v>330</v>
      </c>
      <c r="AG214">
        <v>22.314599999999999</v>
      </c>
      <c r="AH214">
        <v>2</v>
      </c>
      <c r="AI214">
        <v>85998665</v>
      </c>
      <c r="AJ214">
        <v>235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ROW(Source!A251)</f>
        <v>251</v>
      </c>
      <c r="B215">
        <v>85998673</v>
      </c>
      <c r="C215">
        <v>85998664</v>
      </c>
      <c r="D215">
        <v>84164762</v>
      </c>
      <c r="E215">
        <v>117</v>
      </c>
      <c r="F215">
        <v>1</v>
      </c>
      <c r="G215">
        <v>1</v>
      </c>
      <c r="H215">
        <v>1</v>
      </c>
      <c r="I215" t="s">
        <v>542</v>
      </c>
      <c r="J215" t="s">
        <v>3</v>
      </c>
      <c r="K215" t="s">
        <v>543</v>
      </c>
      <c r="L215">
        <v>1191</v>
      </c>
      <c r="N215">
        <v>1013</v>
      </c>
      <c r="O215" t="s">
        <v>541</v>
      </c>
      <c r="P215" t="s">
        <v>541</v>
      </c>
      <c r="Q215">
        <v>1</v>
      </c>
      <c r="X215">
        <v>0.05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2</v>
      </c>
      <c r="AF215" t="s">
        <v>329</v>
      </c>
      <c r="AG215">
        <v>7.4999999999999997E-2</v>
      </c>
      <c r="AH215">
        <v>2</v>
      </c>
      <c r="AI215">
        <v>85998666</v>
      </c>
      <c r="AJ215">
        <v>236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ROW(Source!A251)</f>
        <v>251</v>
      </c>
      <c r="B216">
        <v>85998674</v>
      </c>
      <c r="C216">
        <v>85998664</v>
      </c>
      <c r="D216">
        <v>84171438</v>
      </c>
      <c r="E216">
        <v>1</v>
      </c>
      <c r="F216">
        <v>1</v>
      </c>
      <c r="G216">
        <v>1</v>
      </c>
      <c r="H216">
        <v>2</v>
      </c>
      <c r="I216" t="s">
        <v>27</v>
      </c>
      <c r="J216" t="s">
        <v>30</v>
      </c>
      <c r="K216" t="s">
        <v>28</v>
      </c>
      <c r="L216">
        <v>1368</v>
      </c>
      <c r="N216">
        <v>1011</v>
      </c>
      <c r="O216" t="s">
        <v>29</v>
      </c>
      <c r="P216" t="s">
        <v>29</v>
      </c>
      <c r="Q216">
        <v>1</v>
      </c>
      <c r="X216">
        <v>0.01</v>
      </c>
      <c r="Y216">
        <v>0</v>
      </c>
      <c r="Z216">
        <v>37.32</v>
      </c>
      <c r="AA216">
        <v>641.22</v>
      </c>
      <c r="AB216">
        <v>0</v>
      </c>
      <c r="AC216">
        <v>0</v>
      </c>
      <c r="AD216">
        <v>1</v>
      </c>
      <c r="AE216">
        <v>0</v>
      </c>
      <c r="AF216" t="s">
        <v>329</v>
      </c>
      <c r="AG216">
        <v>1.4999999999999999E-2</v>
      </c>
      <c r="AH216">
        <v>2</v>
      </c>
      <c r="AI216">
        <v>85998667</v>
      </c>
      <c r="AJ216">
        <v>237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ROW(Source!A251)</f>
        <v>251</v>
      </c>
      <c r="B217">
        <v>85998675</v>
      </c>
      <c r="C217">
        <v>85998664</v>
      </c>
      <c r="D217">
        <v>84172146</v>
      </c>
      <c r="E217">
        <v>1</v>
      </c>
      <c r="F217">
        <v>1</v>
      </c>
      <c r="G217">
        <v>1</v>
      </c>
      <c r="H217">
        <v>2</v>
      </c>
      <c r="I217" t="s">
        <v>127</v>
      </c>
      <c r="J217" t="s">
        <v>129</v>
      </c>
      <c r="K217" t="s">
        <v>128</v>
      </c>
      <c r="L217">
        <v>1368</v>
      </c>
      <c r="N217">
        <v>1011</v>
      </c>
      <c r="O217" t="s">
        <v>29</v>
      </c>
      <c r="P217" t="s">
        <v>29</v>
      </c>
      <c r="Q217">
        <v>1</v>
      </c>
      <c r="X217">
        <v>0.04</v>
      </c>
      <c r="Y217">
        <v>0</v>
      </c>
      <c r="Z217">
        <v>643.29</v>
      </c>
      <c r="AA217">
        <v>722.05</v>
      </c>
      <c r="AB217">
        <v>0</v>
      </c>
      <c r="AC217">
        <v>0</v>
      </c>
      <c r="AD217">
        <v>1</v>
      </c>
      <c r="AE217">
        <v>0</v>
      </c>
      <c r="AF217" t="s">
        <v>329</v>
      </c>
      <c r="AG217">
        <v>0.06</v>
      </c>
      <c r="AH217">
        <v>2</v>
      </c>
      <c r="AI217">
        <v>85998668</v>
      </c>
      <c r="AJ217">
        <v>238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ROW(Source!A251)</f>
        <v>251</v>
      </c>
      <c r="B218">
        <v>85998676</v>
      </c>
      <c r="C218">
        <v>85998664</v>
      </c>
      <c r="D218">
        <v>84238902</v>
      </c>
      <c r="E218">
        <v>1</v>
      </c>
      <c r="F218">
        <v>1</v>
      </c>
      <c r="G218">
        <v>1</v>
      </c>
      <c r="H218">
        <v>3</v>
      </c>
      <c r="I218" t="s">
        <v>686</v>
      </c>
      <c r="J218" t="s">
        <v>687</v>
      </c>
      <c r="K218" t="s">
        <v>688</v>
      </c>
      <c r="L218">
        <v>1339</v>
      </c>
      <c r="N218">
        <v>1007</v>
      </c>
      <c r="O218" t="s">
        <v>649</v>
      </c>
      <c r="P218" t="s">
        <v>649</v>
      </c>
      <c r="Q218">
        <v>1</v>
      </c>
      <c r="X218">
        <v>0.06</v>
      </c>
      <c r="Y218">
        <v>35.71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3</v>
      </c>
      <c r="AG218">
        <v>0.06</v>
      </c>
      <c r="AH218">
        <v>2</v>
      </c>
      <c r="AI218">
        <v>85998669</v>
      </c>
      <c r="AJ218">
        <v>239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ROW(Source!A251)</f>
        <v>251</v>
      </c>
      <c r="B219">
        <v>85998677</v>
      </c>
      <c r="C219">
        <v>85998664</v>
      </c>
      <c r="D219">
        <v>84241562</v>
      </c>
      <c r="E219">
        <v>1</v>
      </c>
      <c r="F219">
        <v>1</v>
      </c>
      <c r="G219">
        <v>1</v>
      </c>
      <c r="H219">
        <v>3</v>
      </c>
      <c r="I219" t="s">
        <v>669</v>
      </c>
      <c r="J219" t="s">
        <v>670</v>
      </c>
      <c r="K219" t="s">
        <v>671</v>
      </c>
      <c r="L219">
        <v>1346</v>
      </c>
      <c r="N219">
        <v>1009</v>
      </c>
      <c r="O219" t="s">
        <v>170</v>
      </c>
      <c r="P219" t="s">
        <v>170</v>
      </c>
      <c r="Q219">
        <v>1</v>
      </c>
      <c r="X219">
        <v>0.19</v>
      </c>
      <c r="Y219">
        <v>56.11</v>
      </c>
      <c r="Z219">
        <v>0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3</v>
      </c>
      <c r="AG219">
        <v>0.19</v>
      </c>
      <c r="AH219">
        <v>2</v>
      </c>
      <c r="AI219">
        <v>85998670</v>
      </c>
      <c r="AJ219">
        <v>240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ROW(Source!A251)</f>
        <v>251</v>
      </c>
      <c r="B220">
        <v>85998678</v>
      </c>
      <c r="C220">
        <v>85998664</v>
      </c>
      <c r="D220">
        <v>84166000</v>
      </c>
      <c r="E220">
        <v>117</v>
      </c>
      <c r="F220">
        <v>1</v>
      </c>
      <c r="G220">
        <v>1</v>
      </c>
      <c r="H220">
        <v>3</v>
      </c>
      <c r="I220" t="s">
        <v>699</v>
      </c>
      <c r="J220" t="s">
        <v>3</v>
      </c>
      <c r="K220" t="s">
        <v>700</v>
      </c>
      <c r="L220">
        <v>1348</v>
      </c>
      <c r="N220">
        <v>1009</v>
      </c>
      <c r="O220" t="s">
        <v>165</v>
      </c>
      <c r="P220" t="s">
        <v>165</v>
      </c>
      <c r="Q220">
        <v>1000</v>
      </c>
      <c r="X220">
        <v>0.05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 t="s">
        <v>3</v>
      </c>
      <c r="AG220">
        <v>0.05</v>
      </c>
      <c r="AH220">
        <v>3</v>
      </c>
      <c r="AI220">
        <v>-1</v>
      </c>
      <c r="AJ220" t="s">
        <v>3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21" x14ac:dyDescent="0.2">
      <c r="A1">
        <v>35</v>
      </c>
      <c r="B1">
        <v>1</v>
      </c>
      <c r="C1" t="s">
        <v>3</v>
      </c>
      <c r="D1" t="s">
        <v>46</v>
      </c>
      <c r="E1" t="s">
        <v>47</v>
      </c>
      <c r="F1" t="s">
        <v>47</v>
      </c>
      <c r="G1" t="s">
        <v>47</v>
      </c>
      <c r="H1" t="s">
        <v>3</v>
      </c>
      <c r="I1" t="s">
        <v>47</v>
      </c>
      <c r="J1" t="s">
        <v>47</v>
      </c>
      <c r="K1" t="s">
        <v>3</v>
      </c>
      <c r="L1" t="s">
        <v>3</v>
      </c>
      <c r="M1" t="s">
        <v>3</v>
      </c>
      <c r="N1" t="s">
        <v>46</v>
      </c>
      <c r="O1" t="s">
        <v>47</v>
      </c>
      <c r="P1" t="s">
        <v>3</v>
      </c>
      <c r="Q1" t="s">
        <v>3</v>
      </c>
      <c r="R1" t="s">
        <v>3</v>
      </c>
      <c r="S1" t="s">
        <v>701</v>
      </c>
      <c r="T1" t="s">
        <v>702</v>
      </c>
      <c r="U1" t="s">
        <v>703</v>
      </c>
    </row>
    <row r="2" spans="1:21" x14ac:dyDescent="0.2">
      <c r="A2">
        <v>240</v>
      </c>
      <c r="B2">
        <v>1</v>
      </c>
      <c r="C2" t="s">
        <v>3</v>
      </c>
      <c r="D2" t="s">
        <v>3</v>
      </c>
      <c r="E2" t="s">
        <v>704</v>
      </c>
      <c r="F2" t="s">
        <v>704</v>
      </c>
      <c r="G2" t="s">
        <v>704</v>
      </c>
      <c r="H2" t="s">
        <v>3</v>
      </c>
      <c r="I2" t="s">
        <v>704</v>
      </c>
      <c r="J2" t="s">
        <v>704</v>
      </c>
      <c r="K2" t="s">
        <v>3</v>
      </c>
      <c r="L2" t="s">
        <v>3</v>
      </c>
      <c r="M2" t="s">
        <v>3</v>
      </c>
      <c r="N2" t="s">
        <v>3</v>
      </c>
      <c r="O2" t="s">
        <v>704</v>
      </c>
      <c r="P2" t="s">
        <v>3</v>
      </c>
      <c r="Q2" t="s">
        <v>3</v>
      </c>
      <c r="R2" t="s">
        <v>3</v>
      </c>
      <c r="S2" t="s">
        <v>705</v>
      </c>
      <c r="T2" t="s">
        <v>739</v>
      </c>
      <c r="U2" t="s">
        <v>706</v>
      </c>
    </row>
    <row r="3" spans="1:21" x14ac:dyDescent="0.2">
      <c r="A3">
        <v>240</v>
      </c>
      <c r="B3">
        <v>1</v>
      </c>
      <c r="C3" t="s">
        <v>3</v>
      </c>
      <c r="D3" t="s">
        <v>3</v>
      </c>
      <c r="E3" t="s">
        <v>707</v>
      </c>
      <c r="F3" t="s">
        <v>707</v>
      </c>
      <c r="G3" t="s">
        <v>708</v>
      </c>
      <c r="H3" t="s">
        <v>3</v>
      </c>
      <c r="I3" t="s">
        <v>708</v>
      </c>
      <c r="J3" t="s">
        <v>707</v>
      </c>
      <c r="K3" t="s">
        <v>3</v>
      </c>
      <c r="L3" t="s">
        <v>3</v>
      </c>
      <c r="M3" t="s">
        <v>269</v>
      </c>
      <c r="N3" t="s">
        <v>3</v>
      </c>
      <c r="O3" t="s">
        <v>707</v>
      </c>
      <c r="P3" t="s">
        <v>3</v>
      </c>
      <c r="Q3" t="s">
        <v>3</v>
      </c>
      <c r="R3" t="s">
        <v>3</v>
      </c>
      <c r="S3" t="s">
        <v>709</v>
      </c>
      <c r="T3" t="s">
        <v>740</v>
      </c>
      <c r="U3" t="s">
        <v>710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7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76530</v>
      </c>
      <c r="M1">
        <v>10</v>
      </c>
      <c r="N1">
        <v>12</v>
      </c>
      <c r="O1">
        <v>1</v>
      </c>
      <c r="P1">
        <v>0</v>
      </c>
      <c r="Q1">
        <v>1</v>
      </c>
    </row>
    <row r="12" spans="1:103" x14ac:dyDescent="0.2">
      <c r="F12" t="str">
        <f>Source!F12</f>
        <v>Новый объект_(Копия)_(Копия)</v>
      </c>
      <c r="G12" t="str">
        <f>Source!G12</f>
        <v>Строгановка Аудитория № 1009, 311, 239 ИСПРАВЛЕННАЯ по замечаниям Кости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46134</v>
      </c>
      <c r="AK12" t="s">
        <v>3</v>
      </c>
      <c r="AL12" t="s">
        <v>3</v>
      </c>
      <c r="AM12" t="s">
        <v>3</v>
      </c>
      <c r="CY12">
        <v>0</v>
      </c>
    </row>
    <row r="14" spans="1:103" x14ac:dyDescent="0.2">
      <c r="E14" t="s">
        <v>711</v>
      </c>
      <c r="AD14">
        <v>4</v>
      </c>
    </row>
    <row r="15" spans="1:103" x14ac:dyDescent="0.2">
      <c r="B15" t="s">
        <v>712</v>
      </c>
      <c r="C15">
        <v>1</v>
      </c>
      <c r="D15" t="s">
        <v>353</v>
      </c>
      <c r="E15" t="s">
        <v>713</v>
      </c>
      <c r="F15" t="s">
        <v>344</v>
      </c>
      <c r="G15" t="s">
        <v>43</v>
      </c>
      <c r="H15">
        <v>68647.539999999994</v>
      </c>
      <c r="I15">
        <v>83750</v>
      </c>
      <c r="J15">
        <v>0</v>
      </c>
      <c r="K15">
        <v>68647.539999999994</v>
      </c>
      <c r="L15">
        <v>22</v>
      </c>
      <c r="M15">
        <v>46134</v>
      </c>
      <c r="N15">
        <v>2</v>
      </c>
      <c r="O15" t="s">
        <v>714</v>
      </c>
      <c r="P15" t="s">
        <v>715</v>
      </c>
      <c r="Q15" t="s">
        <v>716</v>
      </c>
      <c r="R15" t="s">
        <v>717</v>
      </c>
      <c r="S15" t="s">
        <v>3</v>
      </c>
      <c r="T15" t="s">
        <v>718</v>
      </c>
      <c r="U15">
        <v>0</v>
      </c>
      <c r="V15">
        <v>0</v>
      </c>
      <c r="W15">
        <v>0</v>
      </c>
      <c r="X15">
        <v>0</v>
      </c>
      <c r="Y15" t="s">
        <v>3</v>
      </c>
      <c r="Z15" t="s">
        <v>719</v>
      </c>
      <c r="AA15">
        <v>0</v>
      </c>
      <c r="AB15" t="s">
        <v>3</v>
      </c>
      <c r="AC15">
        <v>68647.539999999994</v>
      </c>
      <c r="AD15">
        <v>1</v>
      </c>
      <c r="AE15">
        <v>0</v>
      </c>
      <c r="AF15">
        <v>1</v>
      </c>
      <c r="AG15">
        <v>3</v>
      </c>
      <c r="AH15" t="s">
        <v>43</v>
      </c>
      <c r="AI15" t="s">
        <v>354</v>
      </c>
      <c r="AJ15">
        <v>46141.720335648148</v>
      </c>
      <c r="AK15">
        <v>85998483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 t="s">
        <v>3</v>
      </c>
      <c r="AT15">
        <v>0</v>
      </c>
      <c r="AU15">
        <v>0</v>
      </c>
    </row>
    <row r="16" spans="1:103" x14ac:dyDescent="0.2">
      <c r="B16" t="s">
        <v>720</v>
      </c>
      <c r="C16">
        <v>0</v>
      </c>
      <c r="D16" t="s">
        <v>721</v>
      </c>
      <c r="E16" t="s">
        <v>722</v>
      </c>
      <c r="F16" t="s">
        <v>344</v>
      </c>
      <c r="G16" t="s">
        <v>43</v>
      </c>
      <c r="H16">
        <v>72786.89</v>
      </c>
      <c r="I16">
        <v>88800</v>
      </c>
      <c r="J16">
        <v>0</v>
      </c>
      <c r="K16">
        <v>72786.89</v>
      </c>
      <c r="L16">
        <v>22</v>
      </c>
      <c r="M16">
        <v>46134</v>
      </c>
      <c r="N16">
        <v>2</v>
      </c>
      <c r="O16" t="s">
        <v>723</v>
      </c>
      <c r="P16" t="s">
        <v>724</v>
      </c>
      <c r="Q16" t="s">
        <v>725</v>
      </c>
      <c r="R16" t="s">
        <v>726</v>
      </c>
      <c r="S16" t="s">
        <v>3</v>
      </c>
      <c r="T16" t="s">
        <v>718</v>
      </c>
      <c r="U16">
        <v>0</v>
      </c>
      <c r="V16">
        <v>0</v>
      </c>
      <c r="W16">
        <v>0</v>
      </c>
      <c r="X16">
        <v>0</v>
      </c>
      <c r="Y16" t="s">
        <v>3</v>
      </c>
      <c r="Z16" t="s">
        <v>719</v>
      </c>
      <c r="AA16">
        <v>0</v>
      </c>
      <c r="AB16" t="s">
        <v>3</v>
      </c>
      <c r="AC16">
        <v>72786.89</v>
      </c>
      <c r="AD16">
        <v>1</v>
      </c>
      <c r="AE16">
        <v>0</v>
      </c>
      <c r="AF16">
        <v>1</v>
      </c>
      <c r="AG16">
        <v>3</v>
      </c>
      <c r="AH16" t="s">
        <v>43</v>
      </c>
      <c r="AI16" t="s">
        <v>354</v>
      </c>
      <c r="AJ16">
        <v>46141.720335648148</v>
      </c>
      <c r="AK16">
        <v>85998483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 t="s">
        <v>3</v>
      </c>
      <c r="AT16">
        <v>0</v>
      </c>
      <c r="AU16">
        <v>0</v>
      </c>
    </row>
    <row r="17" spans="2:47" x14ac:dyDescent="0.2">
      <c r="B17" t="s">
        <v>727</v>
      </c>
      <c r="C17">
        <v>0</v>
      </c>
      <c r="D17" t="s">
        <v>728</v>
      </c>
      <c r="E17" t="s">
        <v>729</v>
      </c>
      <c r="F17" t="s">
        <v>344</v>
      </c>
      <c r="G17" t="s">
        <v>43</v>
      </c>
      <c r="H17">
        <v>74344.259999999995</v>
      </c>
      <c r="I17">
        <v>90700</v>
      </c>
      <c r="J17">
        <v>0</v>
      </c>
      <c r="K17">
        <v>74344.259999999995</v>
      </c>
      <c r="L17">
        <v>22</v>
      </c>
      <c r="M17">
        <v>46134</v>
      </c>
      <c r="N17">
        <v>2</v>
      </c>
      <c r="O17" t="s">
        <v>730</v>
      </c>
      <c r="P17" t="s">
        <v>724</v>
      </c>
      <c r="Q17" t="s">
        <v>731</v>
      </c>
      <c r="R17" t="s">
        <v>726</v>
      </c>
      <c r="S17" t="s">
        <v>3</v>
      </c>
      <c r="T17" t="s">
        <v>732</v>
      </c>
      <c r="U17">
        <v>0</v>
      </c>
      <c r="V17">
        <v>0</v>
      </c>
      <c r="W17">
        <v>0</v>
      </c>
      <c r="X17">
        <v>0</v>
      </c>
      <c r="Y17" t="s">
        <v>3</v>
      </c>
      <c r="Z17" t="s">
        <v>719</v>
      </c>
      <c r="AA17">
        <v>0</v>
      </c>
      <c r="AB17" t="s">
        <v>3</v>
      </c>
      <c r="AC17">
        <v>74344.259999999995</v>
      </c>
      <c r="AD17">
        <v>1</v>
      </c>
      <c r="AE17">
        <v>0</v>
      </c>
      <c r="AF17">
        <v>1</v>
      </c>
      <c r="AG17">
        <v>3</v>
      </c>
      <c r="AH17" t="s">
        <v>43</v>
      </c>
      <c r="AI17" t="s">
        <v>354</v>
      </c>
      <c r="AJ17">
        <v>46141.720335648148</v>
      </c>
      <c r="AK17">
        <v>85998483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 t="s">
        <v>3</v>
      </c>
      <c r="AT17">
        <v>0</v>
      </c>
      <c r="AU17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Смета по ФСНБ 421+557прРИМ</vt:lpstr>
      <vt:lpstr>Source</vt:lpstr>
      <vt:lpstr>SourceObSm</vt:lpstr>
      <vt:lpstr>SmtRes</vt:lpstr>
      <vt:lpstr>EtalonRes</vt:lpstr>
      <vt:lpstr>SrcPoprs</vt:lpstr>
      <vt:lpstr>SrcKA</vt:lpstr>
      <vt:lpstr>'Смета по ФСНБ 421+557прРИМ'!Заголовки_для_печати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2026-04-29T14:30:18Z</dcterms:created>
  <dcterms:modified xsi:type="dcterms:W3CDTF">2026-06-03T15:11:27Z</dcterms:modified>
</cp:coreProperties>
</file>