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Закупки\п 4\2026\МеждГородные телефон соединения\"/>
    </mc:Choice>
  </mc:AlternateContent>
  <bookViews>
    <workbookView xWindow="0" yWindow="0" windowWidth="24000" windowHeight="9030"/>
  </bookViews>
  <sheets>
    <sheet name="ПРИМЕР 4" sheetId="5" r:id="rId1"/>
    <sheet name="Расчет НМЦК" sheetId="3" r:id="rId2"/>
    <sheet name="Лист1" sheetId="4" r:id="rId3"/>
  </sheets>
  <externalReferences>
    <externalReference r:id="rId4"/>
  </externalReferences>
  <definedNames>
    <definedName name="название" localSheetId="2">[1]Список!$A$2:$A$3</definedName>
    <definedName name="название" localSheetId="0">[1]Список!$A$2:$A$3</definedName>
    <definedName name="название">#REF!</definedName>
  </definedNames>
  <calcPr calcId="152511" iterateDelta="1E-4"/>
</workbook>
</file>

<file path=xl/calcChain.xml><?xml version="1.0" encoding="utf-8"?>
<calcChain xmlns="http://schemas.openxmlformats.org/spreadsheetml/2006/main">
  <c r="H12" i="5" l="1"/>
  <c r="H13" i="5"/>
  <c r="H14" i="5"/>
  <c r="H15" i="5"/>
  <c r="H16" i="5"/>
  <c r="I12" i="5"/>
  <c r="I13" i="5"/>
  <c r="I14" i="5"/>
  <c r="I15" i="5"/>
  <c r="I16" i="5"/>
  <c r="D17" i="5"/>
  <c r="E17" i="5"/>
  <c r="H11" i="5"/>
  <c r="J11" i="4" l="1"/>
  <c r="G12" i="5"/>
  <c r="G13" i="5"/>
  <c r="G14" i="5"/>
  <c r="G15" i="5"/>
  <c r="G16" i="5"/>
  <c r="G11" i="5"/>
  <c r="I11" i="5" s="1"/>
  <c r="G17" i="5" l="1"/>
  <c r="K15" i="5" l="1"/>
  <c r="K12" i="5"/>
  <c r="K13" i="5"/>
  <c r="K16" i="5"/>
  <c r="K14" i="5" l="1"/>
  <c r="J16" i="5"/>
  <c r="J15" i="5"/>
  <c r="J13" i="5"/>
  <c r="K11" i="5"/>
  <c r="K17" i="5" s="1"/>
  <c r="J12" i="5"/>
  <c r="J14" i="5" l="1"/>
  <c r="H17" i="5"/>
  <c r="J11" i="5"/>
  <c r="F19" i="3" l="1"/>
  <c r="H18" i="3"/>
  <c r="H17" i="3"/>
  <c r="G17" i="3"/>
  <c r="G18" i="3"/>
  <c r="J17" i="3" l="1"/>
  <c r="E19" i="3"/>
  <c r="D19" i="3"/>
  <c r="G19" i="3" l="1"/>
  <c r="H19" i="3"/>
  <c r="M22" i="3"/>
  <c r="N22" i="3" s="1"/>
  <c r="M23" i="3"/>
  <c r="G23" i="3" l="1"/>
  <c r="G24" i="3"/>
  <c r="H24" i="3" l="1"/>
  <c r="D22" i="3"/>
  <c r="G26" i="3"/>
  <c r="I17" i="3" l="1"/>
  <c r="J18" i="3" l="1"/>
  <c r="E5" i="3"/>
  <c r="I18" i="3" l="1"/>
  <c r="J19" i="3"/>
  <c r="XFD19" i="3" s="1"/>
  <c r="I19" i="3"/>
  <c r="H5" i="3"/>
  <c r="G5" i="3"/>
  <c r="D10" i="3"/>
  <c r="E8" i="3"/>
  <c r="E6" i="3"/>
  <c r="E4" i="3"/>
  <c r="I5" i="3" l="1"/>
  <c r="E10" i="3"/>
  <c r="G10" i="3"/>
  <c r="G4" i="3"/>
  <c r="J4" i="3" s="1"/>
  <c r="G8" i="3"/>
  <c r="J8" i="3" s="1"/>
  <c r="H6" i="3"/>
  <c r="H8" i="3"/>
  <c r="H4" i="3"/>
  <c r="G6" i="3"/>
  <c r="J6" i="3" s="1"/>
  <c r="I4" i="3" l="1"/>
  <c r="I8" i="3"/>
  <c r="H10" i="3"/>
  <c r="I10" i="3" s="1"/>
  <c r="I6" i="3"/>
  <c r="J10" i="3"/>
</calcChain>
</file>

<file path=xl/sharedStrings.xml><?xml version="1.0" encoding="utf-8"?>
<sst xmlns="http://schemas.openxmlformats.org/spreadsheetml/2006/main" count="161" uniqueCount="133">
  <si>
    <t xml:space="preserve">Подключение номера в коде АВС c единым пакетом минут </t>
  </si>
  <si>
    <t>Минимальный объем исходящих вызовов на сети связи на территории РФ</t>
  </si>
  <si>
    <t>Период записи со сроком хранения 6 месяцев</t>
  </si>
  <si>
    <t>шт.</t>
  </si>
  <si>
    <t>мин./мес</t>
  </si>
  <si>
    <t>мес.</t>
  </si>
  <si>
    <t>январь, февраль, март</t>
  </si>
  <si>
    <t>Рабочих мест всего:</t>
  </si>
  <si>
    <t>Количество</t>
  </si>
  <si>
    <t>Ответ на запрос це-новой информации 
№1
вх. от 
09.11.2021
№57/1300-ДР</t>
  </si>
  <si>
    <t>Ответ на запрос це-новой информации 
№2
вх. от 
09.11.2021
№57/1298-ДР</t>
  </si>
  <si>
    <t>Среднее значение стоимости</t>
  </si>
  <si>
    <t>Среднеквадратичное отклонение</t>
  </si>
  <si>
    <t>Коэффициент вариации,%</t>
  </si>
  <si>
    <t>Подключение нового номера в коде АВС (в одном домене)</t>
  </si>
  <si>
    <t>3000,00</t>
  </si>
  <si>
    <t xml:space="preserve">Итого за 6 месяцев:                   разовое подключение 75 номеров,     абон. плата за 6 месяцев,             запись разговоров по 4-м  номерам за 3 месяца        </t>
  </si>
  <si>
    <t>Ед. изм.</t>
  </si>
  <si>
    <t>Рассчитанное НМЦК за 6 месяцев</t>
  </si>
  <si>
    <t>Запись разговоров со сроком хранения 6 месяцев</t>
  </si>
  <si>
    <t>Запись и хранение записи разговоров (ежемесячный платеж) со сроком хранения 6 месяцев</t>
  </si>
  <si>
    <t>Запись и хранение записи разговоров (ежемесячный платеж) со сроком хранения 6 месяцев (в январе, феврале и марте)</t>
  </si>
  <si>
    <t>Среднее значение цены</t>
  </si>
  <si>
    <t xml:space="preserve">Итого за 12 месяцев:                   </t>
  </si>
  <si>
    <t xml:space="preserve">Рассчитанное НМЦК за 12 месяцев </t>
  </si>
  <si>
    <t>Ответ на за-прос це-новой информации 
№1
вх. от 
30.05.2023
№57/1368-ДР</t>
  </si>
  <si>
    <t>Ответ на за-прос це-новой информации 
№2
вх. от 
26.05.2023
№57/1358-ДР</t>
  </si>
  <si>
    <t>Ответ на за-прос це-новой информации 
№2
вх. от 
13.06.2023
№57/1414-ДР</t>
  </si>
  <si>
    <t>ОБОСНОВАНИЕ:</t>
  </si>
  <si>
    <t>НОРМАТИВНЫЕ ЗАТРАТЫ:</t>
  </si>
  <si>
    <t>ПРЕДМЕТ КОНТРАКТА:</t>
  </si>
  <si>
    <t>ИСПОЛЬЗУЕМЫЙ МЕТОД ОПРЕДЕЛЕНИЯ ЦЕНЫ:</t>
  </si>
  <si>
    <t>метод сопоставимых рыночных цен (анализ рынка) (п.2 ст.22 Федерального закона № 44-ФЗ)</t>
  </si>
  <si>
    <t>РАСЧЕТ:</t>
  </si>
  <si>
    <t>Среднеры-ночная стоимость, руб.</t>
  </si>
  <si>
    <t>НМЦК с учетом выделенных лимитов бюджетных обязательств, рублей</t>
  </si>
  <si>
    <t>Дата подготовки расчета</t>
  </si>
  <si>
    <t>Среднее значение цены, 
руб.</t>
  </si>
  <si>
    <t>май</t>
  </si>
  <si>
    <t>июнь</t>
  </si>
  <si>
    <t>Предлагаемая  цена за 1 ед. ТРУ, руб.</t>
  </si>
  <si>
    <t>октябрь</t>
  </si>
  <si>
    <t>ноябрь</t>
  </si>
  <si>
    <t>декабрь</t>
  </si>
  <si>
    <t>100,55</t>
  </si>
  <si>
    <t>Справочно:</t>
  </si>
  <si>
    <t>январь</t>
  </si>
  <si>
    <t>февраль</t>
  </si>
  <si>
    <t>100,82</t>
  </si>
  <si>
    <t>март</t>
  </si>
  <si>
    <t>апрель</t>
  </si>
  <si>
    <t>100,23</t>
  </si>
  <si>
    <t>100,28</t>
  </si>
  <si>
    <t>100,97</t>
  </si>
  <si>
    <t>99,54</t>
  </si>
  <si>
    <t>100,20</t>
  </si>
  <si>
    <t>100,29</t>
  </si>
  <si>
    <t>99,05</t>
  </si>
  <si>
    <t>102,16</t>
  </si>
  <si>
    <t>август</t>
  </si>
  <si>
    <t>98,86</t>
  </si>
  <si>
    <t>98,73</t>
  </si>
  <si>
    <t>98,22</t>
  </si>
  <si>
    <t>к декабрю 2024 г.</t>
  </si>
  <si>
    <t>Междугородние телефонные соединения 101-600 км</t>
  </si>
  <si>
    <t>Междугородние телефонные соединения 601-1200 км</t>
  </si>
  <si>
    <t>Междугородние телефонные соединения 1201-3000 км</t>
  </si>
  <si>
    <t>Междугородние телефонные соединения 3001-5000 км</t>
  </si>
  <si>
    <t>Междугородние телефонные соединения 5001-7000 км</t>
  </si>
  <si>
    <t>Междугородные соединения с абонентами сети подвижной радиотелефонной связи всех операторов(круглосуточно)</t>
  </si>
  <si>
    <t>Тарифные зоны</t>
  </si>
  <si>
    <t xml:space="preserve">Итого       </t>
  </si>
  <si>
    <t>п. 5 Приложения к Приказу Росстата от 26.04.2017 № 299</t>
  </si>
  <si>
    <t>61.10.11.110</t>
  </si>
  <si>
    <t>Количество минут</t>
  </si>
  <si>
    <t xml:space="preserve">невозможно определить </t>
  </si>
  <si>
    <t>минута</t>
  </si>
  <si>
    <t>ОКПД2:</t>
  </si>
  <si>
    <t>предложенная цена</t>
  </si>
  <si>
    <t>юль</t>
  </si>
  <si>
    <t>сентябрь</t>
  </si>
  <si>
    <t>99,78</t>
  </si>
  <si>
    <t>100,11</t>
  </si>
  <si>
    <t>99,37</t>
  </si>
  <si>
    <t>100,67</t>
  </si>
  <si>
    <t>101,52</t>
  </si>
  <si>
    <t>100,43</t>
  </si>
  <si>
    <t>99,73</t>
  </si>
  <si>
    <t>100,79</t>
  </si>
  <si>
    <t>100,87</t>
  </si>
  <si>
    <t>100,30</t>
  </si>
  <si>
    <t>100,21</t>
  </si>
  <si>
    <t>99,99</t>
  </si>
  <si>
    <t>декабрь 2025 г. в %</t>
  </si>
  <si>
    <t>105,05</t>
  </si>
  <si>
    <t>106,79</t>
  </si>
  <si>
    <t>101,08</t>
  </si>
  <si>
    <t>107,81</t>
  </si>
  <si>
    <t>2026 год</t>
  </si>
  <si>
    <t>101,92</t>
  </si>
  <si>
    <t>102,32</t>
  </si>
  <si>
    <t>101,04</t>
  </si>
  <si>
    <t>102,39</t>
  </si>
  <si>
    <t>100,48</t>
  </si>
  <si>
    <t>100,61</t>
  </si>
  <si>
    <t>100,86</t>
  </si>
  <si>
    <t>100,65</t>
  </si>
  <si>
    <t>100,17</t>
  </si>
  <si>
    <t>101,43</t>
  </si>
  <si>
    <t>99,93</t>
  </si>
  <si>
    <t>99,81</t>
  </si>
  <si>
    <t>99,70</t>
  </si>
  <si>
    <t>100,06</t>
  </si>
  <si>
    <t>99,55</t>
  </si>
  <si>
    <t>99,66</t>
  </si>
  <si>
    <t>101,23</t>
  </si>
  <si>
    <t>100,52</t>
  </si>
  <si>
    <t>100,12</t>
  </si>
  <si>
    <t>100,54</t>
  </si>
  <si>
    <t>июнь 2026 г. в %</t>
  </si>
  <si>
    <t>к декабрю 2025 г.</t>
  </si>
  <si>
    <t>103,61</t>
  </si>
  <si>
    <t>102,57</t>
  </si>
  <si>
    <t>102,07</t>
  </si>
  <si>
    <t>106,82</t>
  </si>
  <si>
    <t>с учетом ИПЦ на товары и услуги по Омской области июнь 2026 г. к ноябрю 2025 г. – 107.69%)</t>
  </si>
  <si>
    <t>Начальная (максимальная) цена по контракту на оказание услуг по предоставлению междугородных  телефонных соединений за 1 минуту соединения  составляет 33 рубля 95 копеек.</t>
  </si>
  <si>
    <t>*Значения в графе 10 не должны превышать 33%. В противном случае совокупность значений, используемых в расчете, считается неоднородной и целесообразно провести дополнительные исследования в целях увеличения количества ценовой информации, используемой в расчетах.</t>
  </si>
  <si>
    <t>Оказание услуг по предоставлению междугородных телефонных соединений</t>
  </si>
  <si>
    <t>цены контракта, заключаемого с единственным поставщиком (ЦК)</t>
  </si>
  <si>
    <t>Скриншот</t>
  </si>
  <si>
    <t>Коммерческое предложение № 1</t>
  </si>
  <si>
    <t>Коммерческое предложение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</si>
</sst>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9"/>
      <color rgb="FF282A2E"/>
      <name val="Arial"/>
      <family val="2"/>
      <charset val="204"/>
    </font>
    <font>
      <u/>
      <sz val="9"/>
      <color rgb="FF282A2E"/>
      <name val="Arial"/>
      <family val="2"/>
      <charset val="204"/>
    </font>
    <font>
      <b/>
      <sz val="9"/>
      <color rgb="FF363194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2" fontId="0" fillId="0" borderId="0" xfId="0" applyNumberFormat="1"/>
    <xf numFmtId="0" fontId="4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top"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/>
    <xf numFmtId="0" fontId="5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7" fillId="0" borderId="0" xfId="0" applyFont="1"/>
    <xf numFmtId="14" fontId="2" fillId="0" borderId="1" xfId="0" applyNumberFormat="1" applyFont="1" applyBorder="1"/>
    <xf numFmtId="2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4" fillId="0" borderId="0" xfId="0" applyFont="1" applyAlignment="1">
      <alignment horizontal="justify" vertical="center" wrapText="1"/>
    </xf>
    <xf numFmtId="0" fontId="1" fillId="0" borderId="0" xfId="0" applyFont="1"/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5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9" xfId="0" applyFont="1" applyBorder="1" applyAlignment="1"/>
    <xf numFmtId="0" fontId="11" fillId="0" borderId="18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0" fillId="0" borderId="0" xfId="0" applyBorder="1"/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_&#1052;&#1054;&#1048;%20&#1044;&#1054;&#1050;&#1059;&#1052;&#1045;&#1053;&#1058;&#1067;\&#1047;&#1040;&#1050;&#1059;&#1055;&#1050;&#1048;\&#1055;&#1051;&#1040;&#1053;&#1048;&#1056;&#1054;&#1042;&#1040;&#1053;&#1048;&#1045;%20&#1047;&#1040;&#1050;&#1059;&#1055;&#1054;&#1050;\2019\2019_&#1056;&#1040;&#1057;&#1063;&#1045;&#1058;&#1067;%20&#1053;&#1052;&#1062;&#1050;_&#1062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ПЦ"/>
      <sheetName val="05.06_ДГУ"/>
      <sheetName val="05.06_Кондиц"/>
      <sheetName val="05.06_Пож-охр"/>
      <sheetName val="05.06_Охрана"/>
      <sheetName val="05.06_Освид лифт"/>
      <sheetName val="05.06_Эл_исп_лифт"/>
      <sheetName val="05.06_ТО_лифт"/>
      <sheetName val="05.06_ОСАГО"/>
      <sheetName val="11.12_Поверка"/>
      <sheetName val="05.06_ПК"/>
      <sheetName val="05.06_Марки"/>
      <sheetName val="07.06_ТО_Тара"/>
      <sheetName val="05.06_ТБО"/>
      <sheetName val="07.06_Дератизация"/>
      <sheetName val="07.06_Медосмотр"/>
      <sheetName val="07.06_Медосм_период"/>
      <sheetName val="05.06_бензин_МЗ"/>
      <sheetName val="05.06_бензин"/>
      <sheetName val="06.06_Техосмотр"/>
      <sheetName val="06.06_ремонт авто"/>
      <sheetName val="06.06_ТО авто"/>
      <sheetName val="06.06_Шиномон"/>
      <sheetName val="06.06_Мойка"/>
      <sheetName val="07.06_Автохимия"/>
      <sheetName val="06.06_Хозматериалы"/>
      <sheetName val="06.06_Хозматериалы МЗ"/>
      <sheetName val="06.06_Архив"/>
      <sheetName val="06.06_Скбматериалы"/>
      <sheetName val="06.06_Стройматериалы"/>
      <sheetName val="06.06_Канцтов"/>
      <sheetName val="06.06_Компл_охр-пож"/>
      <sheetName val="06.06_Лампы"/>
      <sheetName val="06.06_Электромат"/>
      <sheetName val="15.12_Ремонт помещ"/>
      <sheetName val="09.04_Ремонт кровли (2)"/>
      <sheetName val="ПРИМЕР 1"/>
      <sheetName val="ПРИМЕР 3"/>
      <sheetName val="ПРИМЕР 4 (ЦК)"/>
      <sheetName val="Списо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A2" t="str">
            <v>начальной (максимальной) цены контракта (НМЦК)</v>
          </cell>
        </row>
        <row r="3">
          <cell r="A3" t="str">
            <v>цены контракта, заключаемого с единственным поставщиком (ЦК)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zoomScale="80" zoomScaleNormal="80" workbookViewId="0">
      <selection activeCell="R9" sqref="R9"/>
    </sheetView>
  </sheetViews>
  <sheetFormatPr defaultRowHeight="15" x14ac:dyDescent="0.25"/>
  <cols>
    <col min="1" max="1" width="31.28515625" customWidth="1"/>
    <col min="2" max="2" width="6.5703125" customWidth="1"/>
    <col min="3" max="3" width="14" customWidth="1"/>
    <col min="4" max="4" width="16" customWidth="1"/>
    <col min="5" max="5" width="16.42578125" customWidth="1"/>
    <col min="6" max="6" width="10.42578125" customWidth="1"/>
    <col min="7" max="7" width="18.7109375" customWidth="1"/>
    <col min="8" max="8" width="11.5703125" customWidth="1"/>
    <col min="9" max="9" width="9.7109375" customWidth="1"/>
    <col min="10" max="10" width="11.42578125" customWidth="1"/>
    <col min="11" max="11" width="12.42578125" customWidth="1"/>
  </cols>
  <sheetData>
    <row r="1" spans="1:11" s="27" customFormat="1" ht="24" customHeight="1" thickTop="1" x14ac:dyDescent="0.3">
      <c r="A1" s="26" t="s">
        <v>28</v>
      </c>
      <c r="B1" s="68" t="s">
        <v>129</v>
      </c>
      <c r="C1" s="68"/>
      <c r="D1" s="68"/>
      <c r="E1" s="68"/>
      <c r="F1" s="68"/>
      <c r="G1" s="68"/>
      <c r="H1" s="69"/>
      <c r="I1" s="69"/>
      <c r="J1" s="69"/>
      <c r="K1" s="70"/>
    </row>
    <row r="2" spans="1:11" s="27" customFormat="1" ht="31.5" x14ac:dyDescent="0.3">
      <c r="A2" s="28" t="s">
        <v>29</v>
      </c>
      <c r="B2" s="71" t="s">
        <v>72</v>
      </c>
      <c r="C2" s="71"/>
      <c r="D2" s="71"/>
      <c r="E2" s="71"/>
      <c r="F2" s="71"/>
      <c r="G2" s="71"/>
      <c r="H2" s="72"/>
      <c r="I2" s="72"/>
      <c r="J2" s="72"/>
      <c r="K2" s="73"/>
    </row>
    <row r="3" spans="1:11" s="27" customFormat="1" ht="18.75" x14ac:dyDescent="0.3">
      <c r="A3" s="28" t="s">
        <v>77</v>
      </c>
      <c r="B3" s="71" t="s">
        <v>73</v>
      </c>
      <c r="C3" s="71"/>
      <c r="D3" s="71"/>
      <c r="E3" s="71"/>
      <c r="F3" s="71"/>
      <c r="G3" s="71"/>
      <c r="H3" s="72"/>
      <c r="I3" s="72"/>
      <c r="J3" s="72"/>
      <c r="K3" s="73"/>
    </row>
    <row r="4" spans="1:11" s="27" customFormat="1" ht="21" customHeight="1" x14ac:dyDescent="0.3">
      <c r="A4" s="28" t="s">
        <v>30</v>
      </c>
      <c r="B4" s="71" t="s">
        <v>128</v>
      </c>
      <c r="C4" s="71"/>
      <c r="D4" s="71"/>
      <c r="E4" s="71"/>
      <c r="F4" s="71"/>
      <c r="G4" s="71"/>
      <c r="H4" s="72"/>
      <c r="I4" s="72"/>
      <c r="J4" s="72"/>
      <c r="K4" s="73"/>
    </row>
    <row r="5" spans="1:11" ht="31.9" customHeight="1" x14ac:dyDescent="0.25">
      <c r="A5" s="90" t="s">
        <v>31</v>
      </c>
      <c r="B5" s="88" t="s">
        <v>32</v>
      </c>
      <c r="C5" s="88"/>
      <c r="D5" s="88"/>
      <c r="E5" s="88"/>
      <c r="F5" s="88"/>
      <c r="G5" s="88"/>
      <c r="H5" s="88"/>
      <c r="I5" s="88"/>
      <c r="J5" s="88"/>
      <c r="K5" s="88"/>
    </row>
    <row r="6" spans="1:11" ht="16.5" customHeight="1" x14ac:dyDescent="0.25">
      <c r="A6" s="89" t="s">
        <v>33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15.75" x14ac:dyDescent="0.25">
      <c r="A7" s="53" t="s">
        <v>70</v>
      </c>
      <c r="B7" s="56" t="s">
        <v>17</v>
      </c>
      <c r="C7" s="56" t="s">
        <v>74</v>
      </c>
      <c r="D7" s="58" t="s">
        <v>40</v>
      </c>
      <c r="E7" s="59"/>
      <c r="F7" s="59"/>
      <c r="G7" s="60"/>
      <c r="H7" s="56" t="s">
        <v>37</v>
      </c>
      <c r="I7" s="56" t="s">
        <v>12</v>
      </c>
      <c r="J7" s="56" t="s">
        <v>13</v>
      </c>
      <c r="K7" s="56" t="s">
        <v>34</v>
      </c>
    </row>
    <row r="8" spans="1:11" s="30" customFormat="1" ht="38.25" customHeight="1" x14ac:dyDescent="0.25">
      <c r="A8" s="54"/>
      <c r="B8" s="57"/>
      <c r="C8" s="57"/>
      <c r="D8" s="64" t="s">
        <v>130</v>
      </c>
      <c r="E8" s="64" t="s">
        <v>131</v>
      </c>
      <c r="F8" s="51" t="s">
        <v>132</v>
      </c>
      <c r="G8" s="52"/>
      <c r="H8" s="57"/>
      <c r="I8" s="57"/>
      <c r="J8" s="57"/>
      <c r="K8" s="57"/>
    </row>
    <row r="9" spans="1:11" s="30" customFormat="1" ht="99" customHeight="1" x14ac:dyDescent="0.25">
      <c r="A9" s="55"/>
      <c r="B9" s="57"/>
      <c r="C9" s="57"/>
      <c r="D9" s="65"/>
      <c r="E9" s="65"/>
      <c r="F9" s="38" t="s">
        <v>78</v>
      </c>
      <c r="G9" s="38" t="s">
        <v>125</v>
      </c>
      <c r="H9" s="57"/>
      <c r="I9" s="57"/>
      <c r="J9" s="57"/>
      <c r="K9" s="57"/>
    </row>
    <row r="10" spans="1:11" s="30" customFormat="1" ht="21.75" customHeight="1" x14ac:dyDescent="0.25">
      <c r="A10" s="37">
        <v>1</v>
      </c>
      <c r="B10" s="37">
        <v>2</v>
      </c>
      <c r="C10" s="37">
        <v>3</v>
      </c>
      <c r="D10" s="37">
        <v>4</v>
      </c>
      <c r="E10" s="37">
        <v>5</v>
      </c>
      <c r="F10" s="37">
        <v>6</v>
      </c>
      <c r="G10" s="37">
        <v>7</v>
      </c>
      <c r="H10" s="37">
        <v>8</v>
      </c>
      <c r="I10" s="37">
        <v>9</v>
      </c>
      <c r="J10" s="37">
        <v>10</v>
      </c>
      <c r="K10" s="37">
        <v>11</v>
      </c>
    </row>
    <row r="11" spans="1:11" s="30" customFormat="1" ht="31.5" customHeight="1" x14ac:dyDescent="0.25">
      <c r="A11" s="39" t="s">
        <v>64</v>
      </c>
      <c r="B11" s="44" t="s">
        <v>76</v>
      </c>
      <c r="C11" s="61" t="s">
        <v>75</v>
      </c>
      <c r="D11" s="41">
        <v>3.8</v>
      </c>
      <c r="E11" s="41">
        <v>4.0599999999999996</v>
      </c>
      <c r="F11" s="41">
        <v>4.0599999999999996</v>
      </c>
      <c r="G11" s="37">
        <f>ROUND((F11*107.69/100),2)</f>
        <v>4.37</v>
      </c>
      <c r="H11" s="37">
        <f>ROUND(AVERAGE(D11,E11,G11),2)</f>
        <v>4.08</v>
      </c>
      <c r="I11" s="43">
        <f>AVEDEV(D11,E11,G11)</f>
        <v>0.19555555555555593</v>
      </c>
      <c r="J11" s="43">
        <f>I11/H11*100</f>
        <v>4.7930283224400956</v>
      </c>
      <c r="K11" s="37">
        <f>H11</f>
        <v>4.08</v>
      </c>
    </row>
    <row r="12" spans="1:11" s="30" customFormat="1" ht="29.25" customHeight="1" x14ac:dyDescent="0.25">
      <c r="A12" s="39" t="s">
        <v>65</v>
      </c>
      <c r="B12" s="44" t="s">
        <v>76</v>
      </c>
      <c r="C12" s="62"/>
      <c r="D12" s="41">
        <v>4.5</v>
      </c>
      <c r="E12" s="41">
        <v>4.8499999999999996</v>
      </c>
      <c r="F12" s="41">
        <v>4.8499999999999996</v>
      </c>
      <c r="G12" s="37">
        <f t="shared" ref="G12:G16" si="0">ROUND((F12*107.69/100),2)</f>
        <v>5.22</v>
      </c>
      <c r="H12" s="37">
        <f t="shared" ref="H12:H16" si="1">ROUND(AVERAGE(D12,E12,G12),2)</f>
        <v>4.8600000000000003</v>
      </c>
      <c r="I12" s="43">
        <f t="shared" ref="I12:I16" si="2">AVEDEV(D12,E12,G12)</f>
        <v>0.2422222222222222</v>
      </c>
      <c r="J12" s="43">
        <f t="shared" ref="J12:J16" si="3">I12/H12*100</f>
        <v>4.9839963420210323</v>
      </c>
      <c r="K12" s="37">
        <f t="shared" ref="K12:K16" si="4">H12</f>
        <v>4.8600000000000003</v>
      </c>
    </row>
    <row r="13" spans="1:11" s="30" customFormat="1" ht="30" customHeight="1" x14ac:dyDescent="0.25">
      <c r="A13" s="40" t="s">
        <v>66</v>
      </c>
      <c r="B13" s="44" t="s">
        <v>76</v>
      </c>
      <c r="C13" s="62"/>
      <c r="D13" s="42">
        <v>5.6</v>
      </c>
      <c r="E13" s="42">
        <v>5.42</v>
      </c>
      <c r="F13" s="42">
        <v>5.42</v>
      </c>
      <c r="G13" s="37">
        <f t="shared" si="0"/>
        <v>5.84</v>
      </c>
      <c r="H13" s="37">
        <f t="shared" si="1"/>
        <v>5.62</v>
      </c>
      <c r="I13" s="43">
        <f t="shared" si="2"/>
        <v>0.14666666666666681</v>
      </c>
      <c r="J13" s="43">
        <f t="shared" si="3"/>
        <v>2.6097271648873095</v>
      </c>
      <c r="K13" s="37">
        <f t="shared" si="4"/>
        <v>5.62</v>
      </c>
    </row>
    <row r="14" spans="1:11" s="30" customFormat="1" ht="30.75" customHeight="1" x14ac:dyDescent="0.25">
      <c r="A14" s="40" t="s">
        <v>67</v>
      </c>
      <c r="B14" s="44" t="s">
        <v>76</v>
      </c>
      <c r="C14" s="62"/>
      <c r="D14" s="42">
        <v>6.4</v>
      </c>
      <c r="E14" s="42">
        <v>6.02</v>
      </c>
      <c r="F14" s="42">
        <v>6.02</v>
      </c>
      <c r="G14" s="37">
        <f t="shared" si="0"/>
        <v>6.48</v>
      </c>
      <c r="H14" s="37">
        <f t="shared" si="1"/>
        <v>6.3</v>
      </c>
      <c r="I14" s="43">
        <f t="shared" si="2"/>
        <v>0.18666666666666712</v>
      </c>
      <c r="J14" s="43">
        <f t="shared" si="3"/>
        <v>2.9629629629629703</v>
      </c>
      <c r="K14" s="37">
        <f t="shared" si="4"/>
        <v>6.3</v>
      </c>
    </row>
    <row r="15" spans="1:11" s="30" customFormat="1" ht="27.75" customHeight="1" x14ac:dyDescent="0.25">
      <c r="A15" s="40" t="s">
        <v>68</v>
      </c>
      <c r="B15" s="44" t="s">
        <v>76</v>
      </c>
      <c r="C15" s="62"/>
      <c r="D15" s="42">
        <v>7</v>
      </c>
      <c r="E15" s="42">
        <v>6.44</v>
      </c>
      <c r="F15" s="42">
        <v>6.44</v>
      </c>
      <c r="G15" s="37">
        <f t="shared" si="0"/>
        <v>6.94</v>
      </c>
      <c r="H15" s="37">
        <f t="shared" si="1"/>
        <v>6.79</v>
      </c>
      <c r="I15" s="43">
        <f t="shared" si="2"/>
        <v>0.23555555555555538</v>
      </c>
      <c r="J15" s="43">
        <f t="shared" si="3"/>
        <v>3.4691539846178996</v>
      </c>
      <c r="K15" s="37">
        <f t="shared" si="4"/>
        <v>6.79</v>
      </c>
    </row>
    <row r="16" spans="1:11" s="30" customFormat="1" ht="55.5" customHeight="1" x14ac:dyDescent="0.25">
      <c r="A16" s="40" t="s">
        <v>69</v>
      </c>
      <c r="B16" s="44" t="s">
        <v>76</v>
      </c>
      <c r="C16" s="63"/>
      <c r="D16" s="42">
        <v>4.59</v>
      </c>
      <c r="E16" s="42">
        <v>8.4600000000000009</v>
      </c>
      <c r="F16" s="42">
        <v>5.42</v>
      </c>
      <c r="G16" s="37">
        <f t="shared" si="0"/>
        <v>5.84</v>
      </c>
      <c r="H16" s="37">
        <f t="shared" si="1"/>
        <v>6.3</v>
      </c>
      <c r="I16" s="43">
        <f t="shared" si="2"/>
        <v>1.4422222222222227</v>
      </c>
      <c r="J16" s="43">
        <f t="shared" si="3"/>
        <v>22.892416225749567</v>
      </c>
      <c r="K16" s="37">
        <f t="shared" si="4"/>
        <v>6.3</v>
      </c>
    </row>
    <row r="17" spans="1:17" ht="18" customHeight="1" x14ac:dyDescent="0.25">
      <c r="A17" s="19" t="s">
        <v>71</v>
      </c>
      <c r="B17" s="44" t="s">
        <v>76</v>
      </c>
      <c r="C17" s="33"/>
      <c r="D17" s="34">
        <f>SUM(D11:D16)</f>
        <v>31.89</v>
      </c>
      <c r="E17" s="34">
        <f>SUM(E11:E16)</f>
        <v>35.25</v>
      </c>
      <c r="F17" s="34"/>
      <c r="G17" s="34">
        <f>SUM(G11:G16)</f>
        <v>34.69</v>
      </c>
      <c r="H17" s="32">
        <f>SUM(H11:H16)</f>
        <v>33.950000000000003</v>
      </c>
      <c r="I17" s="32"/>
      <c r="J17" s="32"/>
      <c r="K17" s="32">
        <f>SUM(K11:K16)</f>
        <v>33.950000000000003</v>
      </c>
    </row>
    <row r="18" spans="1:17" ht="18" customHeight="1" x14ac:dyDescent="0.25">
      <c r="A18" s="76" t="s">
        <v>35</v>
      </c>
      <c r="B18" s="77"/>
      <c r="C18" s="77"/>
      <c r="D18" s="77"/>
      <c r="E18" s="77"/>
      <c r="F18" s="77"/>
      <c r="G18" s="77"/>
      <c r="H18" s="77"/>
      <c r="I18" s="77"/>
      <c r="J18" s="78"/>
      <c r="K18" s="35">
        <v>630</v>
      </c>
    </row>
    <row r="19" spans="1:17" ht="15.75" x14ac:dyDescent="0.25">
      <c r="A19" s="76" t="s">
        <v>36</v>
      </c>
      <c r="B19" s="77"/>
      <c r="C19" s="77"/>
      <c r="D19" s="77"/>
      <c r="E19" s="77"/>
      <c r="F19" s="77"/>
      <c r="G19" s="77"/>
      <c r="H19" s="77"/>
      <c r="I19" s="77"/>
      <c r="J19" s="78"/>
      <c r="K19" s="31">
        <v>46227</v>
      </c>
      <c r="P19" s="17"/>
    </row>
    <row r="20" spans="1:17" ht="41.25" customHeight="1" x14ac:dyDescent="0.25">
      <c r="A20" s="50" t="s">
        <v>126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</row>
    <row r="21" spans="1:17" ht="26.25" customHeight="1" x14ac:dyDescent="0.25">
      <c r="A21" s="74" t="s">
        <v>127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</row>
    <row r="22" spans="1:17" ht="26.25" customHeight="1" x14ac:dyDescent="0.25"/>
    <row r="23" spans="1:17" ht="32.25" customHeight="1" x14ac:dyDescent="0.3">
      <c r="A23" s="66"/>
      <c r="B23" s="67"/>
      <c r="C23" s="82"/>
      <c r="D23" s="82"/>
      <c r="E23" s="66"/>
      <c r="F23" s="67"/>
      <c r="G23" s="36"/>
      <c r="I23" s="29"/>
    </row>
    <row r="24" spans="1:17" x14ac:dyDescent="0.25">
      <c r="J24" s="82"/>
      <c r="K24" s="83"/>
      <c r="L24" s="83"/>
      <c r="M24" s="83"/>
      <c r="N24" s="83"/>
      <c r="O24" s="82"/>
      <c r="P24" s="82"/>
      <c r="Q24" s="82"/>
    </row>
    <row r="25" spans="1:17" x14ac:dyDescent="0.25">
      <c r="J25" s="82"/>
      <c r="K25" s="84"/>
      <c r="L25" s="83"/>
      <c r="M25" s="83"/>
      <c r="N25" s="83"/>
      <c r="O25" s="83"/>
      <c r="P25" s="82"/>
      <c r="Q25" s="82"/>
    </row>
    <row r="26" spans="1:17" x14ac:dyDescent="0.25">
      <c r="J26" s="82"/>
      <c r="K26" s="84"/>
      <c r="L26" s="83"/>
      <c r="M26" s="83"/>
      <c r="N26" s="83"/>
      <c r="O26" s="83"/>
      <c r="P26" s="82"/>
      <c r="Q26" s="82"/>
    </row>
    <row r="27" spans="1:17" x14ac:dyDescent="0.25">
      <c r="J27" s="82"/>
      <c r="K27" s="84"/>
      <c r="L27" s="83"/>
      <c r="M27" s="83"/>
      <c r="N27" s="83"/>
      <c r="O27" s="83"/>
      <c r="P27" s="82"/>
      <c r="Q27" s="82"/>
    </row>
    <row r="28" spans="1:17" x14ac:dyDescent="0.25">
      <c r="J28" s="82"/>
      <c r="K28" s="85"/>
      <c r="L28" s="86"/>
      <c r="M28" s="86"/>
      <c r="N28" s="86"/>
      <c r="O28" s="86"/>
      <c r="P28" s="82"/>
      <c r="Q28" s="82"/>
    </row>
    <row r="29" spans="1:17" x14ac:dyDescent="0.25">
      <c r="J29" s="82"/>
      <c r="K29" s="84"/>
      <c r="L29" s="86"/>
      <c r="M29" s="86"/>
      <c r="N29" s="86"/>
      <c r="O29" s="86"/>
      <c r="P29" s="82"/>
      <c r="Q29" s="82"/>
    </row>
    <row r="30" spans="1:17" x14ac:dyDescent="0.25">
      <c r="J30" s="82"/>
      <c r="K30" s="84"/>
      <c r="L30" s="86"/>
      <c r="M30" s="86"/>
      <c r="N30" s="86"/>
      <c r="O30" s="86"/>
      <c r="P30" s="82"/>
      <c r="Q30" s="82"/>
    </row>
    <row r="31" spans="1:17" x14ac:dyDescent="0.25">
      <c r="J31" s="82"/>
      <c r="K31" s="87"/>
      <c r="L31" s="83"/>
      <c r="M31" s="83"/>
      <c r="N31" s="83"/>
      <c r="O31" s="83"/>
      <c r="P31" s="82"/>
      <c r="Q31" s="82"/>
    </row>
    <row r="32" spans="1:17" x14ac:dyDescent="0.25">
      <c r="J32" s="82"/>
      <c r="K32" s="84"/>
      <c r="L32" s="83"/>
      <c r="M32" s="83"/>
      <c r="N32" s="83"/>
      <c r="O32" s="83"/>
      <c r="P32" s="82"/>
      <c r="Q32" s="82"/>
    </row>
    <row r="33" spans="10:17" x14ac:dyDescent="0.25">
      <c r="J33" s="82"/>
      <c r="K33" s="84"/>
      <c r="L33" s="83"/>
      <c r="M33" s="83"/>
      <c r="N33" s="83"/>
      <c r="O33" s="83"/>
      <c r="P33" s="82"/>
      <c r="Q33" s="82"/>
    </row>
    <row r="34" spans="10:17" x14ac:dyDescent="0.25">
      <c r="J34" s="82"/>
      <c r="K34" s="84"/>
      <c r="L34" s="83"/>
      <c r="M34" s="83"/>
      <c r="N34" s="83"/>
      <c r="O34" s="83"/>
      <c r="P34" s="82"/>
      <c r="Q34" s="82"/>
    </row>
    <row r="35" spans="10:17" x14ac:dyDescent="0.25">
      <c r="J35" s="82"/>
      <c r="K35" s="84"/>
      <c r="L35" s="83"/>
      <c r="M35" s="83"/>
      <c r="N35" s="83"/>
      <c r="O35" s="83"/>
      <c r="P35" s="82"/>
      <c r="Q35" s="82"/>
    </row>
    <row r="36" spans="10:17" x14ac:dyDescent="0.25">
      <c r="J36" s="82"/>
      <c r="K36" s="84"/>
      <c r="L36" s="83"/>
      <c r="M36" s="83"/>
      <c r="N36" s="83"/>
      <c r="O36" s="83"/>
      <c r="P36" s="82"/>
      <c r="Q36" s="82"/>
    </row>
    <row r="37" spans="10:17" x14ac:dyDescent="0.25">
      <c r="J37" s="82"/>
      <c r="K37" s="84"/>
      <c r="L37" s="83"/>
      <c r="M37" s="83"/>
      <c r="N37" s="83"/>
      <c r="O37" s="83"/>
      <c r="P37" s="82"/>
      <c r="Q37" s="82"/>
    </row>
    <row r="38" spans="10:17" x14ac:dyDescent="0.25">
      <c r="J38" s="82"/>
      <c r="K38" s="84"/>
      <c r="L38" s="83"/>
      <c r="M38" s="83"/>
      <c r="N38" s="83"/>
      <c r="O38" s="83"/>
      <c r="P38" s="82"/>
      <c r="Q38" s="82"/>
    </row>
    <row r="39" spans="10:17" x14ac:dyDescent="0.25">
      <c r="J39" s="82"/>
      <c r="K39" s="84"/>
      <c r="L39" s="83"/>
      <c r="M39" s="83"/>
      <c r="N39" s="83"/>
      <c r="O39" s="83"/>
      <c r="P39" s="82"/>
      <c r="Q39" s="82"/>
    </row>
    <row r="40" spans="10:17" x14ac:dyDescent="0.25">
      <c r="J40" s="82"/>
      <c r="K40" s="85"/>
      <c r="L40" s="86"/>
      <c r="M40" s="82"/>
      <c r="N40" s="82"/>
      <c r="O40" s="82"/>
      <c r="P40" s="82"/>
      <c r="Q40" s="82"/>
    </row>
    <row r="41" spans="10:17" x14ac:dyDescent="0.25">
      <c r="J41" s="82"/>
      <c r="K41" s="84"/>
      <c r="L41" s="86"/>
      <c r="M41" s="82"/>
      <c r="N41" s="82"/>
      <c r="O41" s="82"/>
      <c r="P41" s="82"/>
      <c r="Q41" s="82"/>
    </row>
    <row r="42" spans="10:17" x14ac:dyDescent="0.25">
      <c r="J42" s="82"/>
      <c r="K42" s="84"/>
      <c r="L42" s="86"/>
      <c r="M42" s="82"/>
      <c r="N42" s="82"/>
      <c r="O42" s="82"/>
      <c r="P42" s="82"/>
      <c r="Q42" s="82"/>
    </row>
  </sheetData>
  <mergeCells count="29">
    <mergeCell ref="K7:K9"/>
    <mergeCell ref="B6:K6"/>
    <mergeCell ref="A18:J18"/>
    <mergeCell ref="A19:J19"/>
    <mergeCell ref="D8:D9"/>
    <mergeCell ref="H7:H9"/>
    <mergeCell ref="I7:I9"/>
    <mergeCell ref="J7:J9"/>
    <mergeCell ref="B1:K1"/>
    <mergeCell ref="B2:K2"/>
    <mergeCell ref="B3:K3"/>
    <mergeCell ref="B4:K4"/>
    <mergeCell ref="B5:K5"/>
    <mergeCell ref="A20:K20"/>
    <mergeCell ref="O28:O30"/>
    <mergeCell ref="L40:L42"/>
    <mergeCell ref="F8:G8"/>
    <mergeCell ref="L28:L30"/>
    <mergeCell ref="M28:M30"/>
    <mergeCell ref="N28:N30"/>
    <mergeCell ref="A7:A9"/>
    <mergeCell ref="B7:B9"/>
    <mergeCell ref="C7:C9"/>
    <mergeCell ref="D7:G7"/>
    <mergeCell ref="C11:C16"/>
    <mergeCell ref="E8:E9"/>
    <mergeCell ref="E23:F23"/>
    <mergeCell ref="A23:B23"/>
    <mergeCell ref="A21:K21"/>
  </mergeCells>
  <dataValidations count="2">
    <dataValidation type="list" allowBlank="1" showInputMessage="1" showErrorMessage="1" sqref="B1:G1">
      <formula1>название</formula1>
    </dataValidation>
    <dataValidation type="list" allowBlank="1" showInputMessage="1" showErrorMessage="1" sqref="B5:K5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46" fitToWidth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FD26"/>
  <sheetViews>
    <sheetView topLeftCell="A16" workbookViewId="0">
      <selection activeCell="A16" sqref="A16:J19"/>
    </sheetView>
  </sheetViews>
  <sheetFormatPr defaultRowHeight="15" x14ac:dyDescent="0.25"/>
  <cols>
    <col min="1" max="1" width="32.42578125" customWidth="1"/>
    <col min="2" max="2" width="6" customWidth="1"/>
    <col min="3" max="3" width="8.42578125" customWidth="1"/>
    <col min="4" max="4" width="13.28515625" customWidth="1"/>
    <col min="5" max="6" width="13.7109375" customWidth="1"/>
    <col min="7" max="7" width="11.5703125" customWidth="1"/>
    <col min="8" max="8" width="13.140625" customWidth="1"/>
    <col min="9" max="9" width="10.7109375" customWidth="1"/>
    <col min="10" max="10" width="12.42578125" customWidth="1"/>
  </cols>
  <sheetData>
    <row r="3" spans="1:10" ht="157.5" x14ac:dyDescent="0.25">
      <c r="A3" s="1"/>
      <c r="B3" s="11" t="s">
        <v>17</v>
      </c>
      <c r="C3" s="11" t="s">
        <v>8</v>
      </c>
      <c r="D3" s="10" t="s">
        <v>9</v>
      </c>
      <c r="E3" s="10" t="s">
        <v>10</v>
      </c>
      <c r="F3" s="10"/>
      <c r="G3" s="11" t="s">
        <v>11</v>
      </c>
      <c r="H3" s="11" t="s">
        <v>12</v>
      </c>
      <c r="I3" s="11" t="s">
        <v>13</v>
      </c>
      <c r="J3" s="15" t="s">
        <v>18</v>
      </c>
    </row>
    <row r="4" spans="1:10" ht="31.5" x14ac:dyDescent="0.25">
      <c r="A4" s="3" t="s">
        <v>0</v>
      </c>
      <c r="B4" s="3" t="s">
        <v>3</v>
      </c>
      <c r="C4" s="13">
        <v>75</v>
      </c>
      <c r="D4" s="7">
        <v>116000</v>
      </c>
      <c r="E4" s="7">
        <f>225000*1.2</f>
        <v>270000</v>
      </c>
      <c r="F4" s="7"/>
      <c r="G4" s="5" t="e">
        <f>AVERAGE(D4,E4,#REF!)</f>
        <v>#REF!</v>
      </c>
      <c r="H4" s="6" t="e">
        <f>AVEDEV(D4,E4,#REF!)</f>
        <v>#REF!</v>
      </c>
      <c r="I4" s="7" t="e">
        <f>H4/G4*100</f>
        <v>#REF!</v>
      </c>
      <c r="J4" s="7" t="e">
        <f>G4</f>
        <v>#REF!</v>
      </c>
    </row>
    <row r="5" spans="1:10" ht="31.5" x14ac:dyDescent="0.25">
      <c r="A5" s="3" t="s">
        <v>14</v>
      </c>
      <c r="B5" s="3" t="s">
        <v>3</v>
      </c>
      <c r="C5" s="13">
        <v>1</v>
      </c>
      <c r="D5" s="7" t="s">
        <v>15</v>
      </c>
      <c r="E5" s="7">
        <f>3000*1.2</f>
        <v>3600</v>
      </c>
      <c r="F5" s="7"/>
      <c r="G5" s="7" t="e">
        <f>AVERAGE(D5,E5,#REF!)</f>
        <v>#REF!</v>
      </c>
      <c r="H5" s="6" t="e">
        <f>AVEDEV(D5,E5,#REF!)</f>
        <v>#REF!</v>
      </c>
      <c r="I5" s="7" t="e">
        <f>H5/G5*100</f>
        <v>#REF!</v>
      </c>
      <c r="J5" s="16"/>
    </row>
    <row r="6" spans="1:10" ht="49.5" customHeight="1" x14ac:dyDescent="0.25">
      <c r="A6" s="4" t="s">
        <v>1</v>
      </c>
      <c r="B6" s="3" t="s">
        <v>4</v>
      </c>
      <c r="C6" s="13">
        <v>30000</v>
      </c>
      <c r="D6" s="7">
        <v>25000</v>
      </c>
      <c r="E6" s="7">
        <f>32500*1.2</f>
        <v>39000</v>
      </c>
      <c r="F6" s="7"/>
      <c r="G6" s="7" t="e">
        <f>AVERAGE(D6,E6,#REF!)</f>
        <v>#REF!</v>
      </c>
      <c r="H6" s="6" t="e">
        <f>AVEDEV(D6,E6,#REF!)</f>
        <v>#REF!</v>
      </c>
      <c r="I6" s="7" t="e">
        <f t="shared" ref="I6:I10" si="0">H6/G6*100</f>
        <v>#REF!</v>
      </c>
      <c r="J6" s="7" t="e">
        <f>G6*6</f>
        <v>#REF!</v>
      </c>
    </row>
    <row r="7" spans="1:10" ht="15.75" x14ac:dyDescent="0.25">
      <c r="A7" s="3" t="s">
        <v>7</v>
      </c>
      <c r="B7" s="3" t="s">
        <v>3</v>
      </c>
      <c r="C7" s="9">
        <v>96</v>
      </c>
      <c r="D7" s="5"/>
      <c r="E7" s="5"/>
      <c r="F7" s="5"/>
      <c r="G7" s="8"/>
      <c r="H7" s="5"/>
      <c r="I7" s="7"/>
      <c r="J7" s="16"/>
    </row>
    <row r="8" spans="1:10" ht="63" x14ac:dyDescent="0.25">
      <c r="A8" s="3" t="s">
        <v>20</v>
      </c>
      <c r="B8" s="3" t="s">
        <v>3</v>
      </c>
      <c r="C8" s="9">
        <v>4</v>
      </c>
      <c r="D8" s="7">
        <v>800</v>
      </c>
      <c r="E8" s="7">
        <f>750*1.2</f>
        <v>900</v>
      </c>
      <c r="F8" s="7"/>
      <c r="G8" s="7" t="e">
        <f>AVERAGE(D8,E8,#REF!)</f>
        <v>#REF!</v>
      </c>
      <c r="H8" s="6" t="e">
        <f>AVEDEV(D8,E8,#REF!)</f>
        <v>#REF!</v>
      </c>
      <c r="I8" s="7" t="e">
        <f t="shared" si="0"/>
        <v>#REF!</v>
      </c>
      <c r="J8" s="7" t="e">
        <f>G8*3</f>
        <v>#REF!</v>
      </c>
    </row>
    <row r="9" spans="1:10" ht="43.5" customHeight="1" x14ac:dyDescent="0.25">
      <c r="A9" s="3" t="s">
        <v>2</v>
      </c>
      <c r="B9" s="3" t="s">
        <v>5</v>
      </c>
      <c r="C9" s="9" t="s">
        <v>6</v>
      </c>
      <c r="D9" s="5"/>
      <c r="E9" s="5"/>
      <c r="F9" s="5"/>
      <c r="G9" s="8"/>
      <c r="H9" s="6"/>
      <c r="I9" s="7"/>
      <c r="J9" s="16"/>
    </row>
    <row r="10" spans="1:10" ht="96.75" customHeight="1" x14ac:dyDescent="0.25">
      <c r="A10" s="14" t="s">
        <v>16</v>
      </c>
      <c r="B10" s="2"/>
      <c r="C10" s="12"/>
      <c r="D10" s="7">
        <f>D4+D6*6+D8*3</f>
        <v>268400</v>
      </c>
      <c r="E10" s="7">
        <f>E4+E6*6+E8*3</f>
        <v>506700</v>
      </c>
      <c r="F10" s="7"/>
      <c r="G10" s="7" t="e">
        <f>AVERAGE(D10,E10,#REF!)</f>
        <v>#REF!</v>
      </c>
      <c r="H10" s="6" t="e">
        <f>AVEDEV(D10,E10,#REF!)</f>
        <v>#REF!</v>
      </c>
      <c r="I10" s="7" t="e">
        <f t="shared" si="0"/>
        <v>#REF!</v>
      </c>
      <c r="J10" s="16" t="e">
        <f>SUM(J4:J8)</f>
        <v>#REF!</v>
      </c>
    </row>
    <row r="12" spans="1:10" ht="31.5" x14ac:dyDescent="0.25">
      <c r="A12" s="3" t="s">
        <v>19</v>
      </c>
    </row>
    <row r="13" spans="1:10" x14ac:dyDescent="0.25">
      <c r="D13">
        <v>157700</v>
      </c>
    </row>
    <row r="16" spans="1:10" ht="144.75" customHeight="1" x14ac:dyDescent="0.25">
      <c r="A16" s="1"/>
      <c r="B16" s="11" t="s">
        <v>17</v>
      </c>
      <c r="C16" s="11" t="s">
        <v>8</v>
      </c>
      <c r="D16" s="10" t="s">
        <v>25</v>
      </c>
      <c r="E16" s="10" t="s">
        <v>26</v>
      </c>
      <c r="F16" s="10" t="s">
        <v>27</v>
      </c>
      <c r="G16" s="11" t="s">
        <v>22</v>
      </c>
      <c r="H16" s="11" t="s">
        <v>12</v>
      </c>
      <c r="I16" s="11" t="s">
        <v>13</v>
      </c>
      <c r="J16" s="15" t="s">
        <v>24</v>
      </c>
    </row>
    <row r="17" spans="1:14 16384:16384" ht="47.25" x14ac:dyDescent="0.25">
      <c r="A17" s="4" t="s">
        <v>1</v>
      </c>
      <c r="B17" s="13" t="s">
        <v>4</v>
      </c>
      <c r="C17" s="13">
        <v>30000</v>
      </c>
      <c r="D17" s="7">
        <v>25000</v>
      </c>
      <c r="E17" s="7">
        <v>26500</v>
      </c>
      <c r="F17" s="7">
        <v>37000</v>
      </c>
      <c r="G17" s="7">
        <f t="shared" ref="G17:G19" si="1">AVERAGE(D17,E17,F17)</f>
        <v>29500</v>
      </c>
      <c r="H17" s="6">
        <f>AVEDEV(D17,E17,F17)</f>
        <v>5000</v>
      </c>
      <c r="I17" s="7">
        <f t="shared" ref="I17" si="2">H17/G17*100</f>
        <v>16.949152542372879</v>
      </c>
      <c r="J17" s="7">
        <f>G17*12</f>
        <v>354000</v>
      </c>
    </row>
    <row r="18" spans="1:14 16384:16384" ht="72" customHeight="1" x14ac:dyDescent="0.25">
      <c r="A18" s="23" t="s">
        <v>21</v>
      </c>
      <c r="B18" s="24" t="s">
        <v>3</v>
      </c>
      <c r="C18" s="24">
        <v>4</v>
      </c>
      <c r="D18" s="25">
        <v>800</v>
      </c>
      <c r="E18" s="25">
        <v>848</v>
      </c>
      <c r="F18" s="18">
        <v>900</v>
      </c>
      <c r="G18" s="7">
        <f t="shared" si="1"/>
        <v>849.33333333333337</v>
      </c>
      <c r="H18" s="6">
        <f>AVEDEV(D18,E18,F18)</f>
        <v>33.777777777777793</v>
      </c>
      <c r="I18" s="7">
        <f t="shared" ref="I18" si="3">H18/G18*100</f>
        <v>3.9769754055468356</v>
      </c>
      <c r="J18" s="7">
        <f>G18*3</f>
        <v>2548</v>
      </c>
    </row>
    <row r="19" spans="1:14 16384:16384" ht="15.75" x14ac:dyDescent="0.25">
      <c r="A19" s="19" t="s">
        <v>23</v>
      </c>
      <c r="B19" s="20"/>
      <c r="C19" s="21"/>
      <c r="D19" s="22">
        <f>D17*12+D18*3</f>
        <v>302400</v>
      </c>
      <c r="E19" s="22">
        <f>E17*12+E18*3</f>
        <v>320544</v>
      </c>
      <c r="F19" s="7">
        <f>F17*12+F18*3</f>
        <v>446700</v>
      </c>
      <c r="G19" s="7">
        <f t="shared" si="1"/>
        <v>356548</v>
      </c>
      <c r="H19" s="6">
        <f>AVEDEV(D19,E19,F19)</f>
        <v>60101.333333333336</v>
      </c>
      <c r="I19" s="7">
        <f t="shared" ref="I19" si="4">H19/G19*100</f>
        <v>16.856449435513124</v>
      </c>
      <c r="J19" s="7">
        <f>SUM(J17:J18)</f>
        <v>356548</v>
      </c>
      <c r="XFD19" s="17">
        <f>SUM(J19:XFC19)</f>
        <v>356548</v>
      </c>
    </row>
    <row r="21" spans="1:14 16384:16384" ht="15.75" x14ac:dyDescent="0.25">
      <c r="A21" s="3"/>
    </row>
    <row r="22" spans="1:14 16384:16384" x14ac:dyDescent="0.25">
      <c r="D22" s="17">
        <f>D19+4200</f>
        <v>306600</v>
      </c>
      <c r="M22">
        <f>4200/17</f>
        <v>247.05882352941177</v>
      </c>
      <c r="N22">
        <f>M22*12</f>
        <v>2964.7058823529414</v>
      </c>
    </row>
    <row r="23" spans="1:14 16384:16384" x14ac:dyDescent="0.25">
      <c r="D23">
        <v>433400</v>
      </c>
      <c r="G23">
        <f>427400/100*0.5</f>
        <v>2137</v>
      </c>
      <c r="M23">
        <f>25000*12+800*3</f>
        <v>302400</v>
      </c>
    </row>
    <row r="24" spans="1:14 16384:16384" x14ac:dyDescent="0.25">
      <c r="G24">
        <f>130000+313700</f>
        <v>443700</v>
      </c>
      <c r="H24" s="17">
        <f>G24-D19</f>
        <v>141300</v>
      </c>
    </row>
    <row r="26" spans="1:14 16384:16384" x14ac:dyDescent="0.25">
      <c r="G26">
        <f>(800+900+850)/3</f>
        <v>850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2"/>
  <sheetViews>
    <sheetView topLeftCell="A7" workbookViewId="0">
      <selection activeCell="J12" sqref="J12"/>
    </sheetView>
  </sheetViews>
  <sheetFormatPr defaultRowHeight="15" x14ac:dyDescent="0.25"/>
  <sheetData>
    <row r="3" spans="2:10" ht="15.75" thickBot="1" x14ac:dyDescent="0.3">
      <c r="B3" s="45" t="s">
        <v>39</v>
      </c>
      <c r="C3" s="46" t="s">
        <v>52</v>
      </c>
      <c r="D3" s="46" t="s">
        <v>53</v>
      </c>
      <c r="E3" s="46" t="s">
        <v>54</v>
      </c>
      <c r="F3" s="46" t="s">
        <v>55</v>
      </c>
    </row>
    <row r="4" spans="2:10" ht="15.75" thickBot="1" x14ac:dyDescent="0.3">
      <c r="B4" s="45" t="s">
        <v>79</v>
      </c>
      <c r="C4" s="46" t="s">
        <v>56</v>
      </c>
      <c r="D4" s="46" t="s">
        <v>57</v>
      </c>
      <c r="E4" s="46" t="s">
        <v>51</v>
      </c>
      <c r="F4" s="46" t="s">
        <v>58</v>
      </c>
    </row>
    <row r="5" spans="2:10" ht="15.75" thickBot="1" x14ac:dyDescent="0.3">
      <c r="B5" s="45" t="s">
        <v>59</v>
      </c>
      <c r="C5" s="46" t="s">
        <v>60</v>
      </c>
      <c r="D5" s="46" t="s">
        <v>61</v>
      </c>
      <c r="E5" s="46" t="s">
        <v>54</v>
      </c>
      <c r="F5" s="46" t="s">
        <v>62</v>
      </c>
    </row>
    <row r="6" spans="2:10" ht="15.75" thickBot="1" x14ac:dyDescent="0.3">
      <c r="B6" s="45" t="s">
        <v>80</v>
      </c>
      <c r="C6" s="46" t="s">
        <v>81</v>
      </c>
      <c r="D6" s="46" t="s">
        <v>81</v>
      </c>
      <c r="E6" s="46" t="s">
        <v>82</v>
      </c>
      <c r="F6" s="46" t="s">
        <v>83</v>
      </c>
    </row>
    <row r="7" spans="2:10" ht="15.75" thickBot="1" x14ac:dyDescent="0.3">
      <c r="B7" s="45" t="s">
        <v>41</v>
      </c>
      <c r="C7" s="46" t="s">
        <v>84</v>
      </c>
      <c r="D7" s="46" t="s">
        <v>85</v>
      </c>
      <c r="E7" s="46" t="s">
        <v>86</v>
      </c>
      <c r="F7" s="46" t="s">
        <v>87</v>
      </c>
    </row>
    <row r="8" spans="2:10" ht="15.75" thickBot="1" x14ac:dyDescent="0.3">
      <c r="B8" s="45" t="s">
        <v>42</v>
      </c>
      <c r="C8" s="46" t="s">
        <v>88</v>
      </c>
      <c r="D8" s="46" t="s">
        <v>89</v>
      </c>
      <c r="E8" s="46" t="s">
        <v>84</v>
      </c>
      <c r="F8" s="46" t="s">
        <v>48</v>
      </c>
    </row>
    <row r="9" spans="2:10" ht="15.75" thickBot="1" x14ac:dyDescent="0.3">
      <c r="B9" s="45" t="s">
        <v>43</v>
      </c>
      <c r="C9" s="46" t="s">
        <v>90</v>
      </c>
      <c r="D9" s="46" t="s">
        <v>91</v>
      </c>
      <c r="E9" s="46" t="s">
        <v>84</v>
      </c>
      <c r="F9" s="46" t="s">
        <v>92</v>
      </c>
    </row>
    <row r="10" spans="2:10" ht="24" x14ac:dyDescent="0.25">
      <c r="B10" s="47" t="s">
        <v>45</v>
      </c>
      <c r="C10" s="79" t="s">
        <v>94</v>
      </c>
      <c r="D10" s="79" t="s">
        <v>95</v>
      </c>
      <c r="E10" s="79" t="s">
        <v>96</v>
      </c>
      <c r="F10" s="79" t="s">
        <v>97</v>
      </c>
    </row>
    <row r="11" spans="2:10" ht="36" x14ac:dyDescent="0.25">
      <c r="B11" s="48" t="s">
        <v>93</v>
      </c>
      <c r="C11" s="80"/>
      <c r="D11" s="80"/>
      <c r="E11" s="80"/>
      <c r="F11" s="80"/>
      <c r="J11">
        <f>100.2*102.16/100*98.22/100*99.37/100*99.73/100*100.82/100*99.99/100*106.82/100</f>
        <v>107.29648122327485</v>
      </c>
    </row>
    <row r="12" spans="2:10" ht="24.75" thickBot="1" x14ac:dyDescent="0.3">
      <c r="B12" s="45" t="s">
        <v>63</v>
      </c>
      <c r="C12" s="81"/>
      <c r="D12" s="81"/>
      <c r="E12" s="81"/>
      <c r="F12" s="81"/>
    </row>
    <row r="13" spans="2:10" ht="15.75" thickBot="1" x14ac:dyDescent="0.3">
      <c r="B13" s="49" t="s">
        <v>98</v>
      </c>
      <c r="C13" s="46"/>
      <c r="D13" s="46"/>
      <c r="E13" s="46"/>
      <c r="F13" s="46"/>
    </row>
    <row r="14" spans="2:10" ht="15.75" thickBot="1" x14ac:dyDescent="0.3">
      <c r="B14" s="45" t="s">
        <v>46</v>
      </c>
      <c r="C14" s="46" t="s">
        <v>99</v>
      </c>
      <c r="D14" s="46" t="s">
        <v>100</v>
      </c>
      <c r="E14" s="46" t="s">
        <v>101</v>
      </c>
      <c r="F14" s="46" t="s">
        <v>102</v>
      </c>
    </row>
    <row r="15" spans="2:10" ht="15.75" thickBot="1" x14ac:dyDescent="0.3">
      <c r="B15" s="45" t="s">
        <v>47</v>
      </c>
      <c r="C15" s="46" t="s">
        <v>103</v>
      </c>
      <c r="D15" s="46" t="s">
        <v>104</v>
      </c>
      <c r="E15" s="46" t="s">
        <v>92</v>
      </c>
      <c r="F15" s="46" t="s">
        <v>105</v>
      </c>
    </row>
    <row r="16" spans="2:10" ht="15.75" thickBot="1" x14ac:dyDescent="0.3">
      <c r="B16" s="45" t="s">
        <v>49</v>
      </c>
      <c r="C16" s="46" t="s">
        <v>106</v>
      </c>
      <c r="D16" s="46" t="s">
        <v>107</v>
      </c>
      <c r="E16" s="46" t="s">
        <v>44</v>
      </c>
      <c r="F16" s="46" t="s">
        <v>108</v>
      </c>
    </row>
    <row r="17" spans="2:6" ht="15.75" thickBot="1" x14ac:dyDescent="0.3">
      <c r="B17" s="45" t="s">
        <v>50</v>
      </c>
      <c r="C17" s="46" t="s">
        <v>109</v>
      </c>
      <c r="D17" s="46" t="s">
        <v>110</v>
      </c>
      <c r="E17" s="46" t="s">
        <v>52</v>
      </c>
      <c r="F17" s="46" t="s">
        <v>111</v>
      </c>
    </row>
    <row r="18" spans="2:6" ht="15.75" thickBot="1" x14ac:dyDescent="0.3">
      <c r="B18" s="45" t="s">
        <v>38</v>
      </c>
      <c r="C18" s="46" t="s">
        <v>112</v>
      </c>
      <c r="D18" s="46" t="s">
        <v>113</v>
      </c>
      <c r="E18" s="46" t="s">
        <v>114</v>
      </c>
      <c r="F18" s="46" t="s">
        <v>115</v>
      </c>
    </row>
    <row r="19" spans="2:6" ht="15.75" thickBot="1" x14ac:dyDescent="0.3">
      <c r="B19" s="45" t="s">
        <v>39</v>
      </c>
      <c r="C19" s="46" t="s">
        <v>116</v>
      </c>
      <c r="D19" s="46" t="s">
        <v>117</v>
      </c>
      <c r="E19" s="46" t="s">
        <v>118</v>
      </c>
      <c r="F19" s="46" t="s">
        <v>101</v>
      </c>
    </row>
    <row r="20" spans="2:6" ht="24" x14ac:dyDescent="0.25">
      <c r="B20" s="47" t="s">
        <v>45</v>
      </c>
      <c r="C20" s="79" t="s">
        <v>121</v>
      </c>
      <c r="D20" s="79" t="s">
        <v>122</v>
      </c>
      <c r="E20" s="79" t="s">
        <v>123</v>
      </c>
      <c r="F20" s="79" t="s">
        <v>124</v>
      </c>
    </row>
    <row r="21" spans="2:6" ht="36" x14ac:dyDescent="0.25">
      <c r="B21" s="48" t="s">
        <v>119</v>
      </c>
      <c r="C21" s="80"/>
      <c r="D21" s="80"/>
      <c r="E21" s="80"/>
      <c r="F21" s="80"/>
    </row>
    <row r="22" spans="2:6" ht="24.75" thickBot="1" x14ac:dyDescent="0.3">
      <c r="B22" s="45" t="s">
        <v>120</v>
      </c>
      <c r="C22" s="81"/>
      <c r="D22" s="81"/>
      <c r="E22" s="81"/>
      <c r="F22" s="81"/>
    </row>
  </sheetData>
  <mergeCells count="8">
    <mergeCell ref="C10:C12"/>
    <mergeCell ref="D10:D12"/>
    <mergeCell ref="E10:E12"/>
    <mergeCell ref="F10:F12"/>
    <mergeCell ref="C20:C22"/>
    <mergeCell ref="D20:D22"/>
    <mergeCell ref="E20:E22"/>
    <mergeCell ref="F20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ПРИМЕР 4</vt:lpstr>
      <vt:lpstr>Расчет НМЦК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p55_BaigozinaTG</dc:creator>
  <cp:lastModifiedBy>Пользователь Windows</cp:lastModifiedBy>
  <cp:lastPrinted>2026-07-24T09:24:41Z</cp:lastPrinted>
  <dcterms:created xsi:type="dcterms:W3CDTF">2019-12-13T05:53:15Z</dcterms:created>
  <dcterms:modified xsi:type="dcterms:W3CDTF">2026-07-28T03:38:01Z</dcterms:modified>
</cp:coreProperties>
</file>