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00" windowHeight="1185"/>
  </bookViews>
  <sheets>
    <sheet name="Смета по ФСНБ 421+557прРИМ" sheetId="7" r:id="rId1"/>
    <sheet name="Акт КС-2 по ФСНБ 421+557пр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externalReferences>
    <externalReference r:id="rId9"/>
  </externalReferences>
  <definedNames>
    <definedName name="_xlnm.Print_Titles" localSheetId="1">'Акт КС-2 по ФСНБ 421+557пр'!$37:$37</definedName>
    <definedName name="_xlnm.Print_Titles" localSheetId="0">'Смета по ФСНБ 421+557прРИМ'!$57:$57</definedName>
    <definedName name="_xlnm.Print_Area" localSheetId="1">'Акт КС-2 по ФСНБ 421+557пр'!$A$1:$M$333</definedName>
    <definedName name="_xlnm.Print_Area" localSheetId="0">'Смета по ФСНБ 421+557прРИМ'!$A$1:$L$354</definedName>
  </definedNames>
  <calcPr calcId="125725"/>
</workbook>
</file>

<file path=xl/calcChain.xml><?xml version="1.0" encoding="utf-8"?>
<calcChain xmlns="http://schemas.openxmlformats.org/spreadsheetml/2006/main">
  <c r="H6" i="7"/>
  <c r="B6"/>
  <c r="I330" i="8" l="1"/>
  <c r="I327"/>
  <c r="D330"/>
  <c r="D327"/>
  <c r="M324"/>
  <c r="D324"/>
  <c r="M323"/>
  <c r="D323"/>
  <c r="M322"/>
  <c r="D322"/>
  <c r="M318"/>
  <c r="M317"/>
  <c r="M314"/>
  <c r="M313"/>
  <c r="M311" s="1"/>
  <c r="M307"/>
  <c r="M306"/>
  <c r="M302"/>
  <c r="M290"/>
  <c r="M289"/>
  <c r="M288"/>
  <c r="M287"/>
  <c r="M286"/>
  <c r="M285"/>
  <c r="M283" s="1"/>
  <c r="M282"/>
  <c r="M281"/>
  <c r="M279"/>
  <c r="M277" s="1"/>
  <c r="M276"/>
  <c r="M271"/>
  <c r="M270"/>
  <c r="M269"/>
  <c r="M264"/>
  <c r="M263"/>
  <c r="M261" s="1"/>
  <c r="M256"/>
  <c r="M255"/>
  <c r="M251"/>
  <c r="M236"/>
  <c r="M235"/>
  <c r="M231"/>
  <c r="AW217"/>
  <c r="AE217"/>
  <c r="AD217"/>
  <c r="H216"/>
  <c r="F216"/>
  <c r="H215"/>
  <c r="F215"/>
  <c r="BA213"/>
  <c r="AZ213"/>
  <c r="AE213"/>
  <c r="AD213"/>
  <c r="F213"/>
  <c r="H213"/>
  <c r="E213"/>
  <c r="D213"/>
  <c r="C213"/>
  <c r="K211"/>
  <c r="F211"/>
  <c r="K210"/>
  <c r="K209"/>
  <c r="F209"/>
  <c r="J208"/>
  <c r="I208"/>
  <c r="K207"/>
  <c r="F207"/>
  <c r="K206"/>
  <c r="K203"/>
  <c r="F201"/>
  <c r="H201"/>
  <c r="H211" s="1"/>
  <c r="E201"/>
  <c r="AW200"/>
  <c r="AE200"/>
  <c r="AD200"/>
  <c r="H199"/>
  <c r="F199"/>
  <c r="H198"/>
  <c r="F198"/>
  <c r="BA196"/>
  <c r="AZ196"/>
  <c r="AE196"/>
  <c r="AD196"/>
  <c r="F196"/>
  <c r="H196"/>
  <c r="E196"/>
  <c r="D196"/>
  <c r="C196"/>
  <c r="K194"/>
  <c r="F194"/>
  <c r="K193"/>
  <c r="K192"/>
  <c r="F192"/>
  <c r="J191"/>
  <c r="I191"/>
  <c r="K190"/>
  <c r="F190"/>
  <c r="H190" s="1"/>
  <c r="K189"/>
  <c r="K186"/>
  <c r="F184"/>
  <c r="H184"/>
  <c r="H192" s="1"/>
  <c r="E184"/>
  <c r="AW183"/>
  <c r="AE183"/>
  <c r="AD183"/>
  <c r="H182"/>
  <c r="F182"/>
  <c r="H181"/>
  <c r="F181"/>
  <c r="BA179"/>
  <c r="AZ179"/>
  <c r="AE179"/>
  <c r="AD179"/>
  <c r="F179"/>
  <c r="H179"/>
  <c r="E179"/>
  <c r="D179"/>
  <c r="C179"/>
  <c r="K177"/>
  <c r="F177"/>
  <c r="K176"/>
  <c r="K173"/>
  <c r="F171"/>
  <c r="H171"/>
  <c r="E171"/>
  <c r="AE170"/>
  <c r="AD170"/>
  <c r="H169"/>
  <c r="F169"/>
  <c r="H168"/>
  <c r="F168"/>
  <c r="H165"/>
  <c r="G165"/>
  <c r="F165"/>
  <c r="E165"/>
  <c r="D165"/>
  <c r="C165"/>
  <c r="H164"/>
  <c r="G164"/>
  <c r="F164"/>
  <c r="E164"/>
  <c r="D164"/>
  <c r="C164"/>
  <c r="J163"/>
  <c r="I163"/>
  <c r="K163" s="1"/>
  <c r="G163"/>
  <c r="J162"/>
  <c r="I162"/>
  <c r="K162" s="1"/>
  <c r="G162"/>
  <c r="K160"/>
  <c r="F160"/>
  <c r="H160" s="1"/>
  <c r="K159"/>
  <c r="K156"/>
  <c r="F154"/>
  <c r="H154"/>
  <c r="E154"/>
  <c r="AW153"/>
  <c r="AE153"/>
  <c r="AD153"/>
  <c r="H152"/>
  <c r="F152"/>
  <c r="H151"/>
  <c r="F151"/>
  <c r="K148"/>
  <c r="F148"/>
  <c r="K147"/>
  <c r="J147"/>
  <c r="I147"/>
  <c r="K146"/>
  <c r="K145"/>
  <c r="F145"/>
  <c r="H145" s="1"/>
  <c r="K144"/>
  <c r="K141"/>
  <c r="F139"/>
  <c r="H139"/>
  <c r="E139"/>
  <c r="D139"/>
  <c r="AE138"/>
  <c r="AD138"/>
  <c r="H137"/>
  <c r="F137"/>
  <c r="H136"/>
  <c r="F136"/>
  <c r="H133"/>
  <c r="G133"/>
  <c r="F133"/>
  <c r="E133"/>
  <c r="D133"/>
  <c r="C133"/>
  <c r="J132"/>
  <c r="I132"/>
  <c r="K132" s="1"/>
  <c r="G132"/>
  <c r="K130"/>
  <c r="F130"/>
  <c r="H130" s="1"/>
  <c r="J129"/>
  <c r="I129"/>
  <c r="K126"/>
  <c r="F124"/>
  <c r="H124"/>
  <c r="E124"/>
  <c r="AW123"/>
  <c r="AR123"/>
  <c r="AE123"/>
  <c r="AD123"/>
  <c r="H122"/>
  <c r="F122"/>
  <c r="H121"/>
  <c r="F121"/>
  <c r="K118"/>
  <c r="F118"/>
  <c r="J117"/>
  <c r="I117"/>
  <c r="D114"/>
  <c r="F113"/>
  <c r="H113"/>
  <c r="E113"/>
  <c r="D113"/>
  <c r="AW112"/>
  <c r="AE112"/>
  <c r="AD112"/>
  <c r="H111"/>
  <c r="F111"/>
  <c r="H110"/>
  <c r="F110"/>
  <c r="K107"/>
  <c r="F107"/>
  <c r="J106"/>
  <c r="K106" s="1"/>
  <c r="I106"/>
  <c r="K103"/>
  <c r="D101"/>
  <c r="F100"/>
  <c r="H100"/>
  <c r="E100"/>
  <c r="D100"/>
  <c r="AW99"/>
  <c r="AE99"/>
  <c r="AD99"/>
  <c r="H98"/>
  <c r="F98"/>
  <c r="H97"/>
  <c r="F97"/>
  <c r="K94"/>
  <c r="F94"/>
  <c r="J93"/>
  <c r="I93"/>
  <c r="K92"/>
  <c r="K89"/>
  <c r="F87"/>
  <c r="H87"/>
  <c r="E87"/>
  <c r="D87"/>
  <c r="AW86"/>
  <c r="AE86"/>
  <c r="AD86"/>
  <c r="H85"/>
  <c r="F85"/>
  <c r="H84"/>
  <c r="F84"/>
  <c r="K81"/>
  <c r="F81"/>
  <c r="J80"/>
  <c r="I80"/>
  <c r="K80" s="1"/>
  <c r="K79"/>
  <c r="K76"/>
  <c r="F74"/>
  <c r="H74"/>
  <c r="E74"/>
  <c r="D74"/>
  <c r="AE73"/>
  <c r="AD73"/>
  <c r="H72"/>
  <c r="F72"/>
  <c r="H71"/>
  <c r="F71"/>
  <c r="H68"/>
  <c r="G68"/>
  <c r="F68"/>
  <c r="E68"/>
  <c r="D68"/>
  <c r="C68"/>
  <c r="J67"/>
  <c r="I67"/>
  <c r="G67"/>
  <c r="J66"/>
  <c r="I66"/>
  <c r="G66"/>
  <c r="J65"/>
  <c r="I65"/>
  <c r="G65"/>
  <c r="J64"/>
  <c r="I64"/>
  <c r="K64" s="1"/>
  <c r="G64"/>
  <c r="J63"/>
  <c r="K63" s="1"/>
  <c r="I63"/>
  <c r="G63"/>
  <c r="K61"/>
  <c r="F61"/>
  <c r="J60"/>
  <c r="K60" s="1"/>
  <c r="I60"/>
  <c r="K59"/>
  <c r="F59"/>
  <c r="H59" s="1"/>
  <c r="J58"/>
  <c r="I58"/>
  <c r="K58" s="1"/>
  <c r="K55"/>
  <c r="F53"/>
  <c r="H53"/>
  <c r="E53"/>
  <c r="AW52"/>
  <c r="AE52"/>
  <c r="AD52"/>
  <c r="H51"/>
  <c r="F51"/>
  <c r="H50"/>
  <c r="F50"/>
  <c r="K47"/>
  <c r="F47"/>
  <c r="J46"/>
  <c r="K46" s="1"/>
  <c r="I46"/>
  <c r="K43"/>
  <c r="D41"/>
  <c r="F40"/>
  <c r="H40"/>
  <c r="E40"/>
  <c r="D40"/>
  <c r="J26"/>
  <c r="I26"/>
  <c r="H26"/>
  <c r="G26"/>
  <c r="K22"/>
  <c r="K21"/>
  <c r="K20"/>
  <c r="K19"/>
  <c r="K16"/>
  <c r="C17"/>
  <c r="K14"/>
  <c r="K12"/>
  <c r="C13"/>
  <c r="K10"/>
  <c r="C11"/>
  <c r="K8"/>
  <c r="C9"/>
  <c r="A1"/>
  <c r="L342" i="7"/>
  <c r="C342"/>
  <c r="L341"/>
  <c r="C341"/>
  <c r="L340"/>
  <c r="C340"/>
  <c r="L336"/>
  <c r="L335"/>
  <c r="L332"/>
  <c r="L331"/>
  <c r="L329" s="1"/>
  <c r="L325"/>
  <c r="L324"/>
  <c r="L320"/>
  <c r="L308"/>
  <c r="L307"/>
  <c r="L306"/>
  <c r="L305"/>
  <c r="L304"/>
  <c r="L303"/>
  <c r="L301" s="1"/>
  <c r="L300"/>
  <c r="L299"/>
  <c r="L297"/>
  <c r="L294"/>
  <c r="L289"/>
  <c r="L288"/>
  <c r="L287"/>
  <c r="L282"/>
  <c r="L281"/>
  <c r="L279" s="1"/>
  <c r="L274"/>
  <c r="L273"/>
  <c r="L269"/>
  <c r="L254"/>
  <c r="L253"/>
  <c r="L249"/>
  <c r="AW235"/>
  <c r="AE235"/>
  <c r="AD235"/>
  <c r="G234"/>
  <c r="E234"/>
  <c r="G233"/>
  <c r="E233"/>
  <c r="BA231"/>
  <c r="AZ231"/>
  <c r="AE231"/>
  <c r="AD231"/>
  <c r="E231"/>
  <c r="G231"/>
  <c r="D231"/>
  <c r="C231"/>
  <c r="B231"/>
  <c r="J229"/>
  <c r="E229"/>
  <c r="J228"/>
  <c r="J227"/>
  <c r="E227"/>
  <c r="I226"/>
  <c r="H226"/>
  <c r="J225"/>
  <c r="E225"/>
  <c r="J224"/>
  <c r="J221"/>
  <c r="E219"/>
  <c r="G219"/>
  <c r="D219"/>
  <c r="AW218"/>
  <c r="AE218"/>
  <c r="AD218"/>
  <c r="G217"/>
  <c r="E217"/>
  <c r="G216"/>
  <c r="E216"/>
  <c r="BA214"/>
  <c r="AZ214"/>
  <c r="AE214"/>
  <c r="AD214"/>
  <c r="E214"/>
  <c r="G214"/>
  <c r="D214"/>
  <c r="C214"/>
  <c r="B214"/>
  <c r="J212"/>
  <c r="E212"/>
  <c r="J211"/>
  <c r="J210"/>
  <c r="E210"/>
  <c r="I209"/>
  <c r="H209"/>
  <c r="J208"/>
  <c r="E208"/>
  <c r="J207"/>
  <c r="J204"/>
  <c r="E202"/>
  <c r="G202"/>
  <c r="D202"/>
  <c r="AW201"/>
  <c r="AE201"/>
  <c r="AD201"/>
  <c r="G200"/>
  <c r="E200"/>
  <c r="G199"/>
  <c r="E199"/>
  <c r="BA197"/>
  <c r="AZ197"/>
  <c r="AE197"/>
  <c r="AD197"/>
  <c r="E197"/>
  <c r="G197"/>
  <c r="D197"/>
  <c r="C197"/>
  <c r="B197"/>
  <c r="J195"/>
  <c r="E195"/>
  <c r="J194"/>
  <c r="J191"/>
  <c r="E189"/>
  <c r="G189"/>
  <c r="D189"/>
  <c r="AE188"/>
  <c r="AD188"/>
  <c r="G187"/>
  <c r="E187"/>
  <c r="G186"/>
  <c r="E186"/>
  <c r="G183"/>
  <c r="F183"/>
  <c r="E183"/>
  <c r="D183"/>
  <c r="C183"/>
  <c r="B183"/>
  <c r="G182"/>
  <c r="F182"/>
  <c r="E182"/>
  <c r="D182"/>
  <c r="C182"/>
  <c r="B182"/>
  <c r="I181"/>
  <c r="H181"/>
  <c r="F181"/>
  <c r="I180"/>
  <c r="H180"/>
  <c r="F180"/>
  <c r="J178"/>
  <c r="E178"/>
  <c r="J177"/>
  <c r="J174"/>
  <c r="E172"/>
  <c r="G172"/>
  <c r="G178" s="1"/>
  <c r="D172"/>
  <c r="AW171"/>
  <c r="AE171"/>
  <c r="AD171"/>
  <c r="G170"/>
  <c r="E170"/>
  <c r="G169"/>
  <c r="E169"/>
  <c r="J166"/>
  <c r="E166"/>
  <c r="I165"/>
  <c r="H165"/>
  <c r="J165" s="1"/>
  <c r="J164"/>
  <c r="J163"/>
  <c r="E163"/>
  <c r="J162"/>
  <c r="J159"/>
  <c r="E157"/>
  <c r="G157"/>
  <c r="D157"/>
  <c r="C157"/>
  <c r="AE156"/>
  <c r="AD156"/>
  <c r="G155"/>
  <c r="E155"/>
  <c r="G154"/>
  <c r="E154"/>
  <c r="G151"/>
  <c r="F151"/>
  <c r="E151"/>
  <c r="D151"/>
  <c r="C151"/>
  <c r="B151"/>
  <c r="I150"/>
  <c r="H150"/>
  <c r="F150"/>
  <c r="J148"/>
  <c r="E148"/>
  <c r="I147"/>
  <c r="H147"/>
  <c r="J144"/>
  <c r="E142"/>
  <c r="G142"/>
  <c r="D142"/>
  <c r="AW141"/>
  <c r="AR141"/>
  <c r="AE141"/>
  <c r="AD141"/>
  <c r="G140"/>
  <c r="E140"/>
  <c r="G139"/>
  <c r="E139"/>
  <c r="J136"/>
  <c r="E136"/>
  <c r="I135"/>
  <c r="H135"/>
  <c r="C132"/>
  <c r="E131"/>
  <c r="G131"/>
  <c r="D131"/>
  <c r="C131"/>
  <c r="AW130"/>
  <c r="AE130"/>
  <c r="AD130"/>
  <c r="G129"/>
  <c r="E129"/>
  <c r="G128"/>
  <c r="E128"/>
  <c r="J125"/>
  <c r="E125"/>
  <c r="I124"/>
  <c r="H124"/>
  <c r="J121"/>
  <c r="C119"/>
  <c r="E118"/>
  <c r="G118"/>
  <c r="D118"/>
  <c r="C118"/>
  <c r="AW117"/>
  <c r="AE117"/>
  <c r="AD117"/>
  <c r="G116"/>
  <c r="E116"/>
  <c r="G115"/>
  <c r="E115"/>
  <c r="J112"/>
  <c r="E112"/>
  <c r="I111"/>
  <c r="H111"/>
  <c r="J111" s="1"/>
  <c r="J110"/>
  <c r="J107"/>
  <c r="E105"/>
  <c r="G105"/>
  <c r="D105"/>
  <c r="C105"/>
  <c r="AW104"/>
  <c r="AE104"/>
  <c r="AD104"/>
  <c r="G103"/>
  <c r="E103"/>
  <c r="G102"/>
  <c r="E102"/>
  <c r="J99"/>
  <c r="E99"/>
  <c r="I98"/>
  <c r="H98"/>
  <c r="J97"/>
  <c r="J94"/>
  <c r="E92"/>
  <c r="G92"/>
  <c r="D92"/>
  <c r="C92"/>
  <c r="AE91"/>
  <c r="AD91"/>
  <c r="G90"/>
  <c r="E90"/>
  <c r="G89"/>
  <c r="E89"/>
  <c r="G86"/>
  <c r="F86"/>
  <c r="E86"/>
  <c r="D86"/>
  <c r="C86"/>
  <c r="B86"/>
  <c r="I85"/>
  <c r="H85"/>
  <c r="F85"/>
  <c r="I84"/>
  <c r="H84"/>
  <c r="F84"/>
  <c r="I83"/>
  <c r="H83"/>
  <c r="J83" s="1"/>
  <c r="F83"/>
  <c r="I82"/>
  <c r="H82"/>
  <c r="F82"/>
  <c r="I81"/>
  <c r="H81"/>
  <c r="F81"/>
  <c r="J79"/>
  <c r="E79"/>
  <c r="I78"/>
  <c r="H78"/>
  <c r="J77"/>
  <c r="E77"/>
  <c r="J76"/>
  <c r="I76"/>
  <c r="H76"/>
  <c r="G76"/>
  <c r="J73"/>
  <c r="E71"/>
  <c r="G71"/>
  <c r="G77" s="1"/>
  <c r="D71"/>
  <c r="AW70"/>
  <c r="AE70"/>
  <c r="AD70"/>
  <c r="G69"/>
  <c r="E69"/>
  <c r="G68"/>
  <c r="E68"/>
  <c r="J65"/>
  <c r="E65"/>
  <c r="I64"/>
  <c r="H64"/>
  <c r="J61"/>
  <c r="C59"/>
  <c r="E58"/>
  <c r="G58"/>
  <c r="D58"/>
  <c r="C58"/>
  <c r="A31"/>
  <c r="F24"/>
  <c r="F22"/>
  <c r="CO14"/>
  <c r="F14"/>
  <c r="CO12"/>
  <c r="F12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1" i="3"/>
  <c r="Y1"/>
  <c r="CX1" s="1"/>
  <c r="H43" i="8" s="1"/>
  <c r="CY1" i="3"/>
  <c r="CZ1"/>
  <c r="DB1" s="1"/>
  <c r="DA1"/>
  <c r="DC1"/>
  <c r="A2"/>
  <c r="Y2"/>
  <c r="CY2"/>
  <c r="CZ2"/>
  <c r="DA2"/>
  <c r="DB2"/>
  <c r="DC2"/>
  <c r="A3"/>
  <c r="Y3"/>
  <c r="CX3" s="1"/>
  <c r="G64" i="7" s="1"/>
  <c r="CY3" i="3"/>
  <c r="CZ3"/>
  <c r="DB3" s="1"/>
  <c r="DA3"/>
  <c r="DC3"/>
  <c r="A4"/>
  <c r="Y4"/>
  <c r="CX4" s="1"/>
  <c r="H55" i="8" s="1"/>
  <c r="CU4" i="3"/>
  <c r="CV4"/>
  <c r="CY4"/>
  <c r="CZ4"/>
  <c r="DB4" s="1"/>
  <c r="DA4"/>
  <c r="DC4"/>
  <c r="A5"/>
  <c r="Y5"/>
  <c r="CX5"/>
  <c r="DG5" s="1"/>
  <c r="CY5"/>
  <c r="CZ5"/>
  <c r="DB5" s="1"/>
  <c r="DA5"/>
  <c r="DC5"/>
  <c r="A6"/>
  <c r="Y6"/>
  <c r="CW6" s="1"/>
  <c r="CX6"/>
  <c r="DF6" s="1"/>
  <c r="CY6"/>
  <c r="CZ6"/>
  <c r="DA6"/>
  <c r="DB6"/>
  <c r="DC6"/>
  <c r="A7"/>
  <c r="Y7"/>
  <c r="CX7" s="1"/>
  <c r="G78" i="7" s="1"/>
  <c r="CY7" i="3"/>
  <c r="CZ7"/>
  <c r="DB7" s="1"/>
  <c r="DA7"/>
  <c r="DC7"/>
  <c r="A8"/>
  <c r="Y8"/>
  <c r="CX8" s="1"/>
  <c r="H63" i="8" s="1"/>
  <c r="CY8" i="3"/>
  <c r="CZ8"/>
  <c r="DB8" s="1"/>
  <c r="DA8"/>
  <c r="DC8"/>
  <c r="A9"/>
  <c r="Y9"/>
  <c r="CX9"/>
  <c r="DF9" s="1"/>
  <c r="DJ9" s="1"/>
  <c r="CY9"/>
  <c r="CZ9"/>
  <c r="DA9"/>
  <c r="DB9"/>
  <c r="DC9"/>
  <c r="DH9"/>
  <c r="A10"/>
  <c r="Y10"/>
  <c r="CX10" s="1"/>
  <c r="CY10"/>
  <c r="CZ10"/>
  <c r="DA10"/>
  <c r="DB10"/>
  <c r="DC10"/>
  <c r="A11"/>
  <c r="Y11"/>
  <c r="CX11"/>
  <c r="DG11" s="1"/>
  <c r="CY11"/>
  <c r="CZ11"/>
  <c r="DB11" s="1"/>
  <c r="DA11"/>
  <c r="DC11"/>
  <c r="DF11"/>
  <c r="M65" i="8" s="1"/>
  <c r="DH11" i="3"/>
  <c r="DJ11"/>
  <c r="A12"/>
  <c r="Y12"/>
  <c r="CX12" s="1"/>
  <c r="H66" i="8" s="1"/>
  <c r="CY12" i="3"/>
  <c r="CZ12"/>
  <c r="DB12" s="1"/>
  <c r="DA12"/>
  <c r="DC12"/>
  <c r="A13"/>
  <c r="Y13"/>
  <c r="CX13"/>
  <c r="DF13" s="1"/>
  <c r="DJ13" s="1"/>
  <c r="CY13"/>
  <c r="CZ13"/>
  <c r="DA13"/>
  <c r="DB13"/>
  <c r="DC13"/>
  <c r="DH13"/>
  <c r="A14"/>
  <c r="Y14"/>
  <c r="CV14" s="1"/>
  <c r="U27" i="1" s="1"/>
  <c r="G93" i="7" s="1"/>
  <c r="CU14" i="3"/>
  <c r="CY14"/>
  <c r="CZ14"/>
  <c r="DB14" s="1"/>
  <c r="DA14"/>
  <c r="DC14"/>
  <c r="A15"/>
  <c r="Y15"/>
  <c r="CX15"/>
  <c r="DF15" s="1"/>
  <c r="CY15"/>
  <c r="CZ15"/>
  <c r="DA15"/>
  <c r="DB15"/>
  <c r="DC15"/>
  <c r="A16"/>
  <c r="Y16"/>
  <c r="CX16" s="1"/>
  <c r="H79" i="8" s="1"/>
  <c r="CY16" i="3"/>
  <c r="CZ16"/>
  <c r="DB16" s="1"/>
  <c r="DA16"/>
  <c r="DC16"/>
  <c r="A17"/>
  <c r="Y17"/>
  <c r="CW17" s="1"/>
  <c r="CX17"/>
  <c r="DF17" s="1"/>
  <c r="CY17"/>
  <c r="CZ17"/>
  <c r="DA17"/>
  <c r="DB17"/>
  <c r="DC17"/>
  <c r="DH17"/>
  <c r="L99" i="7" s="1"/>
  <c r="L96" s="1"/>
  <c r="A18" i="3"/>
  <c r="Y18"/>
  <c r="CV18" s="1"/>
  <c r="U28" i="1" s="1"/>
  <c r="G106" i="7" s="1"/>
  <c r="CU18" i="3"/>
  <c r="CY18"/>
  <c r="CZ18"/>
  <c r="DB18" s="1"/>
  <c r="DA18"/>
  <c r="DC18"/>
  <c r="A19"/>
  <c r="Y19"/>
  <c r="CX19"/>
  <c r="DF19" s="1"/>
  <c r="CY19"/>
  <c r="CZ19"/>
  <c r="DA19"/>
  <c r="DB19"/>
  <c r="DC19"/>
  <c r="A20"/>
  <c r="Y20"/>
  <c r="CX20" s="1"/>
  <c r="H92" i="8" s="1"/>
  <c r="CY20" i="3"/>
  <c r="CZ20"/>
  <c r="DB20" s="1"/>
  <c r="DA20"/>
  <c r="DC20"/>
  <c r="A21"/>
  <c r="Y21"/>
  <c r="CW21" s="1"/>
  <c r="CX21"/>
  <c r="DF21" s="1"/>
  <c r="CY21"/>
  <c r="CZ21"/>
  <c r="DA21"/>
  <c r="DB21"/>
  <c r="DC21"/>
  <c r="DH21"/>
  <c r="M94" i="8" s="1"/>
  <c r="M91" s="1"/>
  <c r="A22" i="3"/>
  <c r="Y22"/>
  <c r="CV22" s="1"/>
  <c r="U29" i="1" s="1"/>
  <c r="G120" i="7" s="1"/>
  <c r="CY22" i="3"/>
  <c r="CZ22"/>
  <c r="DB22" s="1"/>
  <c r="DA22"/>
  <c r="DC22"/>
  <c r="A23"/>
  <c r="Y23"/>
  <c r="CY23"/>
  <c r="CZ23"/>
  <c r="DA23"/>
  <c r="DB23"/>
  <c r="DC23"/>
  <c r="A24"/>
  <c r="Y24"/>
  <c r="CX24" s="1"/>
  <c r="G124" i="7" s="1"/>
  <c r="CY24" i="3"/>
  <c r="CZ24"/>
  <c r="DB24" s="1"/>
  <c r="DA24"/>
  <c r="DC24"/>
  <c r="A25"/>
  <c r="Y25"/>
  <c r="CX25" s="1"/>
  <c r="CY25"/>
  <c r="CZ25"/>
  <c r="DB25" s="1"/>
  <c r="DA25"/>
  <c r="DC25"/>
  <c r="A26"/>
  <c r="Y26"/>
  <c r="CY26"/>
  <c r="CZ26"/>
  <c r="DA26"/>
  <c r="DB26"/>
  <c r="DC26"/>
  <c r="A27"/>
  <c r="Y27"/>
  <c r="CV27" s="1"/>
  <c r="U31" i="1" s="1"/>
  <c r="G143" i="7" s="1"/>
  <c r="CU27" i="3"/>
  <c r="CX27"/>
  <c r="DF27" s="1"/>
  <c r="CY27"/>
  <c r="CZ27"/>
  <c r="DA27"/>
  <c r="DB27"/>
  <c r="DC27"/>
  <c r="A28"/>
  <c r="Y28"/>
  <c r="CX28" s="1"/>
  <c r="CY28"/>
  <c r="CZ28"/>
  <c r="DA28"/>
  <c r="DB28"/>
  <c r="DC28"/>
  <c r="A29"/>
  <c r="Y29"/>
  <c r="CX29" s="1"/>
  <c r="H129" i="8" s="1"/>
  <c r="CW29" i="3"/>
  <c r="CY29"/>
  <c r="CZ29"/>
  <c r="DB29" s="1"/>
  <c r="DA29"/>
  <c r="DC29"/>
  <c r="A30"/>
  <c r="Y30"/>
  <c r="CX30"/>
  <c r="DF30" s="1"/>
  <c r="DJ30" s="1"/>
  <c r="CY30"/>
  <c r="CZ30"/>
  <c r="DA30"/>
  <c r="DB30"/>
  <c r="DC30"/>
  <c r="A31"/>
  <c r="Y31"/>
  <c r="CX31" s="1"/>
  <c r="H132" i="8" s="1"/>
  <c r="CY31" i="3"/>
  <c r="CZ31"/>
  <c r="DA31"/>
  <c r="DB31"/>
  <c r="DC31"/>
  <c r="A32"/>
  <c r="Y32"/>
  <c r="CV32" s="1"/>
  <c r="U33" i="1" s="1"/>
  <c r="H140" i="8" s="1"/>
  <c r="CU32" i="3"/>
  <c r="CX32"/>
  <c r="DF32" s="1"/>
  <c r="CY32"/>
  <c r="CZ32"/>
  <c r="DA32"/>
  <c r="DB32"/>
  <c r="DC32"/>
  <c r="A33"/>
  <c r="Y33"/>
  <c r="CX33" s="1"/>
  <c r="CY33"/>
  <c r="CZ33"/>
  <c r="DA33"/>
  <c r="DB33"/>
  <c r="DC33"/>
  <c r="A34"/>
  <c r="Y34"/>
  <c r="CX34" s="1"/>
  <c r="G162" i="7" s="1"/>
  <c r="CW34" i="3"/>
  <c r="CY34"/>
  <c r="CZ34"/>
  <c r="DB34" s="1"/>
  <c r="DA34"/>
  <c r="DC34"/>
  <c r="A35"/>
  <c r="Y35"/>
  <c r="CW35"/>
  <c r="CX35"/>
  <c r="DF35" s="1"/>
  <c r="CY35"/>
  <c r="CZ35"/>
  <c r="DA35"/>
  <c r="DB35"/>
  <c r="DC35"/>
  <c r="DI35"/>
  <c r="A36"/>
  <c r="Y36"/>
  <c r="CX36" s="1"/>
  <c r="G165" i="7" s="1"/>
  <c r="CW36" i="3"/>
  <c r="CY36"/>
  <c r="CZ36"/>
  <c r="DB36" s="1"/>
  <c r="DA36"/>
  <c r="DC36"/>
  <c r="A37"/>
  <c r="Y37"/>
  <c r="CU37"/>
  <c r="CV37"/>
  <c r="CX37"/>
  <c r="DG37" s="1"/>
  <c r="CY37"/>
  <c r="CZ37"/>
  <c r="DB37" s="1"/>
  <c r="DA37"/>
  <c r="DC37"/>
  <c r="A38"/>
  <c r="Y38"/>
  <c r="CX38" s="1"/>
  <c r="CY38"/>
  <c r="CZ38"/>
  <c r="DB38" s="1"/>
  <c r="DA38"/>
  <c r="DC38"/>
  <c r="A39"/>
  <c r="Y39"/>
  <c r="CW39"/>
  <c r="CX39"/>
  <c r="DF39" s="1"/>
  <c r="CY39"/>
  <c r="CZ39"/>
  <c r="DA39"/>
  <c r="DB39"/>
  <c r="DC39"/>
  <c r="DI39"/>
  <c r="A40"/>
  <c r="Y40"/>
  <c r="CX40"/>
  <c r="DG40" s="1"/>
  <c r="CY40"/>
  <c r="CZ40"/>
  <c r="DB40" s="1"/>
  <c r="DA40"/>
  <c r="DC40"/>
  <c r="A41"/>
  <c r="Y41"/>
  <c r="CX41" s="1"/>
  <c r="CY41"/>
  <c r="CZ41"/>
  <c r="DB41" s="1"/>
  <c r="DA41"/>
  <c r="DC41"/>
  <c r="A42"/>
  <c r="Y42"/>
  <c r="CX42"/>
  <c r="DF42" s="1"/>
  <c r="DJ42" s="1"/>
  <c r="CY42"/>
  <c r="CZ42"/>
  <c r="DA42"/>
  <c r="DB42"/>
  <c r="DC42"/>
  <c r="A43"/>
  <c r="Y43"/>
  <c r="CX43" s="1"/>
  <c r="H163" i="8" s="1"/>
  <c r="CY43" i="3"/>
  <c r="CZ43"/>
  <c r="DA43"/>
  <c r="DB43"/>
  <c r="DC43"/>
  <c r="A44"/>
  <c r="Y44"/>
  <c r="CX44"/>
  <c r="DG44" s="1"/>
  <c r="CY44"/>
  <c r="CZ44"/>
  <c r="DB44" s="1"/>
  <c r="DA44"/>
  <c r="DC44"/>
  <c r="DF44"/>
  <c r="DJ44" s="1"/>
  <c r="A45"/>
  <c r="Y45"/>
  <c r="CX45" s="1"/>
  <c r="H173" i="8" s="1"/>
  <c r="CU45" i="3"/>
  <c r="CV45"/>
  <c r="CY45"/>
  <c r="CZ45"/>
  <c r="DA45"/>
  <c r="DB45"/>
  <c r="DC45"/>
  <c r="A46"/>
  <c r="Y46"/>
  <c r="CX46"/>
  <c r="DG46" s="1"/>
  <c r="CY46"/>
  <c r="CZ46"/>
  <c r="DB46" s="1"/>
  <c r="DA46"/>
  <c r="DC46"/>
  <c r="DF46"/>
  <c r="DH46"/>
  <c r="A47"/>
  <c r="Y47"/>
  <c r="CW47" s="1"/>
  <c r="V38" i="1" s="1"/>
  <c r="H175" i="8" s="1"/>
  <c r="CX47" i="3"/>
  <c r="DF47" s="1"/>
  <c r="CY47"/>
  <c r="CZ47"/>
  <c r="DA47"/>
  <c r="DB47"/>
  <c r="DC47"/>
  <c r="A48"/>
  <c r="Y48"/>
  <c r="CX48" s="1"/>
  <c r="CY48"/>
  <c r="CZ48"/>
  <c r="DA48"/>
  <c r="DB48"/>
  <c r="DC48"/>
  <c r="A49"/>
  <c r="Y49"/>
  <c r="CV49" s="1"/>
  <c r="U40" i="1" s="1"/>
  <c r="H185" i="8" s="1"/>
  <c r="CU49" i="3"/>
  <c r="CX49"/>
  <c r="DF49" s="1"/>
  <c r="CY49"/>
  <c r="CZ49"/>
  <c r="DA49"/>
  <c r="DB49"/>
  <c r="DC49"/>
  <c r="DH49"/>
  <c r="A50"/>
  <c r="Y50"/>
  <c r="CX50" s="1"/>
  <c r="CY50"/>
  <c r="CZ50"/>
  <c r="DA50"/>
  <c r="DB50"/>
  <c r="DC50"/>
  <c r="A51"/>
  <c r="Y51"/>
  <c r="CX51" s="1"/>
  <c r="H189" i="8" s="1"/>
  <c r="CW51" i="3"/>
  <c r="CY51"/>
  <c r="CZ51"/>
  <c r="DB51" s="1"/>
  <c r="DA51"/>
  <c r="DC51"/>
  <c r="A52"/>
  <c r="Y52"/>
  <c r="CW52"/>
  <c r="CX52"/>
  <c r="DF52" s="1"/>
  <c r="CY52"/>
  <c r="CZ52"/>
  <c r="DA52"/>
  <c r="DB52"/>
  <c r="DC52"/>
  <c r="DG52"/>
  <c r="M191" i="8" s="1"/>
  <c r="DI52" i="3"/>
  <c r="A53"/>
  <c r="Y53"/>
  <c r="CX53" s="1"/>
  <c r="G211" i="7" s="1"/>
  <c r="CW53" i="3"/>
  <c r="CY53"/>
  <c r="CZ53"/>
  <c r="DB53" s="1"/>
  <c r="DA53"/>
  <c r="DC53"/>
  <c r="A54"/>
  <c r="Y54"/>
  <c r="CX54"/>
  <c r="DF54" s="1"/>
  <c r="DJ54" s="1"/>
  <c r="CY54"/>
  <c r="CZ54"/>
  <c r="DA54"/>
  <c r="DB54"/>
  <c r="DC54"/>
  <c r="A55"/>
  <c r="Y55"/>
  <c r="CV55" s="1"/>
  <c r="U42" i="1" s="1"/>
  <c r="G220" i="7" s="1"/>
  <c r="CU55" i="3"/>
  <c r="CY55"/>
  <c r="CZ55"/>
  <c r="DB55" s="1"/>
  <c r="DA55"/>
  <c r="DC55"/>
  <c r="A56"/>
  <c r="Y56"/>
  <c r="CX56"/>
  <c r="DF56" s="1"/>
  <c r="CY56"/>
  <c r="CZ56"/>
  <c r="DA56"/>
  <c r="DB56"/>
  <c r="DC56"/>
  <c r="A57"/>
  <c r="Y57"/>
  <c r="CX57" s="1"/>
  <c r="G224" i="7" s="1"/>
  <c r="CY57" i="3"/>
  <c r="CZ57"/>
  <c r="DB57" s="1"/>
  <c r="DA57"/>
  <c r="DC57"/>
  <c r="A58"/>
  <c r="Y58"/>
  <c r="CW58" s="1"/>
  <c r="CX58"/>
  <c r="DF58" s="1"/>
  <c r="CY58"/>
  <c r="CZ58"/>
  <c r="DA58"/>
  <c r="DB58"/>
  <c r="DC58"/>
  <c r="DH58"/>
  <c r="L227" i="7" s="1"/>
  <c r="A59" i="3"/>
  <c r="Y59"/>
  <c r="CX59" s="1"/>
  <c r="H210" i="8" s="1"/>
  <c r="CY59" i="3"/>
  <c r="CZ59"/>
  <c r="DB59" s="1"/>
  <c r="DA59"/>
  <c r="DC59"/>
  <c r="A60"/>
  <c r="Y60"/>
  <c r="CX60" s="1"/>
  <c r="CY60"/>
  <c r="CZ60"/>
  <c r="DB60" s="1"/>
  <c r="DA60"/>
  <c r="DC60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I24"/>
  <c r="CV1" i="3" s="1"/>
  <c r="U24" i="1" s="1"/>
  <c r="H42" i="8" s="1"/>
  <c r="K24" i="1"/>
  <c r="AC24"/>
  <c r="AE24"/>
  <c r="AD24" s="1"/>
  <c r="AB24" s="1"/>
  <c r="AF24"/>
  <c r="AG24"/>
  <c r="AH24"/>
  <c r="AI24"/>
  <c r="AJ24"/>
  <c r="CX24" s="1"/>
  <c r="W24" s="1"/>
  <c r="CQ24"/>
  <c r="CR24"/>
  <c r="CS24"/>
  <c r="CT24"/>
  <c r="CU24"/>
  <c r="T24" s="1"/>
  <c r="CV24"/>
  <c r="CW24"/>
  <c r="GL24"/>
  <c r="GO24"/>
  <c r="GP24"/>
  <c r="GV24"/>
  <c r="HC24"/>
  <c r="GX24" s="1"/>
  <c r="C25"/>
  <c r="D25"/>
  <c r="U25"/>
  <c r="G72" i="7" s="1"/>
  <c r="AC25" i="1"/>
  <c r="AE25"/>
  <c r="AD25" s="1"/>
  <c r="AF25"/>
  <c r="AG25"/>
  <c r="AH25"/>
  <c r="AI25"/>
  <c r="AJ25"/>
  <c r="CQ25"/>
  <c r="CR25"/>
  <c r="CS25"/>
  <c r="CT25"/>
  <c r="CU25"/>
  <c r="T25" s="1"/>
  <c r="CV25"/>
  <c r="CW25"/>
  <c r="CX25"/>
  <c r="W25" s="1"/>
  <c r="GL25"/>
  <c r="GO25"/>
  <c r="GP25"/>
  <c r="GV25"/>
  <c r="HC25"/>
  <c r="GX25" s="1"/>
  <c r="I26"/>
  <c r="AC26"/>
  <c r="AE26"/>
  <c r="AD26" s="1"/>
  <c r="AF26"/>
  <c r="AG26"/>
  <c r="AH26"/>
  <c r="AI26"/>
  <c r="CW26" s="1"/>
  <c r="V26" s="1"/>
  <c r="AJ26"/>
  <c r="CX26" s="1"/>
  <c r="W26" s="1"/>
  <c r="CQ26"/>
  <c r="P26" s="1"/>
  <c r="CR26"/>
  <c r="Q26" s="1"/>
  <c r="CS26"/>
  <c r="R26" s="1"/>
  <c r="CT26"/>
  <c r="S26" s="1"/>
  <c r="CU26"/>
  <c r="T26" s="1"/>
  <c r="CV26"/>
  <c r="U26" s="1"/>
  <c r="GL26"/>
  <c r="GO26"/>
  <c r="GP26"/>
  <c r="GV26"/>
  <c r="HC26"/>
  <c r="GX26" s="1"/>
  <c r="C27"/>
  <c r="D27"/>
  <c r="AC27"/>
  <c r="AE27"/>
  <c r="AD27" s="1"/>
  <c r="AF27"/>
  <c r="AG27"/>
  <c r="AH27"/>
  <c r="AI27"/>
  <c r="AJ27"/>
  <c r="CQ27"/>
  <c r="CR27"/>
  <c r="CS27"/>
  <c r="CT27"/>
  <c r="CU27"/>
  <c r="T27" s="1"/>
  <c r="CV27"/>
  <c r="CW27"/>
  <c r="CX27"/>
  <c r="W27" s="1"/>
  <c r="GL27"/>
  <c r="GO27"/>
  <c r="GP27"/>
  <c r="GV27"/>
  <c r="GX27"/>
  <c r="HC27"/>
  <c r="C28"/>
  <c r="D28"/>
  <c r="AC28"/>
  <c r="AE28"/>
  <c r="AD28" s="1"/>
  <c r="AF28"/>
  <c r="AG28"/>
  <c r="CU28" s="1"/>
  <c r="T28" s="1"/>
  <c r="AH28"/>
  <c r="AI28"/>
  <c r="AJ28"/>
  <c r="CQ28"/>
  <c r="CR28"/>
  <c r="CS28"/>
  <c r="CT28"/>
  <c r="CV28"/>
  <c r="CW28"/>
  <c r="CX28"/>
  <c r="W28" s="1"/>
  <c r="GL28"/>
  <c r="GO28"/>
  <c r="GP28"/>
  <c r="GV28"/>
  <c r="HC28" s="1"/>
  <c r="GX28" s="1"/>
  <c r="C29"/>
  <c r="D29"/>
  <c r="I29"/>
  <c r="CU22" i="3" s="1"/>
  <c r="K29" i="1"/>
  <c r="AC29"/>
  <c r="AE29"/>
  <c r="AD29" s="1"/>
  <c r="AB29" s="1"/>
  <c r="AF29"/>
  <c r="AG29"/>
  <c r="AH29"/>
  <c r="AI29"/>
  <c r="AJ29"/>
  <c r="CX29" s="1"/>
  <c r="W29" s="1"/>
  <c r="CQ29"/>
  <c r="CR29"/>
  <c r="CS29"/>
  <c r="CT29"/>
  <c r="CU29"/>
  <c r="T29" s="1"/>
  <c r="CV29"/>
  <c r="CW29"/>
  <c r="GL29"/>
  <c r="GO29"/>
  <c r="GP29"/>
  <c r="GV29"/>
  <c r="GX29"/>
  <c r="HC29"/>
  <c r="C30"/>
  <c r="D30"/>
  <c r="I30"/>
  <c r="CX26" i="3" s="1"/>
  <c r="H117" i="8" s="1"/>
  <c r="K30" i="1"/>
  <c r="U30"/>
  <c r="AC30"/>
  <c r="AE30"/>
  <c r="AD30" s="1"/>
  <c r="AF30"/>
  <c r="AG30"/>
  <c r="CU30" s="1"/>
  <c r="T30" s="1"/>
  <c r="AH30"/>
  <c r="AI30"/>
  <c r="AJ30"/>
  <c r="CQ30"/>
  <c r="CR30"/>
  <c r="CS30"/>
  <c r="CT30"/>
  <c r="CV30"/>
  <c r="CW30"/>
  <c r="CX30"/>
  <c r="W30" s="1"/>
  <c r="GL30"/>
  <c r="GO30"/>
  <c r="GP30"/>
  <c r="GV30"/>
  <c r="HC30"/>
  <c r="GX30" s="1"/>
  <c r="C31"/>
  <c r="D31"/>
  <c r="V31"/>
  <c r="G146" i="7" s="1"/>
  <c r="AC31" i="1"/>
  <c r="AE31"/>
  <c r="AD31" s="1"/>
  <c r="AF31"/>
  <c r="AG31"/>
  <c r="AH31"/>
  <c r="AI31"/>
  <c r="AJ31"/>
  <c r="CX31" s="1"/>
  <c r="W31" s="1"/>
  <c r="CQ31"/>
  <c r="CR31"/>
  <c r="CS31"/>
  <c r="CT31"/>
  <c r="CU31"/>
  <c r="T31" s="1"/>
  <c r="CV31"/>
  <c r="CW31"/>
  <c r="GL31"/>
  <c r="GO31"/>
  <c r="GP31"/>
  <c r="GV31"/>
  <c r="GX31"/>
  <c r="HC31"/>
  <c r="I32"/>
  <c r="AC32"/>
  <c r="AD32"/>
  <c r="AB32" s="1"/>
  <c r="AE32"/>
  <c r="AF32"/>
  <c r="AG32"/>
  <c r="AH32"/>
  <c r="CV32" s="1"/>
  <c r="U32" s="1"/>
  <c r="AI32"/>
  <c r="AJ32"/>
  <c r="CX32" s="1"/>
  <c r="W32" s="1"/>
  <c r="CQ32"/>
  <c r="P32" s="1"/>
  <c r="CR32"/>
  <c r="Q32" s="1"/>
  <c r="CS32"/>
  <c r="R32" s="1"/>
  <c r="CT32"/>
  <c r="S32" s="1"/>
  <c r="CU32"/>
  <c r="T32" s="1"/>
  <c r="CW32"/>
  <c r="V32" s="1"/>
  <c r="GL32"/>
  <c r="GO32"/>
  <c r="GP32"/>
  <c r="GV32"/>
  <c r="GX32"/>
  <c r="HC32"/>
  <c r="C33"/>
  <c r="D33"/>
  <c r="V33"/>
  <c r="H143" i="8" s="1"/>
  <c r="AC33" i="1"/>
  <c r="AE33"/>
  <c r="AD33" s="1"/>
  <c r="AF33"/>
  <c r="AG33"/>
  <c r="AH33"/>
  <c r="AI33"/>
  <c r="AJ33"/>
  <c r="CQ33"/>
  <c r="CR33"/>
  <c r="CS33"/>
  <c r="CT33"/>
  <c r="CU33"/>
  <c r="T33" s="1"/>
  <c r="CV33"/>
  <c r="CW33"/>
  <c r="CX33"/>
  <c r="W33" s="1"/>
  <c r="GL33"/>
  <c r="GO33"/>
  <c r="GP33"/>
  <c r="GV33"/>
  <c r="HC33"/>
  <c r="GX33" s="1"/>
  <c r="C34"/>
  <c r="D34"/>
  <c r="U34"/>
  <c r="G173" i="7" s="1"/>
  <c r="V34" i="1"/>
  <c r="H158" i="8" s="1"/>
  <c r="AC34" i="1"/>
  <c r="AE34"/>
  <c r="AD34" s="1"/>
  <c r="AF34"/>
  <c r="AG34"/>
  <c r="AH34"/>
  <c r="AI34"/>
  <c r="AJ34"/>
  <c r="CX34" s="1"/>
  <c r="W34" s="1"/>
  <c r="CQ34"/>
  <c r="CR34"/>
  <c r="CS34"/>
  <c r="CT34"/>
  <c r="CU34"/>
  <c r="T34" s="1"/>
  <c r="CV34"/>
  <c r="CW34"/>
  <c r="GL34"/>
  <c r="GO34"/>
  <c r="GP34"/>
  <c r="GV34"/>
  <c r="GX34"/>
  <c r="HC34"/>
  <c r="I35"/>
  <c r="AC35"/>
  <c r="AD35"/>
  <c r="AB35" s="1"/>
  <c r="AE35"/>
  <c r="AF35"/>
  <c r="AG35"/>
  <c r="AH35"/>
  <c r="CV35" s="1"/>
  <c r="U35" s="1"/>
  <c r="AI35"/>
  <c r="AJ35"/>
  <c r="CX35" s="1"/>
  <c r="W35" s="1"/>
  <c r="CQ35"/>
  <c r="P35" s="1"/>
  <c r="CR35"/>
  <c r="Q35" s="1"/>
  <c r="CS35"/>
  <c r="R35" s="1"/>
  <c r="CT35"/>
  <c r="S35" s="1"/>
  <c r="CU35"/>
  <c r="T35" s="1"/>
  <c r="CW35"/>
  <c r="V35" s="1"/>
  <c r="GL35"/>
  <c r="GO35"/>
  <c r="GP35"/>
  <c r="GV35"/>
  <c r="GX35"/>
  <c r="HC35"/>
  <c r="I36"/>
  <c r="AC36"/>
  <c r="AD36"/>
  <c r="AB36" s="1"/>
  <c r="AE36"/>
  <c r="AF36"/>
  <c r="AG36"/>
  <c r="AH36"/>
  <c r="CV36" s="1"/>
  <c r="U36" s="1"/>
  <c r="AI36"/>
  <c r="AJ36"/>
  <c r="CX36" s="1"/>
  <c r="W36" s="1"/>
  <c r="CQ36"/>
  <c r="P36" s="1"/>
  <c r="CR36"/>
  <c r="Q36" s="1"/>
  <c r="CS36"/>
  <c r="R36" s="1"/>
  <c r="CT36"/>
  <c r="S36" s="1"/>
  <c r="CU36"/>
  <c r="T36" s="1"/>
  <c r="CW36"/>
  <c r="V36" s="1"/>
  <c r="GL36"/>
  <c r="GO36"/>
  <c r="GP36"/>
  <c r="GV36"/>
  <c r="HC36" s="1"/>
  <c r="GX36" s="1"/>
  <c r="I37"/>
  <c r="AC37"/>
  <c r="AD37"/>
  <c r="AB37" s="1"/>
  <c r="AE37"/>
  <c r="AF37"/>
  <c r="AG37"/>
  <c r="AH37"/>
  <c r="CV37" s="1"/>
  <c r="U37" s="1"/>
  <c r="AI37"/>
  <c r="AJ37"/>
  <c r="CX37" s="1"/>
  <c r="W37" s="1"/>
  <c r="CQ37"/>
  <c r="P37" s="1"/>
  <c r="CR37"/>
  <c r="Q37" s="1"/>
  <c r="CS37"/>
  <c r="R37" s="1"/>
  <c r="CT37"/>
  <c r="S37" s="1"/>
  <c r="CU37"/>
  <c r="T37" s="1"/>
  <c r="CW37"/>
  <c r="V37" s="1"/>
  <c r="GL37"/>
  <c r="GO37"/>
  <c r="GP37"/>
  <c r="GV37"/>
  <c r="HC37" s="1"/>
  <c r="GX37" s="1"/>
  <c r="C38"/>
  <c r="D38"/>
  <c r="U38"/>
  <c r="G190" i="7" s="1"/>
  <c r="AC38" i="1"/>
  <c r="AE38"/>
  <c r="AD38" s="1"/>
  <c r="AF38"/>
  <c r="AG38"/>
  <c r="CU38" s="1"/>
  <c r="T38" s="1"/>
  <c r="AH38"/>
  <c r="AI38"/>
  <c r="AJ38"/>
  <c r="CQ38"/>
  <c r="CR38"/>
  <c r="CS38"/>
  <c r="CT38"/>
  <c r="CV38"/>
  <c r="CW38"/>
  <c r="CX38"/>
  <c r="W38" s="1"/>
  <c r="GL38"/>
  <c r="GN38"/>
  <c r="GP38"/>
  <c r="GV38"/>
  <c r="HC38"/>
  <c r="GX38" s="1"/>
  <c r="I39"/>
  <c r="P39" s="1"/>
  <c r="O39" s="1"/>
  <c r="AC39"/>
  <c r="AE39"/>
  <c r="AD39" s="1"/>
  <c r="AF39"/>
  <c r="AG39"/>
  <c r="AH39"/>
  <c r="AI39"/>
  <c r="AJ39"/>
  <c r="CP39"/>
  <c r="CQ39"/>
  <c r="CR39"/>
  <c r="Q39" s="1"/>
  <c r="CS39"/>
  <c r="R39" s="1"/>
  <c r="CT39"/>
  <c r="S39" s="1"/>
  <c r="CU39"/>
  <c r="T39" s="1"/>
  <c r="CV39"/>
  <c r="U39" s="1"/>
  <c r="CW39"/>
  <c r="V39" s="1"/>
  <c r="CX39"/>
  <c r="W39" s="1"/>
  <c r="CY39"/>
  <c r="X39" s="1"/>
  <c r="CZ39"/>
  <c r="Y39" s="1"/>
  <c r="GL39"/>
  <c r="GN39"/>
  <c r="GP39"/>
  <c r="GV39"/>
  <c r="HC39"/>
  <c r="GX39" s="1"/>
  <c r="C40"/>
  <c r="D40"/>
  <c r="V40"/>
  <c r="G206" i="7" s="1"/>
  <c r="AC40" i="1"/>
  <c r="AD40"/>
  <c r="AE40"/>
  <c r="AF40"/>
  <c r="AG40"/>
  <c r="AH40"/>
  <c r="AI40"/>
  <c r="AJ40"/>
  <c r="CX40" s="1"/>
  <c r="W40" s="1"/>
  <c r="CQ40"/>
  <c r="CR40"/>
  <c r="CS40"/>
  <c r="CT40"/>
  <c r="CU40"/>
  <c r="T40" s="1"/>
  <c r="CV40"/>
  <c r="CW40"/>
  <c r="GL40"/>
  <c r="GN40"/>
  <c r="GP40"/>
  <c r="GV40"/>
  <c r="GX40"/>
  <c r="HC40"/>
  <c r="I41"/>
  <c r="P41"/>
  <c r="O41" s="1"/>
  <c r="AC41"/>
  <c r="AE41"/>
  <c r="AD41" s="1"/>
  <c r="AB41" s="1"/>
  <c r="AF41"/>
  <c r="AG41"/>
  <c r="AH41"/>
  <c r="AI41"/>
  <c r="AJ41"/>
  <c r="CP41"/>
  <c r="CQ41"/>
  <c r="CR41"/>
  <c r="Q41" s="1"/>
  <c r="CS41"/>
  <c r="R41" s="1"/>
  <c r="CT41"/>
  <c r="S41" s="1"/>
  <c r="CU41"/>
  <c r="T41" s="1"/>
  <c r="CV41"/>
  <c r="U41" s="1"/>
  <c r="CW41"/>
  <c r="V41" s="1"/>
  <c r="CX41"/>
  <c r="W41" s="1"/>
  <c r="CY41"/>
  <c r="X41" s="1"/>
  <c r="CZ41"/>
  <c r="Y41" s="1"/>
  <c r="GL41"/>
  <c r="GN41"/>
  <c r="GP41"/>
  <c r="GV41"/>
  <c r="GX41"/>
  <c r="HC41"/>
  <c r="C42"/>
  <c r="D42"/>
  <c r="AC42"/>
  <c r="AE42"/>
  <c r="AD42" s="1"/>
  <c r="AF42"/>
  <c r="AG42"/>
  <c r="CU42" s="1"/>
  <c r="T42" s="1"/>
  <c r="AH42"/>
  <c r="AI42"/>
  <c r="AJ42"/>
  <c r="CQ42"/>
  <c r="CR42"/>
  <c r="CS42"/>
  <c r="CT42"/>
  <c r="CV42"/>
  <c r="CW42"/>
  <c r="CX42"/>
  <c r="W42" s="1"/>
  <c r="GL42"/>
  <c r="GN42"/>
  <c r="GP42"/>
  <c r="GV42"/>
  <c r="HC42"/>
  <c r="GX42" s="1"/>
  <c r="I43"/>
  <c r="P43"/>
  <c r="L231" i="7" s="1"/>
  <c r="AW231" s="1"/>
  <c r="AC43" i="1"/>
  <c r="AB43" s="1"/>
  <c r="AE43"/>
  <c r="AD43" s="1"/>
  <c r="AF43"/>
  <c r="AG43"/>
  <c r="AH43"/>
  <c r="AI43"/>
  <c r="AJ43"/>
  <c r="CP43"/>
  <c r="CQ43"/>
  <c r="CR43"/>
  <c r="Q43" s="1"/>
  <c r="CS43"/>
  <c r="R43" s="1"/>
  <c r="CT43"/>
  <c r="S43" s="1"/>
  <c r="CU43"/>
  <c r="T43" s="1"/>
  <c r="CV43"/>
  <c r="U43" s="1"/>
  <c r="CW43"/>
  <c r="V43" s="1"/>
  <c r="CX43"/>
  <c r="W43" s="1"/>
  <c r="CY43"/>
  <c r="X43" s="1"/>
  <c r="CZ43"/>
  <c r="Y43" s="1"/>
  <c r="GL43"/>
  <c r="GN43"/>
  <c r="GP43"/>
  <c r="GV43"/>
  <c r="HC43"/>
  <c r="GX43" s="1"/>
  <c r="B45"/>
  <c r="B22" s="1"/>
  <c r="C45"/>
  <c r="C22" s="1"/>
  <c r="D45"/>
  <c r="D22" s="1"/>
  <c r="F45"/>
  <c r="F22" s="1"/>
  <c r="G45"/>
  <c r="G22" s="1"/>
  <c r="BX45"/>
  <c r="BY45"/>
  <c r="BY22" s="1"/>
  <c r="CK45"/>
  <c r="CK22" s="1"/>
  <c r="CL45"/>
  <c r="CL22" s="1"/>
  <c r="CM45"/>
  <c r="CM22" s="1"/>
  <c r="B78"/>
  <c r="B18" s="1"/>
  <c r="C78"/>
  <c r="C18" s="1"/>
  <c r="D78"/>
  <c r="D18" s="1"/>
  <c r="F78"/>
  <c r="F18" s="1"/>
  <c r="G78"/>
  <c r="G18" s="1"/>
  <c r="F12" i="6"/>
  <c r="G12"/>
  <c r="AB34" i="1" l="1"/>
  <c r="DF40" i="3"/>
  <c r="J64" i="7"/>
  <c r="G81"/>
  <c r="G84"/>
  <c r="J124"/>
  <c r="G135"/>
  <c r="G144"/>
  <c r="G147"/>
  <c r="G174"/>
  <c r="G177"/>
  <c r="G181"/>
  <c r="G204"/>
  <c r="G207"/>
  <c r="G209"/>
  <c r="L209"/>
  <c r="G228"/>
  <c r="H46" i="8"/>
  <c r="H60"/>
  <c r="K65"/>
  <c r="H81"/>
  <c r="K93"/>
  <c r="H106"/>
  <c r="H156"/>
  <c r="H159"/>
  <c r="H193"/>
  <c r="H194"/>
  <c r="H188"/>
  <c r="H206"/>
  <c r="H208"/>
  <c r="M209"/>
  <c r="G61" i="7"/>
  <c r="G82"/>
  <c r="L82"/>
  <c r="G85"/>
  <c r="L85"/>
  <c r="G150"/>
  <c r="G194"/>
  <c r="G195"/>
  <c r="G226"/>
  <c r="H47" i="8"/>
  <c r="H61"/>
  <c r="H64"/>
  <c r="M64"/>
  <c r="H67"/>
  <c r="M67"/>
  <c r="M81"/>
  <c r="M78" s="1"/>
  <c r="H107"/>
  <c r="H126"/>
  <c r="H141"/>
  <c r="H144"/>
  <c r="H146"/>
  <c r="H147"/>
  <c r="H162"/>
  <c r="H186"/>
  <c r="H191"/>
  <c r="AB40" i="1"/>
  <c r="BZ45"/>
  <c r="BZ22" s="1"/>
  <c r="G73" i="7"/>
  <c r="G83"/>
  <c r="L83"/>
  <c r="G97"/>
  <c r="G98"/>
  <c r="G110"/>
  <c r="G111"/>
  <c r="L112"/>
  <c r="L109" s="1"/>
  <c r="J147"/>
  <c r="G159"/>
  <c r="G164"/>
  <c r="G180"/>
  <c r="J181"/>
  <c r="G191"/>
  <c r="H58" i="8"/>
  <c r="H65"/>
  <c r="K66"/>
  <c r="K67"/>
  <c r="H80"/>
  <c r="H94"/>
  <c r="H93"/>
  <c r="K117"/>
  <c r="H118"/>
  <c r="K129"/>
  <c r="H148"/>
  <c r="H176"/>
  <c r="H177"/>
  <c r="K191"/>
  <c r="K208"/>
  <c r="H209"/>
  <c r="H125"/>
  <c r="H128"/>
  <c r="O43" i="1"/>
  <c r="H54" i="8"/>
  <c r="CD45" i="1"/>
  <c r="CD22" s="1"/>
  <c r="G193" i="7"/>
  <c r="G158"/>
  <c r="G161"/>
  <c r="L214"/>
  <c r="AW214" s="1"/>
  <c r="H102" i="8"/>
  <c r="H155"/>
  <c r="H75"/>
  <c r="G176" i="7"/>
  <c r="G203"/>
  <c r="H172" i="8"/>
  <c r="M179"/>
  <c r="M196"/>
  <c r="M213"/>
  <c r="AW213" s="1"/>
  <c r="L197" i="7"/>
  <c r="AN197" s="1"/>
  <c r="H88" i="8"/>
  <c r="H202"/>
  <c r="G60" i="7"/>
  <c r="G65"/>
  <c r="J82"/>
  <c r="G112"/>
  <c r="J180"/>
  <c r="J209"/>
  <c r="J81"/>
  <c r="J84"/>
  <c r="G99"/>
  <c r="J135"/>
  <c r="G210"/>
  <c r="G136"/>
  <c r="G212"/>
  <c r="G79"/>
  <c r="G148"/>
  <c r="AT104"/>
  <c r="J150"/>
  <c r="G166"/>
  <c r="G208"/>
  <c r="G229"/>
  <c r="J78"/>
  <c r="J85"/>
  <c r="L295"/>
  <c r="L292" s="1"/>
  <c r="J98"/>
  <c r="G125"/>
  <c r="G163"/>
  <c r="J226"/>
  <c r="AN231"/>
  <c r="AT99" i="8"/>
  <c r="M274"/>
  <c r="AT86"/>
  <c r="AN213"/>
  <c r="H207"/>
  <c r="G227" i="7"/>
  <c r="AT117"/>
  <c r="G225"/>
  <c r="AB31" i="1"/>
  <c r="CG45"/>
  <c r="GM43"/>
  <c r="GO43" s="1"/>
  <c r="DH47" i="3"/>
  <c r="DH44"/>
  <c r="DH42"/>
  <c r="DH40"/>
  <c r="DF37"/>
  <c r="DH30"/>
  <c r="DH19"/>
  <c r="DH6"/>
  <c r="CP32" i="1"/>
  <c r="O32" s="1"/>
  <c r="AB30"/>
  <c r="AB28"/>
  <c r="AB27"/>
  <c r="DG39" i="3"/>
  <c r="DH37"/>
  <c r="DG35"/>
  <c r="DH32"/>
  <c r="DH27"/>
  <c r="DH15"/>
  <c r="AB26" i="1"/>
  <c r="DH52" i="3"/>
  <c r="DH39"/>
  <c r="DH35"/>
  <c r="DF5"/>
  <c r="AB42" i="1"/>
  <c r="AB39"/>
  <c r="AB38"/>
  <c r="DH56" i="3"/>
  <c r="DH54"/>
  <c r="DH5"/>
  <c r="CZ32" i="1"/>
  <c r="Y32" s="1"/>
  <c r="CY32"/>
  <c r="X32" s="1"/>
  <c r="DH59" i="3"/>
  <c r="DG59"/>
  <c r="DF59"/>
  <c r="DI59"/>
  <c r="DG25"/>
  <c r="DF25"/>
  <c r="DI25"/>
  <c r="DH25"/>
  <c r="DG12"/>
  <c r="DF12"/>
  <c r="DI12"/>
  <c r="DH12"/>
  <c r="DG8"/>
  <c r="DF8"/>
  <c r="DI8"/>
  <c r="DH8"/>
  <c r="DI4"/>
  <c r="DH4"/>
  <c r="DG4"/>
  <c r="DF4"/>
  <c r="AB33" i="1"/>
  <c r="CP26"/>
  <c r="O26" s="1"/>
  <c r="AB25"/>
  <c r="CJ45"/>
  <c r="AJ45"/>
  <c r="AH45"/>
  <c r="CZ37"/>
  <c r="Y37" s="1"/>
  <c r="CY37"/>
  <c r="X37" s="1"/>
  <c r="DH57" i="3"/>
  <c r="DG57"/>
  <c r="DF57"/>
  <c r="DI57"/>
  <c r="DG53"/>
  <c r="DF53"/>
  <c r="DI53"/>
  <c r="DH53"/>
  <c r="DG36"/>
  <c r="DF36"/>
  <c r="DI36"/>
  <c r="DH36"/>
  <c r="DG1"/>
  <c r="DF1"/>
  <c r="DI1"/>
  <c r="DH1"/>
  <c r="GM32" i="1"/>
  <c r="GN32" s="1"/>
  <c r="AG45"/>
  <c r="CG22"/>
  <c r="AX45"/>
  <c r="CZ35"/>
  <c r="Y35" s="1"/>
  <c r="CY35"/>
  <c r="X35" s="1"/>
  <c r="CZ36"/>
  <c r="Y36" s="1"/>
  <c r="CY36"/>
  <c r="X36" s="1"/>
  <c r="DI26" i="3"/>
  <c r="DH26"/>
  <c r="DG26"/>
  <c r="DF26"/>
  <c r="DG60"/>
  <c r="DF60"/>
  <c r="DJ60" s="1"/>
  <c r="DI60"/>
  <c r="DH60"/>
  <c r="DG51"/>
  <c r="DF51"/>
  <c r="DI51"/>
  <c r="DH51"/>
  <c r="DI48"/>
  <c r="DH48"/>
  <c r="DG48"/>
  <c r="DF48"/>
  <c r="DJ48" s="1"/>
  <c r="DI43"/>
  <c r="DH43"/>
  <c r="DG43"/>
  <c r="DF43"/>
  <c r="DG34"/>
  <c r="DF34"/>
  <c r="DI34"/>
  <c r="DH34"/>
  <c r="DI31"/>
  <c r="DH31"/>
  <c r="DG31"/>
  <c r="DF31"/>
  <c r="DG29"/>
  <c r="DF29"/>
  <c r="DI29"/>
  <c r="DH29"/>
  <c r="DH24"/>
  <c r="DG24"/>
  <c r="DF24"/>
  <c r="DI24"/>
  <c r="DH20"/>
  <c r="DG20"/>
  <c r="DF20"/>
  <c r="DI20"/>
  <c r="DH7"/>
  <c r="DG7"/>
  <c r="DF7"/>
  <c r="DI7"/>
  <c r="DH3"/>
  <c r="DG3"/>
  <c r="DF3"/>
  <c r="DI3"/>
  <c r="GM39" i="1"/>
  <c r="GO39" s="1"/>
  <c r="CP37"/>
  <c r="O37" s="1"/>
  <c r="GM37" s="1"/>
  <c r="GN37" s="1"/>
  <c r="CP35"/>
  <c r="O35" s="1"/>
  <c r="CY26"/>
  <c r="X26" s="1"/>
  <c r="CZ26"/>
  <c r="Y26" s="1"/>
  <c r="DI50" i="3"/>
  <c r="DJ50" s="1"/>
  <c r="DH50"/>
  <c r="R40" i="1" s="1"/>
  <c r="DG50" i="3"/>
  <c r="DF50"/>
  <c r="DI45"/>
  <c r="DH45"/>
  <c r="R38" i="1" s="1"/>
  <c r="DG45" i="3"/>
  <c r="DF45"/>
  <c r="P38" i="1" s="1"/>
  <c r="DG41" i="3"/>
  <c r="DF41"/>
  <c r="DJ41" s="1"/>
  <c r="DI41"/>
  <c r="DH41"/>
  <c r="DG38"/>
  <c r="DF38"/>
  <c r="P34" i="1" s="1"/>
  <c r="DI38" i="3"/>
  <c r="DJ38" s="1"/>
  <c r="DH38"/>
  <c r="R34" i="1" s="1"/>
  <c r="DI33" i="3"/>
  <c r="DJ33" s="1"/>
  <c r="DH33"/>
  <c r="R33" i="1" s="1"/>
  <c r="DG33" i="3"/>
  <c r="DF33"/>
  <c r="P33" i="1" s="1"/>
  <c r="DI28" i="3"/>
  <c r="DJ28" s="1"/>
  <c r="DH28"/>
  <c r="R31" i="1" s="1"/>
  <c r="DG28" i="3"/>
  <c r="DF28"/>
  <c r="P31" i="1" s="1"/>
  <c r="DH16" i="3"/>
  <c r="DG16"/>
  <c r="DF16"/>
  <c r="DI16"/>
  <c r="DI10"/>
  <c r="DH10"/>
  <c r="DG10"/>
  <c r="DF10"/>
  <c r="DJ10" s="1"/>
  <c r="GM41" i="1"/>
  <c r="GO41" s="1"/>
  <c r="CP36"/>
  <c r="O36" s="1"/>
  <c r="GM36" s="1"/>
  <c r="GN36" s="1"/>
  <c r="P40"/>
  <c r="Q34"/>
  <c r="BC45"/>
  <c r="AQ45"/>
  <c r="DG58" i="3"/>
  <c r="DG56"/>
  <c r="CX55"/>
  <c r="DG54"/>
  <c r="DG49"/>
  <c r="Q40" i="1" s="1"/>
  <c r="DG47" i="3"/>
  <c r="DI46"/>
  <c r="DJ46" s="1"/>
  <c r="DI44"/>
  <c r="DG42"/>
  <c r="DI40"/>
  <c r="DI37"/>
  <c r="DG32"/>
  <c r="DG30"/>
  <c r="DG27"/>
  <c r="Q31" i="1" s="1"/>
  <c r="CX22" i="3"/>
  <c r="DG21"/>
  <c r="DG19"/>
  <c r="CX18"/>
  <c r="DG17"/>
  <c r="DG15"/>
  <c r="CX14"/>
  <c r="DG13"/>
  <c r="DI11"/>
  <c r="DG9"/>
  <c r="DG6"/>
  <c r="DI5"/>
  <c r="DJ5" s="1"/>
  <c r="CI45" i="1"/>
  <c r="BD45"/>
  <c r="CW26" i="3"/>
  <c r="V30" i="1" s="1"/>
  <c r="CX23" i="3"/>
  <c r="CX2"/>
  <c r="AO45" i="1"/>
  <c r="BX22"/>
  <c r="CW59" i="3"/>
  <c r="DI58"/>
  <c r="CW57"/>
  <c r="DI56"/>
  <c r="DJ56" s="1"/>
  <c r="DI54"/>
  <c r="DI49"/>
  <c r="DI47"/>
  <c r="DI42"/>
  <c r="DI32"/>
  <c r="DI30"/>
  <c r="DI27"/>
  <c r="CW24"/>
  <c r="V29" i="1" s="1"/>
  <c r="DI21" i="3"/>
  <c r="CW20"/>
  <c r="V28" i="1" s="1"/>
  <c r="DI19" i="3"/>
  <c r="DJ19" s="1"/>
  <c r="DI17"/>
  <c r="CW16"/>
  <c r="V27" i="1" s="1"/>
  <c r="DI15" i="3"/>
  <c r="DJ15" s="1"/>
  <c r="DI13"/>
  <c r="DI9"/>
  <c r="CW7"/>
  <c r="V25" i="1" s="1"/>
  <c r="DI6" i="3"/>
  <c r="CW3"/>
  <c r="V24" i="1" s="1"/>
  <c r="CU1" i="3"/>
  <c r="BB45" i="1"/>
  <c r="AP45"/>
  <c r="M141" i="8" l="1"/>
  <c r="M140" s="1"/>
  <c r="L159" i="7"/>
  <c r="L158" s="1"/>
  <c r="AR171" s="1"/>
  <c r="H76" i="8"/>
  <c r="G94" i="7"/>
  <c r="H103" i="8"/>
  <c r="G121" i="7"/>
  <c r="DJ47" i="3"/>
  <c r="L194" i="7"/>
  <c r="M176" i="8"/>
  <c r="G221" i="7"/>
  <c r="H203" i="8"/>
  <c r="M61"/>
  <c r="L79" i="7"/>
  <c r="M92" i="8"/>
  <c r="L110" i="7"/>
  <c r="M130" i="8"/>
  <c r="M128" s="1"/>
  <c r="L148" i="7"/>
  <c r="L146" s="1"/>
  <c r="M129" i="8"/>
  <c r="L147" i="7"/>
  <c r="DJ43" i="3"/>
  <c r="M163" i="8"/>
  <c r="L181" i="7"/>
  <c r="M118" i="8"/>
  <c r="M116" s="1"/>
  <c r="L136" i="7"/>
  <c r="L134" s="1"/>
  <c r="M194" i="8"/>
  <c r="L212" i="7"/>
  <c r="DJ53" i="3"/>
  <c r="M193" i="8"/>
  <c r="L211" i="7"/>
  <c r="L224"/>
  <c r="M206" i="8"/>
  <c r="M159"/>
  <c r="L177" i="7"/>
  <c r="L195"/>
  <c r="L193" s="1"/>
  <c r="M177" i="8"/>
  <c r="M175" s="1"/>
  <c r="M126"/>
  <c r="M125" s="1"/>
  <c r="AR138" s="1"/>
  <c r="L144" i="7"/>
  <c r="L143" s="1"/>
  <c r="M186" i="8"/>
  <c r="M185" s="1"/>
  <c r="L204" i="7"/>
  <c r="L203" s="1"/>
  <c r="AR218" s="1"/>
  <c r="G107"/>
  <c r="H89" i="8"/>
  <c r="DJ6" i="3"/>
  <c r="M58" i="8"/>
  <c r="L76" i="7"/>
  <c r="DJ17" i="3"/>
  <c r="L98" i="7"/>
  <c r="M80" i="8"/>
  <c r="DJ21" i="3"/>
  <c r="M93" i="8"/>
  <c r="L111" i="7"/>
  <c r="DJ58" i="3"/>
  <c r="L226" i="7"/>
  <c r="M208" i="8"/>
  <c r="M47"/>
  <c r="M45" s="1"/>
  <c r="L65" i="7"/>
  <c r="L63" s="1"/>
  <c r="M60" i="8"/>
  <c r="L78" i="7"/>
  <c r="M107" i="8"/>
  <c r="M105" s="1"/>
  <c r="L125" i="7"/>
  <c r="L123" s="1"/>
  <c r="M145" i="8"/>
  <c r="L163" i="7"/>
  <c r="M144" i="8"/>
  <c r="L162" i="7"/>
  <c r="M190" i="8"/>
  <c r="L208" i="7"/>
  <c r="M189" i="8"/>
  <c r="L207" i="7"/>
  <c r="M117" i="8"/>
  <c r="L135" i="7"/>
  <c r="M43" i="8"/>
  <c r="M42" s="1"/>
  <c r="L61" i="7"/>
  <c r="L60" s="1"/>
  <c r="L166"/>
  <c r="M148" i="8"/>
  <c r="DJ36" i="3"/>
  <c r="L165" i="7"/>
  <c r="M147" i="8"/>
  <c r="DJ12" i="3"/>
  <c r="M66" i="8"/>
  <c r="L84" i="7"/>
  <c r="L229"/>
  <c r="M211" i="8"/>
  <c r="DJ52" i="3"/>
  <c r="M192" i="8"/>
  <c r="L210" i="7"/>
  <c r="M59" i="8"/>
  <c r="M57" s="1"/>
  <c r="L77" i="7"/>
  <c r="L75" s="1"/>
  <c r="DJ40" i="3"/>
  <c r="L180" i="7"/>
  <c r="L179" s="1"/>
  <c r="AW188" s="1"/>
  <c r="M162" i="8"/>
  <c r="M161" s="1"/>
  <c r="AW170" s="1"/>
  <c r="M156"/>
  <c r="M155" s="1"/>
  <c r="AR170" s="1"/>
  <c r="L174" i="7"/>
  <c r="L173" s="1"/>
  <c r="AR188" s="1"/>
  <c r="DJ16" i="3"/>
  <c r="M79" i="8"/>
  <c r="M77" s="1"/>
  <c r="AO86" s="1"/>
  <c r="L97" i="7"/>
  <c r="L95" s="1"/>
  <c r="AO104" s="1"/>
  <c r="M173" i="8"/>
  <c r="M172" s="1"/>
  <c r="L191" i="7"/>
  <c r="L190" s="1"/>
  <c r="AR201" s="1"/>
  <c r="M46" i="8"/>
  <c r="L64" i="7"/>
  <c r="M106" i="8"/>
  <c r="L124" i="7"/>
  <c r="DJ31" i="3"/>
  <c r="M132" i="8"/>
  <c r="M131" s="1"/>
  <c r="AW138" s="1"/>
  <c r="L150" i="7"/>
  <c r="L149" s="1"/>
  <c r="AW156" s="1"/>
  <c r="L225"/>
  <c r="L223" s="1"/>
  <c r="M207" i="8"/>
  <c r="M205" s="1"/>
  <c r="M55"/>
  <c r="M54" s="1"/>
  <c r="L73" i="7"/>
  <c r="L72" s="1"/>
  <c r="DJ8" i="3"/>
  <c r="M63" i="8"/>
  <c r="M62" s="1"/>
  <c r="AW73" s="1"/>
  <c r="M234" s="1"/>
  <c r="M232" s="1"/>
  <c r="L81" i="7"/>
  <c r="L80" s="1"/>
  <c r="AW91" s="1"/>
  <c r="L252" s="1"/>
  <c r="L250" s="1"/>
  <c r="L228"/>
  <c r="M210" i="8"/>
  <c r="L178" i="7"/>
  <c r="L176" s="1"/>
  <c r="M160" i="8"/>
  <c r="M158" s="1"/>
  <c r="DJ35" i="3"/>
  <c r="M146" i="8"/>
  <c r="L164" i="7"/>
  <c r="AW197"/>
  <c r="L323" s="1"/>
  <c r="L321" s="1"/>
  <c r="AU45" i="1"/>
  <c r="AN214" i="7"/>
  <c r="H78" i="8"/>
  <c r="G96" i="7"/>
  <c r="AN179" i="8"/>
  <c r="AW179"/>
  <c r="H91"/>
  <c r="G109" i="7"/>
  <c r="AW196" i="8"/>
  <c r="AN196"/>
  <c r="G75" i="7"/>
  <c r="H57" i="8"/>
  <c r="H45"/>
  <c r="G63" i="7"/>
  <c r="H105" i="8"/>
  <c r="G123" i="7"/>
  <c r="H116" i="8"/>
  <c r="G134" i="7"/>
  <c r="M266" i="8"/>
  <c r="M315" s="1"/>
  <c r="M272"/>
  <c r="L284" i="7"/>
  <c r="L333" s="1"/>
  <c r="L290"/>
  <c r="DJ39" i="3"/>
  <c r="GM35" i="1"/>
  <c r="GN35" s="1"/>
  <c r="DJ26" i="3"/>
  <c r="F58" i="1"/>
  <c r="BB78"/>
  <c r="BB22"/>
  <c r="F54"/>
  <c r="AP78"/>
  <c r="AP22"/>
  <c r="DJ27" i="3"/>
  <c r="S31" i="1"/>
  <c r="CP31" s="1"/>
  <c r="O31" s="1"/>
  <c r="AO22"/>
  <c r="F49"/>
  <c r="AO78"/>
  <c r="BD78"/>
  <c r="BD22"/>
  <c r="F70"/>
  <c r="F55"/>
  <c r="AQ78"/>
  <c r="AQ22"/>
  <c r="S38"/>
  <c r="DJ45" i="3"/>
  <c r="DJ1"/>
  <c r="DJ25"/>
  <c r="S30" i="1"/>
  <c r="V42"/>
  <c r="Q33"/>
  <c r="DJ3" i="3"/>
  <c r="DJ7"/>
  <c r="DJ20"/>
  <c r="DJ24"/>
  <c r="Q25" i="1"/>
  <c r="DG14" i="3"/>
  <c r="Q27" i="1" s="1"/>
  <c r="DF14" i="3"/>
  <c r="P27" i="1" s="1"/>
  <c r="DI14" i="3"/>
  <c r="DH14"/>
  <c r="R27" i="1" s="1"/>
  <c r="CJ22"/>
  <c r="BA45"/>
  <c r="P25"/>
  <c r="R30"/>
  <c r="DJ32" i="3"/>
  <c r="S33" i="1"/>
  <c r="DF23" i="3"/>
  <c r="DI23"/>
  <c r="DJ23" s="1"/>
  <c r="DH23"/>
  <c r="DG23"/>
  <c r="DG18"/>
  <c r="Q28" i="1" s="1"/>
  <c r="DF18" i="3"/>
  <c r="P28" i="1" s="1"/>
  <c r="DI18" i="3"/>
  <c r="DH18"/>
  <c r="R28" i="1" s="1"/>
  <c r="BC78"/>
  <c r="BC22"/>
  <c r="F61"/>
  <c r="F52"/>
  <c r="AX78"/>
  <c r="AX22"/>
  <c r="AJ22"/>
  <c r="W45"/>
  <c r="S25"/>
  <c r="DJ4" i="3"/>
  <c r="Q38" i="1"/>
  <c r="Q30"/>
  <c r="DJ49" i="3"/>
  <c r="S40" i="1"/>
  <c r="DF2" i="3"/>
  <c r="DI2"/>
  <c r="DJ2" s="1"/>
  <c r="DH2"/>
  <c r="R24" i="1" s="1"/>
  <c r="DG2" i="3"/>
  <c r="Q24" i="1" s="1"/>
  <c r="CI22"/>
  <c r="AZ45"/>
  <c r="DG22" i="3"/>
  <c r="DF22"/>
  <c r="DI22"/>
  <c r="DH22"/>
  <c r="R29" i="1" s="1"/>
  <c r="DJ37" i="3"/>
  <c r="S34" i="1"/>
  <c r="DG55" i="3"/>
  <c r="Q42" i="1" s="1"/>
  <c r="DF55" i="3"/>
  <c r="P42" i="1" s="1"/>
  <c r="DI55" i="3"/>
  <c r="DH55"/>
  <c r="R42" i="1" s="1"/>
  <c r="F64"/>
  <c r="C50" i="7" s="1"/>
  <c r="AU78" i="1"/>
  <c r="AU22"/>
  <c r="AG22"/>
  <c r="T45"/>
  <c r="U45"/>
  <c r="AH22"/>
  <c r="DJ29" i="3"/>
  <c r="DJ34"/>
  <c r="DJ51"/>
  <c r="P24" i="1"/>
  <c r="DJ57" i="3"/>
  <c r="GM26" i="1"/>
  <c r="GN26" s="1"/>
  <c r="R25"/>
  <c r="P30"/>
  <c r="DJ59" i="3"/>
  <c r="G16" i="2" l="1"/>
  <c r="C49" i="7"/>
  <c r="AT170" i="8"/>
  <c r="M157"/>
  <c r="AT217"/>
  <c r="M204"/>
  <c r="AO217" s="1"/>
  <c r="M56"/>
  <c r="AO73" s="1"/>
  <c r="AT73"/>
  <c r="AR52"/>
  <c r="M104"/>
  <c r="AO112" s="1"/>
  <c r="AT112"/>
  <c r="AT70" i="7"/>
  <c r="L62"/>
  <c r="AO70" s="1"/>
  <c r="AR156"/>
  <c r="L192"/>
  <c r="AT201"/>
  <c r="AT138" i="8"/>
  <c r="M135" s="1"/>
  <c r="M127"/>
  <c r="AR153"/>
  <c r="P29" i="1"/>
  <c r="M167" i="8"/>
  <c r="M188"/>
  <c r="L161" i="7"/>
  <c r="M89" i="8"/>
  <c r="M88" s="1"/>
  <c r="L107" i="7"/>
  <c r="L106" s="1"/>
  <c r="M76" i="8"/>
  <c r="M75" s="1"/>
  <c r="L94" i="7"/>
  <c r="L93" s="1"/>
  <c r="M69" i="8"/>
  <c r="AR73"/>
  <c r="M70" s="1"/>
  <c r="L74" i="7"/>
  <c r="AO91" s="1"/>
  <c r="AT91"/>
  <c r="L66"/>
  <c r="AR70"/>
  <c r="AT130"/>
  <c r="L122"/>
  <c r="AO130" s="1"/>
  <c r="AR200" i="8"/>
  <c r="AT183"/>
  <c r="M174"/>
  <c r="AO183" s="1"/>
  <c r="AT123"/>
  <c r="M120" s="1"/>
  <c r="M115"/>
  <c r="AT156" i="7"/>
  <c r="L145"/>
  <c r="AO156" s="1"/>
  <c r="L206"/>
  <c r="M90" i="8"/>
  <c r="AO99" s="1"/>
  <c r="L221" i="7"/>
  <c r="L220" s="1"/>
  <c r="M203" i="8"/>
  <c r="M202" s="1"/>
  <c r="M103"/>
  <c r="M102" s="1"/>
  <c r="L121" i="7"/>
  <c r="L120" s="1"/>
  <c r="L175"/>
  <c r="AT188"/>
  <c r="L185" s="1"/>
  <c r="AR91"/>
  <c r="L88" s="1"/>
  <c r="L87"/>
  <c r="L222"/>
  <c r="AO235" s="1"/>
  <c r="AT235"/>
  <c r="M178" i="8"/>
  <c r="AR183"/>
  <c r="M44"/>
  <c r="AO52" s="1"/>
  <c r="AT52"/>
  <c r="AT141" i="7"/>
  <c r="L138" s="1"/>
  <c r="L133"/>
  <c r="M143" i="8"/>
  <c r="L108" i="7"/>
  <c r="AO117" s="1"/>
  <c r="L272"/>
  <c r="L270" s="1"/>
  <c r="CP38" i="1"/>
  <c r="O38" s="1"/>
  <c r="CP30"/>
  <c r="O30" s="1"/>
  <c r="AI45"/>
  <c r="V45" s="1"/>
  <c r="H205" i="8"/>
  <c r="G223" i="7"/>
  <c r="M254" i="8"/>
  <c r="M252" s="1"/>
  <c r="M305"/>
  <c r="M303" s="1"/>
  <c r="CP33" i="1"/>
  <c r="O33" s="1"/>
  <c r="CZ40"/>
  <c r="Y40" s="1"/>
  <c r="CY40"/>
  <c r="X40" s="1"/>
  <c r="W22"/>
  <c r="W78"/>
  <c r="F69"/>
  <c r="CZ33"/>
  <c r="Y33" s="1"/>
  <c r="CY33"/>
  <c r="X33" s="1"/>
  <c r="AI22"/>
  <c r="AQ18"/>
  <c r="F88"/>
  <c r="BD18"/>
  <c r="F103"/>
  <c r="CZ31"/>
  <c r="Y31" s="1"/>
  <c r="CY31"/>
  <c r="X31" s="1"/>
  <c r="AE45"/>
  <c r="T22"/>
  <c r="T78"/>
  <c r="F66"/>
  <c r="S29"/>
  <c r="DJ22" i="3"/>
  <c r="CY25" i="1"/>
  <c r="X25" s="1"/>
  <c r="CZ25"/>
  <c r="Y25" s="1"/>
  <c r="AX18"/>
  <c r="F85"/>
  <c r="BC18"/>
  <c r="F94"/>
  <c r="BA22"/>
  <c r="F65"/>
  <c r="BA78"/>
  <c r="F87"/>
  <c r="AP18"/>
  <c r="CP25"/>
  <c r="O25" s="1"/>
  <c r="S24"/>
  <c r="AC45"/>
  <c r="F56"/>
  <c r="AZ78"/>
  <c r="AZ22"/>
  <c r="S27"/>
  <c r="CP27" s="1"/>
  <c r="O27" s="1"/>
  <c r="DJ14" i="3"/>
  <c r="CY38" i="1"/>
  <c r="X38" s="1"/>
  <c r="CZ38"/>
  <c r="Y38" s="1"/>
  <c r="F91"/>
  <c r="BB18"/>
  <c r="H16" i="2"/>
  <c r="CZ34" i="1"/>
  <c r="Y34" s="1"/>
  <c r="CY34"/>
  <c r="X34" s="1"/>
  <c r="U22"/>
  <c r="U78"/>
  <c r="F67"/>
  <c r="AU18"/>
  <c r="F97"/>
  <c r="DJ55" i="3"/>
  <c r="S42" i="1"/>
  <c r="DJ18" i="3"/>
  <c r="S28" i="1"/>
  <c r="CY30"/>
  <c r="X30" s="1"/>
  <c r="CZ30"/>
  <c r="Y30" s="1"/>
  <c r="F82"/>
  <c r="AO18"/>
  <c r="Q29"/>
  <c r="CP40"/>
  <c r="O40" s="1"/>
  <c r="CP34"/>
  <c r="O34" s="1"/>
  <c r="M180" i="8" l="1"/>
  <c r="M108"/>
  <c r="AR112"/>
  <c r="M109" s="1"/>
  <c r="L113" i="7"/>
  <c r="AR117"/>
  <c r="L114" s="1"/>
  <c r="M187" i="8"/>
  <c r="AT200"/>
  <c r="AO170"/>
  <c r="M166"/>
  <c r="M197"/>
  <c r="L153" i="7"/>
  <c r="M48" i="8"/>
  <c r="AO141" i="7"/>
  <c r="L137"/>
  <c r="AR130"/>
  <c r="L127" s="1"/>
  <c r="L126"/>
  <c r="L230"/>
  <c r="AR235"/>
  <c r="AT218"/>
  <c r="L215" s="1"/>
  <c r="L205"/>
  <c r="M119" i="8"/>
  <c r="AO123"/>
  <c r="AR86"/>
  <c r="M83" s="1"/>
  <c r="M82"/>
  <c r="L160" i="7"/>
  <c r="AT171"/>
  <c r="L168" s="1"/>
  <c r="AO138" i="8"/>
  <c r="M134"/>
  <c r="AO201" i="7"/>
  <c r="L196"/>
  <c r="M250" i="8"/>
  <c r="M142"/>
  <c r="AT153"/>
  <c r="M150" s="1"/>
  <c r="M301"/>
  <c r="M230"/>
  <c r="AO188" i="7"/>
  <c r="L184"/>
  <c r="M212" i="8"/>
  <c r="AR217"/>
  <c r="M214" s="1"/>
  <c r="L326" i="7"/>
  <c r="L243"/>
  <c r="L67"/>
  <c r="L100"/>
  <c r="AR104"/>
  <c r="L101" s="1"/>
  <c r="M95" i="8"/>
  <c r="AR99"/>
  <c r="M96" s="1"/>
  <c r="L268" i="7"/>
  <c r="L198"/>
  <c r="M237" i="8"/>
  <c r="M49"/>
  <c r="L152" i="7"/>
  <c r="GM31" i="1"/>
  <c r="GN31" s="1"/>
  <c r="AZ201" i="7"/>
  <c r="AZ183" i="8"/>
  <c r="BA200"/>
  <c r="M199" s="1"/>
  <c r="BA218" i="7"/>
  <c r="L217" s="1"/>
  <c r="AZ170" i="8"/>
  <c r="M168" s="1"/>
  <c r="AZ188" i="7"/>
  <c r="L186" s="1"/>
  <c r="GM38" i="1"/>
  <c r="GO38" s="1"/>
  <c r="BA201" i="7"/>
  <c r="BA183" i="8"/>
  <c r="AZ73"/>
  <c r="M71" s="1"/>
  <c r="AZ91" i="7"/>
  <c r="L89" s="1"/>
  <c r="BA156"/>
  <c r="L155" s="1"/>
  <c r="BA138" i="8"/>
  <c r="M137" s="1"/>
  <c r="BA153"/>
  <c r="M152" s="1"/>
  <c r="BA171" i="7"/>
  <c r="L170" s="1"/>
  <c r="AZ200" i="8"/>
  <c r="M198" s="1"/>
  <c r="AZ218" i="7"/>
  <c r="L216" s="1"/>
  <c r="AZ123" i="8"/>
  <c r="M121" s="1"/>
  <c r="AZ141" i="7"/>
  <c r="L139" s="1"/>
  <c r="BA123" i="8"/>
  <c r="M122" s="1"/>
  <c r="BA141" i="7"/>
  <c r="L140" s="1"/>
  <c r="H319" i="8"/>
  <c r="K47" i="7"/>
  <c r="G337"/>
  <c r="BA188"/>
  <c r="L187" s="1"/>
  <c r="BA170" i="8"/>
  <c r="M169" s="1"/>
  <c r="BA91" i="7"/>
  <c r="L90" s="1"/>
  <c r="BA73" i="8"/>
  <c r="M72" s="1"/>
  <c r="AZ156" i="7"/>
  <c r="L154" s="1"/>
  <c r="AZ138" i="8"/>
  <c r="M136" s="1"/>
  <c r="AZ153"/>
  <c r="M151" s="1"/>
  <c r="AZ171" i="7"/>
  <c r="L169" s="1"/>
  <c r="CP29" i="1"/>
  <c r="O29" s="1"/>
  <c r="GM40"/>
  <c r="GO40" s="1"/>
  <c r="GM30"/>
  <c r="GN30" s="1"/>
  <c r="GM34"/>
  <c r="GN34" s="1"/>
  <c r="GM33"/>
  <c r="GN33" s="1"/>
  <c r="F100"/>
  <c r="U18"/>
  <c r="CZ28"/>
  <c r="Y28" s="1"/>
  <c r="CY28"/>
  <c r="X28" s="1"/>
  <c r="CP28"/>
  <c r="O28" s="1"/>
  <c r="AZ18"/>
  <c r="F89"/>
  <c r="CZ24"/>
  <c r="Y24" s="1"/>
  <c r="AF45"/>
  <c r="CY24"/>
  <c r="X24" s="1"/>
  <c r="CZ29"/>
  <c r="Y29" s="1"/>
  <c r="CY29"/>
  <c r="X29" s="1"/>
  <c r="R45"/>
  <c r="AE22"/>
  <c r="F68"/>
  <c r="V22"/>
  <c r="V78"/>
  <c r="W18"/>
  <c r="F102"/>
  <c r="AD45"/>
  <c r="CZ42"/>
  <c r="Y42" s="1"/>
  <c r="CY42"/>
  <c r="X42" s="1"/>
  <c r="CP24"/>
  <c r="O24" s="1"/>
  <c r="CZ27"/>
  <c r="Y27" s="1"/>
  <c r="CY27"/>
  <c r="X27" s="1"/>
  <c r="AC22"/>
  <c r="CF45"/>
  <c r="P45"/>
  <c r="CE45"/>
  <c r="CH45"/>
  <c r="F98"/>
  <c r="BA18"/>
  <c r="T18"/>
  <c r="F99"/>
  <c r="CP42"/>
  <c r="O42" s="1"/>
  <c r="GM25"/>
  <c r="GN25" s="1"/>
  <c r="AO171" i="7" l="1"/>
  <c r="L167"/>
  <c r="M296" i="8"/>
  <c r="L255" i="7"/>
  <c r="K45"/>
  <c r="L319"/>
  <c r="AO218"/>
  <c r="L213"/>
  <c r="AO200" i="8"/>
  <c r="M248" s="1"/>
  <c r="M246" s="1"/>
  <c r="M195"/>
  <c r="L266" i="7"/>
  <c r="L264" s="1"/>
  <c r="K46"/>
  <c r="M257" i="8"/>
  <c r="AO153"/>
  <c r="M228" s="1"/>
  <c r="M226" s="1"/>
  <c r="M149"/>
  <c r="L275" i="7"/>
  <c r="L263"/>
  <c r="L232"/>
  <c r="M308" i="8"/>
  <c r="M225"/>
  <c r="M223" s="1"/>
  <c r="L314" i="7"/>
  <c r="M299" i="8"/>
  <c r="M297" s="1"/>
  <c r="L248" i="7"/>
  <c r="M245" i="8"/>
  <c r="M243" s="1"/>
  <c r="K48" i="7"/>
  <c r="G338"/>
  <c r="H320" i="8"/>
  <c r="BA99"/>
  <c r="M98" s="1"/>
  <c r="BA117" i="7"/>
  <c r="L116" s="1"/>
  <c r="AZ112" i="8"/>
  <c r="M110" s="1"/>
  <c r="AZ130" i="7"/>
  <c r="L128" s="1"/>
  <c r="BA70"/>
  <c r="BA52" i="8"/>
  <c r="AZ117" i="7"/>
  <c r="L115" s="1"/>
  <c r="AZ99" i="8"/>
  <c r="M97" s="1"/>
  <c r="K171" i="7"/>
  <c r="I171" s="1"/>
  <c r="AN171"/>
  <c r="L73" i="8"/>
  <c r="J73" s="1"/>
  <c r="AN73"/>
  <c r="AN188" i="7"/>
  <c r="K188"/>
  <c r="I188" s="1"/>
  <c r="M181" i="8"/>
  <c r="L153"/>
  <c r="J153" s="1"/>
  <c r="AN153"/>
  <c r="AN141" i="7"/>
  <c r="K141"/>
  <c r="I141" s="1"/>
  <c r="AN218"/>
  <c r="K218"/>
  <c r="I218" s="1"/>
  <c r="M182" i="8"/>
  <c r="AN170"/>
  <c r="L170"/>
  <c r="J170" s="1"/>
  <c r="L199" i="7"/>
  <c r="AZ104"/>
  <c r="L102" s="1"/>
  <c r="AZ86" i="8"/>
  <c r="M84" s="1"/>
  <c r="AN156" i="7"/>
  <c r="K156"/>
  <c r="I156" s="1"/>
  <c r="K91"/>
  <c r="I91" s="1"/>
  <c r="AN91"/>
  <c r="BA130"/>
  <c r="L129" s="1"/>
  <c r="BA112" i="8"/>
  <c r="M111" s="1"/>
  <c r="BA86"/>
  <c r="M85" s="1"/>
  <c r="BA104" i="7"/>
  <c r="L103" s="1"/>
  <c r="BA235"/>
  <c r="L234" s="1"/>
  <c r="BA217" i="8"/>
  <c r="M216" s="1"/>
  <c r="AZ235" i="7"/>
  <c r="L233" s="1"/>
  <c r="AZ217" i="8"/>
  <c r="M215" s="1"/>
  <c r="AZ52"/>
  <c r="AZ70" i="7"/>
  <c r="L138" i="8"/>
  <c r="J138" s="1"/>
  <c r="AN138"/>
  <c r="AN123"/>
  <c r="L123"/>
  <c r="J123" s="1"/>
  <c r="AN200"/>
  <c r="L200"/>
  <c r="J200" s="1"/>
  <c r="L200" i="7"/>
  <c r="GM42" i="1"/>
  <c r="GO42" s="1"/>
  <c r="CC45" s="1"/>
  <c r="CC22" s="1"/>
  <c r="GM29"/>
  <c r="GN29" s="1"/>
  <c r="GM27"/>
  <c r="GN27" s="1"/>
  <c r="CF22"/>
  <c r="AW45"/>
  <c r="AB45"/>
  <c r="GM24"/>
  <c r="F48"/>
  <c r="P22"/>
  <c r="P78"/>
  <c r="CH22"/>
  <c r="AY45"/>
  <c r="AL45"/>
  <c r="Q45"/>
  <c r="AD22"/>
  <c r="V18"/>
  <c r="F101"/>
  <c r="AF22"/>
  <c r="S45"/>
  <c r="GM28"/>
  <c r="GN28" s="1"/>
  <c r="F59"/>
  <c r="R22"/>
  <c r="R78"/>
  <c r="CE22"/>
  <c r="AV45"/>
  <c r="AK45"/>
  <c r="L317" i="7" l="1"/>
  <c r="L315" s="1"/>
  <c r="L246"/>
  <c r="L244" s="1"/>
  <c r="L241" s="1"/>
  <c r="L261"/>
  <c r="L277"/>
  <c r="L312"/>
  <c r="M294" i="8"/>
  <c r="L276" i="7"/>
  <c r="L259" s="1"/>
  <c r="AN217" i="8"/>
  <c r="L217"/>
  <c r="J217" s="1"/>
  <c r="M239"/>
  <c r="M51"/>
  <c r="M310"/>
  <c r="M238"/>
  <c r="M50"/>
  <c r="M309"/>
  <c r="AN183"/>
  <c r="L183"/>
  <c r="J183" s="1"/>
  <c r="AN117" i="7"/>
  <c r="K117"/>
  <c r="I117" s="1"/>
  <c r="L112" i="8"/>
  <c r="J112" s="1"/>
  <c r="AN112"/>
  <c r="AN86"/>
  <c r="L86"/>
  <c r="J86" s="1"/>
  <c r="L327" i="7"/>
  <c r="L68"/>
  <c r="L256"/>
  <c r="K201"/>
  <c r="I201" s="1"/>
  <c r="AN201"/>
  <c r="AN99" i="8"/>
  <c r="L99"/>
  <c r="J99" s="1"/>
  <c r="K130" i="7"/>
  <c r="I130" s="1"/>
  <c r="AN130"/>
  <c r="M259" i="8"/>
  <c r="M258"/>
  <c r="M241" s="1"/>
  <c r="K235" i="7"/>
  <c r="I235" s="1"/>
  <c r="AN235"/>
  <c r="K104"/>
  <c r="I104" s="1"/>
  <c r="AN104"/>
  <c r="L69"/>
  <c r="L328"/>
  <c r="L257"/>
  <c r="AT45" i="1"/>
  <c r="AT78" s="1"/>
  <c r="AB22"/>
  <c r="O45"/>
  <c r="AK22"/>
  <c r="X45"/>
  <c r="P18"/>
  <c r="F81"/>
  <c r="F60"/>
  <c r="J16" i="2" s="1"/>
  <c r="S22" i="1"/>
  <c r="S78"/>
  <c r="GN24"/>
  <c r="CB45" s="1"/>
  <c r="CA45"/>
  <c r="F63"/>
  <c r="AV78"/>
  <c r="AV22"/>
  <c r="F50"/>
  <c r="Q22"/>
  <c r="Q78"/>
  <c r="F57"/>
  <c r="R18"/>
  <c r="F92"/>
  <c r="AY78"/>
  <c r="AY22"/>
  <c r="F53"/>
  <c r="Y45"/>
  <c r="AL22"/>
  <c r="AW22"/>
  <c r="F51"/>
  <c r="AW78"/>
  <c r="AT22" l="1"/>
  <c r="M221" i="8"/>
  <c r="M292" s="1"/>
  <c r="K70" i="7"/>
  <c r="I70" s="1"/>
  <c r="AN70"/>
  <c r="L52" i="8"/>
  <c r="J52" s="1"/>
  <c r="AN52"/>
  <c r="F16" i="2"/>
  <c r="C48" i="7"/>
  <c r="L239"/>
  <c r="L310" s="1"/>
  <c r="Y22" i="1"/>
  <c r="F72"/>
  <c r="Y78"/>
  <c r="AT18"/>
  <c r="F96"/>
  <c r="S18"/>
  <c r="F93"/>
  <c r="CB22"/>
  <c r="AS45"/>
  <c r="F47"/>
  <c r="O22"/>
  <c r="O78"/>
  <c r="CA22"/>
  <c r="AR45"/>
  <c r="AW18"/>
  <c r="F84"/>
  <c r="AY18"/>
  <c r="F86"/>
  <c r="F90"/>
  <c r="Q18"/>
  <c r="AV18"/>
  <c r="F83"/>
  <c r="X22"/>
  <c r="F71"/>
  <c r="X78"/>
  <c r="AS22" l="1"/>
  <c r="F62"/>
  <c r="AS78"/>
  <c r="AR78"/>
  <c r="AR22"/>
  <c r="F73"/>
  <c r="F105"/>
  <c r="Y18"/>
  <c r="X18"/>
  <c r="F104"/>
  <c r="O18"/>
  <c r="F80"/>
  <c r="E16" i="2" l="1"/>
  <c r="I16" s="1"/>
  <c r="N16" s="1"/>
  <c r="C47" i="7"/>
  <c r="C44" s="1"/>
  <c r="F75" i="1"/>
  <c r="F76" s="1"/>
  <c r="F74"/>
  <c r="F95"/>
  <c r="AS18"/>
  <c r="AR18"/>
  <c r="F106"/>
  <c r="F107" l="1"/>
  <c r="F108"/>
  <c r="F109" s="1"/>
</calcChain>
</file>

<file path=xl/sharedStrings.xml><?xml version="1.0" encoding="utf-8"?>
<sst xmlns="http://schemas.openxmlformats.org/spreadsheetml/2006/main" count="3636" uniqueCount="491">
  <si>
    <t>Smeta.RU  (495) 974-1589</t>
  </si>
  <si>
    <t>_PS_</t>
  </si>
  <si>
    <t>Smeta.RU</t>
  </si>
  <si>
    <t/>
  </si>
  <si>
    <t>Новый объект</t>
  </si>
  <si>
    <t>Строительство хмелевой плантации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</si>
  <si>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</si>
  <si>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</si>
  <si>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</si>
  <si>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</si>
  <si>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</si>
  <si>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</si>
  <si>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</si>
  <si>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</si>
  <si>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</si>
  <si>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1</t>
  </si>
  <si>
    <t>01-02-031-04</t>
  </si>
  <si>
    <t>Бурение ям глубиной до 2 м бурильно-крановыми машинами: на автомобиле, группа грунтов 2</t>
  </si>
  <si>
    <t>100 ШТ</t>
  </si>
  <si>
    <t>ГЭСН-2022, 01-02-031-04, приказ Минстроя России от 18.05.2022 г. № 378/пр</t>
  </si>
  <si>
    <t>Общестроительные работы</t>
  </si>
  <si>
    <t>Земляные работы</t>
  </si>
  <si>
    <t>Земляные работы, выполняемые: по другим видам работ ( подготовительные, сопутствующие, укрепительные )</t>
  </si>
  <si>
    <t>ФЕР-01</t>
  </si>
  <si>
    <t>Пр/812-001.4-1</t>
  </si>
  <si>
    <t>Пр/774-001.4</t>
  </si>
  <si>
    <t>Земляные работы, выполняемые: по другим видам работ (подготовительные, сопутствующие, укрепительные)</t>
  </si>
  <si>
    <t>2</t>
  </si>
  <si>
    <t>34-02-024-07</t>
  </si>
  <si>
    <t>Установка бурильно-крановой машиной опор деревянных одинарных высотой: свыше 8,5 м</t>
  </si>
  <si>
    <t>ШТ</t>
  </si>
  <si>
    <t>ГЭСН-2022 доп.17, 34-02-024-07, приказ Минстроя России от 17.02.2026 г. № 91/пр</t>
  </si>
  <si>
    <t>*0</t>
  </si>
  <si>
    <t>Сооружения связи, радиовещания и телевидения</t>
  </si>
  <si>
    <t>Сооружения связи , радиовещания и телевидения</t>
  </si>
  <si>
    <t>ФЕР-34</t>
  </si>
  <si>
    <t>Пр/812-028.0-1</t>
  </si>
  <si>
    <t>Пр/774-028.0</t>
  </si>
  <si>
    <t>Сооружения связи, радиовещания и телевидения прокладка и монтаж сетей связи</t>
  </si>
  <si>
    <t>2,1</t>
  </si>
  <si>
    <t>11.1.02.04</t>
  </si>
  <si>
    <t>Лесоматериалы пропитанные для опор линий связи диаметром до 24 см</t>
  </si>
  <si>
    <t>3</t>
  </si>
  <si>
    <t>33-04-016-01</t>
  </si>
  <si>
    <t>Развозка конструкций и материалов опор ВЛ 0,38-10 кВ по трассе: одностоечных деревянных опор</t>
  </si>
  <si>
    <t>ГЭСН-2022, 33-04-016-01, приказ Минстроя России от 18.05.2022 г. № 378/пр</t>
  </si>
  <si>
    <t>Линии электропередачи</t>
  </si>
  <si>
    <t>ФЕР-33</t>
  </si>
  <si>
    <t>Пр/812-027.0-1</t>
  </si>
  <si>
    <t>Пр/774-027.0</t>
  </si>
  <si>
    <t>4</t>
  </si>
  <si>
    <t>33-04-016-05</t>
  </si>
  <si>
    <t>Развозка конструкций и материалов опор ВЛ 0,38-10 кВ по трассе: материалов оснастки одностоечных опор</t>
  </si>
  <si>
    <t>ГЭСН-2022, 33-04-016-05, приказ Минстроя России от 18.05.2022 г. № 378/пр</t>
  </si>
  <si>
    <t>5</t>
  </si>
  <si>
    <t>01-01-010-41</t>
  </si>
  <si>
    <t>Разработка грунта в отвал экскаваторами, вместимость ковша 0,25 м3, группа грунтов: 2</t>
  </si>
  <si>
    <t>1000 м3</t>
  </si>
  <si>
    <t>ГЭСН-2022, 01-01-010-41, приказ Минстроя России от 18.05.2022 г. № 378/пр</t>
  </si>
  <si>
    <t>Земляные работы, выполняемые: механизированным способом</t>
  </si>
  <si>
    <t>Пр/812-001.1-1</t>
  </si>
  <si>
    <t>Пр/774-001.1</t>
  </si>
  <si>
    <t>6</t>
  </si>
  <si>
    <t>01-01-033-02</t>
  </si>
  <si>
    <t>Засыпка траншей и котлованов с перемещением грунта до 5 м бульдозерами мощностью: 59 кВт (80 л.с.), группа грунтов 2</t>
  </si>
  <si>
    <t>ГЭСН-2022, 01-01-033-02, приказ Минстроя России от 18.05.2022 г. № 378/пр</t>
  </si>
  <si>
    <t>7</t>
  </si>
  <si>
    <t>34-02-027-01</t>
  </si>
  <si>
    <t>Установка к опорам и подпорам приставок железобетонных: одинарных, высота опоры или подпоры до 8,5 м (прим. якорей)</t>
  </si>
  <si>
    <t>ГЭСН-2022, 34-02-027-01, приказ Минстроя России от 18.05.2022 г. № 378/пр</t>
  </si>
  <si>
    <t>7,1</t>
  </si>
  <si>
    <t>05.1.02.06</t>
  </si>
  <si>
    <t>Приставки железобетонные</t>
  </si>
  <si>
    <t>м3</t>
  </si>
  <si>
    <t>8</t>
  </si>
  <si>
    <t>33-04-016-04</t>
  </si>
  <si>
    <t>Развозка конструкций и материалов опор ВЛ 0,38-10 кВ по трассе: приставок железобетонных</t>
  </si>
  <si>
    <t>ГЭСН-2022, 33-04-016-04, приказ Минстроя России от 18.05.2022 г. № 378/пр</t>
  </si>
  <si>
    <t>9</t>
  </si>
  <si>
    <t>33-04-005-01</t>
  </si>
  <si>
    <t>Установка оттяжек одинарных к опорам: ВЛ 0,38 кВ</t>
  </si>
  <si>
    <t>ГЭСН-2022 доп.11, 33-04-005-01, приказ Минстроя России от 09.08.2024 г. № 524/пр</t>
  </si>
  <si>
    <t>9,1</t>
  </si>
  <si>
    <t>01.7.15.03-0042</t>
  </si>
  <si>
    <t>Болты с гайками и шайбами строительные</t>
  </si>
  <si>
    <t>кг</t>
  </si>
  <si>
    <t>ФСБЦ-2022, 01.7.15.03-0042, приказ Минстроя России от 18.05.2022 г. № 378/пр</t>
  </si>
  <si>
    <t>9,2</t>
  </si>
  <si>
    <t>07.2.02.03</t>
  </si>
  <si>
    <t>Оттяжки</t>
  </si>
  <si>
    <t>КОМПЛ</t>
  </si>
  <si>
    <t>9,3</t>
  </si>
  <si>
    <t>22.2.02.03</t>
  </si>
  <si>
    <t>Детали крепления стальные</t>
  </si>
  <si>
    <t>10</t>
  </si>
  <si>
    <t>м08-02-305-01</t>
  </si>
  <si>
    <t>Хомут на опоре</t>
  </si>
  <si>
    <t>ГЭСНм-2022, м08-02-305-01,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</si>
  <si>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</si>
  <si>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</si>
  <si>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</si>
  <si>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</si>
  <si>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</si>
  <si>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10,1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</si>
  <si>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</si>
  <si>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</si>
  <si>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</si>
  <si>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11</t>
  </si>
  <si>
    <t>м08-02-303-07</t>
  </si>
  <si>
    <t>Трос продольно-несущий (диам. 8 мм.)</t>
  </si>
  <si>
    <t>км</t>
  </si>
  <si>
    <t>ГЭСНм-2022, м08-02-303-07, приказ Минстроя России от 18.05.2022 г. № 378/пр</t>
  </si>
  <si>
    <t>11,1</t>
  </si>
  <si>
    <t>12</t>
  </si>
  <si>
    <t>Трос продольно-несущий (диам. 5 мм.)</t>
  </si>
  <si>
    <t>12,1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</si>
  <si>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</si>
  <si>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</si>
  <si>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</si>
  <si>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</si>
  <si>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</si>
  <si>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</si>
  <si>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</si>
  <si>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</si>
  <si>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</si>
  <si>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</si>
  <si>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</si>
  <si>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</si>
  <si>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</si>
  <si>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</si>
  <si>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</si>
  <si>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</si>
  <si>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</si>
  <si>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</si>
  <si>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</si>
  <si>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</si>
  <si>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</si>
  <si>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</si>
  <si>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</si>
  <si>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</si>
  <si>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</si>
  <si>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</si>
  <si>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</si>
  <si>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</si>
  <si>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</si>
  <si>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</si>
  <si>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</si>
  <si>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</si>
  <si>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</si>
  <si>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</si>
  <si>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</si>
  <si>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</si>
  <si>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</si>
  <si>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</si>
  <si>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</si>
  <si>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</si>
  <si>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</si>
  <si>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</si>
  <si>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</si>
  <si>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</si>
  <si>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</si>
  <si>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</si>
  <si>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</si>
  <si>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</si>
  <si>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</si>
  <si>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</si>
  <si>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</si>
  <si>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</si>
  <si>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</si>
  <si>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</si>
  <si>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</t>
  </si>
  <si>
    <t>Итого</t>
  </si>
  <si>
    <t>НДС</t>
  </si>
  <si>
    <t>НДС 22%</t>
  </si>
  <si>
    <t>с 1.01.2026. п. 3 ст. 164 НК РФ в ред. Федерального закона от 28.11.2025 № 425-ФЗ</t>
  </si>
  <si>
    <t>В</t>
  </si>
  <si>
    <t>ВСЕГО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</si>
  <si>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</si>
  <si>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</si>
  <si>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</si>
  <si>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</si>
  <si>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</si>
  <si>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</si>
  <si>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</si>
  <si>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</si>
  <si>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</si>
  <si>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</si>
  <si>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</si>
  <si>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</si>
  <si>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</si>
  <si>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</si>
  <si>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</si>
  <si>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</si>
  <si>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</si>
  <si>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</si>
  <si>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</si>
  <si>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</si>
  <si>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</si>
  <si>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</si>
  <si>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</si>
  <si>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</si>
  <si>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</si>
  <si>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</si>
  <si>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</si>
  <si>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</si>
  <si>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</si>
  <si>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</si>
  <si>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</si>
  <si>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</si>
  <si>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</si>
  <si>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</si>
  <si>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</si>
  <si>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</si>
  <si>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</si>
  <si>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</si>
  <si>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</si>
  <si>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</si>
  <si>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</si>
  <si>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</si>
  <si>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</si>
  <si>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</si>
  <si>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</si>
  <si>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</si>
  <si>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</si>
  <si>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</si>
  <si>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</si>
  <si>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</si>
  <si>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</si>
  <si>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</si>
  <si>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</si>
  <si>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</si>
  <si>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</si>
  <si>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</si>
  <si>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</si>
  <si>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</si>
  <si>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</si>
  <si>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</si>
  <si>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</si>
  <si>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</si>
  <si>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</si>
  <si>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</si>
  <si>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</si>
  <si>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</si>
  <si>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ТЦ</t>
  </si>
  <si>
    <t>Сборник индексов</t>
  </si>
  <si>
    <t>Чувашская Республика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</si>
  <si>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</si>
  <si>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</si>
  <si>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</si>
  <si>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Постановление Кабинета Министров Чувашской Республики</t>
  </si>
  <si>
    <t>Постановление Кабинета Министров Чувашской Республики от 22.04.2025 г. № 213</t>
  </si>
  <si>
    <t>Вид цен</t>
  </si>
  <si>
    <t>Чувашская Республика, КТЦ к ФСНБ-2022, 1 квартал 2026 г</t>
  </si>
  <si>
    <t>_OBSM_</t>
  </si>
  <si>
    <t>1-100-20</t>
  </si>
  <si>
    <t>Средний разряд работы 2,0</t>
  </si>
  <si>
    <t>чел.-ч.</t>
  </si>
  <si>
    <t>4-100-00</t>
  </si>
  <si>
    <t>Затраты труда машинистов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</si>
  <si>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</si>
  <si>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</si>
  <si>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</si>
  <si>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маш.-ч</t>
  </si>
  <si>
    <t>4-100-050</t>
  </si>
  <si>
    <t>1-100-34</t>
  </si>
  <si>
    <t>Средний разряд работы 3,4</t>
  </si>
  <si>
    <t>91.01.01-034</t>
  </si>
  <si>
    <t>ФСЭМ-2022, 91.01.01-034, приказ Минстроя России от 18.05.2022 г. № 378/пр</t>
  </si>
  <si>
    <t>Бульдозеры, мощность 59 кВт (80 л.с.)</t>
  </si>
  <si>
    <t>91.04.01-032</t>
  </si>
  <si>
    <t>ФСЭМ-2022, 91.04.01-032, приказ Минстроя России от 18.05.2022 г. № 378/пр</t>
  </si>
  <si>
    <t>Машины бурильно-крановые на базе трактора на гусеничном ходу мощностью 70 кВт (95 л.с.), глубина бурения до 3 м, диаметр скважин до 800 мм</t>
  </si>
  <si>
    <t>01.7.15.06-0122</t>
  </si>
  <si>
    <t>ФСБЦ-2022, 01.7.15.06-0122, приказ Минстроя России от 18.05.2022 г. № 378/пр</t>
  </si>
  <si>
    <t>Гвозди стальные строительные, диаметр 1,8 мм, длина 50-60 мм</t>
  </si>
  <si>
    <t>т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</si>
  <si>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</si>
  <si>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</si>
  <si>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</si>
  <si>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11.1.03.06-0083</t>
  </si>
  <si>
    <t>ФСБЦ-2022 доп.4, 11.1.03.06-0083, приказ Минстроя России от 27.12.2022 г. № 1133/пр</t>
  </si>
  <si>
    <t>Доска обрезная хвойных пород, естественной влажности, длина 2-6,5 м, ширина 100-250 мм, толщина 20-22 мм, сорт III</t>
  </si>
  <si>
    <t>14.4.02.04-0182</t>
  </si>
  <si>
    <t>ФСБЦ-2022 доп.17, 14.4.02.04-0182, приказ Минстроя России от 17.02.2026 г. № 91/пр</t>
  </si>
  <si>
    <t>Краска масляная МА-15, цветная</t>
  </si>
  <si>
    <t>14.5.05.01-0011</t>
  </si>
  <si>
    <t>ФСБЦ-2022, 14.5.05.01-0011, приказ Минстроя России от 18.05.2022 г. № 378/пр</t>
  </si>
  <si>
    <t>Олифа комбинированная для отделочных работ внутри помещений</t>
  </si>
  <si>
    <t>1-100-25</t>
  </si>
  <si>
    <t>Средний разряд работы 2,5</t>
  </si>
  <si>
    <t>91.15.01-001</t>
  </si>
  <si>
    <t>ФСЭМ-2022, 91.15.01-001, приказ Минстроя России от 18.05.2022 г. № 378/пр</t>
  </si>
  <si>
    <t>Прицепы тракторные, грузоподъемность до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</si>
  <si>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</si>
  <si>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</si>
  <si>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</si>
  <si>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4-100-040</t>
  </si>
  <si>
    <t>91.01.05-066</t>
  </si>
  <si>
    <t>ФСЭМ-2022, 91.01.05-066, приказ Минстроя России от 18.05.2022 г. № 378/пр</t>
  </si>
  <si>
    <t>Экскаваторы одноковшовые дизельные на гусеничном ходу, объем ковша 0,25 м3</t>
  </si>
  <si>
    <t>1-100-32</t>
  </si>
  <si>
    <t>Средний разряд работы 3,2</t>
  </si>
  <si>
    <t>08.3.03.05-0020</t>
  </si>
  <si>
    <t>ФСБЦ-2022, 08.3.03.05-0020, приказ Минстроя России от 18.05.2022 г. № 378/пр</t>
  </si>
  <si>
    <t>Проволока стальная низкоуглеродистая оцинкованная разного назначения, диаметр 6,0 мм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</si>
  <si>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</si>
  <si>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</si>
  <si>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</si>
  <si>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4-100-060</t>
  </si>
  <si>
    <t>1-100-30</t>
  </si>
  <si>
    <t>Средний разряд работы 3,0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</si>
  <si>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</si>
  <si>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</si>
  <si>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</si>
  <si>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</si>
  <si>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</si>
  <si>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</si>
  <si>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14.4.03.03-0102</t>
  </si>
  <si>
    <t>ФСБЦ-2022 доп.4, 14.4.03.03-0102, приказ Минстроя России от 27.12.2022 г. № 1133/пр</t>
  </si>
  <si>
    <t>Лак битумный БТ-577</t>
  </si>
  <si>
    <t>1-100-36</t>
  </si>
  <si>
    <t>Средний разряд работы 3,6</t>
  </si>
  <si>
    <t>1-100-37</t>
  </si>
  <si>
    <t>Средний разряд работы 3,7</t>
  </si>
  <si>
    <t>91.06.09-001</t>
  </si>
  <si>
    <t>ФСЭМ-2022, 91.06.09-001, приказ Минстроя России от 18.05.2022 г. № 378/пр</t>
  </si>
  <si>
    <t>Подъемники телескопические самоходные, рабочая высота 26 м, грузоподъемность 250 кг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</si>
  <si>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</si>
  <si>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</si>
  <si>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</si>
  <si>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</si>
  <si>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</si>
  <si>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</si>
  <si>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</si>
  <si>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</si>
  <si>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</si>
  <si>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</si>
  <si>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</si>
  <si>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</si>
  <si>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</si>
  <si>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</si>
  <si>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</si>
  <si>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</si>
  <si>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</si>
  <si>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</si>
  <si>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</si>
  <si>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</si>
  <si>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</si>
  <si>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</si>
  <si>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</si>
  <si>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</si>
  <si>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</si>
  <si>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</si>
  <si>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</si>
  <si>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</si>
  <si>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</si>
  <si>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</si>
  <si>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</si>
  <si>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</si>
  <si>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</si>
  <si>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</si>
  <si>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</si>
  <si>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</si>
  <si>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</si>
  <si>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</si>
  <si>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</si>
  <si>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</si>
  <si>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</si>
  <si>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</si>
  <si>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</si>
  <si>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</si>
  <si>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</si>
  <si>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I квартал 2026 года</t>
  </si>
  <si>
    <t>ГЭСН 01-02-031-04</t>
  </si>
  <si>
    <t>ОТ (ЗТ)</t>
  </si>
  <si>
    <t>ЭМ</t>
  </si>
  <si>
    <t>ОТм(ЗТм) Средний разряд машинистов 5</t>
  </si>
  <si>
    <t>ОТм(ЗТм)</t>
  </si>
  <si>
    <t>Итого прямые затраты</t>
  </si>
  <si>
    <t>ФОТ</t>
  </si>
  <si>
    <t>НР Земляные работы, выполняемые: по другим видам работ (подготовительные, сопутствующие, укрепительные)</t>
  </si>
  <si>
    <t>СП Земляные работы, выполняемые: по другим видам работ (подготовительные, сопутствующие, укрепительные)</t>
  </si>
  <si>
    <t>Всего по позиции</t>
  </si>
  <si>
    <t>=</t>
  </si>
  <si>
    <t>ГЭСН 34-02-024-07</t>
  </si>
  <si>
    <r>
      <t>Установка бурильно-крановой машиной опор деревянных одинарных высотой: свыше 8,5 м</t>
    </r>
    <r>
      <rPr>
        <i/>
        <sz val="10"/>
        <rFont val="Arial"/>
        <family val="2"/>
        <charset val="204"/>
      </rPr>
      <t xml:space="preserve">
Поправки к: 
М *0</t>
    </r>
  </si>
  <si>
    <t>М</t>
  </si>
  <si>
    <t>НР Сооружения связи, радиовещания и телевидения прокладка и монтаж сетей связи</t>
  </si>
  <si>
    <t>СП Сооружения связи, радиовещания и телевидения прокладка и монтаж сетей связи</t>
  </si>
  <si>
    <t>ГЭСН 33-04-016-01</t>
  </si>
  <si>
    <t>ОТм(ЗТм) Средний разряд машинистов 4</t>
  </si>
  <si>
    <t>НР Линии электропередачи</t>
  </si>
  <si>
    <t>СП Линии электропередачи</t>
  </si>
  <si>
    <t>ГЭСН 33-04-016-05</t>
  </si>
  <si>
    <t>ГЭСН 01-01-010-41</t>
  </si>
  <si>
    <t>НР Земляные работы, выполняемые: механизированным способом</t>
  </si>
  <si>
    <t>СП Земляные работы, выполняемые: механизированным способом</t>
  </si>
  <si>
    <t>ГЭСН 01-01-033-02</t>
  </si>
  <si>
    <t>ГЭСН 34-02-027-01</t>
  </si>
  <si>
    <r>
      <t>Установка к опорам и подпорам приставок железобетонных: одинарных, высота опоры или подпоры до 8,5 м (прим. якорей)</t>
    </r>
    <r>
      <rPr>
        <i/>
        <sz val="10"/>
        <rFont val="Arial"/>
        <family val="2"/>
        <charset val="204"/>
      </rPr>
      <t xml:space="preserve">
Поправки к: 
М *0</t>
    </r>
  </si>
  <si>
    <t>ГЭСН 33-04-016-04</t>
  </si>
  <si>
    <t>ОТм(ЗТм) Средний разряд машинистов 6</t>
  </si>
  <si>
    <t>ГЭСН 33-04-005-01</t>
  </si>
  <si>
    <r>
      <t>Установка оттяжек одинарных к опорам: ВЛ 0,38 кВ</t>
    </r>
    <r>
      <rPr>
        <i/>
        <sz val="10"/>
        <rFont val="Arial"/>
        <family val="2"/>
        <charset val="204"/>
      </rPr>
      <t xml:space="preserve">
Поправки к: 
М *0</t>
    </r>
  </si>
  <si>
    <t>ГЭСНм 08-02-305-01</t>
  </si>
  <si>
    <r>
      <t>Хомут на опоре</t>
    </r>
    <r>
      <rPr>
        <i/>
        <sz val="10"/>
        <rFont val="Arial"/>
        <family val="2"/>
        <charset val="204"/>
      </rPr>
      <t xml:space="preserve">
Поправки к: 
М *0</t>
    </r>
  </si>
  <si>
    <t>10.1</t>
  </si>
  <si>
    <t>НР Электротехнические установки: на других объектах</t>
  </si>
  <si>
    <t>СП Электротехнические установки: на других объектах</t>
  </si>
  <si>
    <t>ГЭСНм 08-02-303-07</t>
  </si>
  <si>
    <r>
      <t>Трос продольно-несущий (диам. 8 мм.)</t>
    </r>
    <r>
      <rPr>
        <i/>
        <sz val="10"/>
        <rFont val="Arial"/>
        <family val="2"/>
        <charset val="204"/>
      </rPr>
      <t xml:space="preserve">
Поправки к: 
М *0</t>
    </r>
  </si>
  <si>
    <t>11.1</t>
  </si>
  <si>
    <r>
      <t>Трос продольно-несущий (диам. 5 мм.)</t>
    </r>
    <r>
      <rPr>
        <i/>
        <sz val="10"/>
        <rFont val="Arial"/>
        <family val="2"/>
        <charset val="204"/>
      </rPr>
      <t xml:space="preserve">
Поправки к: 
М *0</t>
    </r>
  </si>
  <si>
    <t>12.1</t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</si>
  <si>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</si>
  <si>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</si>
  <si>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</si>
  <si>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</si>
  <si>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</si>
  <si>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</si>
  <si>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</si>
  <si>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</si>
  <si>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</si>
  <si>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</si>
  <si>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</si>
  <si>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</si>
  <si>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</si>
  <si>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</si>
  <si>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</si>
  <si>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</si>
  <si>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</si>
  <si>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</si>
  <si>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</si>
  <si>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</si>
  <si>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</si>
  <si>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</si>
  <si>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</si>
  <si>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</si>
  <si>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</si>
  <si>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</si>
  <si>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</si>
  <si>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</si>
  <si>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</si>
  <si>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</si>
  <si>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</si>
  <si>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</si>
  <si>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</si>
  <si>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</si>
  <si>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</si>
  <si>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</si>
  <si>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</si>
  <si>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Составил   </t>
  </si>
  <si>
    <t>[должность,подпись(инициалы,фамилия)]</t>
  </si>
  <si>
    <t xml:space="preserve">Проверил   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</si>
  <si>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</si>
  <si>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</si>
  <si>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</si>
  <si>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</si>
  <si>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</si>
  <si>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Инвестор</t>
  </si>
  <si>
    <t>по ОКПО</t>
  </si>
  <si>
    <t>организация, адрес, телефон, факс</t>
  </si>
  <si>
    <t>Заказчик</t>
  </si>
  <si>
    <t>Подрядчик</t>
  </si>
  <si>
    <t>Стройка</t>
  </si>
  <si>
    <t>наименование, адрес</t>
  </si>
  <si>
    <t>Объект</t>
  </si>
  <si>
    <t>наименование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</si>
  <si>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</si>
  <si>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</si>
  <si>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</si>
  <si>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</si>
  <si>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</si>
  <si>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</si>
  <si>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</si>
  <si>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</si>
  <si>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</si>
  <si>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</si>
  <si>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</si>
  <si>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</si>
  <si>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поз. по сме-те</t>
  </si>
  <si>
    <t>Локальная смета: Новая локальная смета</t>
  </si>
  <si>
    <t>ИТОГИ ПО АКТУ</t>
  </si>
  <si>
    <t>ВСЕГО по акту</t>
  </si>
  <si>
    <t xml:space="preserve">Сдал   </t>
  </si>
  <si>
    <t xml:space="preserve">Принял   </t>
  </si>
  <si>
    <t>Проректор по СР, ЦТ и МС ФГБОУ ВО Чувашский ГАУ</t>
  </si>
  <si>
    <t xml:space="preserve">ФГБОУ ВО Чувашский ГАУ </t>
  </si>
  <si>
    <t>Строительство хмелевой плантации на деревянных опорах в УНПЦ "Студенческий"</t>
  </si>
  <si>
    <t xml:space="preserve">                                                                                                   </t>
  </si>
  <si>
    <t xml:space="preserve">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</si>
</sst>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;[Red]\-\ #,##0.00"/>
    <numFmt numFmtId="166" formatCode="#,##0.00#####;[Red]\-\ #,##0.00#####"/>
  </numFmts>
  <fonts count="27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NumberFormat="1" applyFont="1" applyAlignment="1"/>
    <xf numFmtId="0" fontId="14" fillId="0" borderId="0" xfId="0" applyNumberFormat="1" applyFont="1" applyAlignment="1"/>
    <xf numFmtId="0" fontId="16" fillId="0" borderId="0" xfId="0" applyNumberFormat="1" applyFont="1" applyAlignment="1"/>
    <xf numFmtId="0" fontId="16" fillId="0" borderId="0" xfId="0" applyNumberFormat="1" applyFont="1" applyAlignment="1">
      <alignment horizontal="left"/>
    </xf>
    <xf numFmtId="0" fontId="16" fillId="0" borderId="0" xfId="0" applyNumberFormat="1" applyFont="1" applyAlignment="1">
      <alignment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vertical="top" wrapText="1"/>
    </xf>
    <xf numFmtId="0" fontId="10" fillId="0" borderId="2" xfId="0" applyNumberFormat="1" applyFont="1" applyBorder="1" applyAlignment="1">
      <alignment vertical="top"/>
    </xf>
    <xf numFmtId="0" fontId="10" fillId="0" borderId="0" xfId="0" applyNumberFormat="1" applyFont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horizontal="center" wrapText="1"/>
    </xf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0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wrapText="1"/>
    </xf>
    <xf numFmtId="0" fontId="13" fillId="0" borderId="0" xfId="0" applyNumberFormat="1" applyFont="1" applyAlignment="1"/>
    <xf numFmtId="14" fontId="16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7" fillId="0" borderId="0" xfId="0" applyNumberFormat="1" applyFont="1" applyAlignment="1"/>
    <xf numFmtId="164" fontId="10" fillId="0" borderId="0" xfId="0" applyNumberFormat="1" applyFont="1" applyAlignment="1">
      <alignment horizontal="right"/>
    </xf>
    <xf numFmtId="0" fontId="16" fillId="0" borderId="1" xfId="0" applyNumberFormat="1" applyFont="1" applyBorder="1" applyAlignment="1"/>
    <xf numFmtId="0" fontId="10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 wrapText="1"/>
    </xf>
    <xf numFmtId="165" fontId="2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6" fontId="21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/>
    </xf>
    <xf numFmtId="165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 wrapText="1"/>
    </xf>
    <xf numFmtId="165" fontId="0" fillId="0" borderId="0" xfId="0" applyNumberFormat="1"/>
    <xf numFmtId="165" fontId="21" fillId="0" borderId="0" xfId="0" applyNumberFormat="1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23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165" fontId="23" fillId="0" borderId="2" xfId="0" applyNumberFormat="1" applyFont="1" applyBorder="1" applyAlignment="1">
      <alignment horizontal="right" vertical="top"/>
    </xf>
    <xf numFmtId="0" fontId="23" fillId="0" borderId="2" xfId="0" applyFont="1" applyBorder="1" applyAlignment="1">
      <alignment horizontal="right" vertical="top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/>
    <xf numFmtId="165" fontId="11" fillId="0" borderId="0" xfId="0" applyNumberFormat="1" applyFont="1" applyAlignment="1"/>
    <xf numFmtId="166" fontId="11" fillId="0" borderId="0" xfId="0" applyNumberFormat="1" applyFont="1" applyAlignment="1"/>
    <xf numFmtId="0" fontId="16" fillId="0" borderId="0" xfId="0" applyNumberFormat="1" applyFont="1" applyAlignment="1">
      <alignment horizontal="right" wrapText="1"/>
    </xf>
    <xf numFmtId="0" fontId="16" fillId="0" borderId="10" xfId="0" applyNumberFormat="1" applyFont="1" applyBorder="1" applyAlignment="1">
      <alignment horizontal="right" wrapText="1"/>
    </xf>
    <xf numFmtId="0" fontId="10" fillId="0" borderId="10" xfId="0" applyNumberFormat="1" applyFont="1" applyBorder="1" applyAlignment="1">
      <alignment wrapText="1"/>
    </xf>
    <xf numFmtId="0" fontId="10" fillId="0" borderId="0" xfId="0" applyNumberFormat="1" applyFont="1" applyBorder="1" applyAlignment="1">
      <alignment wrapText="1"/>
    </xf>
    <xf numFmtId="0" fontId="16" fillId="0" borderId="19" xfId="0" applyNumberFormat="1" applyFont="1" applyBorder="1" applyAlignment="1">
      <alignment horizontal="right" wrapText="1"/>
    </xf>
    <xf numFmtId="0" fontId="10" fillId="0" borderId="19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0" fillId="0" borderId="14" xfId="0" applyNumberFormat="1" applyFont="1" applyBorder="1" applyAlignment="1">
      <alignment wrapText="1"/>
    </xf>
    <xf numFmtId="0" fontId="16" fillId="0" borderId="7" xfId="0" applyNumberFormat="1" applyFont="1" applyBorder="1" applyAlignment="1">
      <alignment horizontal="center" wrapText="1"/>
    </xf>
    <xf numFmtId="0" fontId="16" fillId="0" borderId="9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wrapText="1"/>
    </xf>
    <xf numFmtId="0" fontId="10" fillId="0" borderId="4" xfId="0" applyNumberFormat="1" applyFont="1" applyBorder="1" applyAlignment="1">
      <alignment wrapText="1"/>
    </xf>
    <xf numFmtId="0" fontId="10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wrapText="1"/>
    </xf>
    <xf numFmtId="0" fontId="10" fillId="0" borderId="7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left" wrapText="1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wrapText="1"/>
    </xf>
    <xf numFmtId="0" fontId="10" fillId="0" borderId="0" xfId="0" applyNumberFormat="1" applyFont="1" applyAlignment="1">
      <alignment horizontal="right" wrapText="1"/>
    </xf>
    <xf numFmtId="0" fontId="16" fillId="0" borderId="0" xfId="0" applyNumberFormat="1" applyFont="1" applyAlignment="1">
      <alignment horizontal="left" vertical="center"/>
    </xf>
    <xf numFmtId="0" fontId="8" fillId="0" borderId="0" xfId="1"/>
    <xf numFmtId="0" fontId="21" fillId="0" borderId="0" xfId="1" applyFont="1"/>
    <xf numFmtId="0" fontId="21" fillId="0" borderId="0" xfId="0" applyFont="1" applyAlignment="1">
      <alignment horizontal="left" wrapText="1"/>
    </xf>
    <xf numFmtId="0" fontId="21" fillId="0" borderId="0" xfId="1" applyFont="1" applyAlignment="1">
      <alignment horizontal="right" vertical="center"/>
    </xf>
    <xf numFmtId="0" fontId="21" fillId="0" borderId="1" xfId="1" applyFont="1" applyBorder="1" applyAlignment="1">
      <alignment horizontal="center"/>
    </xf>
    <xf numFmtId="0" fontId="21" fillId="0" borderId="0" xfId="1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wrapText="1"/>
    </xf>
    <xf numFmtId="0" fontId="9" fillId="0" borderId="2" xfId="1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165" fontId="23" fillId="0" borderId="0" xfId="0" applyNumberFormat="1" applyFont="1" applyAlignment="1">
      <alignment horizontal="left" vertical="top"/>
    </xf>
    <xf numFmtId="165" fontId="23" fillId="0" borderId="2" xfId="0" applyNumberFormat="1" applyFont="1" applyBorder="1" applyAlignment="1">
      <alignment horizontal="right" vertical="top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center" wrapText="1"/>
    </xf>
    <xf numFmtId="0" fontId="20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6" fillId="0" borderId="0" xfId="0" applyNumberFormat="1" applyFont="1" applyAlignment="1">
      <alignment horizontal="left" wrapText="1"/>
    </xf>
    <xf numFmtId="0" fontId="15" fillId="0" borderId="1" xfId="0" applyNumberFormat="1" applyFont="1" applyBorder="1" applyAlignment="1">
      <alignment horizontal="center" wrapText="1"/>
    </xf>
    <xf numFmtId="0" fontId="15" fillId="0" borderId="0" xfId="0" applyNumberFormat="1" applyFont="1" applyAlignment="1">
      <alignment horizontal="left"/>
    </xf>
    <xf numFmtId="0" fontId="16" fillId="0" borderId="0" xfId="0" applyNumberFormat="1" applyFont="1" applyAlignment="1">
      <alignment horizontal="left"/>
    </xf>
    <xf numFmtId="0" fontId="25" fillId="0" borderId="2" xfId="0" applyNumberFormat="1" applyFont="1" applyBorder="1" applyAlignment="1">
      <alignment horizontal="center" vertical="top" wrapText="1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0" fillId="0" borderId="0" xfId="0" applyNumberFormat="1" applyFont="1" applyAlignment="1">
      <alignment horizontal="center" wrapText="1"/>
    </xf>
    <xf numFmtId="0" fontId="16" fillId="0" borderId="1" xfId="0" applyNumberFormat="1" applyFont="1" applyBorder="1" applyAlignment="1">
      <alignment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right" wrapText="1"/>
    </xf>
    <xf numFmtId="0" fontId="16" fillId="0" borderId="9" xfId="0" applyNumberFormat="1" applyFont="1" applyBorder="1" applyAlignment="1">
      <alignment horizontal="right" wrapText="1"/>
    </xf>
    <xf numFmtId="0" fontId="16" fillId="0" borderId="13" xfId="0" applyNumberFormat="1" applyFont="1" applyBorder="1" applyAlignment="1">
      <alignment horizontal="center" wrapText="1"/>
    </xf>
    <xf numFmtId="0" fontId="16" fillId="0" borderId="14" xfId="0" applyNumberFormat="1" applyFont="1" applyBorder="1" applyAlignment="1">
      <alignment horizontal="center" wrapText="1"/>
    </xf>
    <xf numFmtId="0" fontId="16" fillId="0" borderId="15" xfId="0" applyNumberFormat="1" applyFont="1" applyBorder="1" applyAlignment="1">
      <alignment horizontal="center" wrapText="1"/>
    </xf>
    <xf numFmtId="14" fontId="16" fillId="0" borderId="13" xfId="0" applyNumberFormat="1" applyFont="1" applyBorder="1" applyAlignment="1">
      <alignment horizontal="center" wrapText="1"/>
    </xf>
    <xf numFmtId="14" fontId="16" fillId="0" borderId="14" xfId="0" applyNumberFormat="1" applyFont="1" applyBorder="1" applyAlignment="1">
      <alignment horizontal="center" wrapText="1"/>
    </xf>
    <xf numFmtId="14" fontId="16" fillId="0" borderId="15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wrapText="1"/>
    </xf>
    <xf numFmtId="0" fontId="16" fillId="0" borderId="2" xfId="0" applyNumberFormat="1" applyFont="1" applyBorder="1" applyAlignment="1">
      <alignment horizontal="center" wrapText="1"/>
    </xf>
    <xf numFmtId="0" fontId="16" fillId="0" borderId="9" xfId="0" applyNumberFormat="1" applyFont="1" applyBorder="1" applyAlignment="1">
      <alignment horizontal="center" wrapText="1"/>
    </xf>
    <xf numFmtId="0" fontId="16" fillId="0" borderId="18" xfId="0" applyNumberFormat="1" applyFont="1" applyBorder="1" applyAlignment="1">
      <alignment horizontal="center" wrapText="1"/>
    </xf>
    <xf numFmtId="0" fontId="16" fillId="0" borderId="1" xfId="0" applyNumberFormat="1" applyFont="1" applyBorder="1" applyAlignment="1">
      <alignment horizontal="center" wrapText="1"/>
    </xf>
    <xf numFmtId="0" fontId="16" fillId="0" borderId="12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wrapText="1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right" wrapText="1"/>
    </xf>
    <xf numFmtId="0" fontId="16" fillId="0" borderId="12" xfId="0" applyNumberFormat="1" applyFont="1" applyBorder="1" applyAlignment="1">
      <alignment horizontal="right" wrapText="1"/>
    </xf>
    <xf numFmtId="0" fontId="10" fillId="0" borderId="0" xfId="0" applyNumberFormat="1" applyFont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RNOV~1\AppData\Local\Temp\pid-2596\&#1057;&#1090;&#1088;&#1086;&#1080;&#1090;&#1077;&#1083;&#1100;&#1089;&#1090;&#1074;&#1086;%20&#1093;&#1084;&#1077;&#1083;&#1077;&#1074;&#1086;&#1081;%20&#1087;&#1083;&#1072;&#1085;&#1090;&#1072;&#1094;&#1080;&#1080;%20&#1087;&#1088;&#1080;%20&#1059;&#1057;&#1053;%20%20&#1053;&#1044;&#1057;%205%20%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по ФСНБ 421+557прРИМ"/>
      <sheetName val="Акт КС-2 по ФСНБ 421+557пр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/>
      <sheetData sheetId="2">
        <row r="12">
          <cell r="AH12" t="str">
            <v/>
          </cell>
          <cell r="AL12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O353"/>
  <sheetViews>
    <sheetView tabSelected="1" topLeftCell="A17" zoomScaleNormal="100" workbookViewId="0">
      <selection activeCell="H355" sqref="H355"/>
    </sheetView>
  </sheetViews>
  <sheetFormatPr defaultRowHeight="12.75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>
      <c r="A1" s="8" t="str">
        <f>Source!B1</f>
        <v>Smeta.RU  (495) 974-1589</v>
      </c>
    </row>
    <row r="2" spans="1:93" ht="12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93" ht="16.5" customHeight="1">
      <c r="A3" s="10"/>
      <c r="B3" s="127" t="s">
        <v>328</v>
      </c>
      <c r="C3" s="127"/>
      <c r="D3" s="127"/>
      <c r="E3" s="127"/>
      <c r="F3" s="11"/>
      <c r="G3" s="11"/>
      <c r="H3" s="127" t="s">
        <v>329</v>
      </c>
      <c r="I3" s="127"/>
      <c r="J3" s="127"/>
      <c r="K3" s="127"/>
      <c r="L3" s="127"/>
    </row>
    <row r="4" spans="1:93" ht="14.25" customHeight="1">
      <c r="A4" s="11"/>
      <c r="B4" s="128"/>
      <c r="C4" s="128"/>
      <c r="D4" s="128"/>
      <c r="E4" s="128"/>
      <c r="F4" s="11"/>
      <c r="G4" s="11"/>
      <c r="H4" s="128" t="s">
        <v>486</v>
      </c>
      <c r="I4" s="128"/>
      <c r="J4" s="128"/>
      <c r="K4" s="128"/>
      <c r="L4" s="128"/>
    </row>
    <row r="5" spans="1:93" ht="14.25" customHeight="1">
      <c r="A5" s="11"/>
      <c r="B5" s="11"/>
      <c r="C5" s="12"/>
      <c r="D5" s="12"/>
      <c r="E5" s="12"/>
      <c r="F5" s="11"/>
      <c r="G5" s="11"/>
      <c r="H5" s="12"/>
      <c r="I5" s="12"/>
      <c r="J5" s="12"/>
      <c r="K5" s="12"/>
      <c r="L5" s="12"/>
    </row>
    <row r="6" spans="1:93" ht="14.25" customHeight="1">
      <c r="A6" s="12"/>
      <c r="B6" s="128" t="str">
        <f>CONCATENATE("______________________ ", IF([1]Source!AL12&lt;&gt;"", [1]Source!AL12, ""))</f>
        <v xml:space="preserve">______________________ </v>
      </c>
      <c r="C6" s="128"/>
      <c r="D6" s="128"/>
      <c r="E6" s="128"/>
      <c r="F6" s="11"/>
      <c r="G6" s="11"/>
      <c r="H6" s="128" t="str">
        <f>CONCATENATE("______________________С.П. Яковлев ", IF([1]Source!AH12&lt;&gt;"", [1]Source!AH12, ""))</f>
        <v xml:space="preserve">______________________С.П. Яковлев </v>
      </c>
      <c r="I6" s="128"/>
      <c r="J6" s="128"/>
      <c r="K6" s="128"/>
      <c r="L6" s="128"/>
    </row>
    <row r="7" spans="1:93" ht="14.25" customHeight="1">
      <c r="A7" s="13"/>
      <c r="B7" s="125" t="s">
        <v>330</v>
      </c>
      <c r="C7" s="125"/>
      <c r="D7" s="125"/>
      <c r="E7" s="125"/>
      <c r="F7" s="11"/>
      <c r="G7" s="11"/>
      <c r="H7" s="125" t="s">
        <v>330</v>
      </c>
      <c r="I7" s="125"/>
      <c r="J7" s="125"/>
      <c r="K7" s="125"/>
      <c r="L7" s="125"/>
    </row>
    <row r="10" spans="1:93" ht="12.75" customHeight="1">
      <c r="A10" s="123" t="s">
        <v>331</v>
      </c>
      <c r="B10" s="123"/>
      <c r="C10" s="123"/>
      <c r="D10" s="123"/>
      <c r="E10" s="123"/>
      <c r="F10" s="124" t="s">
        <v>369</v>
      </c>
      <c r="G10" s="124"/>
      <c r="H10" s="124"/>
      <c r="I10" s="124"/>
      <c r="J10" s="124"/>
      <c r="K10" s="124"/>
      <c r="L10" s="124"/>
    </row>
    <row r="11" spans="1:93" ht="12.75" customHeight="1">
      <c r="A11" s="15"/>
      <c r="B11" s="15"/>
      <c r="C11" s="15"/>
      <c r="D11" s="15"/>
      <c r="E11" s="15"/>
      <c r="F11" s="16"/>
      <c r="G11" s="16"/>
      <c r="H11" s="16"/>
      <c r="I11" s="16"/>
      <c r="J11" s="16"/>
      <c r="K11" s="16"/>
      <c r="L11" s="16"/>
    </row>
    <row r="12" spans="1:93" ht="25.5">
      <c r="A12" s="123" t="s">
        <v>332</v>
      </c>
      <c r="B12" s="123"/>
      <c r="C12" s="123"/>
      <c r="D12" s="123"/>
      <c r="E12" s="123"/>
      <c r="F12" s="124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24"/>
      <c r="H12" s="124"/>
      <c r="I12" s="124"/>
      <c r="J12" s="124"/>
      <c r="K12" s="124"/>
      <c r="L12" s="124"/>
      <c r="CO12" s="3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75" customHeight="1">
      <c r="A13" s="15"/>
      <c r="B13" s="15"/>
      <c r="C13" s="15"/>
      <c r="D13" s="15"/>
      <c r="E13" s="15"/>
      <c r="F13" s="16"/>
      <c r="G13" s="16"/>
      <c r="H13" s="16"/>
      <c r="I13" s="16"/>
      <c r="J13" s="16"/>
      <c r="K13" s="16"/>
      <c r="L13" s="16"/>
    </row>
    <row r="14" spans="1:93" ht="140.25">
      <c r="A14" s="123" t="s">
        <v>333</v>
      </c>
      <c r="B14" s="123"/>
      <c r="C14" s="123"/>
      <c r="D14" s="123"/>
      <c r="E14" s="123"/>
      <c r="F14" s="124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24"/>
      <c r="H14" s="124"/>
      <c r="I14" s="124"/>
      <c r="J14" s="124"/>
      <c r="K14" s="124"/>
      <c r="L14" s="124"/>
      <c r="CO14" s="3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75" customHeight="1">
      <c r="A15" s="15"/>
      <c r="B15" s="15"/>
      <c r="C15" s="15"/>
      <c r="D15" s="15"/>
      <c r="E15" s="15"/>
      <c r="F15" s="16"/>
      <c r="G15" s="16"/>
      <c r="H15" s="16"/>
      <c r="I15" s="16"/>
      <c r="J15" s="16"/>
      <c r="K15" s="16"/>
      <c r="L15" s="16"/>
    </row>
    <row r="16" spans="1:93" ht="76.5" customHeight="1">
      <c r="A16" s="123" t="s">
        <v>334</v>
      </c>
      <c r="B16" s="123"/>
      <c r="C16" s="123"/>
      <c r="D16" s="123"/>
      <c r="E16" s="123"/>
      <c r="F16" s="124" t="s">
        <v>248</v>
      </c>
      <c r="G16" s="124"/>
      <c r="H16" s="124"/>
      <c r="I16" s="124"/>
      <c r="J16" s="124"/>
      <c r="K16" s="124"/>
      <c r="L16" s="124"/>
    </row>
    <row r="17" spans="1:12" ht="12.75" customHeight="1">
      <c r="A17" s="15"/>
      <c r="B17" s="15"/>
      <c r="C17" s="15"/>
      <c r="D17" s="15"/>
      <c r="E17" s="15"/>
      <c r="F17" s="16"/>
      <c r="G17" s="16"/>
      <c r="H17" s="16"/>
      <c r="I17" s="16"/>
      <c r="J17" s="16"/>
      <c r="K17" s="16"/>
      <c r="L17" s="16"/>
    </row>
    <row r="18" spans="1:12" ht="38.25" customHeight="1">
      <c r="A18" s="123" t="s">
        <v>335</v>
      </c>
      <c r="B18" s="123"/>
      <c r="C18" s="123"/>
      <c r="D18" s="123"/>
      <c r="E18" s="123"/>
      <c r="F18" s="124" t="s">
        <v>250</v>
      </c>
      <c r="G18" s="124"/>
      <c r="H18" s="124"/>
      <c r="I18" s="124"/>
      <c r="J18" s="124"/>
      <c r="K18" s="124"/>
      <c r="L18" s="124"/>
    </row>
    <row r="19" spans="1:12" ht="12.75" customHeight="1">
      <c r="A19" s="17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</row>
    <row r="20" spans="1:12" ht="12.75" customHeight="1">
      <c r="A20" s="123" t="s">
        <v>336</v>
      </c>
      <c r="B20" s="123"/>
      <c r="C20" s="123"/>
      <c r="D20" s="123"/>
      <c r="E20" s="123"/>
      <c r="F20" s="124" t="s">
        <v>370</v>
      </c>
      <c r="G20" s="124"/>
      <c r="H20" s="124"/>
      <c r="I20" s="124"/>
      <c r="J20" s="124"/>
      <c r="K20" s="124"/>
      <c r="L20" s="124"/>
    </row>
    <row r="21" spans="1:12" ht="12.75" customHeight="1">
      <c r="A21" s="17"/>
      <c r="B21" s="17"/>
      <c r="C21" s="17"/>
      <c r="D21" s="17"/>
      <c r="E21" s="17"/>
      <c r="F21" s="18"/>
      <c r="G21" s="18"/>
      <c r="H21" s="18"/>
      <c r="I21" s="18"/>
      <c r="J21" s="18"/>
      <c r="K21" s="18"/>
      <c r="L21" s="18"/>
    </row>
    <row r="22" spans="1:12" ht="12.75" customHeight="1">
      <c r="A22" s="123" t="s">
        <v>337</v>
      </c>
      <c r="B22" s="123"/>
      <c r="C22" s="123"/>
      <c r="D22" s="123"/>
      <c r="E22" s="123"/>
      <c r="F22" s="124" t="str">
        <f>IF(Source!CZ12 &lt;&gt; "", Source!CZ12, "")</f>
        <v/>
      </c>
      <c r="G22" s="124"/>
      <c r="H22" s="124"/>
      <c r="I22" s="124"/>
      <c r="J22" s="124"/>
      <c r="K22" s="124"/>
      <c r="L22" s="124"/>
    </row>
    <row r="23" spans="1:12" ht="12.75" customHeight="1">
      <c r="A23" s="17"/>
      <c r="B23" s="17"/>
      <c r="C23" s="17"/>
      <c r="D23" s="17"/>
      <c r="E23" s="17"/>
      <c r="F23" s="18"/>
      <c r="G23" s="18"/>
      <c r="H23" s="18"/>
      <c r="I23" s="18"/>
      <c r="J23" s="18"/>
      <c r="K23" s="18"/>
      <c r="L23" s="16"/>
    </row>
    <row r="24" spans="1:12" ht="12.75" customHeight="1">
      <c r="A24" s="123" t="s">
        <v>338</v>
      </c>
      <c r="B24" s="123"/>
      <c r="C24" s="123"/>
      <c r="D24" s="123"/>
      <c r="E24" s="123"/>
      <c r="F24" s="124" t="str">
        <f>IF(Source!DA12 &lt;&gt; "", Source!DA12, "")</f>
        <v/>
      </c>
      <c r="G24" s="124"/>
      <c r="H24" s="124"/>
      <c r="I24" s="124"/>
      <c r="J24" s="124"/>
      <c r="K24" s="124"/>
      <c r="L24" s="124"/>
    </row>
    <row r="25" spans="1:12" ht="12.75" customHeight="1">
      <c r="A25" s="9"/>
      <c r="B25" s="9"/>
      <c r="C25" s="9"/>
      <c r="D25" s="9"/>
      <c r="E25" s="9"/>
      <c r="F25" s="19"/>
      <c r="G25" s="19"/>
      <c r="H25" s="19"/>
      <c r="I25" s="19"/>
      <c r="J25" s="19"/>
      <c r="K25" s="19"/>
      <c r="L25" s="19"/>
    </row>
    <row r="26" spans="1:12" ht="12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.75" customHeight="1">
      <c r="A27" s="126" t="s">
        <v>487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1:12" ht="14.25" customHeight="1">
      <c r="A28" s="119" t="s">
        <v>339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</row>
    <row r="29" spans="1:12" ht="14.2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4.25" customHeight="1">
      <c r="A30" s="11"/>
      <c r="B30" s="11"/>
      <c r="C30" s="11"/>
      <c r="D30" s="11"/>
      <c r="E30" s="11"/>
      <c r="F30" s="13"/>
      <c r="G30" s="13"/>
      <c r="H30" s="13"/>
      <c r="I30" s="13"/>
      <c r="J30" s="13"/>
      <c r="K30" s="13"/>
      <c r="L30" s="13"/>
    </row>
    <row r="31" spans="1:12" ht="15.75" customHeight="1">
      <c r="A31" s="121" t="str">
        <f>CONCATENATE( "ЛОКАЛЬНАЯ СМЕТА № ", Source!L20, " ",Source!CM20)</f>
        <v xml:space="preserve">ЛОКАЛЬНАЯ СМЕТА №  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ht="15" customHeight="1">
      <c r="A32" s="20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0"/>
    </row>
    <row r="33" spans="1:12" ht="18" customHeight="1">
      <c r="A33" s="122" t="s">
        <v>488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</row>
    <row r="34" spans="1:12" ht="14.25" customHeight="1">
      <c r="A34" s="119" t="s">
        <v>340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</row>
    <row r="35" spans="1:12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2.75" customHeight="1">
      <c r="A37" s="14" t="s">
        <v>341</v>
      </c>
      <c r="B37" s="14"/>
      <c r="C37" s="22" t="s">
        <v>371</v>
      </c>
      <c r="D37" s="14" t="s">
        <v>342</v>
      </c>
      <c r="E37" s="14"/>
      <c r="F37" s="14"/>
      <c r="G37" s="14"/>
      <c r="H37" s="14"/>
      <c r="I37" s="14"/>
      <c r="J37" s="14"/>
      <c r="K37" s="14"/>
      <c r="L37" s="14"/>
    </row>
    <row r="38" spans="1:12" ht="12.75" customHeight="1">
      <c r="A38" s="14"/>
      <c r="B38" s="14"/>
      <c r="C38" s="23"/>
      <c r="D38" s="14"/>
      <c r="E38" s="14"/>
      <c r="F38" s="14"/>
      <c r="G38" s="14"/>
      <c r="H38" s="14"/>
      <c r="I38" s="14"/>
      <c r="J38" s="14"/>
      <c r="K38" s="14"/>
      <c r="L38" s="14"/>
    </row>
    <row r="39" spans="1:12" ht="12.75" customHeight="1">
      <c r="A39" s="14" t="s">
        <v>343</v>
      </c>
      <c r="B39" s="14"/>
      <c r="C39" s="120"/>
      <c r="D39" s="120"/>
      <c r="E39" s="120"/>
      <c r="F39" s="120"/>
      <c r="G39" s="120"/>
      <c r="H39" s="120"/>
      <c r="I39" s="120"/>
      <c r="J39" s="120"/>
      <c r="K39" s="120"/>
      <c r="L39" s="120"/>
    </row>
    <row r="40" spans="1:12" ht="12.75" customHeight="1">
      <c r="A40" s="24"/>
      <c r="B40" s="25"/>
      <c r="C40" s="119" t="s">
        <v>344</v>
      </c>
      <c r="D40" s="119"/>
      <c r="E40" s="119"/>
      <c r="F40" s="119"/>
      <c r="G40" s="119"/>
      <c r="H40" s="119"/>
      <c r="I40" s="119"/>
      <c r="J40" s="119"/>
      <c r="K40" s="119"/>
      <c r="L40" s="119"/>
    </row>
    <row r="41" spans="1:12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14.25" customHeight="1">
      <c r="A42" s="26" t="s">
        <v>372</v>
      </c>
      <c r="B42" s="11"/>
      <c r="C42" s="11"/>
      <c r="D42" s="27"/>
      <c r="E42" s="11"/>
      <c r="F42" s="11"/>
      <c r="G42" s="11"/>
      <c r="H42" s="11"/>
      <c r="I42" s="11"/>
      <c r="J42" s="11"/>
      <c r="K42" s="11"/>
      <c r="L42" s="11"/>
    </row>
    <row r="43" spans="1:12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4.25" customHeight="1">
      <c r="A44" s="26" t="s">
        <v>345</v>
      </c>
      <c r="B44" s="11"/>
      <c r="C44" s="114">
        <f>C47+C48+C49+C50</f>
        <v>447</v>
      </c>
      <c r="D44" s="115"/>
      <c r="E44" s="14" t="s">
        <v>346</v>
      </c>
      <c r="F44" s="9"/>
      <c r="G44" s="9"/>
      <c r="H44" s="9"/>
      <c r="I44" s="9"/>
      <c r="J44" s="9"/>
      <c r="K44" s="9"/>
      <c r="L44" s="11"/>
    </row>
    <row r="45" spans="1:12" ht="14.25" customHeight="1">
      <c r="A45" s="26"/>
      <c r="B45" s="11"/>
      <c r="C45" s="64"/>
      <c r="D45" s="28"/>
      <c r="E45" s="14"/>
      <c r="F45" s="9"/>
      <c r="G45" s="14" t="s">
        <v>347</v>
      </c>
      <c r="H45" s="11"/>
      <c r="I45" s="14"/>
      <c r="J45" s="14"/>
      <c r="K45" s="66">
        <f>ROUND(SUM(AR58:AR342)/1000, 2)</f>
        <v>105.3</v>
      </c>
      <c r="L45" s="14" t="s">
        <v>346</v>
      </c>
    </row>
    <row r="46" spans="1:12" ht="14.25" customHeight="1">
      <c r="A46" s="11"/>
      <c r="B46" s="29" t="s">
        <v>348</v>
      </c>
      <c r="C46" s="65"/>
      <c r="D46" s="11"/>
      <c r="E46" s="14"/>
      <c r="F46" s="9"/>
      <c r="G46" s="14" t="s">
        <v>349</v>
      </c>
      <c r="H46" s="11"/>
      <c r="I46" s="14"/>
      <c r="J46" s="14"/>
      <c r="K46" s="66">
        <f>ROUND(SUM(AT58:AT342)/1000, 2)</f>
        <v>33.119999999999997</v>
      </c>
      <c r="L46" s="14" t="s">
        <v>346</v>
      </c>
    </row>
    <row r="47" spans="1:12" ht="14.25" customHeight="1">
      <c r="A47" s="11"/>
      <c r="B47" s="26" t="s">
        <v>350</v>
      </c>
      <c r="C47" s="114">
        <f>ROUND((Source!F62)/1000, 2)</f>
        <v>305.14</v>
      </c>
      <c r="D47" s="115"/>
      <c r="E47" s="14" t="s">
        <v>346</v>
      </c>
      <c r="F47" s="9"/>
      <c r="G47" s="14" t="s">
        <v>351</v>
      </c>
      <c r="H47" s="11"/>
      <c r="I47" s="14"/>
      <c r="J47" s="28"/>
      <c r="K47" s="67">
        <f>Source!F67</f>
        <v>282.28830540000001</v>
      </c>
      <c r="L47" s="14" t="s">
        <v>256</v>
      </c>
    </row>
    <row r="48" spans="1:12" ht="14.25" customHeight="1">
      <c r="A48" s="11"/>
      <c r="B48" s="26" t="s">
        <v>352</v>
      </c>
      <c r="C48" s="114">
        <f>ROUND((Source!F63)/1000, 2)</f>
        <v>141.86000000000001</v>
      </c>
      <c r="D48" s="115"/>
      <c r="E48" s="14" t="s">
        <v>346</v>
      </c>
      <c r="F48" s="9"/>
      <c r="G48" s="14" t="s">
        <v>353</v>
      </c>
      <c r="H48" s="11"/>
      <c r="I48" s="14"/>
      <c r="J48" s="30"/>
      <c r="K48" s="67">
        <f>Source!F68</f>
        <v>68.982838999999998</v>
      </c>
      <c r="L48" s="14" t="s">
        <v>256</v>
      </c>
    </row>
    <row r="49" spans="1:83" ht="14.25" customHeight="1">
      <c r="A49" s="11"/>
      <c r="B49" s="26" t="s">
        <v>354</v>
      </c>
      <c r="C49" s="114">
        <f>ROUND((Source!F54)/1000, 2)</f>
        <v>0</v>
      </c>
      <c r="D49" s="115"/>
      <c r="E49" s="14" t="s">
        <v>346</v>
      </c>
      <c r="F49" s="9"/>
      <c r="G49" s="14"/>
      <c r="H49" s="14"/>
      <c r="I49" s="14"/>
      <c r="J49" s="14"/>
      <c r="K49" s="9"/>
      <c r="L49" s="14"/>
    </row>
    <row r="50" spans="1:83" ht="14.25" customHeight="1">
      <c r="A50" s="11"/>
      <c r="B50" s="26" t="s">
        <v>355</v>
      </c>
      <c r="C50" s="114">
        <f>ROUND((Source!F64)/1000, 2)</f>
        <v>0</v>
      </c>
      <c r="D50" s="115"/>
      <c r="E50" s="14" t="s">
        <v>346</v>
      </c>
      <c r="F50" s="9"/>
      <c r="G50" s="14"/>
      <c r="H50" s="14"/>
      <c r="I50" s="14"/>
      <c r="J50" s="14"/>
      <c r="K50" s="9"/>
      <c r="L50" s="14"/>
    </row>
    <row r="51" spans="1:83" ht="14.2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1:83" ht="12.75" customHeight="1">
      <c r="A52" s="116" t="s">
        <v>356</v>
      </c>
      <c r="B52" s="116" t="s">
        <v>357</v>
      </c>
      <c r="C52" s="116" t="s">
        <v>358</v>
      </c>
      <c r="D52" s="116" t="s">
        <v>359</v>
      </c>
      <c r="E52" s="105" t="s">
        <v>360</v>
      </c>
      <c r="F52" s="106"/>
      <c r="G52" s="107"/>
      <c r="H52" s="105" t="s">
        <v>361</v>
      </c>
      <c r="I52" s="106"/>
      <c r="J52" s="106"/>
      <c r="K52" s="106"/>
      <c r="L52" s="107"/>
    </row>
    <row r="53" spans="1:83" ht="12.75" customHeight="1">
      <c r="A53" s="117"/>
      <c r="B53" s="117"/>
      <c r="C53" s="117"/>
      <c r="D53" s="117"/>
      <c r="E53" s="108"/>
      <c r="F53" s="109"/>
      <c r="G53" s="110"/>
      <c r="H53" s="108"/>
      <c r="I53" s="109"/>
      <c r="J53" s="109"/>
      <c r="K53" s="109"/>
      <c r="L53" s="110"/>
    </row>
    <row r="54" spans="1:83" ht="12.75" customHeight="1">
      <c r="A54" s="117"/>
      <c r="B54" s="117"/>
      <c r="C54" s="117"/>
      <c r="D54" s="117"/>
      <c r="E54" s="108"/>
      <c r="F54" s="109"/>
      <c r="G54" s="110"/>
      <c r="H54" s="108"/>
      <c r="I54" s="109"/>
      <c r="J54" s="109"/>
      <c r="K54" s="109"/>
      <c r="L54" s="110"/>
    </row>
    <row r="55" spans="1:83" ht="12.75" customHeight="1">
      <c r="A55" s="117"/>
      <c r="B55" s="117"/>
      <c r="C55" s="117"/>
      <c r="D55" s="117"/>
      <c r="E55" s="111"/>
      <c r="F55" s="112"/>
      <c r="G55" s="113"/>
      <c r="H55" s="111"/>
      <c r="I55" s="112"/>
      <c r="J55" s="112"/>
      <c r="K55" s="112"/>
      <c r="L55" s="113"/>
    </row>
    <row r="56" spans="1:83" ht="51" customHeight="1">
      <c r="A56" s="118"/>
      <c r="B56" s="118"/>
      <c r="C56" s="118"/>
      <c r="D56" s="118"/>
      <c r="E56" s="32" t="s">
        <v>362</v>
      </c>
      <c r="F56" s="32" t="s">
        <v>363</v>
      </c>
      <c r="G56" s="33" t="s">
        <v>364</v>
      </c>
      <c r="H56" s="32" t="s">
        <v>365</v>
      </c>
      <c r="I56" s="32" t="s">
        <v>366</v>
      </c>
      <c r="J56" s="32" t="s">
        <v>367</v>
      </c>
      <c r="K56" s="32" t="s">
        <v>363</v>
      </c>
      <c r="L56" s="32" t="s">
        <v>368</v>
      </c>
    </row>
    <row r="57" spans="1:83" ht="14.25" customHeight="1">
      <c r="A57" s="34">
        <v>1</v>
      </c>
      <c r="B57" s="34">
        <v>2</v>
      </c>
      <c r="C57" s="34">
        <v>3</v>
      </c>
      <c r="D57" s="34">
        <v>4</v>
      </c>
      <c r="E57" s="34">
        <v>5</v>
      </c>
      <c r="F57" s="34">
        <v>6</v>
      </c>
      <c r="G57" s="34">
        <v>7</v>
      </c>
      <c r="H57" s="34">
        <v>8</v>
      </c>
      <c r="I57" s="34">
        <v>9</v>
      </c>
      <c r="J57" s="34">
        <v>10</v>
      </c>
      <c r="K57" s="35">
        <v>11</v>
      </c>
      <c r="L57" s="35">
        <v>12</v>
      </c>
    </row>
    <row r="58" spans="1:83" ht="42.75">
      <c r="A58" s="37" t="s">
        <v>15</v>
      </c>
      <c r="B58" s="39" t="s">
        <v>373</v>
      </c>
      <c r="C58" s="39" t="str">
        <f>Source!G24</f>
        <v>Бурение ям глубиной до 2 м бурильно-крановыми машинами: на автомобиле, группа грунтов 2</v>
      </c>
      <c r="D58" s="40" t="str">
        <f>Source!H24</f>
        <v>100 ШТ</v>
      </c>
      <c r="E58" s="41">
        <f>Source!K24</f>
        <v>0.28000000000000003</v>
      </c>
      <c r="F58" s="41"/>
      <c r="G58" s="41">
        <f>Source!I24</f>
        <v>0.28000000000000003</v>
      </c>
      <c r="H58" s="43"/>
      <c r="I58" s="42"/>
      <c r="J58" s="43"/>
      <c r="K58" s="42"/>
      <c r="L58" s="43"/>
    </row>
    <row r="59" spans="1:83">
      <c r="C59" s="44" t="str">
        <f>"Объем: "&amp;Source!I24&amp;"=28/"&amp;"100"</f>
        <v>Объем: 0,28=28/100</v>
      </c>
    </row>
    <row r="60" spans="1:83" ht="15">
      <c r="A60" s="38"/>
      <c r="B60" s="41">
        <v>1</v>
      </c>
      <c r="C60" s="38" t="s">
        <v>374</v>
      </c>
      <c r="D60" s="40" t="s">
        <v>256</v>
      </c>
      <c r="E60" s="45"/>
      <c r="F60" s="41"/>
      <c r="G60" s="41">
        <f>Source!U24</f>
        <v>3.6680000000000001</v>
      </c>
      <c r="H60" s="41"/>
      <c r="I60" s="41"/>
      <c r="J60" s="41"/>
      <c r="K60" s="41"/>
      <c r="L60" s="46">
        <f>SUM(L61:L61)-SUMIF(CE61:CE61, 1, L61:L61)</f>
        <v>1208.3499999999999</v>
      </c>
    </row>
    <row r="61" spans="1:83" ht="14.25">
      <c r="A61" s="39"/>
      <c r="B61" s="39" t="s">
        <v>254</v>
      </c>
      <c r="C61" s="39" t="s">
        <v>255</v>
      </c>
      <c r="D61" s="40" t="s">
        <v>256</v>
      </c>
      <c r="E61" s="41">
        <v>13.1</v>
      </c>
      <c r="F61" s="41"/>
      <c r="G61" s="41">
        <f>SmtRes!CX1</f>
        <v>3.6680000000000001</v>
      </c>
      <c r="H61" s="43"/>
      <c r="I61" s="42"/>
      <c r="J61" s="43">
        <f>SmtRes!CZ1</f>
        <v>329.43</v>
      </c>
      <c r="K61" s="42"/>
      <c r="L61" s="43">
        <f>SmtRes!DI1</f>
        <v>1208.3499999999999</v>
      </c>
    </row>
    <row r="62" spans="1:83" ht="15">
      <c r="A62" s="38"/>
      <c r="B62" s="41">
        <v>2</v>
      </c>
      <c r="C62" s="38" t="s">
        <v>375</v>
      </c>
      <c r="D62" s="40"/>
      <c r="E62" s="45"/>
      <c r="F62" s="41"/>
      <c r="G62" s="41"/>
      <c r="H62" s="41"/>
      <c r="I62" s="41"/>
      <c r="J62" s="41"/>
      <c r="K62" s="41"/>
      <c r="L62" s="46">
        <f>SUM(L63:L65)-SUMIF(CE63:CE65, 1, L63:L65)</f>
        <v>11625.17</v>
      </c>
    </row>
    <row r="63" spans="1:83" ht="15">
      <c r="A63" s="38"/>
      <c r="B63" s="41"/>
      <c r="C63" s="38" t="s">
        <v>377</v>
      </c>
      <c r="D63" s="40" t="s">
        <v>256</v>
      </c>
      <c r="E63" s="45"/>
      <c r="F63" s="41"/>
      <c r="G63" s="41">
        <f>Source!V24</f>
        <v>4.0039999999999996</v>
      </c>
      <c r="H63" s="41"/>
      <c r="I63" s="41"/>
      <c r="J63" s="41"/>
      <c r="K63" s="41"/>
      <c r="L63" s="46">
        <f>SUMIF(CE64:CE65, 1, L64:L65)</f>
        <v>1863.58</v>
      </c>
      <c r="CE63">
        <v>1</v>
      </c>
    </row>
    <row r="64" spans="1:83" ht="42.75">
      <c r="A64" s="39"/>
      <c r="B64" s="39" t="s">
        <v>259</v>
      </c>
      <c r="C64" s="39" t="s">
        <v>261</v>
      </c>
      <c r="D64" s="40" t="s">
        <v>262</v>
      </c>
      <c r="E64" s="41">
        <v>14.3</v>
      </c>
      <c r="F64" s="41"/>
      <c r="G64" s="41">
        <f>SmtRes!CX3</f>
        <v>4.0039999999999996</v>
      </c>
      <c r="H64" s="43">
        <f>SmtRes!CZ3</f>
        <v>2088.77</v>
      </c>
      <c r="I64" s="42">
        <f>SmtRes!AJ3</f>
        <v>1.39</v>
      </c>
      <c r="J64" s="43">
        <f>ROUND(H64*I64, 2)</f>
        <v>2903.39</v>
      </c>
      <c r="K64" s="42"/>
      <c r="L64" s="43">
        <f>SmtRes!DG3</f>
        <v>11625.17</v>
      </c>
    </row>
    <row r="65" spans="1:83" ht="28.5">
      <c r="A65" s="39"/>
      <c r="B65" s="39" t="s">
        <v>263</v>
      </c>
      <c r="C65" s="47" t="s">
        <v>376</v>
      </c>
      <c r="D65" s="48" t="s">
        <v>256</v>
      </c>
      <c r="E65" s="49">
        <f>SmtRes!DO3*SmtRes!AT3</f>
        <v>14.3</v>
      </c>
      <c r="F65" s="49"/>
      <c r="G65" s="49">
        <f>ROUND(E65*G58, 7)</f>
        <v>4.0039999999999996</v>
      </c>
      <c r="H65" s="50"/>
      <c r="I65" s="51"/>
      <c r="J65" s="50">
        <f>ROUND(SmtRes!AG3/SmtRes!DO3, 2)</f>
        <v>465.43</v>
      </c>
      <c r="K65" s="51"/>
      <c r="L65" s="50">
        <f>SmtRes!DH3</f>
        <v>1863.58</v>
      </c>
      <c r="CE65">
        <v>1</v>
      </c>
    </row>
    <row r="66" spans="1:83" ht="15">
      <c r="A66" s="39"/>
      <c r="B66" s="39"/>
      <c r="C66" s="54" t="s">
        <v>378</v>
      </c>
      <c r="D66" s="40"/>
      <c r="E66" s="41"/>
      <c r="F66" s="41"/>
      <c r="G66" s="41"/>
      <c r="H66" s="43"/>
      <c r="I66" s="42"/>
      <c r="J66" s="43"/>
      <c r="K66" s="42"/>
      <c r="L66" s="43">
        <f>L60+L62+L63</f>
        <v>14697.1</v>
      </c>
    </row>
    <row r="67" spans="1:83" ht="14.25">
      <c r="A67" s="39"/>
      <c r="B67" s="39"/>
      <c r="C67" s="39" t="s">
        <v>379</v>
      </c>
      <c r="D67" s="40"/>
      <c r="E67" s="41"/>
      <c r="F67" s="41"/>
      <c r="G67" s="41"/>
      <c r="H67" s="43"/>
      <c r="I67" s="42"/>
      <c r="J67" s="43"/>
      <c r="K67" s="42"/>
      <c r="L67" s="43">
        <f>SUM(AR58:AR70)+SUM(AS58:AS70)+SUM(AT58:AT70)+SUM(AU58:AU70)+SUM(AV58:AV70)</f>
        <v>3071.93</v>
      </c>
    </row>
    <row r="68" spans="1:83" ht="57">
      <c r="A68" s="39"/>
      <c r="B68" s="39" t="s">
        <v>24</v>
      </c>
      <c r="C68" s="39" t="s">
        <v>380</v>
      </c>
      <c r="D68" s="40" t="s">
        <v>106</v>
      </c>
      <c r="E68" s="41">
        <f>Source!BZ24</f>
        <v>89</v>
      </c>
      <c r="F68" s="41"/>
      <c r="G68" s="41">
        <f>Source!AT24</f>
        <v>89</v>
      </c>
      <c r="H68" s="43"/>
      <c r="I68" s="42"/>
      <c r="J68" s="43"/>
      <c r="K68" s="42"/>
      <c r="L68" s="43">
        <f>SUM(AZ58:AZ70)</f>
        <v>2734.02</v>
      </c>
    </row>
    <row r="69" spans="1:83" ht="57">
      <c r="A69" s="47"/>
      <c r="B69" s="47" t="s">
        <v>25</v>
      </c>
      <c r="C69" s="47" t="s">
        <v>381</v>
      </c>
      <c r="D69" s="48" t="s">
        <v>106</v>
      </c>
      <c r="E69" s="49">
        <f>Source!CA24</f>
        <v>41</v>
      </c>
      <c r="F69" s="49"/>
      <c r="G69" s="49">
        <f>Source!AU24</f>
        <v>41</v>
      </c>
      <c r="H69" s="50"/>
      <c r="I69" s="51"/>
      <c r="J69" s="50"/>
      <c r="K69" s="51"/>
      <c r="L69" s="50">
        <f>SUM(BA58:BA70)</f>
        <v>1259.49</v>
      </c>
    </row>
    <row r="70" spans="1:83" ht="15">
      <c r="C70" s="103" t="s">
        <v>382</v>
      </c>
      <c r="D70" s="103"/>
      <c r="E70" s="103"/>
      <c r="F70" s="103"/>
      <c r="G70" s="103"/>
      <c r="H70" s="103"/>
      <c r="I70" s="104">
        <f>IF(E58&lt;&gt;0,K70/E58, 0)</f>
        <v>66752.178571428565</v>
      </c>
      <c r="J70" s="104"/>
      <c r="K70" s="104">
        <f>L60+L62+L68+L69+L63</f>
        <v>18690.61</v>
      </c>
      <c r="L70" s="104"/>
      <c r="AD70">
        <f>ROUND((Source!AT24/100)*((ROUND(SUMIF(SmtRes!AQ1:'SmtRes'!AQ3,"=1",SmtRes!AD1:'SmtRes'!AD3)*Source!I24, 2)+ROUND(SUMIF(SmtRes!AQ1:'SmtRes'!AQ3,"=1",SmtRes!AC1:'SmtRes'!AC3)*Source!I24, 2))), 2)</f>
        <v>198.08</v>
      </c>
      <c r="AE70">
        <f>ROUND((Source!AU24/100)*((ROUND(SUMIF(SmtRes!AQ1:'SmtRes'!AQ3,"=1",SmtRes!AD1:'SmtRes'!AD3)*Source!I24, 2)+ROUND(SUMIF(SmtRes!AQ1:'SmtRes'!AQ3,"=1",SmtRes!AC1:'SmtRes'!AC3)*Source!I24, 2))), 2)</f>
        <v>91.25</v>
      </c>
      <c r="AN70" s="52">
        <f>L60+L62+L68+L69+L63</f>
        <v>18690.61</v>
      </c>
      <c r="AO70" s="52">
        <f>L62</f>
        <v>11625.17</v>
      </c>
      <c r="AQ70" t="s">
        <v>383</v>
      </c>
      <c r="AR70" s="52">
        <f>L60</f>
        <v>1208.3499999999999</v>
      </c>
      <c r="AT70" s="52">
        <f>L63</f>
        <v>1863.58</v>
      </c>
      <c r="AV70" t="s">
        <v>383</v>
      </c>
      <c r="AW70">
        <f>0</f>
        <v>0</v>
      </c>
      <c r="AZ70">
        <f>Source!X24</f>
        <v>2734.02</v>
      </c>
      <c r="BA70">
        <f>Source!Y24</f>
        <v>1259.49</v>
      </c>
      <c r="CD70">
        <v>1</v>
      </c>
    </row>
    <row r="71" spans="1:83" ht="68.25">
      <c r="A71" s="37" t="s">
        <v>27</v>
      </c>
      <c r="B71" s="39" t="s">
        <v>384</v>
      </c>
      <c r="C71" s="39" t="s">
        <v>385</v>
      </c>
      <c r="D71" s="40" t="str">
        <f>Source!H25</f>
        <v>ШТ</v>
      </c>
      <c r="E71" s="41">
        <f>Source!K25</f>
        <v>28</v>
      </c>
      <c r="F71" s="41"/>
      <c r="G71" s="41">
        <f>Source!I25</f>
        <v>28</v>
      </c>
      <c r="H71" s="43"/>
      <c r="I71" s="42"/>
      <c r="J71" s="43"/>
      <c r="K71" s="42"/>
      <c r="L71" s="43"/>
    </row>
    <row r="72" spans="1:83" ht="15">
      <c r="A72" s="38"/>
      <c r="B72" s="41">
        <v>1</v>
      </c>
      <c r="C72" s="38" t="s">
        <v>374</v>
      </c>
      <c r="D72" s="40" t="s">
        <v>256</v>
      </c>
      <c r="E72" s="45"/>
      <c r="F72" s="41"/>
      <c r="G72" s="41">
        <f>Source!U25</f>
        <v>66.36</v>
      </c>
      <c r="H72" s="41"/>
      <c r="I72" s="41"/>
      <c r="J72" s="41"/>
      <c r="K72" s="41"/>
      <c r="L72" s="46">
        <f>SUM(L73:L73)-SUMIF(CE73:CE73, 1, L73:L73)</f>
        <v>25070.14</v>
      </c>
    </row>
    <row r="73" spans="1:83" ht="14.25">
      <c r="A73" s="39"/>
      <c r="B73" s="39" t="s">
        <v>264</v>
      </c>
      <c r="C73" s="39" t="s">
        <v>265</v>
      </c>
      <c r="D73" s="40" t="s">
        <v>256</v>
      </c>
      <c r="E73" s="41">
        <v>2.37</v>
      </c>
      <c r="F73" s="41"/>
      <c r="G73" s="41">
        <f>SmtRes!CX4</f>
        <v>66.36</v>
      </c>
      <c r="H73" s="43"/>
      <c r="I73" s="42"/>
      <c r="J73" s="43">
        <f>SmtRes!CZ4</f>
        <v>377.79</v>
      </c>
      <c r="K73" s="42"/>
      <c r="L73" s="43">
        <f>SmtRes!DI4</f>
        <v>25070.14</v>
      </c>
    </row>
    <row r="74" spans="1:83" ht="15">
      <c r="A74" s="38"/>
      <c r="B74" s="41">
        <v>2</v>
      </c>
      <c r="C74" s="38" t="s">
        <v>375</v>
      </c>
      <c r="D74" s="40"/>
      <c r="E74" s="45"/>
      <c r="F74" s="41"/>
      <c r="G74" s="41"/>
      <c r="H74" s="41"/>
      <c r="I74" s="41"/>
      <c r="J74" s="41"/>
      <c r="K74" s="41"/>
      <c r="L74" s="46">
        <f>SUM(L75:L79)-SUMIF(CE75:CE79, 1, L75:L79)</f>
        <v>14636.8</v>
      </c>
    </row>
    <row r="75" spans="1:83" ht="15">
      <c r="A75" s="38"/>
      <c r="B75" s="41"/>
      <c r="C75" s="38" t="s">
        <v>377</v>
      </c>
      <c r="D75" s="40" t="s">
        <v>256</v>
      </c>
      <c r="E75" s="45"/>
      <c r="F75" s="41"/>
      <c r="G75" s="41">
        <f>Source!V25</f>
        <v>12.879999999999999</v>
      </c>
      <c r="H75" s="41"/>
      <c r="I75" s="41"/>
      <c r="J75" s="41"/>
      <c r="K75" s="41"/>
      <c r="L75" s="46">
        <f>SUMIF(CE76:CE79, 1, L76:L79)</f>
        <v>5994.74</v>
      </c>
      <c r="CE75">
        <v>1</v>
      </c>
    </row>
    <row r="76" spans="1:83" ht="14.25">
      <c r="A76" s="39"/>
      <c r="B76" s="39" t="s">
        <v>266</v>
      </c>
      <c r="C76" s="39" t="s">
        <v>268</v>
      </c>
      <c r="D76" s="40" t="s">
        <v>262</v>
      </c>
      <c r="E76" s="41">
        <v>0.18</v>
      </c>
      <c r="F76" s="41"/>
      <c r="G76" s="41">
        <f>SmtRes!CX6</f>
        <v>5.04</v>
      </c>
      <c r="H76" s="43">
        <f>SmtRes!CZ6</f>
        <v>828.16</v>
      </c>
      <c r="I76" s="42">
        <f>SmtRes!AJ6</f>
        <v>1.44</v>
      </c>
      <c r="J76" s="43">
        <f>ROUND(H76*I76, 2)</f>
        <v>1192.55</v>
      </c>
      <c r="K76" s="42"/>
      <c r="L76" s="43">
        <f>SmtRes!DG6</f>
        <v>6010.45</v>
      </c>
    </row>
    <row r="77" spans="1:83" ht="28.5">
      <c r="A77" s="39"/>
      <c r="B77" s="39" t="s">
        <v>263</v>
      </c>
      <c r="C77" s="39" t="s">
        <v>376</v>
      </c>
      <c r="D77" s="40" t="s">
        <v>256</v>
      </c>
      <c r="E77" s="41">
        <f>SmtRes!DO6*SmtRes!AT6</f>
        <v>0.18</v>
      </c>
      <c r="F77" s="41"/>
      <c r="G77" s="41">
        <f>ROUND(E77*G71, 7)</f>
        <v>5.04</v>
      </c>
      <c r="H77" s="43"/>
      <c r="I77" s="42"/>
      <c r="J77" s="43">
        <f>ROUND(SmtRes!AG6/SmtRes!DO6, 2)</f>
        <v>465.43</v>
      </c>
      <c r="K77" s="42"/>
      <c r="L77" s="43">
        <f>SmtRes!DH6</f>
        <v>2345.77</v>
      </c>
      <c r="CE77">
        <v>1</v>
      </c>
    </row>
    <row r="78" spans="1:83" ht="71.25">
      <c r="A78" s="39"/>
      <c r="B78" s="39" t="s">
        <v>269</v>
      </c>
      <c r="C78" s="39" t="s">
        <v>271</v>
      </c>
      <c r="D78" s="40" t="s">
        <v>262</v>
      </c>
      <c r="E78" s="41">
        <v>0.28000000000000003</v>
      </c>
      <c r="F78" s="41"/>
      <c r="G78" s="41">
        <f>SmtRes!CX7</f>
        <v>7.84</v>
      </c>
      <c r="H78" s="43">
        <f>SmtRes!CZ7</f>
        <v>774.86</v>
      </c>
      <c r="I78" s="42">
        <f>SmtRes!AJ7</f>
        <v>1.42</v>
      </c>
      <c r="J78" s="43">
        <f>ROUND(H78*I78, 2)</f>
        <v>1100.3</v>
      </c>
      <c r="K78" s="42"/>
      <c r="L78" s="43">
        <f>SmtRes!DG7</f>
        <v>8626.35</v>
      </c>
    </row>
    <row r="79" spans="1:83" ht="28.5">
      <c r="A79" s="39"/>
      <c r="B79" s="39" t="s">
        <v>263</v>
      </c>
      <c r="C79" s="39" t="s">
        <v>376</v>
      </c>
      <c r="D79" s="40" t="s">
        <v>256</v>
      </c>
      <c r="E79" s="41">
        <f>SmtRes!DO7*SmtRes!AT7</f>
        <v>0.28000000000000003</v>
      </c>
      <c r="F79" s="41"/>
      <c r="G79" s="41">
        <f>ROUND(E79*G71, 7)</f>
        <v>7.84</v>
      </c>
      <c r="H79" s="43"/>
      <c r="I79" s="42"/>
      <c r="J79" s="43">
        <f>ROUND(SmtRes!AG7/SmtRes!DO7, 2)</f>
        <v>465.43</v>
      </c>
      <c r="K79" s="42"/>
      <c r="L79" s="43">
        <f>SmtRes!DH7</f>
        <v>3648.97</v>
      </c>
      <c r="CE79">
        <v>1</v>
      </c>
    </row>
    <row r="80" spans="1:83" ht="15" hidden="1">
      <c r="A80" s="38"/>
      <c r="B80" s="41">
        <v>4</v>
      </c>
      <c r="C80" s="38" t="s">
        <v>386</v>
      </c>
      <c r="D80" s="40"/>
      <c r="E80" s="45"/>
      <c r="F80" s="41"/>
      <c r="G80" s="41"/>
      <c r="H80" s="41"/>
      <c r="I80" s="41"/>
      <c r="J80" s="41"/>
      <c r="K80" s="41"/>
      <c r="L80" s="46">
        <f>SUM(L81:L85)-SUMIF(CE81:CE85, 1, L81:L85)</f>
        <v>0</v>
      </c>
    </row>
    <row r="81" spans="1:83" ht="28.5">
      <c r="A81" s="39"/>
      <c r="B81" s="39" t="s">
        <v>272</v>
      </c>
      <c r="C81" s="39" t="s">
        <v>274</v>
      </c>
      <c r="D81" s="40" t="s">
        <v>275</v>
      </c>
      <c r="E81" s="41">
        <v>4.0000000000000003E-5</v>
      </c>
      <c r="F81" s="41">
        <f t="shared" ref="F81:F86" si="0">ROUND(0,7)</f>
        <v>0</v>
      </c>
      <c r="G81" s="41">
        <f>SmtRes!CX8</f>
        <v>0</v>
      </c>
      <c r="H81" s="43">
        <f>SmtRes!CZ8</f>
        <v>76110.2</v>
      </c>
      <c r="I81" s="42">
        <f>SmtRes!AI8</f>
        <v>1.19</v>
      </c>
      <c r="J81" s="43">
        <f>ROUND(H81*I81, 2)</f>
        <v>90571.14</v>
      </c>
      <c r="K81" s="42"/>
      <c r="L81" s="43">
        <f>SmtRes!DF8</f>
        <v>0</v>
      </c>
    </row>
    <row r="82" spans="1:83" ht="14.25">
      <c r="A82" s="39"/>
      <c r="B82" s="39" t="s">
        <v>276</v>
      </c>
      <c r="C82" s="39" t="s">
        <v>278</v>
      </c>
      <c r="D82" s="40" t="s">
        <v>85</v>
      </c>
      <c r="E82" s="41">
        <v>6.1999999999999998E-3</v>
      </c>
      <c r="F82" s="41">
        <f t="shared" si="0"/>
        <v>0</v>
      </c>
      <c r="G82" s="41">
        <f>SmtRes!CX9</f>
        <v>0</v>
      </c>
      <c r="H82" s="43">
        <f>SmtRes!CZ9</f>
        <v>56.11</v>
      </c>
      <c r="I82" s="42">
        <f>SmtRes!AI9</f>
        <v>1.59</v>
      </c>
      <c r="J82" s="43">
        <f>ROUND(H82*I82, 2)</f>
        <v>89.21</v>
      </c>
      <c r="K82" s="42"/>
      <c r="L82" s="43">
        <f>SmtRes!DF9</f>
        <v>0</v>
      </c>
    </row>
    <row r="83" spans="1:83" ht="57">
      <c r="A83" s="39"/>
      <c r="B83" s="39" t="s">
        <v>279</v>
      </c>
      <c r="C83" s="39" t="s">
        <v>281</v>
      </c>
      <c r="D83" s="40" t="s">
        <v>73</v>
      </c>
      <c r="E83" s="41">
        <v>5.0000000000000002E-5</v>
      </c>
      <c r="F83" s="41">
        <f t="shared" si="0"/>
        <v>0</v>
      </c>
      <c r="G83" s="41">
        <f>SmtRes!CX11</f>
        <v>0</v>
      </c>
      <c r="H83" s="43">
        <f>SmtRes!CZ11</f>
        <v>5764.42</v>
      </c>
      <c r="I83" s="42">
        <f>SmtRes!AI11</f>
        <v>1.42</v>
      </c>
      <c r="J83" s="43">
        <f>ROUND(H83*I83, 2)</f>
        <v>8185.48</v>
      </c>
      <c r="K83" s="42"/>
      <c r="L83" s="43">
        <f>SmtRes!DF11</f>
        <v>0</v>
      </c>
    </row>
    <row r="84" spans="1:83" ht="14.25">
      <c r="A84" s="39"/>
      <c r="B84" s="39" t="s">
        <v>282</v>
      </c>
      <c r="C84" s="39" t="s">
        <v>284</v>
      </c>
      <c r="D84" s="40" t="s">
        <v>85</v>
      </c>
      <c r="E84" s="41">
        <v>0.05</v>
      </c>
      <c r="F84" s="41">
        <f t="shared" si="0"/>
        <v>0</v>
      </c>
      <c r="G84" s="41">
        <f>SmtRes!CX12</f>
        <v>0</v>
      </c>
      <c r="H84" s="43">
        <f>SmtRes!CZ12</f>
        <v>61.28</v>
      </c>
      <c r="I84" s="42">
        <f>SmtRes!AI12</f>
        <v>1.73</v>
      </c>
      <c r="J84" s="43">
        <f>ROUND(H84*I84, 2)</f>
        <v>106.01</v>
      </c>
      <c r="K84" s="42"/>
      <c r="L84" s="43">
        <f>SmtRes!DF12</f>
        <v>0</v>
      </c>
    </row>
    <row r="85" spans="1:83" ht="28.5">
      <c r="A85" s="39"/>
      <c r="B85" s="39" t="s">
        <v>285</v>
      </c>
      <c r="C85" s="39" t="s">
        <v>287</v>
      </c>
      <c r="D85" s="40" t="s">
        <v>275</v>
      </c>
      <c r="E85" s="41">
        <v>3.0000000000000001E-5</v>
      </c>
      <c r="F85" s="41">
        <f t="shared" si="0"/>
        <v>0</v>
      </c>
      <c r="G85" s="41">
        <f>SmtRes!CX13</f>
        <v>0</v>
      </c>
      <c r="H85" s="43">
        <f>SmtRes!CZ13</f>
        <v>65007.69</v>
      </c>
      <c r="I85" s="42">
        <f>SmtRes!AI13</f>
        <v>1.2</v>
      </c>
      <c r="J85" s="43">
        <f>ROUND(H85*I85, 2)</f>
        <v>78009.23</v>
      </c>
      <c r="K85" s="42"/>
      <c r="L85" s="43">
        <f>SmtRes!DF13</f>
        <v>0</v>
      </c>
    </row>
    <row r="86" spans="1:83" ht="28.5">
      <c r="A86" s="39"/>
      <c r="B86" s="39" t="str">
        <f>EtalonRes!I10</f>
        <v>11.1.02.04</v>
      </c>
      <c r="C86" s="47" t="str">
        <f>EtalonRes!K10</f>
        <v>Лесоматериалы пропитанные для опор линий связи диаметром до 24 см</v>
      </c>
      <c r="D86" s="48" t="str">
        <f>EtalonRes!O10</f>
        <v>ШТ</v>
      </c>
      <c r="E86" s="49">
        <f>EtalonRes!X10</f>
        <v>1</v>
      </c>
      <c r="F86" s="49">
        <f t="shared" si="0"/>
        <v>0</v>
      </c>
      <c r="G86" s="49">
        <f>ROUND(EtalonRes!AG10*Source!I25, 7)</f>
        <v>0</v>
      </c>
      <c r="H86" s="50"/>
      <c r="I86" s="51"/>
      <c r="J86" s="50"/>
      <c r="K86" s="51"/>
      <c r="L86" s="50"/>
    </row>
    <row r="87" spans="1:83" ht="15">
      <c r="A87" s="39"/>
      <c r="B87" s="39"/>
      <c r="C87" s="54" t="s">
        <v>378</v>
      </c>
      <c r="D87" s="40"/>
      <c r="E87" s="41"/>
      <c r="F87" s="41"/>
      <c r="G87" s="41"/>
      <c r="H87" s="43"/>
      <c r="I87" s="42"/>
      <c r="J87" s="43"/>
      <c r="K87" s="42"/>
      <c r="L87" s="43">
        <f>L72+L74+L75+L80</f>
        <v>45701.68</v>
      </c>
    </row>
    <row r="88" spans="1:83" ht="14.25">
      <c r="A88" s="39"/>
      <c r="B88" s="39"/>
      <c r="C88" s="39" t="s">
        <v>379</v>
      </c>
      <c r="D88" s="40"/>
      <c r="E88" s="41"/>
      <c r="F88" s="41"/>
      <c r="G88" s="41"/>
      <c r="H88" s="43"/>
      <c r="I88" s="42"/>
      <c r="J88" s="43"/>
      <c r="K88" s="42"/>
      <c r="L88" s="43">
        <f>SUM(AR71:AR91)+SUM(AS71:AS91)+SUM(AT71:AT91)+SUM(AU71:AU91)+SUM(AV71:AV91)</f>
        <v>31064.879999999997</v>
      </c>
    </row>
    <row r="89" spans="1:83" ht="42.75">
      <c r="A89" s="39"/>
      <c r="B89" s="39" t="s">
        <v>36</v>
      </c>
      <c r="C89" s="39" t="s">
        <v>387</v>
      </c>
      <c r="D89" s="40" t="s">
        <v>106</v>
      </c>
      <c r="E89" s="41">
        <f>Source!BZ25</f>
        <v>98</v>
      </c>
      <c r="F89" s="41"/>
      <c r="G89" s="41">
        <f>Source!AT25</f>
        <v>98</v>
      </c>
      <c r="H89" s="43"/>
      <c r="I89" s="42"/>
      <c r="J89" s="43"/>
      <c r="K89" s="42"/>
      <c r="L89" s="43">
        <f>SUM(AZ71:AZ91)</f>
        <v>30443.58</v>
      </c>
    </row>
    <row r="90" spans="1:83" ht="42.75">
      <c r="A90" s="47"/>
      <c r="B90" s="47" t="s">
        <v>37</v>
      </c>
      <c r="C90" s="47" t="s">
        <v>388</v>
      </c>
      <c r="D90" s="48" t="s">
        <v>106</v>
      </c>
      <c r="E90" s="49">
        <f>Source!CA25</f>
        <v>58</v>
      </c>
      <c r="F90" s="49"/>
      <c r="G90" s="49">
        <f>Source!AU25</f>
        <v>58</v>
      </c>
      <c r="H90" s="50"/>
      <c r="I90" s="51"/>
      <c r="J90" s="50"/>
      <c r="K90" s="51"/>
      <c r="L90" s="50">
        <f>SUM(BA71:BA91)</f>
        <v>18017.63</v>
      </c>
    </row>
    <row r="91" spans="1:83" ht="15">
      <c r="C91" s="103" t="s">
        <v>382</v>
      </c>
      <c r="D91" s="103"/>
      <c r="E91" s="103"/>
      <c r="F91" s="103"/>
      <c r="G91" s="103"/>
      <c r="H91" s="103"/>
      <c r="I91" s="104">
        <f>IF(E71&lt;&gt;0,K91/E71, 0)</f>
        <v>3362.9603571428574</v>
      </c>
      <c r="J91" s="104"/>
      <c r="K91" s="104">
        <f>L72+L74+L80+L89+L90+L75</f>
        <v>94162.890000000014</v>
      </c>
      <c r="L91" s="104"/>
      <c r="AD91">
        <f>ROUND((Source!AT25/100)*((ROUND(SUMIF(SmtRes!AQ4:'SmtRes'!AQ13,"=1",SmtRes!AD4:'SmtRes'!AD13)*Source!I25, 2)+ROUND(SUMIF(SmtRes!AQ4:'SmtRes'!AQ13,"=1",SmtRes!AC4:'SmtRes'!AC13)*Source!I25, 2))), 2)</f>
        <v>35909.360000000001</v>
      </c>
      <c r="AE91">
        <f>ROUND((Source!AU25/100)*((ROUND(SUMIF(SmtRes!AQ4:'SmtRes'!AQ13,"=1",SmtRes!AD4:'SmtRes'!AD13)*Source!I25, 2)+ROUND(SUMIF(SmtRes!AQ4:'SmtRes'!AQ13,"=1",SmtRes!AC4:'SmtRes'!AC13)*Source!I25, 2))), 2)</f>
        <v>21252.48</v>
      </c>
      <c r="AN91" s="52">
        <f>L72+L74+L80+L89+L90+L75</f>
        <v>94162.890000000014</v>
      </c>
      <c r="AO91" s="52">
        <f>L74</f>
        <v>14636.8</v>
      </c>
      <c r="AQ91" t="s">
        <v>383</v>
      </c>
      <c r="AR91" s="52">
        <f>L72</f>
        <v>25070.14</v>
      </c>
      <c r="AT91" s="52">
        <f>L75</f>
        <v>5994.74</v>
      </c>
      <c r="AV91" t="s">
        <v>383</v>
      </c>
      <c r="AW91" s="52">
        <f>L80</f>
        <v>0</v>
      </c>
      <c r="AZ91">
        <f>Source!X25</f>
        <v>30443.58</v>
      </c>
      <c r="BA91">
        <f>Source!Y25</f>
        <v>18017.63</v>
      </c>
      <c r="CD91">
        <v>1</v>
      </c>
    </row>
    <row r="92" spans="1:83" ht="42.75">
      <c r="A92" s="37" t="s">
        <v>42</v>
      </c>
      <c r="B92" s="39" t="s">
        <v>389</v>
      </c>
      <c r="C92" s="39" t="str">
        <f>Source!G27</f>
        <v>Развозка конструкций и материалов опор ВЛ 0,38-10 кВ по трассе: одностоечных деревянных опор</v>
      </c>
      <c r="D92" s="40" t="str">
        <f>Source!H27</f>
        <v>ШТ</v>
      </c>
      <c r="E92" s="41">
        <f>Source!K27</f>
        <v>28</v>
      </c>
      <c r="F92" s="41"/>
      <c r="G92" s="41">
        <f>Source!I27</f>
        <v>28</v>
      </c>
      <c r="H92" s="43"/>
      <c r="I92" s="42"/>
      <c r="J92" s="43"/>
      <c r="K92" s="42"/>
      <c r="L92" s="43"/>
    </row>
    <row r="93" spans="1:83" ht="15">
      <c r="A93" s="38"/>
      <c r="B93" s="41">
        <v>1</v>
      </c>
      <c r="C93" s="38" t="s">
        <v>374</v>
      </c>
      <c r="D93" s="40" t="s">
        <v>256</v>
      </c>
      <c r="E93" s="45"/>
      <c r="F93" s="41"/>
      <c r="G93" s="41">
        <f>Source!U27</f>
        <v>5.6</v>
      </c>
      <c r="H93" s="41"/>
      <c r="I93" s="41"/>
      <c r="J93" s="41"/>
      <c r="K93" s="41"/>
      <c r="L93" s="46">
        <f>SUM(L94:L94)-SUMIF(CE94:CE94, 1, L94:L94)</f>
        <v>1929.42</v>
      </c>
    </row>
    <row r="94" spans="1:83" ht="14.25">
      <c r="A94" s="39"/>
      <c r="B94" s="39" t="s">
        <v>288</v>
      </c>
      <c r="C94" s="39" t="s">
        <v>289</v>
      </c>
      <c r="D94" s="40" t="s">
        <v>256</v>
      </c>
      <c r="E94" s="41">
        <v>0.2</v>
      </c>
      <c r="F94" s="41"/>
      <c r="G94" s="41">
        <f>SmtRes!CX14</f>
        <v>5.6</v>
      </c>
      <c r="H94" s="43"/>
      <c r="I94" s="42"/>
      <c r="J94" s="43">
        <f>SmtRes!CZ14</f>
        <v>344.54</v>
      </c>
      <c r="K94" s="42"/>
      <c r="L94" s="43">
        <f>SmtRes!DI14</f>
        <v>1929.42</v>
      </c>
    </row>
    <row r="95" spans="1:83" ht="15">
      <c r="A95" s="38"/>
      <c r="B95" s="41">
        <v>2</v>
      </c>
      <c r="C95" s="38" t="s">
        <v>375</v>
      </c>
      <c r="D95" s="40"/>
      <c r="E95" s="45"/>
      <c r="F95" s="41"/>
      <c r="G95" s="41"/>
      <c r="H95" s="41"/>
      <c r="I95" s="41"/>
      <c r="J95" s="41"/>
      <c r="K95" s="41"/>
      <c r="L95" s="46">
        <f>SUM(L96:L99)-SUMIF(CE96:CE99, 1, L96:L99)</f>
        <v>2133.92</v>
      </c>
    </row>
    <row r="96" spans="1:83" ht="15">
      <c r="A96" s="38"/>
      <c r="B96" s="41"/>
      <c r="C96" s="38" t="s">
        <v>377</v>
      </c>
      <c r="D96" s="40" t="s">
        <v>256</v>
      </c>
      <c r="E96" s="45"/>
      <c r="F96" s="41"/>
      <c r="G96" s="41">
        <f>Source!V27</f>
        <v>3.08</v>
      </c>
      <c r="H96" s="41"/>
      <c r="I96" s="41"/>
      <c r="J96" s="41"/>
      <c r="K96" s="41"/>
      <c r="L96" s="46">
        <f>SUMIF(CE97:CE99, 1, L97:L99)</f>
        <v>1247.3699999999999</v>
      </c>
      <c r="CE96">
        <v>1</v>
      </c>
    </row>
    <row r="97" spans="1:83" ht="28.5">
      <c r="A97" s="39"/>
      <c r="B97" s="39" t="s">
        <v>290</v>
      </c>
      <c r="C97" s="39" t="s">
        <v>292</v>
      </c>
      <c r="D97" s="40" t="s">
        <v>262</v>
      </c>
      <c r="E97" s="41">
        <v>0.11</v>
      </c>
      <c r="F97" s="41"/>
      <c r="G97" s="41">
        <f>SmtRes!CX16</f>
        <v>3.08</v>
      </c>
      <c r="H97" s="43"/>
      <c r="I97" s="42"/>
      <c r="J97" s="43">
        <f>SmtRes!CZ16</f>
        <v>14.59</v>
      </c>
      <c r="K97" s="42"/>
      <c r="L97" s="43">
        <f>SmtRes!DG16</f>
        <v>44.94</v>
      </c>
    </row>
    <row r="98" spans="1:83" ht="28.5">
      <c r="A98" s="39"/>
      <c r="B98" s="39" t="s">
        <v>293</v>
      </c>
      <c r="C98" s="39" t="s">
        <v>295</v>
      </c>
      <c r="D98" s="40" t="s">
        <v>262</v>
      </c>
      <c r="E98" s="41">
        <v>0.11</v>
      </c>
      <c r="F98" s="41"/>
      <c r="G98" s="41">
        <f>SmtRes!CX17</f>
        <v>3.08</v>
      </c>
      <c r="H98" s="43">
        <f>SmtRes!CZ17</f>
        <v>487.94</v>
      </c>
      <c r="I98" s="42">
        <f>SmtRes!AJ17</f>
        <v>1.39</v>
      </c>
      <c r="J98" s="43">
        <f>ROUND(H98*I98, 2)</f>
        <v>678.24</v>
      </c>
      <c r="K98" s="42"/>
      <c r="L98" s="43">
        <f>SmtRes!DG17</f>
        <v>2088.98</v>
      </c>
    </row>
    <row r="99" spans="1:83" ht="28.5">
      <c r="A99" s="39"/>
      <c r="B99" s="39" t="s">
        <v>296</v>
      </c>
      <c r="C99" s="47" t="s">
        <v>390</v>
      </c>
      <c r="D99" s="48" t="s">
        <v>256</v>
      </c>
      <c r="E99" s="49">
        <f>SmtRes!DO17*SmtRes!AT17</f>
        <v>0.11</v>
      </c>
      <c r="F99" s="49"/>
      <c r="G99" s="49">
        <f>ROUND(E99*G92, 7)</f>
        <v>3.08</v>
      </c>
      <c r="H99" s="50"/>
      <c r="I99" s="51"/>
      <c r="J99" s="50">
        <f>ROUND(SmtRes!AG17/SmtRes!DO17, 2)</f>
        <v>404.99</v>
      </c>
      <c r="K99" s="51"/>
      <c r="L99" s="50">
        <f>SmtRes!DH17</f>
        <v>1247.3699999999999</v>
      </c>
      <c r="CE99">
        <v>1</v>
      </c>
    </row>
    <row r="100" spans="1:83" ht="15">
      <c r="A100" s="39"/>
      <c r="B100" s="39"/>
      <c r="C100" s="54" t="s">
        <v>378</v>
      </c>
      <c r="D100" s="40"/>
      <c r="E100" s="41"/>
      <c r="F100" s="41"/>
      <c r="G100" s="41"/>
      <c r="H100" s="43"/>
      <c r="I100" s="42"/>
      <c r="J100" s="43"/>
      <c r="K100" s="42"/>
      <c r="L100" s="43">
        <f>L93+L95+L96</f>
        <v>5310.71</v>
      </c>
    </row>
    <row r="101" spans="1:83" ht="14.25">
      <c r="A101" s="39"/>
      <c r="B101" s="39"/>
      <c r="C101" s="39" t="s">
        <v>379</v>
      </c>
      <c r="D101" s="40"/>
      <c r="E101" s="41"/>
      <c r="F101" s="41"/>
      <c r="G101" s="41"/>
      <c r="H101" s="43"/>
      <c r="I101" s="42"/>
      <c r="J101" s="43"/>
      <c r="K101" s="42"/>
      <c r="L101" s="43">
        <f>SUM(AR92:AR104)+SUM(AS92:AS104)+SUM(AT92:AT104)+SUM(AU92:AU104)+SUM(AV92:AV104)</f>
        <v>3176.79</v>
      </c>
    </row>
    <row r="102" spans="1:83" ht="14.25">
      <c r="A102" s="39"/>
      <c r="B102" s="39" t="s">
        <v>48</v>
      </c>
      <c r="C102" s="39" t="s">
        <v>391</v>
      </c>
      <c r="D102" s="40" t="s">
        <v>106</v>
      </c>
      <c r="E102" s="41">
        <f>Source!BZ27</f>
        <v>103</v>
      </c>
      <c r="F102" s="41"/>
      <c r="G102" s="41">
        <f>Source!AT27</f>
        <v>103</v>
      </c>
      <c r="H102" s="43"/>
      <c r="I102" s="42"/>
      <c r="J102" s="43"/>
      <c r="K102" s="42"/>
      <c r="L102" s="43">
        <f>SUM(AZ92:AZ104)</f>
        <v>3272.09</v>
      </c>
    </row>
    <row r="103" spans="1:83" ht="14.25">
      <c r="A103" s="47"/>
      <c r="B103" s="47" t="s">
        <v>49</v>
      </c>
      <c r="C103" s="47" t="s">
        <v>392</v>
      </c>
      <c r="D103" s="48" t="s">
        <v>106</v>
      </c>
      <c r="E103" s="49">
        <f>Source!CA27</f>
        <v>60</v>
      </c>
      <c r="F103" s="49"/>
      <c r="G103" s="49">
        <f>Source!AU27</f>
        <v>60</v>
      </c>
      <c r="H103" s="50"/>
      <c r="I103" s="51"/>
      <c r="J103" s="50"/>
      <c r="K103" s="51"/>
      <c r="L103" s="50">
        <f>SUM(BA92:BA104)</f>
        <v>1906.07</v>
      </c>
    </row>
    <row r="104" spans="1:83" ht="15">
      <c r="C104" s="103" t="s">
        <v>382</v>
      </c>
      <c r="D104" s="103"/>
      <c r="E104" s="103"/>
      <c r="F104" s="103"/>
      <c r="G104" s="103"/>
      <c r="H104" s="103"/>
      <c r="I104" s="104">
        <f>IF(E92&lt;&gt;0,K104/E92, 0)</f>
        <v>374.60249999999996</v>
      </c>
      <c r="J104" s="104"/>
      <c r="K104" s="104">
        <f>L93+L95+L102+L103+L96</f>
        <v>10488.869999999999</v>
      </c>
      <c r="L104" s="104"/>
      <c r="AD104">
        <f>ROUND((Source!AT27/100)*((ROUND(SUMIF(SmtRes!AQ14:'SmtRes'!AQ17,"=1",SmtRes!AD14:'SmtRes'!AD17)*Source!I27, 2)+ROUND(SUMIF(SmtRes!AQ14:'SmtRes'!AQ17,"=1",SmtRes!AC14:'SmtRes'!AC17)*Source!I27, 2))), 2)</f>
        <v>21616.45</v>
      </c>
      <c r="AE104">
        <f>ROUND((Source!AU27/100)*((ROUND(SUMIF(SmtRes!AQ14:'SmtRes'!AQ17,"=1",SmtRes!AD14:'SmtRes'!AD17)*Source!I27, 2)+ROUND(SUMIF(SmtRes!AQ14:'SmtRes'!AQ17,"=1",SmtRes!AC14:'SmtRes'!AC17)*Source!I27, 2))), 2)</f>
        <v>12592.1</v>
      </c>
      <c r="AN104" s="52">
        <f>L93+L95+L102+L103+L96</f>
        <v>10488.869999999999</v>
      </c>
      <c r="AO104" s="52">
        <f>L95</f>
        <v>2133.92</v>
      </c>
      <c r="AQ104" t="s">
        <v>383</v>
      </c>
      <c r="AR104" s="52">
        <f>L93</f>
        <v>1929.42</v>
      </c>
      <c r="AT104" s="52">
        <f>L96</f>
        <v>1247.3699999999999</v>
      </c>
      <c r="AV104" t="s">
        <v>383</v>
      </c>
      <c r="AW104">
        <f>0</f>
        <v>0</v>
      </c>
      <c r="AZ104">
        <f>Source!X27</f>
        <v>3272.09</v>
      </c>
      <c r="BA104">
        <f>Source!Y27</f>
        <v>1906.07</v>
      </c>
      <c r="CD104">
        <v>1</v>
      </c>
    </row>
    <row r="105" spans="1:83" ht="57">
      <c r="A105" s="37" t="s">
        <v>50</v>
      </c>
      <c r="B105" s="39" t="s">
        <v>393</v>
      </c>
      <c r="C105" s="39" t="str">
        <f>Source!G28</f>
        <v>Развозка конструкций и материалов опор ВЛ 0,38-10 кВ по трассе: материалов оснастки одностоечных опор</v>
      </c>
      <c r="D105" s="40" t="str">
        <f>Source!H28</f>
        <v>ШТ</v>
      </c>
      <c r="E105" s="41">
        <f>Source!K28</f>
        <v>28</v>
      </c>
      <c r="F105" s="41"/>
      <c r="G105" s="41">
        <f>Source!I28</f>
        <v>28</v>
      </c>
      <c r="H105" s="43"/>
      <c r="I105" s="42"/>
      <c r="J105" s="43"/>
      <c r="K105" s="42"/>
      <c r="L105" s="43"/>
    </row>
    <row r="106" spans="1:83" ht="15">
      <c r="A106" s="38"/>
      <c r="B106" s="41">
        <v>1</v>
      </c>
      <c r="C106" s="38" t="s">
        <v>374</v>
      </c>
      <c r="D106" s="40" t="s">
        <v>256</v>
      </c>
      <c r="E106" s="45"/>
      <c r="F106" s="41"/>
      <c r="G106" s="41">
        <f>Source!U28</f>
        <v>7</v>
      </c>
      <c r="H106" s="41"/>
      <c r="I106" s="41"/>
      <c r="J106" s="41"/>
      <c r="K106" s="41"/>
      <c r="L106" s="46">
        <f>SUM(L107:L107)-SUMIF(CE107:CE107, 1, L107:L107)</f>
        <v>2411.7800000000002</v>
      </c>
    </row>
    <row r="107" spans="1:83" ht="14.25">
      <c r="A107" s="39"/>
      <c r="B107" s="39" t="s">
        <v>288</v>
      </c>
      <c r="C107" s="39" t="s">
        <v>289</v>
      </c>
      <c r="D107" s="40" t="s">
        <v>256</v>
      </c>
      <c r="E107" s="41">
        <v>0.25</v>
      </c>
      <c r="F107" s="41"/>
      <c r="G107" s="41">
        <f>SmtRes!CX18</f>
        <v>7</v>
      </c>
      <c r="H107" s="43"/>
      <c r="I107" s="42"/>
      <c r="J107" s="43">
        <f>SmtRes!CZ18</f>
        <v>344.54</v>
      </c>
      <c r="K107" s="42"/>
      <c r="L107" s="43">
        <f>SmtRes!DI18</f>
        <v>2411.7800000000002</v>
      </c>
    </row>
    <row r="108" spans="1:83" ht="15">
      <c r="A108" s="38"/>
      <c r="B108" s="41">
        <v>2</v>
      </c>
      <c r="C108" s="38" t="s">
        <v>375</v>
      </c>
      <c r="D108" s="40"/>
      <c r="E108" s="45"/>
      <c r="F108" s="41"/>
      <c r="G108" s="41"/>
      <c r="H108" s="41"/>
      <c r="I108" s="41"/>
      <c r="J108" s="41"/>
      <c r="K108" s="41"/>
      <c r="L108" s="46">
        <f>SUM(L109:L112)-SUMIF(CE109:CE112, 1, L109:L112)</f>
        <v>2715.8900000000003</v>
      </c>
    </row>
    <row r="109" spans="1:83" ht="15">
      <c r="A109" s="38"/>
      <c r="B109" s="41"/>
      <c r="C109" s="38" t="s">
        <v>377</v>
      </c>
      <c r="D109" s="40" t="s">
        <v>256</v>
      </c>
      <c r="E109" s="45"/>
      <c r="F109" s="41"/>
      <c r="G109" s="41">
        <f>Source!V28</f>
        <v>3.92</v>
      </c>
      <c r="H109" s="41"/>
      <c r="I109" s="41"/>
      <c r="J109" s="41"/>
      <c r="K109" s="41"/>
      <c r="L109" s="46">
        <f>SUMIF(CE110:CE112, 1, L110:L112)</f>
        <v>1587.56</v>
      </c>
      <c r="CE109">
        <v>1</v>
      </c>
    </row>
    <row r="110" spans="1:83" ht="28.5">
      <c r="A110" s="39"/>
      <c r="B110" s="39" t="s">
        <v>290</v>
      </c>
      <c r="C110" s="39" t="s">
        <v>292</v>
      </c>
      <c r="D110" s="40" t="s">
        <v>262</v>
      </c>
      <c r="E110" s="41">
        <v>0.14000000000000001</v>
      </c>
      <c r="F110" s="41"/>
      <c r="G110" s="41">
        <f>SmtRes!CX20</f>
        <v>3.92</v>
      </c>
      <c r="H110" s="43"/>
      <c r="I110" s="42"/>
      <c r="J110" s="43">
        <f>SmtRes!CZ20</f>
        <v>14.59</v>
      </c>
      <c r="K110" s="42"/>
      <c r="L110" s="43">
        <f>SmtRes!DG20</f>
        <v>57.19</v>
      </c>
    </row>
    <row r="111" spans="1:83" ht="28.5">
      <c r="A111" s="39"/>
      <c r="B111" s="39" t="s">
        <v>293</v>
      </c>
      <c r="C111" s="39" t="s">
        <v>295</v>
      </c>
      <c r="D111" s="40" t="s">
        <v>262</v>
      </c>
      <c r="E111" s="41">
        <v>0.14000000000000001</v>
      </c>
      <c r="F111" s="41"/>
      <c r="G111" s="41">
        <f>SmtRes!CX21</f>
        <v>3.92</v>
      </c>
      <c r="H111" s="43">
        <f>SmtRes!CZ21</f>
        <v>487.94</v>
      </c>
      <c r="I111" s="42">
        <f>SmtRes!AJ21</f>
        <v>1.39</v>
      </c>
      <c r="J111" s="43">
        <f>ROUND(H111*I111, 2)</f>
        <v>678.24</v>
      </c>
      <c r="K111" s="42"/>
      <c r="L111" s="43">
        <f>SmtRes!DG21</f>
        <v>2658.7</v>
      </c>
    </row>
    <row r="112" spans="1:83" ht="28.5">
      <c r="A112" s="39"/>
      <c r="B112" s="39" t="s">
        <v>296</v>
      </c>
      <c r="C112" s="47" t="s">
        <v>390</v>
      </c>
      <c r="D112" s="48" t="s">
        <v>256</v>
      </c>
      <c r="E112" s="49">
        <f>SmtRes!DO21*SmtRes!AT21</f>
        <v>0.14000000000000001</v>
      </c>
      <c r="F112" s="49"/>
      <c r="G112" s="49">
        <f>ROUND(E112*G105, 7)</f>
        <v>3.92</v>
      </c>
      <c r="H112" s="50"/>
      <c r="I112" s="51"/>
      <c r="J112" s="50">
        <f>ROUND(SmtRes!AG21/SmtRes!DO21, 2)</f>
        <v>404.99</v>
      </c>
      <c r="K112" s="51"/>
      <c r="L112" s="50">
        <f>SmtRes!DH21</f>
        <v>1587.56</v>
      </c>
      <c r="CE112">
        <v>1</v>
      </c>
    </row>
    <row r="113" spans="1:83" ht="15">
      <c r="A113" s="39"/>
      <c r="B113" s="39"/>
      <c r="C113" s="54" t="s">
        <v>378</v>
      </c>
      <c r="D113" s="40"/>
      <c r="E113" s="41"/>
      <c r="F113" s="41"/>
      <c r="G113" s="41"/>
      <c r="H113" s="43"/>
      <c r="I113" s="42"/>
      <c r="J113" s="43"/>
      <c r="K113" s="42"/>
      <c r="L113" s="43">
        <f>L106+L108+L109</f>
        <v>6715.23</v>
      </c>
    </row>
    <row r="114" spans="1:83" ht="14.25">
      <c r="A114" s="39"/>
      <c r="B114" s="39"/>
      <c r="C114" s="39" t="s">
        <v>379</v>
      </c>
      <c r="D114" s="40"/>
      <c r="E114" s="41"/>
      <c r="F114" s="41"/>
      <c r="G114" s="41"/>
      <c r="H114" s="43"/>
      <c r="I114" s="42"/>
      <c r="J114" s="43"/>
      <c r="K114" s="42"/>
      <c r="L114" s="43">
        <f>SUM(AR105:AR117)+SUM(AS105:AS117)+SUM(AT105:AT117)+SUM(AU105:AU117)+SUM(AV105:AV117)</f>
        <v>3999.34</v>
      </c>
    </row>
    <row r="115" spans="1:83" ht="14.25">
      <c r="A115" s="39"/>
      <c r="B115" s="39" t="s">
        <v>48</v>
      </c>
      <c r="C115" s="39" t="s">
        <v>391</v>
      </c>
      <c r="D115" s="40" t="s">
        <v>106</v>
      </c>
      <c r="E115" s="41">
        <f>Source!BZ28</f>
        <v>103</v>
      </c>
      <c r="F115" s="41"/>
      <c r="G115" s="41">
        <f>Source!AT28</f>
        <v>103</v>
      </c>
      <c r="H115" s="43"/>
      <c r="I115" s="42"/>
      <c r="J115" s="43"/>
      <c r="K115" s="42"/>
      <c r="L115" s="43">
        <f>SUM(AZ105:AZ117)</f>
        <v>4119.32</v>
      </c>
    </row>
    <row r="116" spans="1:83" ht="14.25">
      <c r="A116" s="47"/>
      <c r="B116" s="47" t="s">
        <v>49</v>
      </c>
      <c r="C116" s="47" t="s">
        <v>392</v>
      </c>
      <c r="D116" s="48" t="s">
        <v>106</v>
      </c>
      <c r="E116" s="49">
        <f>Source!CA28</f>
        <v>60</v>
      </c>
      <c r="F116" s="49"/>
      <c r="G116" s="49">
        <f>Source!AU28</f>
        <v>60</v>
      </c>
      <c r="H116" s="50"/>
      <c r="I116" s="51"/>
      <c r="J116" s="50"/>
      <c r="K116" s="51"/>
      <c r="L116" s="50">
        <f>SUM(BA105:BA117)</f>
        <v>2399.6</v>
      </c>
    </row>
    <row r="117" spans="1:83" ht="15">
      <c r="C117" s="103" t="s">
        <v>382</v>
      </c>
      <c r="D117" s="103"/>
      <c r="E117" s="103"/>
      <c r="F117" s="103"/>
      <c r="G117" s="103"/>
      <c r="H117" s="103"/>
      <c r="I117" s="104">
        <f>IF(E105&lt;&gt;0,K117/E105, 0)</f>
        <v>472.64821428571429</v>
      </c>
      <c r="J117" s="104"/>
      <c r="K117" s="104">
        <f>L106+L108+L115+L116+L109</f>
        <v>13234.15</v>
      </c>
      <c r="L117" s="104"/>
      <c r="AD117">
        <f>ROUND((Source!AT28/100)*((ROUND(SUMIF(SmtRes!AQ18:'SmtRes'!AQ21,"=1",SmtRes!AD18:'SmtRes'!AD21)*Source!I28, 2)+ROUND(SUMIF(SmtRes!AQ18:'SmtRes'!AQ21,"=1",SmtRes!AC18:'SmtRes'!AC21)*Source!I28, 2))), 2)</f>
        <v>21616.45</v>
      </c>
      <c r="AE117">
        <f>ROUND((Source!AU28/100)*((ROUND(SUMIF(SmtRes!AQ18:'SmtRes'!AQ21,"=1",SmtRes!AD18:'SmtRes'!AD21)*Source!I28, 2)+ROUND(SUMIF(SmtRes!AQ18:'SmtRes'!AQ21,"=1",SmtRes!AC18:'SmtRes'!AC21)*Source!I28, 2))), 2)</f>
        <v>12592.1</v>
      </c>
      <c r="AN117" s="52">
        <f>L106+L108+L115+L116+L109</f>
        <v>13234.15</v>
      </c>
      <c r="AO117" s="52">
        <f>L108</f>
        <v>2715.8900000000003</v>
      </c>
      <c r="AQ117" t="s">
        <v>383</v>
      </c>
      <c r="AR117" s="52">
        <f>L106</f>
        <v>2411.7800000000002</v>
      </c>
      <c r="AT117" s="52">
        <f>L109</f>
        <v>1587.56</v>
      </c>
      <c r="AV117" t="s">
        <v>383</v>
      </c>
      <c r="AW117">
        <f>0</f>
        <v>0</v>
      </c>
      <c r="AZ117">
        <f>Source!X28</f>
        <v>4119.32</v>
      </c>
      <c r="BA117">
        <f>Source!Y28</f>
        <v>2399.6</v>
      </c>
      <c r="CD117">
        <v>1</v>
      </c>
    </row>
    <row r="118" spans="1:83" ht="42.75">
      <c r="A118" s="37" t="s">
        <v>54</v>
      </c>
      <c r="B118" s="39" t="s">
        <v>394</v>
      </c>
      <c r="C118" s="39" t="str">
        <f>Source!G29</f>
        <v>Разработка грунта в отвал экскаваторами, вместимость ковша 0,25 м3, группа грунтов: 2</v>
      </c>
      <c r="D118" s="40" t="str">
        <f>Source!H29</f>
        <v>1000 м3</v>
      </c>
      <c r="E118" s="41">
        <f>Source!K29</f>
        <v>0.1018</v>
      </c>
      <c r="F118" s="41"/>
      <c r="G118" s="41">
        <f>Source!I29</f>
        <v>0.1018</v>
      </c>
      <c r="H118" s="43"/>
      <c r="I118" s="42"/>
      <c r="J118" s="43"/>
      <c r="K118" s="42"/>
      <c r="L118" s="43"/>
    </row>
    <row r="119" spans="1:83">
      <c r="C119" s="44" t="str">
        <f>"Объем: "&amp;Source!I29&amp;"=101,8/"&amp;"1000"</f>
        <v>Объем: 0,1018=101,8/1000</v>
      </c>
    </row>
    <row r="120" spans="1:83" ht="15">
      <c r="A120" s="38"/>
      <c r="B120" s="41">
        <v>1</v>
      </c>
      <c r="C120" s="38" t="s">
        <v>374</v>
      </c>
      <c r="D120" s="40" t="s">
        <v>256</v>
      </c>
      <c r="E120" s="45"/>
      <c r="F120" s="41"/>
      <c r="G120" s="41">
        <f>Source!U29</f>
        <v>0.90907400000000005</v>
      </c>
      <c r="H120" s="41"/>
      <c r="I120" s="41"/>
      <c r="J120" s="41"/>
      <c r="K120" s="41"/>
      <c r="L120" s="46">
        <f>SUM(L121:L121)-SUMIF(CE121:CE121, 1, L121:L121)</f>
        <v>299.48</v>
      </c>
    </row>
    <row r="121" spans="1:83" ht="14.25">
      <c r="A121" s="39"/>
      <c r="B121" s="39" t="s">
        <v>254</v>
      </c>
      <c r="C121" s="39" t="s">
        <v>255</v>
      </c>
      <c r="D121" s="40" t="s">
        <v>256</v>
      </c>
      <c r="E121" s="41">
        <v>8.93</v>
      </c>
      <c r="F121" s="41"/>
      <c r="G121" s="41">
        <f>SmtRes!CX22</f>
        <v>0.90907400000000005</v>
      </c>
      <c r="H121" s="43"/>
      <c r="I121" s="42"/>
      <c r="J121" s="43">
        <f>SmtRes!CZ22</f>
        <v>329.43</v>
      </c>
      <c r="K121" s="42"/>
      <c r="L121" s="43">
        <f>SmtRes!DI22</f>
        <v>299.48</v>
      </c>
    </row>
    <row r="122" spans="1:83" ht="15">
      <c r="A122" s="38"/>
      <c r="B122" s="41">
        <v>2</v>
      </c>
      <c r="C122" s="38" t="s">
        <v>375</v>
      </c>
      <c r="D122" s="40"/>
      <c r="E122" s="45"/>
      <c r="F122" s="41"/>
      <c r="G122" s="41"/>
      <c r="H122" s="41"/>
      <c r="I122" s="41"/>
      <c r="J122" s="41"/>
      <c r="K122" s="41"/>
      <c r="L122" s="46">
        <f>SUM(L123:L125)-SUMIF(CE123:CE125, 1, L123:L125)</f>
        <v>4379.3399999999992</v>
      </c>
    </row>
    <row r="123" spans="1:83" ht="15">
      <c r="A123" s="38"/>
      <c r="B123" s="41"/>
      <c r="C123" s="38" t="s">
        <v>377</v>
      </c>
      <c r="D123" s="40" t="s">
        <v>256</v>
      </c>
      <c r="E123" s="45"/>
      <c r="F123" s="41"/>
      <c r="G123" s="41">
        <f>Source!V29</f>
        <v>4.7326819999999996</v>
      </c>
      <c r="H123" s="41"/>
      <c r="I123" s="41"/>
      <c r="J123" s="41"/>
      <c r="K123" s="41"/>
      <c r="L123" s="46">
        <f>SUMIF(CE124:CE125, 1, L124:L125)</f>
        <v>2202.73</v>
      </c>
      <c r="CE123">
        <v>1</v>
      </c>
    </row>
    <row r="124" spans="1:83" ht="42.75">
      <c r="A124" s="39"/>
      <c r="B124" s="39" t="s">
        <v>297</v>
      </c>
      <c r="C124" s="39" t="s">
        <v>299</v>
      </c>
      <c r="D124" s="40" t="s">
        <v>262</v>
      </c>
      <c r="E124" s="41">
        <v>46.49</v>
      </c>
      <c r="F124" s="41"/>
      <c r="G124" s="41">
        <f>SmtRes!CX24</f>
        <v>4.7326819999999996</v>
      </c>
      <c r="H124" s="43">
        <f>SmtRes!CZ24</f>
        <v>675.43</v>
      </c>
      <c r="I124" s="42">
        <f>SmtRes!AJ24</f>
        <v>1.37</v>
      </c>
      <c r="J124" s="43">
        <f>ROUND(H124*I124, 2)</f>
        <v>925.34</v>
      </c>
      <c r="K124" s="42"/>
      <c r="L124" s="43">
        <f>SmtRes!DG24</f>
        <v>4379.34</v>
      </c>
    </row>
    <row r="125" spans="1:83" ht="28.5">
      <c r="A125" s="39"/>
      <c r="B125" s="39" t="s">
        <v>263</v>
      </c>
      <c r="C125" s="47" t="s">
        <v>376</v>
      </c>
      <c r="D125" s="48" t="s">
        <v>256</v>
      </c>
      <c r="E125" s="49">
        <f>SmtRes!DO24*SmtRes!AT24</f>
        <v>46.49</v>
      </c>
      <c r="F125" s="49"/>
      <c r="G125" s="49">
        <f>ROUND(E125*G118, 7)</f>
        <v>4.7326819999999996</v>
      </c>
      <c r="H125" s="50"/>
      <c r="I125" s="51"/>
      <c r="J125" s="50">
        <f>ROUND(SmtRes!AG24/SmtRes!DO24, 2)</f>
        <v>465.43</v>
      </c>
      <c r="K125" s="51"/>
      <c r="L125" s="50">
        <f>SmtRes!DH24</f>
        <v>2202.73</v>
      </c>
      <c r="CE125">
        <v>1</v>
      </c>
    </row>
    <row r="126" spans="1:83" ht="15">
      <c r="A126" s="39"/>
      <c r="B126" s="39"/>
      <c r="C126" s="54" t="s">
        <v>378</v>
      </c>
      <c r="D126" s="40"/>
      <c r="E126" s="41"/>
      <c r="F126" s="41"/>
      <c r="G126" s="41"/>
      <c r="H126" s="43"/>
      <c r="I126" s="42"/>
      <c r="J126" s="43"/>
      <c r="K126" s="42"/>
      <c r="L126" s="43">
        <f>L120+L122+L123</f>
        <v>6881.5499999999993</v>
      </c>
    </row>
    <row r="127" spans="1:83" ht="14.25">
      <c r="A127" s="39"/>
      <c r="B127" s="39"/>
      <c r="C127" s="39" t="s">
        <v>379</v>
      </c>
      <c r="D127" s="40"/>
      <c r="E127" s="41"/>
      <c r="F127" s="41"/>
      <c r="G127" s="41"/>
      <c r="H127" s="43"/>
      <c r="I127" s="42"/>
      <c r="J127" s="43"/>
      <c r="K127" s="42"/>
      <c r="L127" s="43">
        <f>SUM(AR118:AR130)+SUM(AS118:AS130)+SUM(AT118:AT130)+SUM(AU118:AU130)+SUM(AV118:AV130)</f>
        <v>2502.21</v>
      </c>
    </row>
    <row r="128" spans="1:83" ht="28.5">
      <c r="A128" s="39"/>
      <c r="B128" s="39" t="s">
        <v>60</v>
      </c>
      <c r="C128" s="39" t="s">
        <v>395</v>
      </c>
      <c r="D128" s="40" t="s">
        <v>106</v>
      </c>
      <c r="E128" s="41">
        <f>Source!BZ29</f>
        <v>92</v>
      </c>
      <c r="F128" s="41"/>
      <c r="G128" s="41">
        <f>Source!AT29</f>
        <v>92</v>
      </c>
      <c r="H128" s="43"/>
      <c r="I128" s="42"/>
      <c r="J128" s="43"/>
      <c r="K128" s="42"/>
      <c r="L128" s="43">
        <f>SUM(AZ118:AZ130)</f>
        <v>2302.0300000000002</v>
      </c>
    </row>
    <row r="129" spans="1:83" ht="28.5">
      <c r="A129" s="47"/>
      <c r="B129" s="47" t="s">
        <v>61</v>
      </c>
      <c r="C129" s="47" t="s">
        <v>396</v>
      </c>
      <c r="D129" s="48" t="s">
        <v>106</v>
      </c>
      <c r="E129" s="49">
        <f>Source!CA29</f>
        <v>46</v>
      </c>
      <c r="F129" s="49"/>
      <c r="G129" s="49">
        <f>Source!AU29</f>
        <v>46</v>
      </c>
      <c r="H129" s="50"/>
      <c r="I129" s="51"/>
      <c r="J129" s="50"/>
      <c r="K129" s="51"/>
      <c r="L129" s="50">
        <f>SUM(BA118:BA130)</f>
        <v>1151.02</v>
      </c>
    </row>
    <row r="130" spans="1:83" ht="15">
      <c r="C130" s="103" t="s">
        <v>382</v>
      </c>
      <c r="D130" s="103"/>
      <c r="E130" s="103"/>
      <c r="F130" s="103"/>
      <c r="G130" s="103"/>
      <c r="H130" s="103"/>
      <c r="I130" s="104">
        <f>IF(E118&lt;&gt;0,K130/E118, 0)</f>
        <v>101518.66404715128</v>
      </c>
      <c r="J130" s="104"/>
      <c r="K130" s="104">
        <f>L120+L122+L128+L129+L123</f>
        <v>10334.6</v>
      </c>
      <c r="L130" s="104"/>
      <c r="AD130">
        <f>ROUND((Source!AT29/100)*((ROUND(SUMIF(SmtRes!AQ22:'SmtRes'!AQ24,"=1",SmtRes!AD22:'SmtRes'!AD24)*Source!I29, 2)+ROUND(SUMIF(SmtRes!AQ22:'SmtRes'!AQ24,"=1",SmtRes!AC22:'SmtRes'!AC24)*Source!I29, 2))), 2)</f>
        <v>74.45</v>
      </c>
      <c r="AE130">
        <f>ROUND((Source!AU29/100)*((ROUND(SUMIF(SmtRes!AQ22:'SmtRes'!AQ24,"=1",SmtRes!AD22:'SmtRes'!AD24)*Source!I29, 2)+ROUND(SUMIF(SmtRes!AQ22:'SmtRes'!AQ24,"=1",SmtRes!AC22:'SmtRes'!AC24)*Source!I29, 2))), 2)</f>
        <v>37.22</v>
      </c>
      <c r="AN130" s="52">
        <f>L120+L122+L128+L129+L123</f>
        <v>10334.6</v>
      </c>
      <c r="AO130" s="52">
        <f>L122</f>
        <v>4379.3399999999992</v>
      </c>
      <c r="AQ130" t="s">
        <v>383</v>
      </c>
      <c r="AR130" s="52">
        <f>L120</f>
        <v>299.48</v>
      </c>
      <c r="AT130" s="52">
        <f>L123</f>
        <v>2202.73</v>
      </c>
      <c r="AV130" t="s">
        <v>383</v>
      </c>
      <c r="AW130">
        <f>0</f>
        <v>0</v>
      </c>
      <c r="AZ130">
        <f>Source!X29</f>
        <v>2302.0300000000002</v>
      </c>
      <c r="BA130">
        <f>Source!Y29</f>
        <v>1151.02</v>
      </c>
      <c r="CD130">
        <v>1</v>
      </c>
    </row>
    <row r="131" spans="1:83" ht="57">
      <c r="A131" s="37" t="s">
        <v>62</v>
      </c>
      <c r="B131" s="39" t="s">
        <v>397</v>
      </c>
      <c r="C131" s="39" t="str">
        <f>Source!G30</f>
        <v>Засыпка траншей и котлованов с перемещением грунта до 5 м бульдозерами мощностью: 59 кВт (80 л.с.), группа грунтов 2</v>
      </c>
      <c r="D131" s="40" t="str">
        <f>Source!H30</f>
        <v>1000 м3</v>
      </c>
      <c r="E131" s="41">
        <f>Source!K30</f>
        <v>0.1018</v>
      </c>
      <c r="F131" s="41"/>
      <c r="G131" s="41">
        <f>Source!I30</f>
        <v>0.1018</v>
      </c>
      <c r="H131" s="43"/>
      <c r="I131" s="42"/>
      <c r="J131" s="43"/>
      <c r="K131" s="42"/>
      <c r="L131" s="43"/>
    </row>
    <row r="132" spans="1:83">
      <c r="C132" s="44" t="str">
        <f>"Объем: "&amp;Source!I30&amp;"=101,8/"&amp;"1000"</f>
        <v>Объем: 0,1018=101,8/1000</v>
      </c>
    </row>
    <row r="133" spans="1:83" ht="15">
      <c r="A133" s="38"/>
      <c r="B133" s="41">
        <v>2</v>
      </c>
      <c r="C133" s="38" t="s">
        <v>375</v>
      </c>
      <c r="D133" s="40"/>
      <c r="E133" s="45"/>
      <c r="F133" s="41"/>
      <c r="G133" s="41"/>
      <c r="H133" s="41"/>
      <c r="I133" s="41"/>
      <c r="J133" s="41"/>
      <c r="K133" s="41"/>
      <c r="L133" s="46">
        <f>SUM(L134:L136)-SUMIF(CE134:CE136, 1, L134:L136)</f>
        <v>978.49999999999977</v>
      </c>
    </row>
    <row r="134" spans="1:83" ht="15">
      <c r="A134" s="38"/>
      <c r="B134" s="41"/>
      <c r="C134" s="38" t="s">
        <v>377</v>
      </c>
      <c r="D134" s="40" t="s">
        <v>256</v>
      </c>
      <c r="E134" s="45"/>
      <c r="F134" s="41"/>
      <c r="G134" s="41">
        <f>Source!V30</f>
        <v>0.82050800000000002</v>
      </c>
      <c r="H134" s="41"/>
      <c r="I134" s="41"/>
      <c r="J134" s="41"/>
      <c r="K134" s="41"/>
      <c r="L134" s="46">
        <f>SUMIF(CE135:CE136, 1, L135:L136)</f>
        <v>381.89</v>
      </c>
      <c r="CE134">
        <v>1</v>
      </c>
    </row>
    <row r="135" spans="1:83" ht="14.25">
      <c r="A135" s="39"/>
      <c r="B135" s="39" t="s">
        <v>266</v>
      </c>
      <c r="C135" s="39" t="s">
        <v>268</v>
      </c>
      <c r="D135" s="40" t="s">
        <v>262</v>
      </c>
      <c r="E135" s="41">
        <v>8.06</v>
      </c>
      <c r="F135" s="41"/>
      <c r="G135" s="41">
        <f>SmtRes!CX26</f>
        <v>0.82050800000000002</v>
      </c>
      <c r="H135" s="43">
        <f>SmtRes!CZ26</f>
        <v>828.16</v>
      </c>
      <c r="I135" s="42">
        <f>SmtRes!AJ26</f>
        <v>1.44</v>
      </c>
      <c r="J135" s="43">
        <f>ROUND(H135*I135, 2)</f>
        <v>1192.55</v>
      </c>
      <c r="K135" s="42"/>
      <c r="L135" s="43">
        <f>SmtRes!DG26</f>
        <v>978.5</v>
      </c>
    </row>
    <row r="136" spans="1:83" ht="28.5">
      <c r="A136" s="39"/>
      <c r="B136" s="39" t="s">
        <v>263</v>
      </c>
      <c r="C136" s="47" t="s">
        <v>376</v>
      </c>
      <c r="D136" s="48" t="s">
        <v>256</v>
      </c>
      <c r="E136" s="49">
        <f>SmtRes!DO26*SmtRes!AT26</f>
        <v>8.06</v>
      </c>
      <c r="F136" s="49"/>
      <c r="G136" s="49">
        <f>ROUND(E136*G131, 7)</f>
        <v>0.82050800000000002</v>
      </c>
      <c r="H136" s="50"/>
      <c r="I136" s="51"/>
      <c r="J136" s="50">
        <f>ROUND(SmtRes!AG26/SmtRes!DO26, 2)</f>
        <v>465.43</v>
      </c>
      <c r="K136" s="51"/>
      <c r="L136" s="50">
        <f>SmtRes!DH26</f>
        <v>381.89</v>
      </c>
      <c r="CE136">
        <v>1</v>
      </c>
    </row>
    <row r="137" spans="1:83" ht="15">
      <c r="A137" s="39"/>
      <c r="B137" s="39"/>
      <c r="C137" s="54" t="s">
        <v>378</v>
      </c>
      <c r="D137" s="40"/>
      <c r="E137" s="41"/>
      <c r="F137" s="41"/>
      <c r="G137" s="41"/>
      <c r="H137" s="43"/>
      <c r="I137" s="42"/>
      <c r="J137" s="43"/>
      <c r="K137" s="42"/>
      <c r="L137" s="43">
        <f>L133+L134</f>
        <v>1360.3899999999999</v>
      </c>
    </row>
    <row r="138" spans="1:83" ht="14.25">
      <c r="A138" s="39"/>
      <c r="B138" s="39"/>
      <c r="C138" s="39" t="s">
        <v>379</v>
      </c>
      <c r="D138" s="40"/>
      <c r="E138" s="41"/>
      <c r="F138" s="41"/>
      <c r="G138" s="41"/>
      <c r="H138" s="43"/>
      <c r="I138" s="42"/>
      <c r="J138" s="43"/>
      <c r="K138" s="42"/>
      <c r="L138" s="43">
        <f>SUM(AR131:AR141)+SUM(AS131:AS141)+SUM(AT131:AT141)+SUM(AU131:AU141)+SUM(AV131:AV141)</f>
        <v>381.89</v>
      </c>
    </row>
    <row r="139" spans="1:83" ht="28.5">
      <c r="A139" s="39"/>
      <c r="B139" s="39" t="s">
        <v>60</v>
      </c>
      <c r="C139" s="39" t="s">
        <v>395</v>
      </c>
      <c r="D139" s="40" t="s">
        <v>106</v>
      </c>
      <c r="E139" s="41">
        <f>Source!BZ30</f>
        <v>92</v>
      </c>
      <c r="F139" s="41"/>
      <c r="G139" s="41">
        <f>Source!AT30</f>
        <v>92</v>
      </c>
      <c r="H139" s="43"/>
      <c r="I139" s="42"/>
      <c r="J139" s="43"/>
      <c r="K139" s="42"/>
      <c r="L139" s="43">
        <f>SUM(AZ131:AZ141)</f>
        <v>351.34</v>
      </c>
    </row>
    <row r="140" spans="1:83" ht="28.5">
      <c r="A140" s="47"/>
      <c r="B140" s="47" t="s">
        <v>61</v>
      </c>
      <c r="C140" s="47" t="s">
        <v>396</v>
      </c>
      <c r="D140" s="48" t="s">
        <v>106</v>
      </c>
      <c r="E140" s="49">
        <f>Source!CA30</f>
        <v>46</v>
      </c>
      <c r="F140" s="49"/>
      <c r="G140" s="49">
        <f>Source!AU30</f>
        <v>46</v>
      </c>
      <c r="H140" s="50"/>
      <c r="I140" s="51"/>
      <c r="J140" s="50"/>
      <c r="K140" s="51"/>
      <c r="L140" s="50">
        <f>SUM(BA131:BA141)</f>
        <v>175.67</v>
      </c>
    </row>
    <row r="141" spans="1:83" ht="15">
      <c r="C141" s="103" t="s">
        <v>382</v>
      </c>
      <c r="D141" s="103"/>
      <c r="E141" s="103"/>
      <c r="F141" s="103"/>
      <c r="G141" s="103"/>
      <c r="H141" s="103"/>
      <c r="I141" s="104">
        <f>IF(E131&lt;&gt;0,K141/E131, 0)</f>
        <v>18540.275049115909</v>
      </c>
      <c r="J141" s="104"/>
      <c r="K141" s="104">
        <f>L133+L139+L140+L134</f>
        <v>1887.3999999999996</v>
      </c>
      <c r="L141" s="104"/>
      <c r="AD141">
        <f>ROUND((Source!AT30/100)*((ROUND(SUMIF(SmtRes!AQ25:'SmtRes'!AQ26,"=1",SmtRes!AD25:'SmtRes'!AD26)*Source!I30, 2)+ROUND(SUMIF(SmtRes!AQ25:'SmtRes'!AQ26,"=1",SmtRes!AC25:'SmtRes'!AC26)*Source!I30, 2))), 2)</f>
        <v>43.59</v>
      </c>
      <c r="AE141">
        <f>ROUND((Source!AU30/100)*((ROUND(SUMIF(SmtRes!AQ25:'SmtRes'!AQ26,"=1",SmtRes!AD25:'SmtRes'!AD26)*Source!I30, 2)+ROUND(SUMIF(SmtRes!AQ25:'SmtRes'!AQ26,"=1",SmtRes!AC25:'SmtRes'!AC26)*Source!I30, 2))), 2)</f>
        <v>21.79</v>
      </c>
      <c r="AN141" s="52">
        <f>L133+L139+L140+L134</f>
        <v>1887.3999999999996</v>
      </c>
      <c r="AO141" s="52">
        <f>L133</f>
        <v>978.49999999999977</v>
      </c>
      <c r="AQ141" t="s">
        <v>383</v>
      </c>
      <c r="AR141">
        <f>0</f>
        <v>0</v>
      </c>
      <c r="AT141" s="52">
        <f>L134</f>
        <v>381.89</v>
      </c>
      <c r="AV141" t="s">
        <v>383</v>
      </c>
      <c r="AW141">
        <f>0</f>
        <v>0</v>
      </c>
      <c r="AZ141">
        <f>Source!X30</f>
        <v>351.34</v>
      </c>
      <c r="BA141">
        <f>Source!Y30</f>
        <v>175.67</v>
      </c>
      <c r="CD141">
        <v>1</v>
      </c>
    </row>
    <row r="142" spans="1:83" ht="82.5">
      <c r="A142" s="37" t="s">
        <v>66</v>
      </c>
      <c r="B142" s="39" t="s">
        <v>398</v>
      </c>
      <c r="C142" s="39" t="s">
        <v>399</v>
      </c>
      <c r="D142" s="40" t="str">
        <f>Source!H31</f>
        <v>ШТ</v>
      </c>
      <c r="E142" s="41">
        <f>Source!K31</f>
        <v>32</v>
      </c>
      <c r="F142" s="41"/>
      <c r="G142" s="41">
        <f>Source!I31</f>
        <v>32</v>
      </c>
      <c r="H142" s="43"/>
      <c r="I142" s="42"/>
      <c r="J142" s="43"/>
      <c r="K142" s="42"/>
      <c r="L142" s="43"/>
    </row>
    <row r="143" spans="1:83" ht="15">
      <c r="A143" s="38"/>
      <c r="B143" s="41">
        <v>1</v>
      </c>
      <c r="C143" s="38" t="s">
        <v>374</v>
      </c>
      <c r="D143" s="40" t="s">
        <v>256</v>
      </c>
      <c r="E143" s="45"/>
      <c r="F143" s="41"/>
      <c r="G143" s="41">
        <f>Source!U31</f>
        <v>58.56</v>
      </c>
      <c r="H143" s="41"/>
      <c r="I143" s="41"/>
      <c r="J143" s="41"/>
      <c r="K143" s="41"/>
      <c r="L143" s="46">
        <f>SUM(L144:L144)-SUMIF(CE144:CE144, 1, L144:L144)</f>
        <v>21592.240000000002</v>
      </c>
    </row>
    <row r="144" spans="1:83" ht="14.25">
      <c r="A144" s="39"/>
      <c r="B144" s="39" t="s">
        <v>300</v>
      </c>
      <c r="C144" s="39" t="s">
        <v>301</v>
      </c>
      <c r="D144" s="40" t="s">
        <v>256</v>
      </c>
      <c r="E144" s="41">
        <v>1.83</v>
      </c>
      <c r="F144" s="41"/>
      <c r="G144" s="41">
        <f>SmtRes!CX27</f>
        <v>58.56</v>
      </c>
      <c r="H144" s="43"/>
      <c r="I144" s="42"/>
      <c r="J144" s="43">
        <f>SmtRes!CZ27</f>
        <v>368.72</v>
      </c>
      <c r="K144" s="42"/>
      <c r="L144" s="43">
        <f>SmtRes!DI27</f>
        <v>21592.240000000002</v>
      </c>
    </row>
    <row r="145" spans="1:83" ht="15">
      <c r="A145" s="38"/>
      <c r="B145" s="41">
        <v>2</v>
      </c>
      <c r="C145" s="38" t="s">
        <v>375</v>
      </c>
      <c r="D145" s="40"/>
      <c r="E145" s="45"/>
      <c r="F145" s="41"/>
      <c r="G145" s="41"/>
      <c r="H145" s="41"/>
      <c r="I145" s="41"/>
      <c r="J145" s="41"/>
      <c r="K145" s="41"/>
      <c r="L145" s="46">
        <f>SUM(L146:L148)-SUMIF(CE146:CE148, 1, L146:L148)</f>
        <v>6869.090000000002</v>
      </c>
    </row>
    <row r="146" spans="1:83" ht="15">
      <c r="A146" s="38"/>
      <c r="B146" s="41"/>
      <c r="C146" s="38" t="s">
        <v>377</v>
      </c>
      <c r="D146" s="40" t="s">
        <v>256</v>
      </c>
      <c r="E146" s="45"/>
      <c r="F146" s="41"/>
      <c r="G146" s="41">
        <f>Source!V31</f>
        <v>5.76</v>
      </c>
      <c r="H146" s="41"/>
      <c r="I146" s="41"/>
      <c r="J146" s="41"/>
      <c r="K146" s="41"/>
      <c r="L146" s="46">
        <f>SUMIF(CE147:CE148, 1, L147:L148)</f>
        <v>2680.88</v>
      </c>
      <c r="CE146">
        <v>1</v>
      </c>
    </row>
    <row r="147" spans="1:83" ht="14.25">
      <c r="A147" s="39"/>
      <c r="B147" s="39" t="s">
        <v>266</v>
      </c>
      <c r="C147" s="39" t="s">
        <v>268</v>
      </c>
      <c r="D147" s="40" t="s">
        <v>262</v>
      </c>
      <c r="E147" s="41">
        <v>0.18</v>
      </c>
      <c r="F147" s="41"/>
      <c r="G147" s="41">
        <f>SmtRes!CX29</f>
        <v>5.76</v>
      </c>
      <c r="H147" s="43">
        <f>SmtRes!CZ29</f>
        <v>828.16</v>
      </c>
      <c r="I147" s="42">
        <f>SmtRes!AJ29</f>
        <v>1.44</v>
      </c>
      <c r="J147" s="43">
        <f>ROUND(H147*I147, 2)</f>
        <v>1192.55</v>
      </c>
      <c r="K147" s="42"/>
      <c r="L147" s="43">
        <f>SmtRes!DG29</f>
        <v>6869.09</v>
      </c>
    </row>
    <row r="148" spans="1:83" ht="28.5">
      <c r="A148" s="39"/>
      <c r="B148" s="39" t="s">
        <v>263</v>
      </c>
      <c r="C148" s="39" t="s">
        <v>376</v>
      </c>
      <c r="D148" s="40" t="s">
        <v>256</v>
      </c>
      <c r="E148" s="41">
        <f>SmtRes!DO29*SmtRes!AT29</f>
        <v>0.18</v>
      </c>
      <c r="F148" s="41"/>
      <c r="G148" s="41">
        <f>ROUND(E148*G142, 7)</f>
        <v>5.76</v>
      </c>
      <c r="H148" s="43"/>
      <c r="I148" s="42"/>
      <c r="J148" s="43">
        <f>ROUND(SmtRes!AG29/SmtRes!DO29, 2)</f>
        <v>465.43</v>
      </c>
      <c r="K148" s="42"/>
      <c r="L148" s="43">
        <f>SmtRes!DH29</f>
        <v>2680.88</v>
      </c>
      <c r="CE148">
        <v>1</v>
      </c>
    </row>
    <row r="149" spans="1:83" ht="15" hidden="1">
      <c r="A149" s="38"/>
      <c r="B149" s="41">
        <v>4</v>
      </c>
      <c r="C149" s="38" t="s">
        <v>386</v>
      </c>
      <c r="D149" s="40"/>
      <c r="E149" s="45"/>
      <c r="F149" s="41"/>
      <c r="G149" s="41"/>
      <c r="H149" s="41"/>
      <c r="I149" s="41"/>
      <c r="J149" s="41"/>
      <c r="K149" s="41"/>
      <c r="L149" s="46">
        <f>SUM(L150:L150)-SUMIF(CE150:CE150, 1, L150:L150)</f>
        <v>0</v>
      </c>
    </row>
    <row r="150" spans="1:83" ht="42.75">
      <c r="A150" s="39"/>
      <c r="B150" s="39" t="s">
        <v>302</v>
      </c>
      <c r="C150" s="39" t="s">
        <v>304</v>
      </c>
      <c r="D150" s="40" t="s">
        <v>275</v>
      </c>
      <c r="E150" s="41">
        <v>2.48E-3</v>
      </c>
      <c r="F150" s="41">
        <f>ROUND(0,7)</f>
        <v>0</v>
      </c>
      <c r="G150" s="41">
        <f>SmtRes!CX31</f>
        <v>0</v>
      </c>
      <c r="H150" s="43">
        <f>SmtRes!CZ31</f>
        <v>73218.100000000006</v>
      </c>
      <c r="I150" s="42">
        <f>SmtRes!AI31</f>
        <v>0.98</v>
      </c>
      <c r="J150" s="43">
        <f>ROUND(H150*I150, 2)</f>
        <v>71753.740000000005</v>
      </c>
      <c r="K150" s="42"/>
      <c r="L150" s="43">
        <f>SmtRes!DF31</f>
        <v>0</v>
      </c>
    </row>
    <row r="151" spans="1:83" ht="14.25">
      <c r="A151" s="39"/>
      <c r="B151" s="39" t="str">
        <f>EtalonRes!I30</f>
        <v>05.1.02.06</v>
      </c>
      <c r="C151" s="47" t="str">
        <f>EtalonRes!K30</f>
        <v>Приставки железобетонные</v>
      </c>
      <c r="D151" s="48" t="str">
        <f>EtalonRes!O30</f>
        <v>м3</v>
      </c>
      <c r="E151" s="49">
        <f>EtalonRes!X30</f>
        <v>0</v>
      </c>
      <c r="F151" s="49">
        <f>ROUND(0,7)</f>
        <v>0</v>
      </c>
      <c r="G151" s="49">
        <f>ROUND(EtalonRes!AG30*Source!I31, 7)</f>
        <v>0</v>
      </c>
      <c r="H151" s="50"/>
      <c r="I151" s="51"/>
      <c r="J151" s="50"/>
      <c r="K151" s="51"/>
      <c r="L151" s="50"/>
    </row>
    <row r="152" spans="1:83" ht="15">
      <c r="A152" s="39"/>
      <c r="B152" s="39"/>
      <c r="C152" s="54" t="s">
        <v>378</v>
      </c>
      <c r="D152" s="40"/>
      <c r="E152" s="41"/>
      <c r="F152" s="41"/>
      <c r="G152" s="41"/>
      <c r="H152" s="43"/>
      <c r="I152" s="42"/>
      <c r="J152" s="43"/>
      <c r="K152" s="42"/>
      <c r="L152" s="43">
        <f>L143+L145+L146+L149</f>
        <v>31142.210000000003</v>
      </c>
    </row>
    <row r="153" spans="1:83" ht="14.25">
      <c r="A153" s="39"/>
      <c r="B153" s="39"/>
      <c r="C153" s="39" t="s">
        <v>379</v>
      </c>
      <c r="D153" s="40"/>
      <c r="E153" s="41"/>
      <c r="F153" s="41"/>
      <c r="G153" s="41"/>
      <c r="H153" s="43"/>
      <c r="I153" s="42"/>
      <c r="J153" s="43"/>
      <c r="K153" s="42"/>
      <c r="L153" s="43">
        <f>SUM(AR142:AR156)+SUM(AS142:AS156)+SUM(AT142:AT156)+SUM(AU142:AU156)+SUM(AV142:AV156)</f>
        <v>24273.120000000003</v>
      </c>
    </row>
    <row r="154" spans="1:83" ht="42.75">
      <c r="A154" s="39"/>
      <c r="B154" s="39" t="s">
        <v>36</v>
      </c>
      <c r="C154" s="39" t="s">
        <v>387</v>
      </c>
      <c r="D154" s="40" t="s">
        <v>106</v>
      </c>
      <c r="E154" s="41">
        <f>Source!BZ31</f>
        <v>98</v>
      </c>
      <c r="F154" s="41"/>
      <c r="G154" s="41">
        <f>Source!AT31</f>
        <v>98</v>
      </c>
      <c r="H154" s="43"/>
      <c r="I154" s="42"/>
      <c r="J154" s="43"/>
      <c r="K154" s="42"/>
      <c r="L154" s="43">
        <f>SUM(AZ142:AZ156)</f>
        <v>23787.66</v>
      </c>
    </row>
    <row r="155" spans="1:83" ht="42.75">
      <c r="A155" s="47"/>
      <c r="B155" s="47" t="s">
        <v>37</v>
      </c>
      <c r="C155" s="47" t="s">
        <v>388</v>
      </c>
      <c r="D155" s="48" t="s">
        <v>106</v>
      </c>
      <c r="E155" s="49">
        <f>Source!CA31</f>
        <v>58</v>
      </c>
      <c r="F155" s="49"/>
      <c r="G155" s="49">
        <f>Source!AU31</f>
        <v>58</v>
      </c>
      <c r="H155" s="50"/>
      <c r="I155" s="51"/>
      <c r="J155" s="50"/>
      <c r="K155" s="51"/>
      <c r="L155" s="50">
        <f>SUM(BA142:BA156)</f>
        <v>14078.41</v>
      </c>
    </row>
    <row r="156" spans="1:83" ht="15">
      <c r="C156" s="103" t="s">
        <v>382</v>
      </c>
      <c r="D156" s="103"/>
      <c r="E156" s="103"/>
      <c r="F156" s="103"/>
      <c r="G156" s="103"/>
      <c r="H156" s="103"/>
      <c r="I156" s="104">
        <f>IF(E142&lt;&gt;0,K156/E142, 0)</f>
        <v>2156.5087500000004</v>
      </c>
      <c r="J156" s="104"/>
      <c r="K156" s="104">
        <f>L143+L145+L149+L154+L155+L146</f>
        <v>69008.280000000013</v>
      </c>
      <c r="L156" s="104"/>
      <c r="AD156">
        <f>ROUND((Source!AT31/100)*((ROUND(SUMIF(SmtRes!AQ27:'SmtRes'!AQ31,"=1",SmtRes!AD27:'SmtRes'!AD31)*Source!I31, 2)+ROUND(SUMIF(SmtRes!AQ27:'SmtRes'!AQ31,"=1",SmtRes!AC27:'SmtRes'!AC31)*Source!I31, 2))), 2)</f>
        <v>26158.94</v>
      </c>
      <c r="AE156">
        <f>ROUND((Source!AU31/100)*((ROUND(SUMIF(SmtRes!AQ27:'SmtRes'!AQ31,"=1",SmtRes!AD27:'SmtRes'!AD31)*Source!I31, 2)+ROUND(SUMIF(SmtRes!AQ27:'SmtRes'!AQ31,"=1",SmtRes!AC27:'SmtRes'!AC31)*Source!I31, 2))), 2)</f>
        <v>15481.82</v>
      </c>
      <c r="AN156" s="52">
        <f>L143+L145+L149+L154+L155+L146</f>
        <v>69008.280000000013</v>
      </c>
      <c r="AO156" s="52">
        <f>L145</f>
        <v>6869.090000000002</v>
      </c>
      <c r="AQ156" t="s">
        <v>383</v>
      </c>
      <c r="AR156" s="52">
        <f>L143</f>
        <v>21592.240000000002</v>
      </c>
      <c r="AT156" s="52">
        <f>L146</f>
        <v>2680.88</v>
      </c>
      <c r="AV156" t="s">
        <v>383</v>
      </c>
      <c r="AW156" s="52">
        <f>L149</f>
        <v>0</v>
      </c>
      <c r="AZ156">
        <f>Source!X31</f>
        <v>23787.66</v>
      </c>
      <c r="BA156">
        <f>Source!Y31</f>
        <v>14078.41</v>
      </c>
      <c r="CD156">
        <v>1</v>
      </c>
    </row>
    <row r="157" spans="1:83" ht="42.75">
      <c r="A157" s="37" t="s">
        <v>74</v>
      </c>
      <c r="B157" s="39" t="s">
        <v>400</v>
      </c>
      <c r="C157" s="39" t="str">
        <f>Source!G33</f>
        <v>Развозка конструкций и материалов опор ВЛ 0,38-10 кВ по трассе: приставок железобетонных</v>
      </c>
      <c r="D157" s="40" t="str">
        <f>Source!H33</f>
        <v>ШТ</v>
      </c>
      <c r="E157" s="41">
        <f>Source!K33</f>
        <v>26</v>
      </c>
      <c r="F157" s="41"/>
      <c r="G157" s="41">
        <f>Source!I33</f>
        <v>26</v>
      </c>
      <c r="H157" s="43"/>
      <c r="I157" s="42"/>
      <c r="J157" s="43"/>
      <c r="K157" s="42"/>
      <c r="L157" s="43"/>
    </row>
    <row r="158" spans="1:83" ht="15">
      <c r="A158" s="38"/>
      <c r="B158" s="41">
        <v>1</v>
      </c>
      <c r="C158" s="38" t="s">
        <v>374</v>
      </c>
      <c r="D158" s="40" t="s">
        <v>256</v>
      </c>
      <c r="E158" s="45"/>
      <c r="F158" s="41"/>
      <c r="G158" s="41">
        <f>Source!U33</f>
        <v>10.66</v>
      </c>
      <c r="H158" s="41"/>
      <c r="I158" s="41"/>
      <c r="J158" s="41"/>
      <c r="K158" s="41"/>
      <c r="L158" s="46">
        <f>SUM(L159:L159)-SUMIF(CE159:CE159, 1, L159:L159)</f>
        <v>3672.8</v>
      </c>
    </row>
    <row r="159" spans="1:83" ht="14.25">
      <c r="A159" s="39"/>
      <c r="B159" s="39" t="s">
        <v>288</v>
      </c>
      <c r="C159" s="39" t="s">
        <v>289</v>
      </c>
      <c r="D159" s="40" t="s">
        <v>256</v>
      </c>
      <c r="E159" s="41">
        <v>0.41</v>
      </c>
      <c r="F159" s="41"/>
      <c r="G159" s="41">
        <f>SmtRes!CX32</f>
        <v>10.66</v>
      </c>
      <c r="H159" s="43"/>
      <c r="I159" s="42"/>
      <c r="J159" s="43">
        <f>SmtRes!CZ32</f>
        <v>344.54</v>
      </c>
      <c r="K159" s="42"/>
      <c r="L159" s="43">
        <f>SmtRes!DI32</f>
        <v>3672.8</v>
      </c>
    </row>
    <row r="160" spans="1:83" ht="15">
      <c r="A160" s="38"/>
      <c r="B160" s="41">
        <v>2</v>
      </c>
      <c r="C160" s="38" t="s">
        <v>375</v>
      </c>
      <c r="D160" s="40"/>
      <c r="E160" s="45"/>
      <c r="F160" s="41"/>
      <c r="G160" s="41"/>
      <c r="H160" s="41"/>
      <c r="I160" s="41"/>
      <c r="J160" s="41"/>
      <c r="K160" s="41"/>
      <c r="L160" s="46">
        <f>SUM(L161:L166)-SUMIF(CE161:CE166, 1, L161:L166)</f>
        <v>13800.979999999996</v>
      </c>
    </row>
    <row r="161" spans="1:83" ht="15">
      <c r="A161" s="38"/>
      <c r="B161" s="41"/>
      <c r="C161" s="38" t="s">
        <v>377</v>
      </c>
      <c r="D161" s="40" t="s">
        <v>256</v>
      </c>
      <c r="E161" s="45"/>
      <c r="F161" s="41"/>
      <c r="G161" s="41">
        <f>Source!V33</f>
        <v>11.44</v>
      </c>
      <c r="H161" s="41"/>
      <c r="I161" s="41"/>
      <c r="J161" s="41"/>
      <c r="K161" s="41"/>
      <c r="L161" s="46">
        <f>SUMIF(CE162:CE166, 1, L162:L166)</f>
        <v>5428.28</v>
      </c>
      <c r="CE161">
        <v>1</v>
      </c>
    </row>
    <row r="162" spans="1:83" ht="28.5">
      <c r="A162" s="39"/>
      <c r="B162" s="39" t="s">
        <v>305</v>
      </c>
      <c r="C162" s="39" t="s">
        <v>307</v>
      </c>
      <c r="D162" s="40" t="s">
        <v>262</v>
      </c>
      <c r="E162" s="41">
        <v>0.22</v>
      </c>
      <c r="F162" s="41"/>
      <c r="G162" s="41">
        <f>SmtRes!CX34</f>
        <v>5.72</v>
      </c>
      <c r="H162" s="43"/>
      <c r="I162" s="42"/>
      <c r="J162" s="43">
        <f>SmtRes!CZ34</f>
        <v>1719.93</v>
      </c>
      <c r="K162" s="42"/>
      <c r="L162" s="43">
        <f>SmtRes!DG34</f>
        <v>9838</v>
      </c>
    </row>
    <row r="163" spans="1:83" ht="28.5">
      <c r="A163" s="39"/>
      <c r="B163" s="39" t="s">
        <v>308</v>
      </c>
      <c r="C163" s="39" t="s">
        <v>401</v>
      </c>
      <c r="D163" s="40" t="s">
        <v>256</v>
      </c>
      <c r="E163" s="41">
        <f>SmtRes!DO34*SmtRes!AT34</f>
        <v>0.22</v>
      </c>
      <c r="F163" s="41"/>
      <c r="G163" s="41">
        <f>ROUND(E163*G157, 7)</f>
        <v>5.72</v>
      </c>
      <c r="H163" s="43"/>
      <c r="I163" s="42"/>
      <c r="J163" s="43">
        <f>ROUND(SmtRes!AG34/SmtRes!DO34, 2)</f>
        <v>544.01</v>
      </c>
      <c r="K163" s="42"/>
      <c r="L163" s="43">
        <f>SmtRes!DH34</f>
        <v>3111.74</v>
      </c>
      <c r="CE163">
        <v>1</v>
      </c>
    </row>
    <row r="164" spans="1:83" ht="28.5">
      <c r="A164" s="39"/>
      <c r="B164" s="39" t="s">
        <v>290</v>
      </c>
      <c r="C164" s="39" t="s">
        <v>292</v>
      </c>
      <c r="D164" s="40" t="s">
        <v>262</v>
      </c>
      <c r="E164" s="41">
        <v>0.22</v>
      </c>
      <c r="F164" s="41"/>
      <c r="G164" s="41">
        <f>SmtRes!CX35</f>
        <v>5.72</v>
      </c>
      <c r="H164" s="43"/>
      <c r="I164" s="42"/>
      <c r="J164" s="43">
        <f>SmtRes!CZ35</f>
        <v>14.59</v>
      </c>
      <c r="K164" s="42"/>
      <c r="L164" s="43">
        <f>SmtRes!DG35</f>
        <v>83.45</v>
      </c>
    </row>
    <row r="165" spans="1:83" ht="28.5">
      <c r="A165" s="39"/>
      <c r="B165" s="39" t="s">
        <v>293</v>
      </c>
      <c r="C165" s="39" t="s">
        <v>295</v>
      </c>
      <c r="D165" s="40" t="s">
        <v>262</v>
      </c>
      <c r="E165" s="41">
        <v>0.22</v>
      </c>
      <c r="F165" s="41"/>
      <c r="G165" s="41">
        <f>SmtRes!CX36</f>
        <v>5.72</v>
      </c>
      <c r="H165" s="43">
        <f>SmtRes!CZ36</f>
        <v>487.94</v>
      </c>
      <c r="I165" s="42">
        <f>SmtRes!AJ36</f>
        <v>1.39</v>
      </c>
      <c r="J165" s="43">
        <f>ROUND(H165*I165, 2)</f>
        <v>678.24</v>
      </c>
      <c r="K165" s="42"/>
      <c r="L165" s="43">
        <f>SmtRes!DG36</f>
        <v>3879.53</v>
      </c>
    </row>
    <row r="166" spans="1:83" ht="28.5">
      <c r="A166" s="39"/>
      <c r="B166" s="39" t="s">
        <v>296</v>
      </c>
      <c r="C166" s="47" t="s">
        <v>390</v>
      </c>
      <c r="D166" s="48" t="s">
        <v>256</v>
      </c>
      <c r="E166" s="49">
        <f>SmtRes!DO36*SmtRes!AT36</f>
        <v>0.22</v>
      </c>
      <c r="F166" s="49"/>
      <c r="G166" s="49">
        <f>ROUND(E166*G157, 7)</f>
        <v>5.72</v>
      </c>
      <c r="H166" s="50"/>
      <c r="I166" s="51"/>
      <c r="J166" s="50">
        <f>ROUND(SmtRes!AG36/SmtRes!DO36, 2)</f>
        <v>404.99</v>
      </c>
      <c r="K166" s="51"/>
      <c r="L166" s="50">
        <f>SmtRes!DH36</f>
        <v>2316.54</v>
      </c>
      <c r="CE166">
        <v>1</v>
      </c>
    </row>
    <row r="167" spans="1:83" ht="15">
      <c r="A167" s="39"/>
      <c r="B167" s="39"/>
      <c r="C167" s="54" t="s">
        <v>378</v>
      </c>
      <c r="D167" s="40"/>
      <c r="E167" s="41"/>
      <c r="F167" s="41"/>
      <c r="G167" s="41"/>
      <c r="H167" s="43"/>
      <c r="I167" s="42"/>
      <c r="J167" s="43"/>
      <c r="K167" s="42"/>
      <c r="L167" s="43">
        <f>L158+L160+L161</f>
        <v>22902.059999999994</v>
      </c>
    </row>
    <row r="168" spans="1:83" ht="14.25">
      <c r="A168" s="39"/>
      <c r="B168" s="39"/>
      <c r="C168" s="39" t="s">
        <v>379</v>
      </c>
      <c r="D168" s="40"/>
      <c r="E168" s="41"/>
      <c r="F168" s="41"/>
      <c r="G168" s="41"/>
      <c r="H168" s="43"/>
      <c r="I168" s="42"/>
      <c r="J168" s="43"/>
      <c r="K168" s="42"/>
      <c r="L168" s="43">
        <f>SUM(AR157:AR171)+SUM(AS157:AS171)+SUM(AT157:AT171)+SUM(AU157:AU171)+SUM(AV157:AV171)</f>
        <v>9101.08</v>
      </c>
    </row>
    <row r="169" spans="1:83" ht="14.25">
      <c r="A169" s="39"/>
      <c r="B169" s="39" t="s">
        <v>48</v>
      </c>
      <c r="C169" s="39" t="s">
        <v>391</v>
      </c>
      <c r="D169" s="40" t="s">
        <v>106</v>
      </c>
      <c r="E169" s="41">
        <f>Source!BZ33</f>
        <v>103</v>
      </c>
      <c r="F169" s="41"/>
      <c r="G169" s="41">
        <f>Source!AT33</f>
        <v>103</v>
      </c>
      <c r="H169" s="43"/>
      <c r="I169" s="42"/>
      <c r="J169" s="43"/>
      <c r="K169" s="42"/>
      <c r="L169" s="43">
        <f>SUM(AZ157:AZ171)</f>
        <v>9374.11</v>
      </c>
    </row>
    <row r="170" spans="1:83" ht="14.25">
      <c r="A170" s="47"/>
      <c r="B170" s="47" t="s">
        <v>49</v>
      </c>
      <c r="C170" s="47" t="s">
        <v>392</v>
      </c>
      <c r="D170" s="48" t="s">
        <v>106</v>
      </c>
      <c r="E170" s="49">
        <f>Source!CA33</f>
        <v>60</v>
      </c>
      <c r="F170" s="49"/>
      <c r="G170" s="49">
        <f>Source!AU33</f>
        <v>60</v>
      </c>
      <c r="H170" s="50"/>
      <c r="I170" s="51"/>
      <c r="J170" s="50"/>
      <c r="K170" s="51"/>
      <c r="L170" s="50">
        <f>SUM(BA157:BA171)</f>
        <v>5460.65</v>
      </c>
    </row>
    <row r="171" spans="1:83" ht="15">
      <c r="C171" s="103" t="s">
        <v>382</v>
      </c>
      <c r="D171" s="103"/>
      <c r="E171" s="103"/>
      <c r="F171" s="103"/>
      <c r="G171" s="103"/>
      <c r="H171" s="103"/>
      <c r="I171" s="104">
        <f>IF(E157&lt;&gt;0,K171/E157, 0)</f>
        <v>1451.4161538461535</v>
      </c>
      <c r="J171" s="104"/>
      <c r="K171" s="104">
        <f>L158+L160+L169+L170+L161</f>
        <v>37736.819999999992</v>
      </c>
      <c r="L171" s="104"/>
      <c r="AD171">
        <f>ROUND((Source!AT33/100)*((ROUND(SUMIF(SmtRes!AQ32:'SmtRes'!AQ36,"=1",SmtRes!AD32:'SmtRes'!AD36)*Source!I33, 2)+ROUND(SUMIF(SmtRes!AQ32:'SmtRes'!AQ36,"=1",SmtRes!AC32:'SmtRes'!AC36)*Source!I33, 2))), 2)</f>
        <v>34641</v>
      </c>
      <c r="AE171">
        <f>ROUND((Source!AU33/100)*((ROUND(SUMIF(SmtRes!AQ32:'SmtRes'!AQ36,"=1",SmtRes!AD32:'SmtRes'!AD36)*Source!I33, 2)+ROUND(SUMIF(SmtRes!AQ32:'SmtRes'!AQ36,"=1",SmtRes!AC32:'SmtRes'!AC36)*Source!I33, 2))), 2)</f>
        <v>20179.22</v>
      </c>
      <c r="AN171" s="52">
        <f>L158+L160+L169+L170+L161</f>
        <v>37736.819999999992</v>
      </c>
      <c r="AO171" s="52">
        <f>L160</f>
        <v>13800.979999999996</v>
      </c>
      <c r="AQ171" t="s">
        <v>383</v>
      </c>
      <c r="AR171" s="52">
        <f>L158</f>
        <v>3672.8</v>
      </c>
      <c r="AT171" s="52">
        <f>L161</f>
        <v>5428.28</v>
      </c>
      <c r="AV171" t="s">
        <v>383</v>
      </c>
      <c r="AW171">
        <f>0</f>
        <v>0</v>
      </c>
      <c r="AZ171">
        <f>Source!X33</f>
        <v>9374.11</v>
      </c>
      <c r="BA171">
        <f>Source!Y33</f>
        <v>5460.65</v>
      </c>
      <c r="CD171">
        <v>1</v>
      </c>
    </row>
    <row r="172" spans="1:83" ht="54">
      <c r="A172" s="37" t="s">
        <v>78</v>
      </c>
      <c r="B172" s="39" t="s">
        <v>402</v>
      </c>
      <c r="C172" s="39" t="s">
        <v>403</v>
      </c>
      <c r="D172" s="40" t="str">
        <f>Source!H34</f>
        <v>ШТ</v>
      </c>
      <c r="E172" s="41">
        <f>Source!K34</f>
        <v>40</v>
      </c>
      <c r="F172" s="41"/>
      <c r="G172" s="41">
        <f>Source!I34</f>
        <v>40</v>
      </c>
      <c r="H172" s="43"/>
      <c r="I172" s="42"/>
      <c r="J172" s="43"/>
      <c r="K172" s="42"/>
      <c r="L172" s="43"/>
    </row>
    <row r="173" spans="1:83" ht="15">
      <c r="A173" s="38"/>
      <c r="B173" s="41">
        <v>1</v>
      </c>
      <c r="C173" s="38" t="s">
        <v>374</v>
      </c>
      <c r="D173" s="40" t="s">
        <v>256</v>
      </c>
      <c r="E173" s="45"/>
      <c r="F173" s="41"/>
      <c r="G173" s="41">
        <f>Source!U34</f>
        <v>48</v>
      </c>
      <c r="H173" s="41"/>
      <c r="I173" s="41"/>
      <c r="J173" s="41"/>
      <c r="K173" s="41"/>
      <c r="L173" s="46">
        <f>SUM(L174:L174)-SUMIF(CE174:CE174, 1, L174:L174)</f>
        <v>17263.2</v>
      </c>
    </row>
    <row r="174" spans="1:83" ht="14.25">
      <c r="A174" s="39"/>
      <c r="B174" s="39" t="s">
        <v>309</v>
      </c>
      <c r="C174" s="39" t="s">
        <v>310</v>
      </c>
      <c r="D174" s="40" t="s">
        <v>256</v>
      </c>
      <c r="E174" s="41">
        <v>1.2</v>
      </c>
      <c r="F174" s="41"/>
      <c r="G174" s="41">
        <f>SmtRes!CX37</f>
        <v>48</v>
      </c>
      <c r="H174" s="43"/>
      <c r="I174" s="42"/>
      <c r="J174" s="43">
        <f>SmtRes!CZ37</f>
        <v>359.65</v>
      </c>
      <c r="K174" s="42"/>
      <c r="L174" s="43">
        <f>SmtRes!DI37</f>
        <v>17263.2</v>
      </c>
    </row>
    <row r="175" spans="1:83" ht="15">
      <c r="A175" s="38"/>
      <c r="B175" s="41">
        <v>2</v>
      </c>
      <c r="C175" s="38" t="s">
        <v>375</v>
      </c>
      <c r="D175" s="40"/>
      <c r="E175" s="45"/>
      <c r="F175" s="41"/>
      <c r="G175" s="41"/>
      <c r="H175" s="41"/>
      <c r="I175" s="41"/>
      <c r="J175" s="41"/>
      <c r="K175" s="41"/>
      <c r="L175" s="46">
        <f>SUM(L176:L178)-SUMIF(CE176:CE178, 1, L176:L178)</f>
        <v>1633.7999999999997</v>
      </c>
    </row>
    <row r="176" spans="1:83" ht="15">
      <c r="A176" s="38"/>
      <c r="B176" s="41"/>
      <c r="C176" s="38" t="s">
        <v>377</v>
      </c>
      <c r="D176" s="40" t="s">
        <v>256</v>
      </c>
      <c r="E176" s="45"/>
      <c r="F176" s="41"/>
      <c r="G176" s="41">
        <f>Source!V34</f>
        <v>2.4</v>
      </c>
      <c r="H176" s="41"/>
      <c r="I176" s="41"/>
      <c r="J176" s="41"/>
      <c r="K176" s="41"/>
      <c r="L176" s="46">
        <f>SUMIF(CE177:CE178, 1, L177:L178)</f>
        <v>971.98</v>
      </c>
      <c r="CE176">
        <v>1</v>
      </c>
    </row>
    <row r="177" spans="1:83" ht="28.5">
      <c r="A177" s="39"/>
      <c r="B177" s="39" t="s">
        <v>311</v>
      </c>
      <c r="C177" s="39" t="s">
        <v>313</v>
      </c>
      <c r="D177" s="40" t="s">
        <v>262</v>
      </c>
      <c r="E177" s="41">
        <v>0.06</v>
      </c>
      <c r="F177" s="41"/>
      <c r="G177" s="41">
        <f>SmtRes!CX39</f>
        <v>2.4</v>
      </c>
      <c r="H177" s="43"/>
      <c r="I177" s="42"/>
      <c r="J177" s="43">
        <f>SmtRes!CZ39</f>
        <v>680.75</v>
      </c>
      <c r="K177" s="42"/>
      <c r="L177" s="43">
        <f>SmtRes!DG39</f>
        <v>1633.8</v>
      </c>
    </row>
    <row r="178" spans="1:83" ht="28.5">
      <c r="A178" s="39"/>
      <c r="B178" s="39" t="s">
        <v>296</v>
      </c>
      <c r="C178" s="39" t="s">
        <v>390</v>
      </c>
      <c r="D178" s="40" t="s">
        <v>256</v>
      </c>
      <c r="E178" s="41">
        <f>SmtRes!DO39*SmtRes!AT39</f>
        <v>0.06</v>
      </c>
      <c r="F178" s="41"/>
      <c r="G178" s="41">
        <f>ROUND(E178*G172, 7)</f>
        <v>2.4</v>
      </c>
      <c r="H178" s="43"/>
      <c r="I178" s="42"/>
      <c r="J178" s="43">
        <f>ROUND(SmtRes!AG39/SmtRes!DO39, 2)</f>
        <v>404.99</v>
      </c>
      <c r="K178" s="42"/>
      <c r="L178" s="43">
        <f>SmtRes!DH39</f>
        <v>971.98</v>
      </c>
      <c r="CE178">
        <v>1</v>
      </c>
    </row>
    <row r="179" spans="1:83" ht="15" hidden="1">
      <c r="A179" s="38"/>
      <c r="B179" s="41">
        <v>4</v>
      </c>
      <c r="C179" s="38" t="s">
        <v>386</v>
      </c>
      <c r="D179" s="40"/>
      <c r="E179" s="45"/>
      <c r="F179" s="41"/>
      <c r="G179" s="41"/>
      <c r="H179" s="41"/>
      <c r="I179" s="41"/>
      <c r="J179" s="41"/>
      <c r="K179" s="41"/>
      <c r="L179" s="46">
        <f>SUM(L180:L181)-SUMIF(CE180:CE181, 1, L180:L181)</f>
        <v>0</v>
      </c>
    </row>
    <row r="180" spans="1:83" ht="14.25">
      <c r="A180" s="39"/>
      <c r="B180" s="39" t="s">
        <v>314</v>
      </c>
      <c r="C180" s="39" t="s">
        <v>316</v>
      </c>
      <c r="D180" s="40" t="s">
        <v>85</v>
      </c>
      <c r="E180" s="41">
        <v>0.03</v>
      </c>
      <c r="F180" s="41">
        <f>ROUND(0,7)</f>
        <v>0</v>
      </c>
      <c r="G180" s="41">
        <f>SmtRes!CX40</f>
        <v>0</v>
      </c>
      <c r="H180" s="43">
        <f>SmtRes!CZ40</f>
        <v>58.53</v>
      </c>
      <c r="I180" s="42">
        <f>SmtRes!AI40</f>
        <v>1.5</v>
      </c>
      <c r="J180" s="43">
        <f>ROUND(H180*I180, 2)</f>
        <v>87.8</v>
      </c>
      <c r="K180" s="42"/>
      <c r="L180" s="43">
        <f>SmtRes!DF40</f>
        <v>0</v>
      </c>
    </row>
    <row r="181" spans="1:83" ht="14.25">
      <c r="A181" s="39"/>
      <c r="B181" s="39" t="s">
        <v>317</v>
      </c>
      <c r="C181" s="39" t="s">
        <v>319</v>
      </c>
      <c r="D181" s="40" t="s">
        <v>275</v>
      </c>
      <c r="E181" s="41">
        <v>3.0000000000000001E-5</v>
      </c>
      <c r="F181" s="41">
        <f>ROUND(0,7)</f>
        <v>0</v>
      </c>
      <c r="G181" s="41">
        <f>SmtRes!CX43</f>
        <v>0</v>
      </c>
      <c r="H181" s="43">
        <f>SmtRes!CZ43</f>
        <v>80020.98</v>
      </c>
      <c r="I181" s="42">
        <f>SmtRes!AI43</f>
        <v>1.36</v>
      </c>
      <c r="J181" s="43">
        <f>ROUND(H181*I181, 2)</f>
        <v>108828.53</v>
      </c>
      <c r="K181" s="42"/>
      <c r="L181" s="43">
        <f>SmtRes!DF43</f>
        <v>0</v>
      </c>
    </row>
    <row r="182" spans="1:83" ht="14.25">
      <c r="A182" s="39"/>
      <c r="B182" s="39" t="str">
        <f>EtalonRes!I42</f>
        <v>07.2.02.03</v>
      </c>
      <c r="C182" s="39" t="str">
        <f>EtalonRes!K42</f>
        <v>Оттяжки</v>
      </c>
      <c r="D182" s="40" t="str">
        <f>EtalonRes!O42</f>
        <v>КОМПЛ</v>
      </c>
      <c r="E182" s="41">
        <f>EtalonRes!X42</f>
        <v>0</v>
      </c>
      <c r="F182" s="41">
        <f>ROUND(0,7)</f>
        <v>0</v>
      </c>
      <c r="G182" s="41">
        <f>ROUND(EtalonRes!AG42*Source!I34, 7)</f>
        <v>0</v>
      </c>
      <c r="H182" s="43"/>
      <c r="I182" s="42"/>
      <c r="J182" s="43"/>
      <c r="K182" s="42"/>
      <c r="L182" s="43"/>
    </row>
    <row r="183" spans="1:83" ht="14.25">
      <c r="A183" s="39"/>
      <c r="B183" s="39" t="str">
        <f>EtalonRes!I44</f>
        <v>22.2.02.03</v>
      </c>
      <c r="C183" s="47" t="str">
        <f>EtalonRes!K44</f>
        <v>Детали крепления стальные</v>
      </c>
      <c r="D183" s="48" t="str">
        <f>EtalonRes!O44</f>
        <v>кг</v>
      </c>
      <c r="E183" s="49">
        <f>EtalonRes!X44</f>
        <v>0</v>
      </c>
      <c r="F183" s="49">
        <f>ROUND(0,7)</f>
        <v>0</v>
      </c>
      <c r="G183" s="49">
        <f>ROUND(EtalonRes!AG44*Source!I34, 7)</f>
        <v>0</v>
      </c>
      <c r="H183" s="50"/>
      <c r="I183" s="51"/>
      <c r="J183" s="50"/>
      <c r="K183" s="51"/>
      <c r="L183" s="50"/>
    </row>
    <row r="184" spans="1:83" ht="15">
      <c r="A184" s="39"/>
      <c r="B184" s="39"/>
      <c r="C184" s="54" t="s">
        <v>378</v>
      </c>
      <c r="D184" s="40"/>
      <c r="E184" s="41"/>
      <c r="F184" s="41"/>
      <c r="G184" s="41"/>
      <c r="H184" s="43"/>
      <c r="I184" s="42"/>
      <c r="J184" s="43"/>
      <c r="K184" s="42"/>
      <c r="L184" s="43">
        <f>L173+L175+L176+L179</f>
        <v>19868.98</v>
      </c>
    </row>
    <row r="185" spans="1:83" ht="14.25">
      <c r="A185" s="39"/>
      <c r="B185" s="39"/>
      <c r="C185" s="39" t="s">
        <v>379</v>
      </c>
      <c r="D185" s="40"/>
      <c r="E185" s="41"/>
      <c r="F185" s="41"/>
      <c r="G185" s="41"/>
      <c r="H185" s="43"/>
      <c r="I185" s="42"/>
      <c r="J185" s="43"/>
      <c r="K185" s="42"/>
      <c r="L185" s="43">
        <f>SUM(AR172:AR188)+SUM(AS172:AS188)+SUM(AT172:AT188)+SUM(AU172:AU188)+SUM(AV172:AV188)</f>
        <v>18235.18</v>
      </c>
    </row>
    <row r="186" spans="1:83" ht="14.25">
      <c r="A186" s="39"/>
      <c r="B186" s="39" t="s">
        <v>48</v>
      </c>
      <c r="C186" s="39" t="s">
        <v>391</v>
      </c>
      <c r="D186" s="40" t="s">
        <v>106</v>
      </c>
      <c r="E186" s="41">
        <f>Source!BZ34</f>
        <v>103</v>
      </c>
      <c r="F186" s="41"/>
      <c r="G186" s="41">
        <f>Source!AT34</f>
        <v>103</v>
      </c>
      <c r="H186" s="43"/>
      <c r="I186" s="42"/>
      <c r="J186" s="43"/>
      <c r="K186" s="42"/>
      <c r="L186" s="43">
        <f>SUM(AZ172:AZ188)</f>
        <v>18782.240000000002</v>
      </c>
    </row>
    <row r="187" spans="1:83" ht="14.25">
      <c r="A187" s="47"/>
      <c r="B187" s="47" t="s">
        <v>49</v>
      </c>
      <c r="C187" s="47" t="s">
        <v>392</v>
      </c>
      <c r="D187" s="48" t="s">
        <v>106</v>
      </c>
      <c r="E187" s="49">
        <f>Source!CA34</f>
        <v>60</v>
      </c>
      <c r="F187" s="49"/>
      <c r="G187" s="49">
        <f>Source!AU34</f>
        <v>60</v>
      </c>
      <c r="H187" s="50"/>
      <c r="I187" s="51"/>
      <c r="J187" s="50"/>
      <c r="K187" s="51"/>
      <c r="L187" s="50">
        <f>SUM(BA172:BA188)</f>
        <v>10941.11</v>
      </c>
    </row>
    <row r="188" spans="1:83" ht="15">
      <c r="C188" s="103" t="s">
        <v>382</v>
      </c>
      <c r="D188" s="103"/>
      <c r="E188" s="103"/>
      <c r="F188" s="103"/>
      <c r="G188" s="103"/>
      <c r="H188" s="103"/>
      <c r="I188" s="104">
        <f>IF(E172&lt;&gt;0,K188/E172, 0)</f>
        <v>1239.8082500000003</v>
      </c>
      <c r="J188" s="104"/>
      <c r="K188" s="104">
        <f>L173+L175+L179+L186+L187+L176</f>
        <v>49592.330000000009</v>
      </c>
      <c r="L188" s="104"/>
      <c r="AD188">
        <f>ROUND((Source!AT34/100)*((ROUND(SUMIF(SmtRes!AQ37:'SmtRes'!AQ44,"=1",SmtRes!AD37:'SmtRes'!AD44)*Source!I34, 2)+ROUND(SUMIF(SmtRes!AQ37:'SmtRes'!AQ44,"=1",SmtRes!AC37:'SmtRes'!AC44)*Source!I34, 2))), 2)</f>
        <v>31503.17</v>
      </c>
      <c r="AE188">
        <f>ROUND((Source!AU34/100)*((ROUND(SUMIF(SmtRes!AQ37:'SmtRes'!AQ44,"=1",SmtRes!AD37:'SmtRes'!AD44)*Source!I34, 2)+ROUND(SUMIF(SmtRes!AQ37:'SmtRes'!AQ44,"=1",SmtRes!AC37:'SmtRes'!AC44)*Source!I34, 2))), 2)</f>
        <v>18351.36</v>
      </c>
      <c r="AN188" s="52">
        <f>L173+L175+L179+L186+L187+L176</f>
        <v>49592.330000000009</v>
      </c>
      <c r="AO188" s="52">
        <f>L175</f>
        <v>1633.7999999999997</v>
      </c>
      <c r="AQ188" t="s">
        <v>383</v>
      </c>
      <c r="AR188" s="52">
        <f>L173</f>
        <v>17263.2</v>
      </c>
      <c r="AT188" s="52">
        <f>L176</f>
        <v>971.98</v>
      </c>
      <c r="AV188" t="s">
        <v>383</v>
      </c>
      <c r="AW188" s="52">
        <f>L179</f>
        <v>0</v>
      </c>
      <c r="AZ188">
        <f>Source!X34</f>
        <v>18782.240000000002</v>
      </c>
      <c r="BA188">
        <f>Source!Y34</f>
        <v>10941.11</v>
      </c>
      <c r="CD188">
        <v>1</v>
      </c>
    </row>
    <row r="189" spans="1:83" ht="39.75">
      <c r="A189" s="37" t="s">
        <v>94</v>
      </c>
      <c r="B189" s="39" t="s">
        <v>404</v>
      </c>
      <c r="C189" s="39" t="s">
        <v>405</v>
      </c>
      <c r="D189" s="40" t="str">
        <f>Source!H38</f>
        <v>ШТ</v>
      </c>
      <c r="E189" s="41">
        <f>Source!K38</f>
        <v>56</v>
      </c>
      <c r="F189" s="41"/>
      <c r="G189" s="41">
        <f>Source!I38</f>
        <v>56</v>
      </c>
      <c r="H189" s="43"/>
      <c r="I189" s="42"/>
      <c r="J189" s="43"/>
      <c r="K189" s="42"/>
      <c r="L189" s="43"/>
    </row>
    <row r="190" spans="1:83" ht="15">
      <c r="A190" s="38"/>
      <c r="B190" s="41">
        <v>1</v>
      </c>
      <c r="C190" s="38" t="s">
        <v>374</v>
      </c>
      <c r="D190" s="40" t="s">
        <v>256</v>
      </c>
      <c r="E190" s="45"/>
      <c r="F190" s="41"/>
      <c r="G190" s="41">
        <f>Source!U38</f>
        <v>11.76</v>
      </c>
      <c r="H190" s="41"/>
      <c r="I190" s="41"/>
      <c r="J190" s="41"/>
      <c r="K190" s="41"/>
      <c r="L190" s="46">
        <f>SUM(L191:L191)-SUMIF(CE191:CE191, 1, L191:L191)</f>
        <v>4549.3599999999997</v>
      </c>
    </row>
    <row r="191" spans="1:83" ht="14.25">
      <c r="A191" s="39"/>
      <c r="B191" s="39" t="s">
        <v>320</v>
      </c>
      <c r="C191" s="39" t="s">
        <v>321</v>
      </c>
      <c r="D191" s="40" t="s">
        <v>256</v>
      </c>
      <c r="E191" s="41">
        <v>0.21</v>
      </c>
      <c r="F191" s="41"/>
      <c r="G191" s="41">
        <f>SmtRes!CX45</f>
        <v>11.76</v>
      </c>
      <c r="H191" s="43"/>
      <c r="I191" s="42"/>
      <c r="J191" s="43">
        <f>SmtRes!CZ45</f>
        <v>386.85</v>
      </c>
      <c r="K191" s="42"/>
      <c r="L191" s="43">
        <f>SmtRes!DI45</f>
        <v>4549.3599999999997</v>
      </c>
    </row>
    <row r="192" spans="1:83" ht="15">
      <c r="A192" s="38"/>
      <c r="B192" s="41">
        <v>2</v>
      </c>
      <c r="C192" s="38" t="s">
        <v>375</v>
      </c>
      <c r="D192" s="40"/>
      <c r="E192" s="45"/>
      <c r="F192" s="41"/>
      <c r="G192" s="41"/>
      <c r="H192" s="41"/>
      <c r="I192" s="41"/>
      <c r="J192" s="41"/>
      <c r="K192" s="41"/>
      <c r="L192" s="46">
        <f>SUM(L193:L195)-SUMIF(CE193:CE195, 1, L193:L195)</f>
        <v>26005.340000000004</v>
      </c>
    </row>
    <row r="193" spans="1:83" ht="15">
      <c r="A193" s="38"/>
      <c r="B193" s="41"/>
      <c r="C193" s="38" t="s">
        <v>377</v>
      </c>
      <c r="D193" s="40" t="s">
        <v>256</v>
      </c>
      <c r="E193" s="45"/>
      <c r="F193" s="41"/>
      <c r="G193" s="41">
        <f>Source!V38</f>
        <v>15.12</v>
      </c>
      <c r="H193" s="41"/>
      <c r="I193" s="41"/>
      <c r="J193" s="41"/>
      <c r="K193" s="41"/>
      <c r="L193" s="46">
        <f>SUMIF(CE194:CE195, 1, L194:L195)</f>
        <v>8225.43</v>
      </c>
      <c r="CE193">
        <v>1</v>
      </c>
    </row>
    <row r="194" spans="1:83" ht="28.5">
      <c r="A194" s="39"/>
      <c r="B194" s="39" t="s">
        <v>305</v>
      </c>
      <c r="C194" s="39" t="s">
        <v>307</v>
      </c>
      <c r="D194" s="40" t="s">
        <v>262</v>
      </c>
      <c r="E194" s="41">
        <v>0.27</v>
      </c>
      <c r="F194" s="41"/>
      <c r="G194" s="41">
        <f>SmtRes!CX47</f>
        <v>15.12</v>
      </c>
      <c r="H194" s="43"/>
      <c r="I194" s="42"/>
      <c r="J194" s="43">
        <f>SmtRes!CZ47</f>
        <v>1719.93</v>
      </c>
      <c r="K194" s="42"/>
      <c r="L194" s="43">
        <f>SmtRes!DG47</f>
        <v>26005.34</v>
      </c>
    </row>
    <row r="195" spans="1:83" ht="28.5">
      <c r="A195" s="39"/>
      <c r="B195" s="39" t="s">
        <v>308</v>
      </c>
      <c r="C195" s="47" t="s">
        <v>401</v>
      </c>
      <c r="D195" s="48" t="s">
        <v>256</v>
      </c>
      <c r="E195" s="49">
        <f>SmtRes!DO47*SmtRes!AT47</f>
        <v>0.27</v>
      </c>
      <c r="F195" s="49"/>
      <c r="G195" s="49">
        <f>ROUND(E195*G189, 7)</f>
        <v>15.12</v>
      </c>
      <c r="H195" s="50"/>
      <c r="I195" s="51"/>
      <c r="J195" s="50">
        <f>ROUND(SmtRes!AG47/SmtRes!DO47, 2)</f>
        <v>544.01</v>
      </c>
      <c r="K195" s="51"/>
      <c r="L195" s="50">
        <f>SmtRes!DH47</f>
        <v>8225.43</v>
      </c>
      <c r="CE195">
        <v>1</v>
      </c>
    </row>
    <row r="196" spans="1:83" ht="15">
      <c r="A196" s="39"/>
      <c r="B196" s="39"/>
      <c r="C196" s="54" t="s">
        <v>378</v>
      </c>
      <c r="D196" s="40"/>
      <c r="E196" s="41"/>
      <c r="F196" s="41"/>
      <c r="G196" s="41"/>
      <c r="H196" s="43"/>
      <c r="I196" s="42"/>
      <c r="J196" s="43"/>
      <c r="K196" s="42"/>
      <c r="L196" s="43">
        <f>L190+L192+L193</f>
        <v>38780.130000000005</v>
      </c>
    </row>
    <row r="197" spans="1:83" ht="57">
      <c r="A197" s="37" t="s">
        <v>406</v>
      </c>
      <c r="B197" s="39" t="str">
        <f>Source!F39</f>
        <v>421/пр_2020_п.75_пп.а</v>
      </c>
      <c r="C197" s="39" t="str">
        <f>Source!G39</f>
        <v>Сметная стоимость вспомогательных ненормируемых материальных ресурсов, не учтенная в сметной норме, 2%</v>
      </c>
      <c r="D197" s="40" t="str">
        <f>Source!H39</f>
        <v>%</v>
      </c>
      <c r="E197" s="41">
        <f>SmtRes!AT48</f>
        <v>2</v>
      </c>
      <c r="F197" s="41"/>
      <c r="G197" s="41">
        <f>Source!I39</f>
        <v>2</v>
      </c>
      <c r="H197" s="43"/>
      <c r="I197" s="42"/>
      <c r="J197" s="43"/>
      <c r="K197" s="42"/>
      <c r="L197" s="43">
        <f>Source!P39</f>
        <v>90.99</v>
      </c>
      <c r="AD197">
        <f>ROUND((Source!AT39/100)*((ROUND(0*Source!I39, 2)+ROUND(0*Source!I39, 2))), 2)</f>
        <v>0</v>
      </c>
      <c r="AE197">
        <f>ROUND((Source!AU39/100)*((ROUND(0*Source!I39, 2)+ROUND(0*Source!I39, 2))), 2)</f>
        <v>0</v>
      </c>
      <c r="AN197">
        <f>L197</f>
        <v>90.99</v>
      </c>
      <c r="AW197">
        <f>L197</f>
        <v>90.99</v>
      </c>
      <c r="AZ197">
        <f>Source!X39</f>
        <v>0</v>
      </c>
      <c r="BA197">
        <f>Source!Y39</f>
        <v>0</v>
      </c>
      <c r="CD197">
        <v>2</v>
      </c>
    </row>
    <row r="198" spans="1:83" ht="14.25">
      <c r="A198" s="39"/>
      <c r="B198" s="39"/>
      <c r="C198" s="39" t="s">
        <v>379</v>
      </c>
      <c r="D198" s="40"/>
      <c r="E198" s="41"/>
      <c r="F198" s="41"/>
      <c r="G198" s="41"/>
      <c r="H198" s="43"/>
      <c r="I198" s="42"/>
      <c r="J198" s="43"/>
      <c r="K198" s="42"/>
      <c r="L198" s="43">
        <f>SUM(AR189:AR201)+SUM(AS189:AS201)+SUM(AT189:AT201)+SUM(AU189:AU201)+SUM(AV189:AV201)</f>
        <v>12774.79</v>
      </c>
    </row>
    <row r="199" spans="1:83" ht="28.5">
      <c r="A199" s="39"/>
      <c r="B199" s="39" t="s">
        <v>101</v>
      </c>
      <c r="C199" s="39" t="s">
        <v>407</v>
      </c>
      <c r="D199" s="40" t="s">
        <v>106</v>
      </c>
      <c r="E199" s="41">
        <f>Source!BZ38</f>
        <v>97</v>
      </c>
      <c r="F199" s="41"/>
      <c r="G199" s="41">
        <f>Source!AT38</f>
        <v>97</v>
      </c>
      <c r="H199" s="43"/>
      <c r="I199" s="42"/>
      <c r="J199" s="43"/>
      <c r="K199" s="42"/>
      <c r="L199" s="43">
        <f>SUM(AZ189:AZ201)</f>
        <v>12391.55</v>
      </c>
    </row>
    <row r="200" spans="1:83" ht="28.5">
      <c r="A200" s="47"/>
      <c r="B200" s="47" t="s">
        <v>102</v>
      </c>
      <c r="C200" s="47" t="s">
        <v>408</v>
      </c>
      <c r="D200" s="48" t="s">
        <v>106</v>
      </c>
      <c r="E200" s="49">
        <f>Source!CA38</f>
        <v>51</v>
      </c>
      <c r="F200" s="49"/>
      <c r="G200" s="49">
        <f>Source!AU38</f>
        <v>51</v>
      </c>
      <c r="H200" s="50"/>
      <c r="I200" s="51"/>
      <c r="J200" s="50"/>
      <c r="K200" s="51"/>
      <c r="L200" s="50">
        <f>SUM(BA189:BA201)</f>
        <v>6515.14</v>
      </c>
    </row>
    <row r="201" spans="1:83" ht="15">
      <c r="C201" s="103" t="s">
        <v>382</v>
      </c>
      <c r="D201" s="103"/>
      <c r="E201" s="103"/>
      <c r="F201" s="103"/>
      <c r="G201" s="103"/>
      <c r="H201" s="103"/>
      <c r="I201" s="104">
        <f>IF(E189&lt;&gt;0,K201/E189, 0)</f>
        <v>1031.7466071428571</v>
      </c>
      <c r="J201" s="104"/>
      <c r="K201" s="104">
        <f>L190+L192+L199+L200+L193+SUM(L197:L197)</f>
        <v>57777.81</v>
      </c>
      <c r="L201" s="104"/>
      <c r="AD201">
        <f>ROUND((Source!AT38/100)*((ROUND(SUMIF(SmtRes!AQ45:'SmtRes'!AQ48,"=1",SmtRes!AD45:'SmtRes'!AD48)*Source!I38, 2)+ROUND(SUMIF(SmtRes!AQ45:'SmtRes'!AQ48,"=1",SmtRes!AC45:'SmtRes'!AC48)*Source!I38, 2))), 2)</f>
        <v>50564.32</v>
      </c>
      <c r="AE201">
        <f>ROUND((Source!AU38/100)*((ROUND(SUMIF(SmtRes!AQ45:'SmtRes'!AQ48,"=1",SmtRes!AD45:'SmtRes'!AD48)*Source!I38, 2)+ROUND(SUMIF(SmtRes!AQ45:'SmtRes'!AQ48,"=1",SmtRes!AC45:'SmtRes'!AC48)*Source!I38, 2))), 2)</f>
        <v>26585.360000000001</v>
      </c>
      <c r="AN201" s="52">
        <f>L190+L192+L199+L200+L193</f>
        <v>57686.82</v>
      </c>
      <c r="AO201" s="52">
        <f>L192</f>
        <v>26005.340000000004</v>
      </c>
      <c r="AQ201" t="s">
        <v>383</v>
      </c>
      <c r="AR201" s="52">
        <f>L190</f>
        <v>4549.3599999999997</v>
      </c>
      <c r="AT201" s="52">
        <f>L193</f>
        <v>8225.43</v>
      </c>
      <c r="AV201" t="s">
        <v>383</v>
      </c>
      <c r="AW201">
        <f>0</f>
        <v>0</v>
      </c>
      <c r="AZ201">
        <f>Source!X38</f>
        <v>12391.55</v>
      </c>
      <c r="BA201">
        <f>Source!Y38</f>
        <v>6515.14</v>
      </c>
      <c r="CD201">
        <v>2</v>
      </c>
    </row>
    <row r="202" spans="1:83" ht="39.75">
      <c r="A202" s="37" t="s">
        <v>107</v>
      </c>
      <c r="B202" s="39" t="s">
        <v>409</v>
      </c>
      <c r="C202" s="39" t="s">
        <v>410</v>
      </c>
      <c r="D202" s="40" t="str">
        <f>Source!H40</f>
        <v>км</v>
      </c>
      <c r="E202" s="41">
        <f>Source!K40</f>
        <v>1.0474859999999999</v>
      </c>
      <c r="F202" s="41"/>
      <c r="G202" s="41">
        <f>Source!I40</f>
        <v>1.0474859999999999</v>
      </c>
      <c r="H202" s="43"/>
      <c r="I202" s="42"/>
      <c r="J202" s="43"/>
      <c r="K202" s="42"/>
      <c r="L202" s="43"/>
    </row>
    <row r="203" spans="1:83" ht="15">
      <c r="A203" s="38"/>
      <c r="B203" s="41">
        <v>1</v>
      </c>
      <c r="C203" s="38" t="s">
        <v>374</v>
      </c>
      <c r="D203" s="40" t="s">
        <v>256</v>
      </c>
      <c r="E203" s="45"/>
      <c r="F203" s="41"/>
      <c r="G203" s="41">
        <f>Source!U40</f>
        <v>31.319831400000002</v>
      </c>
      <c r="H203" s="41"/>
      <c r="I203" s="41"/>
      <c r="J203" s="41"/>
      <c r="K203" s="41"/>
      <c r="L203" s="46">
        <f>SUM(L204:L204)-SUMIF(CE204:CE204, 1, L204:L204)</f>
        <v>12258.27</v>
      </c>
    </row>
    <row r="204" spans="1:83" ht="14.25">
      <c r="A204" s="39"/>
      <c r="B204" s="39" t="s">
        <v>322</v>
      </c>
      <c r="C204" s="39" t="s">
        <v>323</v>
      </c>
      <c r="D204" s="40" t="s">
        <v>256</v>
      </c>
      <c r="E204" s="41">
        <v>29.9</v>
      </c>
      <c r="F204" s="41"/>
      <c r="G204" s="41">
        <f>SmtRes!CX49</f>
        <v>31.319831400000002</v>
      </c>
      <c r="H204" s="43"/>
      <c r="I204" s="42"/>
      <c r="J204" s="43">
        <f>SmtRes!CZ49</f>
        <v>391.39</v>
      </c>
      <c r="K204" s="42"/>
      <c r="L204" s="43">
        <f>SmtRes!DI49</f>
        <v>12258.27</v>
      </c>
    </row>
    <row r="205" spans="1:83" ht="15">
      <c r="A205" s="38"/>
      <c r="B205" s="41">
        <v>2</v>
      </c>
      <c r="C205" s="38" t="s">
        <v>375</v>
      </c>
      <c r="D205" s="40"/>
      <c r="E205" s="45"/>
      <c r="F205" s="41"/>
      <c r="G205" s="41"/>
      <c r="H205" s="41"/>
      <c r="I205" s="41"/>
      <c r="J205" s="41"/>
      <c r="K205" s="41"/>
      <c r="L205" s="46">
        <f>SUM(L206:L212)-SUMIF(CE206:CE212, 1, L206:L212)</f>
        <v>4276.7700000000004</v>
      </c>
    </row>
    <row r="206" spans="1:83" ht="15">
      <c r="A206" s="38"/>
      <c r="B206" s="41"/>
      <c r="C206" s="38" t="s">
        <v>377</v>
      </c>
      <c r="D206" s="40" t="s">
        <v>256</v>
      </c>
      <c r="E206" s="45"/>
      <c r="F206" s="41"/>
      <c r="G206" s="41">
        <f>Source!V40</f>
        <v>2.166201</v>
      </c>
      <c r="H206" s="41"/>
      <c r="I206" s="41"/>
      <c r="J206" s="41"/>
      <c r="K206" s="41"/>
      <c r="L206" s="46">
        <f>SUMIF(CE207:CE212, 1, L207:L212)</f>
        <v>1137.08</v>
      </c>
      <c r="CE206">
        <v>1</v>
      </c>
    </row>
    <row r="207" spans="1:83" ht="28.5">
      <c r="A207" s="39"/>
      <c r="B207" s="39" t="s">
        <v>305</v>
      </c>
      <c r="C207" s="39" t="s">
        <v>307</v>
      </c>
      <c r="D207" s="40" t="s">
        <v>262</v>
      </c>
      <c r="E207" s="41">
        <v>0.28399999999999997</v>
      </c>
      <c r="F207" s="41"/>
      <c r="G207" s="41">
        <f>SmtRes!CX51</f>
        <v>0.29748599999999997</v>
      </c>
      <c r="H207" s="43"/>
      <c r="I207" s="42"/>
      <c r="J207" s="43">
        <f>SmtRes!CZ51</f>
        <v>1719.93</v>
      </c>
      <c r="K207" s="42"/>
      <c r="L207" s="43">
        <f>SmtRes!DG51</f>
        <v>511.66</v>
      </c>
    </row>
    <row r="208" spans="1:83" ht="28.5">
      <c r="A208" s="39"/>
      <c r="B208" s="39" t="s">
        <v>308</v>
      </c>
      <c r="C208" s="39" t="s">
        <v>401</v>
      </c>
      <c r="D208" s="40" t="s">
        <v>256</v>
      </c>
      <c r="E208" s="41">
        <f>SmtRes!DO51*SmtRes!AT51</f>
        <v>0.28399999999999997</v>
      </c>
      <c r="F208" s="41"/>
      <c r="G208" s="41">
        <f>ROUND(E208*G202, 7)</f>
        <v>0.29748599999999997</v>
      </c>
      <c r="H208" s="43"/>
      <c r="I208" s="42"/>
      <c r="J208" s="43">
        <f>ROUND(SmtRes!AG51/SmtRes!DO51, 2)</f>
        <v>544.01</v>
      </c>
      <c r="K208" s="42"/>
      <c r="L208" s="43">
        <f>SmtRes!DH51</f>
        <v>161.84</v>
      </c>
      <c r="CE208">
        <v>1</v>
      </c>
    </row>
    <row r="209" spans="1:83" ht="42.75">
      <c r="A209" s="39"/>
      <c r="B209" s="39" t="s">
        <v>324</v>
      </c>
      <c r="C209" s="39" t="s">
        <v>326</v>
      </c>
      <c r="D209" s="40" t="s">
        <v>262</v>
      </c>
      <c r="E209" s="41">
        <v>1.5</v>
      </c>
      <c r="F209" s="41"/>
      <c r="G209" s="41">
        <f>SmtRes!CX52</f>
        <v>1.571229</v>
      </c>
      <c r="H209" s="43">
        <f>SmtRes!CZ52</f>
        <v>1472.34</v>
      </c>
      <c r="I209" s="42">
        <f>SmtRes!AJ52</f>
        <v>1.54</v>
      </c>
      <c r="J209" s="43">
        <f>ROUND(H209*I209, 2)</f>
        <v>2267.4</v>
      </c>
      <c r="K209" s="42"/>
      <c r="L209" s="43">
        <f>SmtRes!DG52</f>
        <v>3562.6</v>
      </c>
    </row>
    <row r="210" spans="1:83" ht="28.5">
      <c r="A210" s="39"/>
      <c r="B210" s="39" t="s">
        <v>308</v>
      </c>
      <c r="C210" s="39" t="s">
        <v>401</v>
      </c>
      <c r="D210" s="40" t="s">
        <v>256</v>
      </c>
      <c r="E210" s="41">
        <f>SmtRes!DO52*SmtRes!AT52</f>
        <v>1.5</v>
      </c>
      <c r="F210" s="41"/>
      <c r="G210" s="41">
        <f>ROUND(E210*G202, 7)</f>
        <v>1.571229</v>
      </c>
      <c r="H210" s="43"/>
      <c r="I210" s="42"/>
      <c r="J210" s="43">
        <f>ROUND(SmtRes!AG52/SmtRes!DO52, 2)</f>
        <v>544.01</v>
      </c>
      <c r="K210" s="42"/>
      <c r="L210" s="43">
        <f>SmtRes!DH52</f>
        <v>854.76</v>
      </c>
      <c r="CE210">
        <v>1</v>
      </c>
    </row>
    <row r="211" spans="1:83" ht="28.5">
      <c r="A211" s="39"/>
      <c r="B211" s="39" t="s">
        <v>311</v>
      </c>
      <c r="C211" s="39" t="s">
        <v>313</v>
      </c>
      <c r="D211" s="40" t="s">
        <v>262</v>
      </c>
      <c r="E211" s="41">
        <v>0.28399999999999997</v>
      </c>
      <c r="F211" s="41"/>
      <c r="G211" s="41">
        <f>SmtRes!CX53</f>
        <v>0.29748599999999997</v>
      </c>
      <c r="H211" s="43"/>
      <c r="I211" s="42"/>
      <c r="J211" s="43">
        <f>SmtRes!CZ53</f>
        <v>680.75</v>
      </c>
      <c r="K211" s="42"/>
      <c r="L211" s="43">
        <f>SmtRes!DG53</f>
        <v>202.51</v>
      </c>
    </row>
    <row r="212" spans="1:83" ht="28.5">
      <c r="A212" s="39"/>
      <c r="B212" s="39" t="s">
        <v>296</v>
      </c>
      <c r="C212" s="47" t="s">
        <v>390</v>
      </c>
      <c r="D212" s="48" t="s">
        <v>256</v>
      </c>
      <c r="E212" s="49">
        <f>SmtRes!DO53*SmtRes!AT53</f>
        <v>0.28399999999999997</v>
      </c>
      <c r="F212" s="49"/>
      <c r="G212" s="49">
        <f>ROUND(E212*G202, 7)</f>
        <v>0.29748599999999997</v>
      </c>
      <c r="H212" s="50"/>
      <c r="I212" s="51"/>
      <c r="J212" s="50">
        <f>ROUND(SmtRes!AG53/SmtRes!DO53, 2)</f>
        <v>404.99</v>
      </c>
      <c r="K212" s="51"/>
      <c r="L212" s="50">
        <f>SmtRes!DH53</f>
        <v>120.48</v>
      </c>
      <c r="CE212">
        <v>1</v>
      </c>
    </row>
    <row r="213" spans="1:83" ht="15">
      <c r="A213" s="39"/>
      <c r="B213" s="39"/>
      <c r="C213" s="54" t="s">
        <v>378</v>
      </c>
      <c r="D213" s="40"/>
      <c r="E213" s="41"/>
      <c r="F213" s="41"/>
      <c r="G213" s="41"/>
      <c r="H213" s="43"/>
      <c r="I213" s="42"/>
      <c r="J213" s="43"/>
      <c r="K213" s="42"/>
      <c r="L213" s="43">
        <f>L203+L205+L206</f>
        <v>17672.120000000003</v>
      </c>
    </row>
    <row r="214" spans="1:83" ht="57">
      <c r="A214" s="37" t="s">
        <v>411</v>
      </c>
      <c r="B214" s="39" t="str">
        <f>Source!F41</f>
        <v>421/пр_2020_п.75_пп.а</v>
      </c>
      <c r="C214" s="39" t="str">
        <f>Source!G41</f>
        <v>Сметная стоимость вспомогательных ненормируемых материальных ресурсов, не учтенная в сметной норме, 2%</v>
      </c>
      <c r="D214" s="40" t="str">
        <f>Source!H41</f>
        <v>%</v>
      </c>
      <c r="E214" s="41">
        <f>SmtRes!AT54</f>
        <v>2</v>
      </c>
      <c r="F214" s="41"/>
      <c r="G214" s="41">
        <f>Source!I41</f>
        <v>2</v>
      </c>
      <c r="H214" s="43"/>
      <c r="I214" s="42"/>
      <c r="J214" s="43"/>
      <c r="K214" s="42"/>
      <c r="L214" s="43">
        <f>Source!P41</f>
        <v>245.17</v>
      </c>
      <c r="AD214">
        <f>ROUND((Source!AT41/100)*((ROUND(0*Source!I41, 2)+ROUND(0*Source!I41, 2))), 2)</f>
        <v>0</v>
      </c>
      <c r="AE214">
        <f>ROUND((Source!AU41/100)*((ROUND(0*Source!I41, 2)+ROUND(0*Source!I41, 2))), 2)</f>
        <v>0</v>
      </c>
      <c r="AN214">
        <f>L214</f>
        <v>245.17</v>
      </c>
      <c r="AW214">
        <f>L214</f>
        <v>245.17</v>
      </c>
      <c r="AZ214">
        <f>Source!X41</f>
        <v>0</v>
      </c>
      <c r="BA214">
        <f>Source!Y41</f>
        <v>0</v>
      </c>
      <c r="CD214">
        <v>2</v>
      </c>
    </row>
    <row r="215" spans="1:83" ht="14.25">
      <c r="A215" s="39"/>
      <c r="B215" s="39"/>
      <c r="C215" s="39" t="s">
        <v>379</v>
      </c>
      <c r="D215" s="40"/>
      <c r="E215" s="41"/>
      <c r="F215" s="41"/>
      <c r="G215" s="41"/>
      <c r="H215" s="43"/>
      <c r="I215" s="42"/>
      <c r="J215" s="43"/>
      <c r="K215" s="42"/>
      <c r="L215" s="43">
        <f>SUM(AR202:AR218)+SUM(AS202:AS218)+SUM(AT202:AT218)+SUM(AU202:AU218)+SUM(AV202:AV218)</f>
        <v>13395.35</v>
      </c>
    </row>
    <row r="216" spans="1:83" ht="28.5">
      <c r="A216" s="39"/>
      <c r="B216" s="39" t="s">
        <v>101</v>
      </c>
      <c r="C216" s="39" t="s">
        <v>407</v>
      </c>
      <c r="D216" s="40" t="s">
        <v>106</v>
      </c>
      <c r="E216" s="41">
        <f>Source!BZ40</f>
        <v>97</v>
      </c>
      <c r="F216" s="41"/>
      <c r="G216" s="41">
        <f>Source!AT40</f>
        <v>97</v>
      </c>
      <c r="H216" s="43"/>
      <c r="I216" s="42"/>
      <c r="J216" s="43"/>
      <c r="K216" s="42"/>
      <c r="L216" s="43">
        <f>SUM(AZ202:AZ218)</f>
        <v>12993.49</v>
      </c>
    </row>
    <row r="217" spans="1:83" ht="28.5">
      <c r="A217" s="47"/>
      <c r="B217" s="47" t="s">
        <v>102</v>
      </c>
      <c r="C217" s="47" t="s">
        <v>408</v>
      </c>
      <c r="D217" s="48" t="s">
        <v>106</v>
      </c>
      <c r="E217" s="49">
        <f>Source!CA40</f>
        <v>51</v>
      </c>
      <c r="F217" s="49"/>
      <c r="G217" s="49">
        <f>Source!AU40</f>
        <v>51</v>
      </c>
      <c r="H217" s="50"/>
      <c r="I217" s="51"/>
      <c r="J217" s="50"/>
      <c r="K217" s="51"/>
      <c r="L217" s="50">
        <f>SUM(BA202:BA218)</f>
        <v>6831.63</v>
      </c>
    </row>
    <row r="218" spans="1:83" ht="15">
      <c r="C218" s="103" t="s">
        <v>382</v>
      </c>
      <c r="D218" s="103"/>
      <c r="E218" s="103"/>
      <c r="F218" s="103"/>
      <c r="G218" s="103"/>
      <c r="H218" s="103"/>
      <c r="I218" s="104">
        <f>IF(E202&lt;&gt;0,K218/E202, 0)</f>
        <v>36031.421899672168</v>
      </c>
      <c r="J218" s="104"/>
      <c r="K218" s="104">
        <f>L203+L205+L216+L217+L206+SUM(L214:L214)</f>
        <v>37742.409999999996</v>
      </c>
      <c r="L218" s="104"/>
      <c r="AD218">
        <f>ROUND((Source!AT40/100)*((ROUND(SUMIF(SmtRes!AQ49:'SmtRes'!AQ54,"=1",SmtRes!AD49:'SmtRes'!AD54)*Source!I40, 2)+ROUND(SUMIF(SmtRes!AQ49:'SmtRes'!AQ54,"=1",SmtRes!AC49:'SmtRes'!AC54)*Source!I40, 2))), 2)</f>
        <v>1914.67</v>
      </c>
      <c r="AE218">
        <f>ROUND((Source!AU40/100)*((ROUND(SUMIF(SmtRes!AQ49:'SmtRes'!AQ54,"=1",SmtRes!AD49:'SmtRes'!AD54)*Source!I40, 2)+ROUND(SUMIF(SmtRes!AQ49:'SmtRes'!AQ54,"=1",SmtRes!AC49:'SmtRes'!AC54)*Source!I40, 2))), 2)</f>
        <v>1006.68</v>
      </c>
      <c r="AN218" s="52">
        <f>L203+L205+L216+L217+L206</f>
        <v>37497.24</v>
      </c>
      <c r="AO218" s="52">
        <f>L205</f>
        <v>4276.7700000000004</v>
      </c>
      <c r="AQ218" t="s">
        <v>383</v>
      </c>
      <c r="AR218" s="52">
        <f>L203</f>
        <v>12258.27</v>
      </c>
      <c r="AT218" s="52">
        <f>L206</f>
        <v>1137.08</v>
      </c>
      <c r="AV218" t="s">
        <v>383</v>
      </c>
      <c r="AW218">
        <f>0</f>
        <v>0</v>
      </c>
      <c r="AZ218">
        <f>Source!X40</f>
        <v>12993.49</v>
      </c>
      <c r="BA218">
        <f>Source!Y40</f>
        <v>6831.63</v>
      </c>
      <c r="CD218">
        <v>2</v>
      </c>
    </row>
    <row r="219" spans="1:83" ht="39.75">
      <c r="A219" s="37" t="s">
        <v>113</v>
      </c>
      <c r="B219" s="39" t="s">
        <v>409</v>
      </c>
      <c r="C219" s="39" t="s">
        <v>412</v>
      </c>
      <c r="D219" s="40" t="str">
        <f>Source!H42</f>
        <v>км</v>
      </c>
      <c r="E219" s="41">
        <f>Source!K42</f>
        <v>1.286</v>
      </c>
      <c r="F219" s="41"/>
      <c r="G219" s="41">
        <f>Source!I42</f>
        <v>1.286</v>
      </c>
      <c r="H219" s="43"/>
      <c r="I219" s="42"/>
      <c r="J219" s="43"/>
      <c r="K219" s="42"/>
      <c r="L219" s="43"/>
    </row>
    <row r="220" spans="1:83" ht="15">
      <c r="A220" s="38"/>
      <c r="B220" s="41">
        <v>1</v>
      </c>
      <c r="C220" s="38" t="s">
        <v>374</v>
      </c>
      <c r="D220" s="40" t="s">
        <v>256</v>
      </c>
      <c r="E220" s="45"/>
      <c r="F220" s="41"/>
      <c r="G220" s="41">
        <f>Source!U42</f>
        <v>38.4514</v>
      </c>
      <c r="H220" s="41"/>
      <c r="I220" s="41"/>
      <c r="J220" s="41"/>
      <c r="K220" s="41"/>
      <c r="L220" s="46">
        <f>SUM(L221:L221)-SUMIF(CE221:CE221, 1, L221:L221)</f>
        <v>15049.49</v>
      </c>
    </row>
    <row r="221" spans="1:83" ht="14.25">
      <c r="A221" s="39"/>
      <c r="B221" s="39" t="s">
        <v>322</v>
      </c>
      <c r="C221" s="39" t="s">
        <v>323</v>
      </c>
      <c r="D221" s="40" t="s">
        <v>256</v>
      </c>
      <c r="E221" s="41">
        <v>29.9</v>
      </c>
      <c r="F221" s="41"/>
      <c r="G221" s="41">
        <f>SmtRes!CX55</f>
        <v>38.4514</v>
      </c>
      <c r="H221" s="43"/>
      <c r="I221" s="42"/>
      <c r="J221" s="43">
        <f>SmtRes!CZ55</f>
        <v>391.39</v>
      </c>
      <c r="K221" s="42"/>
      <c r="L221" s="43">
        <f>SmtRes!DI55</f>
        <v>15049.49</v>
      </c>
    </row>
    <row r="222" spans="1:83" ht="15">
      <c r="A222" s="38"/>
      <c r="B222" s="41">
        <v>2</v>
      </c>
      <c r="C222" s="38" t="s">
        <v>375</v>
      </c>
      <c r="D222" s="40"/>
      <c r="E222" s="45"/>
      <c r="F222" s="41"/>
      <c r="G222" s="41"/>
      <c r="H222" s="41"/>
      <c r="I222" s="41"/>
      <c r="J222" s="41"/>
      <c r="K222" s="41"/>
      <c r="L222" s="46">
        <f>SUM(L223:L229)-SUMIF(CE223:CE229, 1, L223:L229)</f>
        <v>5250.6000000000013</v>
      </c>
    </row>
    <row r="223" spans="1:83" ht="15">
      <c r="A223" s="38"/>
      <c r="B223" s="41"/>
      <c r="C223" s="38" t="s">
        <v>377</v>
      </c>
      <c r="D223" s="40" t="s">
        <v>256</v>
      </c>
      <c r="E223" s="45"/>
      <c r="F223" s="41"/>
      <c r="G223" s="41">
        <f>Source!V42</f>
        <v>2.6594479999999998</v>
      </c>
      <c r="H223" s="41"/>
      <c r="I223" s="41"/>
      <c r="J223" s="41"/>
      <c r="K223" s="41"/>
      <c r="L223" s="46">
        <f>SUMIF(CE224:CE229, 1, L224:L229)</f>
        <v>1396.0000000000002</v>
      </c>
      <c r="CE223">
        <v>1</v>
      </c>
    </row>
    <row r="224" spans="1:83" ht="28.5">
      <c r="A224" s="39"/>
      <c r="B224" s="39" t="s">
        <v>305</v>
      </c>
      <c r="C224" s="39" t="s">
        <v>307</v>
      </c>
      <c r="D224" s="40" t="s">
        <v>262</v>
      </c>
      <c r="E224" s="41">
        <v>0.28399999999999997</v>
      </c>
      <c r="F224" s="41"/>
      <c r="G224" s="41">
        <f>SmtRes!CX57</f>
        <v>0.36522399999999999</v>
      </c>
      <c r="H224" s="43"/>
      <c r="I224" s="42"/>
      <c r="J224" s="43">
        <f>SmtRes!CZ57</f>
        <v>1719.93</v>
      </c>
      <c r="K224" s="42"/>
      <c r="L224" s="43">
        <f>SmtRes!DG57</f>
        <v>628.16</v>
      </c>
    </row>
    <row r="225" spans="1:83" ht="28.5">
      <c r="A225" s="39"/>
      <c r="B225" s="39" t="s">
        <v>308</v>
      </c>
      <c r="C225" s="39" t="s">
        <v>401</v>
      </c>
      <c r="D225" s="40" t="s">
        <v>256</v>
      </c>
      <c r="E225" s="41">
        <f>SmtRes!DO57*SmtRes!AT57</f>
        <v>0.28399999999999997</v>
      </c>
      <c r="F225" s="41"/>
      <c r="G225" s="41">
        <f>ROUND(E225*G219, 7)</f>
        <v>0.36522399999999999</v>
      </c>
      <c r="H225" s="43"/>
      <c r="I225" s="42"/>
      <c r="J225" s="43">
        <f>ROUND(SmtRes!AG57/SmtRes!DO57, 2)</f>
        <v>544.01</v>
      </c>
      <c r="K225" s="42"/>
      <c r="L225" s="43">
        <f>SmtRes!DH57</f>
        <v>198.69</v>
      </c>
      <c r="CE225">
        <v>1</v>
      </c>
    </row>
    <row r="226" spans="1:83" ht="42.75">
      <c r="A226" s="39"/>
      <c r="B226" s="39" t="s">
        <v>324</v>
      </c>
      <c r="C226" s="39" t="s">
        <v>326</v>
      </c>
      <c r="D226" s="40" t="s">
        <v>262</v>
      </c>
      <c r="E226" s="41">
        <v>1.5</v>
      </c>
      <c r="F226" s="41"/>
      <c r="G226" s="41">
        <f>SmtRes!CX58</f>
        <v>1.929</v>
      </c>
      <c r="H226" s="43">
        <f>SmtRes!CZ58</f>
        <v>1472.34</v>
      </c>
      <c r="I226" s="42">
        <f>SmtRes!AJ58</f>
        <v>1.54</v>
      </c>
      <c r="J226" s="43">
        <f>ROUND(H226*I226, 2)</f>
        <v>2267.4</v>
      </c>
      <c r="K226" s="42"/>
      <c r="L226" s="43">
        <f>SmtRes!DG58</f>
        <v>4373.8100000000004</v>
      </c>
    </row>
    <row r="227" spans="1:83" ht="28.5">
      <c r="A227" s="39"/>
      <c r="B227" s="39" t="s">
        <v>308</v>
      </c>
      <c r="C227" s="39" t="s">
        <v>401</v>
      </c>
      <c r="D227" s="40" t="s">
        <v>256</v>
      </c>
      <c r="E227" s="41">
        <f>SmtRes!DO58*SmtRes!AT58</f>
        <v>1.5</v>
      </c>
      <c r="F227" s="41"/>
      <c r="G227" s="41">
        <f>ROUND(E227*G219, 7)</f>
        <v>1.929</v>
      </c>
      <c r="H227" s="43"/>
      <c r="I227" s="42"/>
      <c r="J227" s="43">
        <f>ROUND(SmtRes!AG58/SmtRes!DO58, 2)</f>
        <v>544.01</v>
      </c>
      <c r="K227" s="42"/>
      <c r="L227" s="43">
        <f>SmtRes!DH58</f>
        <v>1049.4000000000001</v>
      </c>
      <c r="CE227">
        <v>1</v>
      </c>
    </row>
    <row r="228" spans="1:83" ht="28.5">
      <c r="A228" s="39"/>
      <c r="B228" s="39" t="s">
        <v>311</v>
      </c>
      <c r="C228" s="39" t="s">
        <v>313</v>
      </c>
      <c r="D228" s="40" t="s">
        <v>262</v>
      </c>
      <c r="E228" s="41">
        <v>0.28399999999999997</v>
      </c>
      <c r="F228" s="41"/>
      <c r="G228" s="41">
        <f>SmtRes!CX59</f>
        <v>0.36522399999999999</v>
      </c>
      <c r="H228" s="43"/>
      <c r="I228" s="42"/>
      <c r="J228" s="43">
        <f>SmtRes!CZ59</f>
        <v>680.75</v>
      </c>
      <c r="K228" s="42"/>
      <c r="L228" s="43">
        <f>SmtRes!DG59</f>
        <v>248.63</v>
      </c>
    </row>
    <row r="229" spans="1:83" ht="28.5">
      <c r="A229" s="39"/>
      <c r="B229" s="39" t="s">
        <v>296</v>
      </c>
      <c r="C229" s="47" t="s">
        <v>390</v>
      </c>
      <c r="D229" s="48" t="s">
        <v>256</v>
      </c>
      <c r="E229" s="49">
        <f>SmtRes!DO59*SmtRes!AT59</f>
        <v>0.28399999999999997</v>
      </c>
      <c r="F229" s="49"/>
      <c r="G229" s="49">
        <f>ROUND(E229*G219, 7)</f>
        <v>0.36522399999999999</v>
      </c>
      <c r="H229" s="50"/>
      <c r="I229" s="51"/>
      <c r="J229" s="50">
        <f>ROUND(SmtRes!AG59/SmtRes!DO59, 2)</f>
        <v>404.99</v>
      </c>
      <c r="K229" s="51"/>
      <c r="L229" s="50">
        <f>SmtRes!DH59</f>
        <v>147.91</v>
      </c>
      <c r="CE229">
        <v>1</v>
      </c>
    </row>
    <row r="230" spans="1:83" ht="15">
      <c r="A230" s="39"/>
      <c r="B230" s="39"/>
      <c r="C230" s="54" t="s">
        <v>378</v>
      </c>
      <c r="D230" s="40"/>
      <c r="E230" s="41"/>
      <c r="F230" s="41"/>
      <c r="G230" s="41"/>
      <c r="H230" s="43"/>
      <c r="I230" s="42"/>
      <c r="J230" s="43"/>
      <c r="K230" s="42"/>
      <c r="L230" s="43">
        <f>L220+L222+L223</f>
        <v>21696.09</v>
      </c>
    </row>
    <row r="231" spans="1:83" ht="57">
      <c r="A231" s="37" t="s">
        <v>413</v>
      </c>
      <c r="B231" s="39" t="str">
        <f>Source!F43</f>
        <v>421/пр_2020_п.75_пп.а</v>
      </c>
      <c r="C231" s="39" t="str">
        <f>Source!G43</f>
        <v>Сметная стоимость вспомогательных ненормируемых материальных ресурсов, не учтенная в сметной норме, 2%</v>
      </c>
      <c r="D231" s="40" t="str">
        <f>Source!H43</f>
        <v>%</v>
      </c>
      <c r="E231" s="41">
        <f>SmtRes!AT60</f>
        <v>2</v>
      </c>
      <c r="F231" s="41"/>
      <c r="G231" s="41">
        <f>Source!I43</f>
        <v>2</v>
      </c>
      <c r="H231" s="43"/>
      <c r="I231" s="42"/>
      <c r="J231" s="43"/>
      <c r="K231" s="42"/>
      <c r="L231" s="43">
        <f>Source!P43</f>
        <v>300.99</v>
      </c>
      <c r="AD231">
        <f>ROUND((Source!AT43/100)*((ROUND(0*Source!I43, 2)+ROUND(0*Source!I43, 2))), 2)</f>
        <v>0</v>
      </c>
      <c r="AE231">
        <f>ROUND((Source!AU43/100)*((ROUND(0*Source!I43, 2)+ROUND(0*Source!I43, 2))), 2)</f>
        <v>0</v>
      </c>
      <c r="AN231">
        <f>L231</f>
        <v>300.99</v>
      </c>
      <c r="AW231">
        <f>L231</f>
        <v>300.99</v>
      </c>
      <c r="AZ231">
        <f>Source!X43</f>
        <v>0</v>
      </c>
      <c r="BA231">
        <f>Source!Y43</f>
        <v>0</v>
      </c>
      <c r="CD231">
        <v>2</v>
      </c>
    </row>
    <row r="232" spans="1:83" ht="14.25">
      <c r="A232" s="39"/>
      <c r="B232" s="39"/>
      <c r="C232" s="39" t="s">
        <v>379</v>
      </c>
      <c r="D232" s="40"/>
      <c r="E232" s="41"/>
      <c r="F232" s="41"/>
      <c r="G232" s="41"/>
      <c r="H232" s="43"/>
      <c r="I232" s="42"/>
      <c r="J232" s="43"/>
      <c r="K232" s="42"/>
      <c r="L232" s="43">
        <f>SUM(AR219:AR235)+SUM(AS219:AS235)+SUM(AT219:AT235)+SUM(AU219:AU235)+SUM(AV219:AV235)</f>
        <v>16445.490000000002</v>
      </c>
    </row>
    <row r="233" spans="1:83" ht="28.5">
      <c r="A233" s="39"/>
      <c r="B233" s="39" t="s">
        <v>101</v>
      </c>
      <c r="C233" s="39" t="s">
        <v>407</v>
      </c>
      <c r="D233" s="40" t="s">
        <v>106</v>
      </c>
      <c r="E233" s="41">
        <f>Source!BZ42</f>
        <v>97</v>
      </c>
      <c r="F233" s="41"/>
      <c r="G233" s="41">
        <f>Source!AT42</f>
        <v>97</v>
      </c>
      <c r="H233" s="43"/>
      <c r="I233" s="42"/>
      <c r="J233" s="43"/>
      <c r="K233" s="42"/>
      <c r="L233" s="43">
        <f>SUM(AZ219:AZ235)</f>
        <v>15952.13</v>
      </c>
    </row>
    <row r="234" spans="1:83" ht="28.5">
      <c r="A234" s="47"/>
      <c r="B234" s="47" t="s">
        <v>102</v>
      </c>
      <c r="C234" s="47" t="s">
        <v>408</v>
      </c>
      <c r="D234" s="48" t="s">
        <v>106</v>
      </c>
      <c r="E234" s="49">
        <f>Source!CA42</f>
        <v>51</v>
      </c>
      <c r="F234" s="49"/>
      <c r="G234" s="49">
        <f>Source!AU42</f>
        <v>51</v>
      </c>
      <c r="H234" s="50"/>
      <c r="I234" s="51"/>
      <c r="J234" s="50"/>
      <c r="K234" s="51"/>
      <c r="L234" s="50">
        <f>SUM(BA219:BA235)</f>
        <v>8387.2000000000007</v>
      </c>
    </row>
    <row r="235" spans="1:83" ht="15">
      <c r="C235" s="103" t="s">
        <v>382</v>
      </c>
      <c r="D235" s="103"/>
      <c r="E235" s="103"/>
      <c r="F235" s="103"/>
      <c r="G235" s="103"/>
      <c r="H235" s="103"/>
      <c r="I235" s="104">
        <f>IF(E219&lt;&gt;0,K235/E219, 0)</f>
        <v>36031.423017107307</v>
      </c>
      <c r="J235" s="104"/>
      <c r="K235" s="104">
        <f>L220+L222+L233+L234+L223+SUM(L231:L231)</f>
        <v>46336.409999999996</v>
      </c>
      <c r="L235" s="104"/>
      <c r="AD235">
        <f>ROUND((Source!AT42/100)*((ROUND(SUMIF(SmtRes!AQ55:'SmtRes'!AQ60,"=1",SmtRes!AD55:'SmtRes'!AD60)*Source!I42, 2)+ROUND(SUMIF(SmtRes!AQ55:'SmtRes'!AQ60,"=1",SmtRes!AC55:'SmtRes'!AC60)*Source!I42, 2))), 2)</f>
        <v>2350.64</v>
      </c>
      <c r="AE235">
        <f>ROUND((Source!AU42/100)*((ROUND(SUMIF(SmtRes!AQ55:'SmtRes'!AQ60,"=1",SmtRes!AD55:'SmtRes'!AD60)*Source!I42, 2)+ROUND(SUMIF(SmtRes!AQ55:'SmtRes'!AQ60,"=1",SmtRes!AC55:'SmtRes'!AC60)*Source!I42, 2))), 2)</f>
        <v>1235.9000000000001</v>
      </c>
      <c r="AN235" s="52">
        <f>L220+L222+L233+L234+L223</f>
        <v>46035.42</v>
      </c>
      <c r="AO235" s="52">
        <f>L222</f>
        <v>5250.6000000000013</v>
      </c>
      <c r="AQ235" t="s">
        <v>383</v>
      </c>
      <c r="AR235" s="52">
        <f>L220</f>
        <v>15049.49</v>
      </c>
      <c r="AT235" s="52">
        <f>L223</f>
        <v>1396.0000000000002</v>
      </c>
      <c r="AV235" t="s">
        <v>383</v>
      </c>
      <c r="AW235">
        <f>0</f>
        <v>0</v>
      </c>
      <c r="AZ235">
        <f>Source!X42</f>
        <v>15952.13</v>
      </c>
      <c r="BA235">
        <f>Source!Y42</f>
        <v>8387.2000000000007</v>
      </c>
      <c r="CD235">
        <v>2</v>
      </c>
    </row>
    <row r="237" spans="1:83" ht="15">
      <c r="A237" s="60"/>
      <c r="B237" s="61"/>
      <c r="C237" s="102" t="s">
        <v>414</v>
      </c>
      <c r="D237" s="102"/>
      <c r="E237" s="102"/>
      <c r="F237" s="102"/>
      <c r="G237" s="102"/>
      <c r="H237" s="102"/>
      <c r="I237" s="62"/>
      <c r="J237" s="60"/>
      <c r="K237" s="63"/>
      <c r="L237" s="62"/>
    </row>
    <row r="239" spans="1:83" ht="15">
      <c r="A239" s="57"/>
      <c r="B239" s="58"/>
      <c r="C239" s="100" t="s">
        <v>415</v>
      </c>
      <c r="D239" s="100"/>
      <c r="E239" s="100"/>
      <c r="F239" s="100"/>
      <c r="G239" s="100"/>
      <c r="H239" s="100"/>
      <c r="I239" s="46"/>
      <c r="J239" s="57"/>
      <c r="K239" s="59"/>
      <c r="L239" s="46">
        <f>L241+L256+L257</f>
        <v>305135.95</v>
      </c>
    </row>
    <row r="240" spans="1:83" ht="14.25">
      <c r="A240" s="55"/>
      <c r="B240" s="56"/>
      <c r="C240" s="101" t="s">
        <v>416</v>
      </c>
      <c r="D240" s="96"/>
      <c r="E240" s="96"/>
      <c r="F240" s="96"/>
      <c r="G240" s="96"/>
      <c r="H240" s="96"/>
      <c r="I240" s="43"/>
      <c r="J240" s="55"/>
      <c r="K240" s="41"/>
      <c r="L240" s="43"/>
    </row>
    <row r="241" spans="1:12" ht="14.25">
      <c r="A241" s="55"/>
      <c r="B241" s="56"/>
      <c r="C241" s="96" t="s">
        <v>417</v>
      </c>
      <c r="D241" s="96"/>
      <c r="E241" s="96"/>
      <c r="F241" s="96"/>
      <c r="G241" s="96"/>
      <c r="H241" s="96"/>
      <c r="I241" s="43"/>
      <c r="J241" s="55"/>
      <c r="K241" s="41"/>
      <c r="L241" s="43">
        <f>L243+L244+L250+L254</f>
        <v>154579.91</v>
      </c>
    </row>
    <row r="242" spans="1:12" ht="14.25">
      <c r="A242" s="55"/>
      <c r="B242" s="56"/>
      <c r="C242" s="101" t="s">
        <v>416</v>
      </c>
      <c r="D242" s="96"/>
      <c r="E242" s="96"/>
      <c r="F242" s="96"/>
      <c r="G242" s="96"/>
      <c r="H242" s="96"/>
      <c r="I242" s="43"/>
      <c r="J242" s="55"/>
      <c r="K242" s="41"/>
      <c r="L242" s="43"/>
    </row>
    <row r="243" spans="1:12" ht="14.25">
      <c r="A243" s="55"/>
      <c r="B243" s="56"/>
      <c r="C243" s="96" t="s">
        <v>418</v>
      </c>
      <c r="D243" s="96"/>
      <c r="E243" s="96"/>
      <c r="F243" s="96"/>
      <c r="G243" s="96"/>
      <c r="H243" s="96"/>
      <c r="I243" s="43"/>
      <c r="J243" s="55"/>
      <c r="K243" s="41"/>
      <c r="L243" s="43">
        <f>SUMIF(CD58:CD235, 1, AR58:AR235)</f>
        <v>73447.41</v>
      </c>
    </row>
    <row r="244" spans="1:12" ht="14.25" hidden="1">
      <c r="A244" s="55"/>
      <c r="B244" s="56"/>
      <c r="C244" s="96" t="s">
        <v>419</v>
      </c>
      <c r="D244" s="96"/>
      <c r="E244" s="96"/>
      <c r="F244" s="96"/>
      <c r="G244" s="96"/>
      <c r="H244" s="96"/>
      <c r="I244" s="43"/>
      <c r="J244" s="55"/>
      <c r="K244" s="41"/>
      <c r="L244" s="43">
        <f>L246+L249+L248</f>
        <v>81132.5</v>
      </c>
    </row>
    <row r="245" spans="1:12" ht="14.25" hidden="1">
      <c r="A245" s="55"/>
      <c r="B245" s="56"/>
      <c r="C245" s="101" t="s">
        <v>420</v>
      </c>
      <c r="D245" s="96"/>
      <c r="E245" s="96"/>
      <c r="F245" s="96"/>
      <c r="G245" s="96"/>
      <c r="H245" s="96"/>
      <c r="I245" s="43"/>
      <c r="J245" s="55"/>
      <c r="K245" s="41"/>
      <c r="L245" s="43"/>
    </row>
    <row r="246" spans="1:12" ht="14.25">
      <c r="A246" s="55"/>
      <c r="B246" s="56"/>
      <c r="C246" s="96" t="s">
        <v>419</v>
      </c>
      <c r="D246" s="96"/>
      <c r="E246" s="96"/>
      <c r="F246" s="96"/>
      <c r="G246" s="96"/>
      <c r="H246" s="96"/>
      <c r="I246" s="43"/>
      <c r="J246" s="55"/>
      <c r="K246" s="41"/>
      <c r="L246" s="43">
        <f>SUMIF(CD58:CD235, 1, AO58:AO235)</f>
        <v>58773.49</v>
      </c>
    </row>
    <row r="247" spans="1:12" ht="14.25" hidden="1">
      <c r="A247" s="55"/>
      <c r="B247" s="56"/>
      <c r="C247" s="101" t="s">
        <v>421</v>
      </c>
      <c r="D247" s="96"/>
      <c r="E247" s="96"/>
      <c r="F247" s="96"/>
      <c r="G247" s="96"/>
      <c r="H247" s="96"/>
      <c r="I247" s="43"/>
      <c r="J247" s="55"/>
      <c r="K247" s="41"/>
      <c r="L247" s="43"/>
    </row>
    <row r="248" spans="1:12" ht="14.25">
      <c r="A248" s="55"/>
      <c r="B248" s="56"/>
      <c r="C248" s="96" t="s">
        <v>430</v>
      </c>
      <c r="D248" s="96"/>
      <c r="E248" s="96"/>
      <c r="F248" s="96"/>
      <c r="G248" s="96"/>
      <c r="H248" s="96"/>
      <c r="I248" s="43"/>
      <c r="J248" s="55"/>
      <c r="K248" s="41"/>
      <c r="L248" s="43">
        <f>SUMIF(CD58:CD235, 1, AT58:AT235)</f>
        <v>22359.009999999995</v>
      </c>
    </row>
    <row r="249" spans="1:12" ht="14.25" hidden="1">
      <c r="A249" s="55"/>
      <c r="B249" s="56"/>
      <c r="C249" s="96" t="s">
        <v>422</v>
      </c>
      <c r="D249" s="96"/>
      <c r="E249" s="96"/>
      <c r="F249" s="96"/>
      <c r="G249" s="96"/>
      <c r="H249" s="96"/>
      <c r="I249" s="43"/>
      <c r="J249" s="55"/>
      <c r="K249" s="41"/>
      <c r="L249" s="43">
        <f>SUMIF(CD58:CD235, 1, AV58:AV235)</f>
        <v>0</v>
      </c>
    </row>
    <row r="250" spans="1:12" ht="14.25" hidden="1">
      <c r="A250" s="55"/>
      <c r="B250" s="56"/>
      <c r="C250" s="96" t="s">
        <v>423</v>
      </c>
      <c r="D250" s="96"/>
      <c r="E250" s="96"/>
      <c r="F250" s="96"/>
      <c r="G250" s="96"/>
      <c r="H250" s="96"/>
      <c r="I250" s="43"/>
      <c r="J250" s="55"/>
      <c r="K250" s="41"/>
      <c r="L250" s="43">
        <f>L252+L253</f>
        <v>0</v>
      </c>
    </row>
    <row r="251" spans="1:12" ht="14.25" hidden="1">
      <c r="A251" s="55"/>
      <c r="B251" s="56"/>
      <c r="C251" s="101" t="s">
        <v>420</v>
      </c>
      <c r="D251" s="96"/>
      <c r="E251" s="96"/>
      <c r="F251" s="96"/>
      <c r="G251" s="96"/>
      <c r="H251" s="96"/>
      <c r="I251" s="43"/>
      <c r="J251" s="55"/>
      <c r="K251" s="41"/>
      <c r="L251" s="43"/>
    </row>
    <row r="252" spans="1:12" ht="14.25" hidden="1">
      <c r="A252" s="55"/>
      <c r="B252" s="56"/>
      <c r="C252" s="96" t="s">
        <v>424</v>
      </c>
      <c r="D252" s="96"/>
      <c r="E252" s="96"/>
      <c r="F252" s="96"/>
      <c r="G252" s="96"/>
      <c r="H252" s="96"/>
      <c r="I252" s="43"/>
      <c r="J252" s="55"/>
      <c r="K252" s="41"/>
      <c r="L252" s="43">
        <f>SUMIF(CD58:CD235, 1, AW58:AW235)-SUMIF(CD58:CD235, 1, BK58:BK235)</f>
        <v>0</v>
      </c>
    </row>
    <row r="253" spans="1:12" ht="14.25" hidden="1">
      <c r="A253" s="55"/>
      <c r="B253" s="56"/>
      <c r="C253" s="96" t="s">
        <v>425</v>
      </c>
      <c r="D253" s="96"/>
      <c r="E253" s="96"/>
      <c r="F253" s="96"/>
      <c r="G253" s="96"/>
      <c r="H253" s="96"/>
      <c r="I253" s="43"/>
      <c r="J253" s="55"/>
      <c r="K253" s="41"/>
      <c r="L253" s="43">
        <f>SUMIF(CD58:CD235, 1, BC58:BC235)</f>
        <v>0</v>
      </c>
    </row>
    <row r="254" spans="1:12" ht="14.25" hidden="1">
      <c r="A254" s="55"/>
      <c r="B254" s="56"/>
      <c r="C254" s="96" t="s">
        <v>426</v>
      </c>
      <c r="D254" s="96"/>
      <c r="E254" s="96"/>
      <c r="F254" s="96"/>
      <c r="G254" s="96"/>
      <c r="H254" s="96"/>
      <c r="I254" s="43"/>
      <c r="J254" s="55"/>
      <c r="K254" s="41"/>
      <c r="L254" s="43">
        <f>SUMIF(CD58:CD235, 1, BB58:BB235)</f>
        <v>0</v>
      </c>
    </row>
    <row r="255" spans="1:12" ht="14.25">
      <c r="A255" s="55"/>
      <c r="B255" s="56"/>
      <c r="C255" s="96" t="s">
        <v>427</v>
      </c>
      <c r="D255" s="96"/>
      <c r="E255" s="96"/>
      <c r="F255" s="96"/>
      <c r="G255" s="96"/>
      <c r="H255" s="96"/>
      <c r="I255" s="43"/>
      <c r="J255" s="55"/>
      <c r="K255" s="41"/>
      <c r="L255" s="43">
        <f>SUMIF(CD58:CD235, 1, AR58:AR235)+SUMIF(CD58:CD235, 1, AT58:AT235)+SUMIF(CD58:CD235, 1, AV58:AV235)</f>
        <v>95806.42</v>
      </c>
    </row>
    <row r="256" spans="1:12" ht="14.25">
      <c r="A256" s="55"/>
      <c r="B256" s="56"/>
      <c r="C256" s="96" t="s">
        <v>428</v>
      </c>
      <c r="D256" s="96"/>
      <c r="E256" s="96"/>
      <c r="F256" s="96"/>
      <c r="G256" s="96"/>
      <c r="H256" s="96"/>
      <c r="I256" s="43"/>
      <c r="J256" s="55"/>
      <c r="K256" s="41"/>
      <c r="L256" s="43">
        <f>SUMIF(CD58:CD235, 1, AZ58:AZ235)</f>
        <v>95166.39</v>
      </c>
    </row>
    <row r="257" spans="1:12" ht="14.25">
      <c r="A257" s="55"/>
      <c r="B257" s="56"/>
      <c r="C257" s="96" t="s">
        <v>429</v>
      </c>
      <c r="D257" s="96"/>
      <c r="E257" s="96"/>
      <c r="F257" s="96"/>
      <c r="G257" s="96"/>
      <c r="H257" s="96"/>
      <c r="I257" s="43"/>
      <c r="J257" s="55"/>
      <c r="K257" s="41"/>
      <c r="L257" s="43">
        <f>SUMIF(CD58:CD235, 1, BA58:BA235)</f>
        <v>55389.65</v>
      </c>
    </row>
    <row r="259" spans="1:12" ht="15">
      <c r="A259" s="57"/>
      <c r="B259" s="58"/>
      <c r="C259" s="100" t="s">
        <v>431</v>
      </c>
      <c r="D259" s="100"/>
      <c r="E259" s="100"/>
      <c r="F259" s="100"/>
      <c r="G259" s="100"/>
      <c r="H259" s="100"/>
      <c r="I259" s="46"/>
      <c r="J259" s="57"/>
      <c r="K259" s="59"/>
      <c r="L259" s="46">
        <f>L261+L276+L277</f>
        <v>141856.63</v>
      </c>
    </row>
    <row r="260" spans="1:12" ht="14.25">
      <c r="A260" s="55"/>
      <c r="B260" s="56"/>
      <c r="C260" s="101" t="s">
        <v>416</v>
      </c>
      <c r="D260" s="96"/>
      <c r="E260" s="96"/>
      <c r="F260" s="96"/>
      <c r="G260" s="96"/>
      <c r="H260" s="96"/>
      <c r="I260" s="43"/>
      <c r="J260" s="55"/>
      <c r="K260" s="41"/>
      <c r="L260" s="43"/>
    </row>
    <row r="261" spans="1:12" ht="14.25">
      <c r="A261" s="55"/>
      <c r="B261" s="56"/>
      <c r="C261" s="96" t="s">
        <v>417</v>
      </c>
      <c r="D261" s="96"/>
      <c r="E261" s="96"/>
      <c r="F261" s="96"/>
      <c r="G261" s="96"/>
      <c r="H261" s="96"/>
      <c r="I261" s="43"/>
      <c r="J261" s="55"/>
      <c r="K261" s="41"/>
      <c r="L261" s="43">
        <f>L263+L264+L270+L274</f>
        <v>78785.490000000005</v>
      </c>
    </row>
    <row r="262" spans="1:12" ht="14.25">
      <c r="A262" s="55"/>
      <c r="B262" s="56"/>
      <c r="C262" s="101" t="s">
        <v>416</v>
      </c>
      <c r="D262" s="96"/>
      <c r="E262" s="96"/>
      <c r="F262" s="96"/>
      <c r="G262" s="96"/>
      <c r="H262" s="96"/>
      <c r="I262" s="43"/>
      <c r="J262" s="55"/>
      <c r="K262" s="41"/>
      <c r="L262" s="43"/>
    </row>
    <row r="263" spans="1:12" ht="14.25">
      <c r="A263" s="55"/>
      <c r="B263" s="56"/>
      <c r="C263" s="96" t="s">
        <v>418</v>
      </c>
      <c r="D263" s="96"/>
      <c r="E263" s="96"/>
      <c r="F263" s="96"/>
      <c r="G263" s="96"/>
      <c r="H263" s="96"/>
      <c r="I263" s="43"/>
      <c r="J263" s="55"/>
      <c r="K263" s="41"/>
      <c r="L263" s="43">
        <f>SUMIF(CD58:CD257, 2, AR58:AR257)</f>
        <v>31857.120000000003</v>
      </c>
    </row>
    <row r="264" spans="1:12" ht="14.25" hidden="1">
      <c r="A264" s="55"/>
      <c r="B264" s="56"/>
      <c r="C264" s="96" t="s">
        <v>419</v>
      </c>
      <c r="D264" s="96"/>
      <c r="E264" s="96"/>
      <c r="F264" s="96"/>
      <c r="G264" s="96"/>
      <c r="H264" s="96"/>
      <c r="I264" s="43"/>
      <c r="J264" s="55"/>
      <c r="K264" s="41"/>
      <c r="L264" s="43">
        <f>L266+L269+L268</f>
        <v>46291.220000000008</v>
      </c>
    </row>
    <row r="265" spans="1:12" ht="14.25" hidden="1">
      <c r="A265" s="55"/>
      <c r="B265" s="56"/>
      <c r="C265" s="101" t="s">
        <v>420</v>
      </c>
      <c r="D265" s="96"/>
      <c r="E265" s="96"/>
      <c r="F265" s="96"/>
      <c r="G265" s="96"/>
      <c r="H265" s="96"/>
      <c r="I265" s="43"/>
      <c r="J265" s="55"/>
      <c r="K265" s="41"/>
      <c r="L265" s="43"/>
    </row>
    <row r="266" spans="1:12" ht="14.25">
      <c r="A266" s="55"/>
      <c r="B266" s="56"/>
      <c r="C266" s="96" t="s">
        <v>419</v>
      </c>
      <c r="D266" s="96"/>
      <c r="E266" s="96"/>
      <c r="F266" s="96"/>
      <c r="G266" s="96"/>
      <c r="H266" s="96"/>
      <c r="I266" s="43"/>
      <c r="J266" s="55"/>
      <c r="K266" s="41"/>
      <c r="L266" s="43">
        <f>SUMIF(CD58:CD257, 2, AO58:AO257)</f>
        <v>35532.710000000006</v>
      </c>
    </row>
    <row r="267" spans="1:12" ht="14.25" hidden="1">
      <c r="A267" s="55"/>
      <c r="B267" s="56"/>
      <c r="C267" s="101" t="s">
        <v>421</v>
      </c>
      <c r="D267" s="96"/>
      <c r="E267" s="96"/>
      <c r="F267" s="96"/>
      <c r="G267" s="96"/>
      <c r="H267" s="96"/>
      <c r="I267" s="43"/>
      <c r="J267" s="55"/>
      <c r="K267" s="41"/>
      <c r="L267" s="43"/>
    </row>
    <row r="268" spans="1:12" ht="14.25">
      <c r="A268" s="55"/>
      <c r="B268" s="56"/>
      <c r="C268" s="96" t="s">
        <v>430</v>
      </c>
      <c r="D268" s="96"/>
      <c r="E268" s="96"/>
      <c r="F268" s="96"/>
      <c r="G268" s="96"/>
      <c r="H268" s="96"/>
      <c r="I268" s="43"/>
      <c r="J268" s="55"/>
      <c r="K268" s="41"/>
      <c r="L268" s="43">
        <f>SUMIF(CD58:CD257, 2, AT58:AT257)</f>
        <v>10758.51</v>
      </c>
    </row>
    <row r="269" spans="1:12" ht="14.25" hidden="1">
      <c r="A269" s="55"/>
      <c r="B269" s="56"/>
      <c r="C269" s="96" t="s">
        <v>422</v>
      </c>
      <c r="D269" s="96"/>
      <c r="E269" s="96"/>
      <c r="F269" s="96"/>
      <c r="G269" s="96"/>
      <c r="H269" s="96"/>
      <c r="I269" s="43"/>
      <c r="J269" s="55"/>
      <c r="K269" s="41"/>
      <c r="L269" s="43">
        <f>SUMIF(CD58:CD257, 2, AV58:AV257)</f>
        <v>0</v>
      </c>
    </row>
    <row r="270" spans="1:12" ht="14.25">
      <c r="A270" s="55"/>
      <c r="B270" s="56"/>
      <c r="C270" s="96" t="s">
        <v>423</v>
      </c>
      <c r="D270" s="96"/>
      <c r="E270" s="96"/>
      <c r="F270" s="96"/>
      <c r="G270" s="96"/>
      <c r="H270" s="96"/>
      <c r="I270" s="43"/>
      <c r="J270" s="55"/>
      <c r="K270" s="41"/>
      <c r="L270" s="43">
        <f>L272+L273</f>
        <v>637.15</v>
      </c>
    </row>
    <row r="271" spans="1:12" ht="14.25">
      <c r="A271" s="55"/>
      <c r="B271" s="56"/>
      <c r="C271" s="101" t="s">
        <v>420</v>
      </c>
      <c r="D271" s="96"/>
      <c r="E271" s="96"/>
      <c r="F271" s="96"/>
      <c r="G271" s="96"/>
      <c r="H271" s="96"/>
      <c r="I271" s="43"/>
      <c r="J271" s="55"/>
      <c r="K271" s="41"/>
      <c r="L271" s="43"/>
    </row>
    <row r="272" spans="1:12" ht="14.25">
      <c r="A272" s="55"/>
      <c r="B272" s="56"/>
      <c r="C272" s="96" t="s">
        <v>424</v>
      </c>
      <c r="D272" s="96"/>
      <c r="E272" s="96"/>
      <c r="F272" s="96"/>
      <c r="G272" s="96"/>
      <c r="H272" s="96"/>
      <c r="I272" s="43"/>
      <c r="J272" s="55"/>
      <c r="K272" s="41"/>
      <c r="L272" s="43">
        <f>SUMIF(CD58:CD257, 2, AW58:AW257)-SUMIF(CD58:CD257, 2, BK58:BK257)</f>
        <v>637.15</v>
      </c>
    </row>
    <row r="273" spans="1:12" ht="14.25" hidden="1">
      <c r="A273" s="55"/>
      <c r="B273" s="56"/>
      <c r="C273" s="96" t="s">
        <v>425</v>
      </c>
      <c r="D273" s="96"/>
      <c r="E273" s="96"/>
      <c r="F273" s="96"/>
      <c r="G273" s="96"/>
      <c r="H273" s="96"/>
      <c r="I273" s="43"/>
      <c r="J273" s="55"/>
      <c r="K273" s="41"/>
      <c r="L273" s="43">
        <f>SUMIF(CD58:CD257, 2, BC58:BC257)</f>
        <v>0</v>
      </c>
    </row>
    <row r="274" spans="1:12" ht="14.25" hidden="1">
      <c r="A274" s="55"/>
      <c r="B274" s="56"/>
      <c r="C274" s="96" t="s">
        <v>426</v>
      </c>
      <c r="D274" s="96"/>
      <c r="E274" s="96"/>
      <c r="F274" s="96"/>
      <c r="G274" s="96"/>
      <c r="H274" s="96"/>
      <c r="I274" s="43"/>
      <c r="J274" s="55"/>
      <c r="K274" s="41"/>
      <c r="L274" s="43">
        <f>SUMIF(CD58:CD257, 2, BB58:BB257)</f>
        <v>0</v>
      </c>
    </row>
    <row r="275" spans="1:12" ht="14.25">
      <c r="A275" s="55"/>
      <c r="B275" s="56"/>
      <c r="C275" s="96" t="s">
        <v>427</v>
      </c>
      <c r="D275" s="96"/>
      <c r="E275" s="96"/>
      <c r="F275" s="96"/>
      <c r="G275" s="96"/>
      <c r="H275" s="96"/>
      <c r="I275" s="43"/>
      <c r="J275" s="55"/>
      <c r="K275" s="41"/>
      <c r="L275" s="43">
        <f>SUMIF(CD58:CD257, 2, AR58:AR257)+SUMIF(CD58:CD257, 2, AT58:AT257)+SUMIF(CD58:CD257, 2, AV58:AV257)</f>
        <v>42615.630000000005</v>
      </c>
    </row>
    <row r="276" spans="1:12" ht="14.25">
      <c r="A276" s="55"/>
      <c r="B276" s="56"/>
      <c r="C276" s="96" t="s">
        <v>428</v>
      </c>
      <c r="D276" s="96"/>
      <c r="E276" s="96"/>
      <c r="F276" s="96"/>
      <c r="G276" s="96"/>
      <c r="H276" s="96"/>
      <c r="I276" s="43"/>
      <c r="J276" s="55"/>
      <c r="K276" s="41"/>
      <c r="L276" s="43">
        <f>SUMIF(CD58:CD257, 2, AZ58:AZ257)</f>
        <v>41337.17</v>
      </c>
    </row>
    <row r="277" spans="1:12" ht="14.25">
      <c r="A277" s="55"/>
      <c r="B277" s="56"/>
      <c r="C277" s="96" t="s">
        <v>429</v>
      </c>
      <c r="D277" s="96"/>
      <c r="E277" s="96"/>
      <c r="F277" s="96"/>
      <c r="G277" s="96"/>
      <c r="H277" s="96"/>
      <c r="I277" s="43"/>
      <c r="J277" s="55"/>
      <c r="K277" s="41"/>
      <c r="L277" s="43">
        <f>SUMIF(CD58:CD257, 2, BA58:BA257)</f>
        <v>21733.97</v>
      </c>
    </row>
    <row r="278" spans="1:12" hidden="1"/>
    <row r="279" spans="1:12" ht="15" hidden="1">
      <c r="A279" s="57"/>
      <c r="B279" s="58"/>
      <c r="C279" s="100" t="s">
        <v>432</v>
      </c>
      <c r="D279" s="100"/>
      <c r="E279" s="100"/>
      <c r="F279" s="100"/>
      <c r="G279" s="100"/>
      <c r="H279" s="100"/>
      <c r="I279" s="46"/>
      <c r="J279" s="57"/>
      <c r="K279" s="59"/>
      <c r="L279" s="46">
        <f>L281+L282</f>
        <v>0</v>
      </c>
    </row>
    <row r="280" spans="1:12" ht="14.25" hidden="1">
      <c r="A280" s="55"/>
      <c r="B280" s="56"/>
      <c r="C280" s="101" t="s">
        <v>416</v>
      </c>
      <c r="D280" s="96"/>
      <c r="E280" s="96"/>
      <c r="F280" s="96"/>
      <c r="G280" s="96"/>
      <c r="H280" s="96"/>
      <c r="I280" s="43"/>
      <c r="J280" s="55"/>
      <c r="K280" s="41"/>
      <c r="L280" s="43"/>
    </row>
    <row r="281" spans="1:12" ht="14.25" hidden="1">
      <c r="A281" s="55"/>
      <c r="B281" s="56"/>
      <c r="C281" s="96" t="s">
        <v>433</v>
      </c>
      <c r="D281" s="96"/>
      <c r="E281" s="96"/>
      <c r="F281" s="96"/>
      <c r="G281" s="96"/>
      <c r="H281" s="96"/>
      <c r="I281" s="43"/>
      <c r="J281" s="55"/>
      <c r="K281" s="41"/>
      <c r="L281" s="43">
        <f>SUMIF(CD58:CD277, 3, BK58:BK277)</f>
        <v>0</v>
      </c>
    </row>
    <row r="282" spans="1:12" ht="14.25" hidden="1">
      <c r="A282" s="55"/>
      <c r="B282" s="56"/>
      <c r="C282" s="96" t="s">
        <v>434</v>
      </c>
      <c r="D282" s="96"/>
      <c r="E282" s="96"/>
      <c r="F282" s="96"/>
      <c r="G282" s="96"/>
      <c r="H282" s="96"/>
      <c r="I282" s="43"/>
      <c r="J282" s="55"/>
      <c r="K282" s="41"/>
      <c r="L282" s="43">
        <f>SUMIF(CD58:CD277, 3, BD58:BD277)</f>
        <v>0</v>
      </c>
    </row>
    <row r="283" spans="1:12" hidden="1"/>
    <row r="284" spans="1:12" ht="15" hidden="1">
      <c r="A284" s="57"/>
      <c r="B284" s="58"/>
      <c r="C284" s="100" t="s">
        <v>435</v>
      </c>
      <c r="D284" s="100"/>
      <c r="E284" s="100"/>
      <c r="F284" s="100"/>
      <c r="G284" s="100"/>
      <c r="H284" s="100"/>
      <c r="I284" s="46"/>
      <c r="J284" s="57"/>
      <c r="K284" s="59"/>
      <c r="L284" s="46">
        <f>L292+L307+L308+L286+L287+L288+L289</f>
        <v>0</v>
      </c>
    </row>
    <row r="285" spans="1:12" ht="14.25" hidden="1">
      <c r="A285" s="55"/>
      <c r="B285" s="56"/>
      <c r="C285" s="101" t="s">
        <v>416</v>
      </c>
      <c r="D285" s="96"/>
      <c r="E285" s="96"/>
      <c r="F285" s="96"/>
      <c r="G285" s="96"/>
      <c r="H285" s="96"/>
      <c r="I285" s="43"/>
      <c r="J285" s="55"/>
      <c r="K285" s="41"/>
      <c r="L285" s="43"/>
    </row>
    <row r="286" spans="1:12" ht="14.25" hidden="1">
      <c r="A286" s="55"/>
      <c r="B286" s="56"/>
      <c r="C286" s="96" t="s">
        <v>436</v>
      </c>
      <c r="D286" s="96"/>
      <c r="E286" s="96"/>
      <c r="F286" s="96"/>
      <c r="G286" s="96"/>
      <c r="H286" s="96"/>
      <c r="I286" s="43"/>
      <c r="J286" s="55"/>
      <c r="K286" s="41"/>
      <c r="L286" s="43"/>
    </row>
    <row r="287" spans="1:12" ht="14.25" hidden="1">
      <c r="A287" s="55"/>
      <c r="B287" s="56"/>
      <c r="C287" s="96" t="s">
        <v>436</v>
      </c>
      <c r="D287" s="96"/>
      <c r="E287" s="96"/>
      <c r="F287" s="96"/>
      <c r="G287" s="96"/>
      <c r="H287" s="96"/>
      <c r="I287" s="43"/>
      <c r="J287" s="55"/>
      <c r="K287" s="41"/>
      <c r="L287" s="43">
        <f>SUM(BQ58:BQ282)</f>
        <v>0</v>
      </c>
    </row>
    <row r="288" spans="1:12" ht="14.25" hidden="1">
      <c r="A288" s="55"/>
      <c r="B288" s="56"/>
      <c r="C288" s="96" t="s">
        <v>437</v>
      </c>
      <c r="D288" s="96"/>
      <c r="E288" s="96"/>
      <c r="F288" s="96"/>
      <c r="G288" s="96"/>
      <c r="H288" s="96"/>
      <c r="I288" s="43"/>
      <c r="J288" s="55"/>
      <c r="K288" s="41"/>
      <c r="L288" s="43">
        <f>SUMIF(CD58:CD282, 4, BB58:BB282)+SUMIF(CD58:CD282, 4, BC58:BC282)+SUMIF(CD58:CD282, 4, BD58:BD282)</f>
        <v>0</v>
      </c>
    </row>
    <row r="289" spans="1:12" ht="14.25" hidden="1">
      <c r="A289" s="55"/>
      <c r="B289" s="56"/>
      <c r="C289" s="96" t="s">
        <v>438</v>
      </c>
      <c r="D289" s="96"/>
      <c r="E289" s="96"/>
      <c r="F289" s="96"/>
      <c r="G289" s="96"/>
      <c r="H289" s="96"/>
      <c r="I289" s="43"/>
      <c r="J289" s="55"/>
      <c r="K289" s="41"/>
      <c r="L289" s="43">
        <f>SUM(BO58:BO282)</f>
        <v>0</v>
      </c>
    </row>
    <row r="290" spans="1:12" ht="14.25" hidden="1">
      <c r="A290" s="55"/>
      <c r="B290" s="56"/>
      <c r="C290" s="96" t="s">
        <v>439</v>
      </c>
      <c r="D290" s="96"/>
      <c r="E290" s="96"/>
      <c r="F290" s="96"/>
      <c r="G290" s="96"/>
      <c r="H290" s="96"/>
      <c r="I290" s="43"/>
      <c r="J290" s="55"/>
      <c r="K290" s="41"/>
      <c r="L290" s="43">
        <f>L292+L307+L308</f>
        <v>0</v>
      </c>
    </row>
    <row r="291" spans="1:12" ht="14.25" hidden="1">
      <c r="A291" s="55"/>
      <c r="B291" s="56"/>
      <c r="C291" s="101" t="s">
        <v>416</v>
      </c>
      <c r="D291" s="96"/>
      <c r="E291" s="96"/>
      <c r="F291" s="96"/>
      <c r="G291" s="96"/>
      <c r="H291" s="96"/>
      <c r="I291" s="43"/>
      <c r="J291" s="55"/>
      <c r="K291" s="41"/>
      <c r="L291" s="43"/>
    </row>
    <row r="292" spans="1:12" ht="14.25" hidden="1">
      <c r="A292" s="55"/>
      <c r="B292" s="56"/>
      <c r="C292" s="96" t="s">
        <v>417</v>
      </c>
      <c r="D292" s="96"/>
      <c r="E292" s="96"/>
      <c r="F292" s="96"/>
      <c r="G292" s="96"/>
      <c r="H292" s="96"/>
      <c r="I292" s="43"/>
      <c r="J292" s="55"/>
      <c r="K292" s="41"/>
      <c r="L292" s="43">
        <f>L294+L295+L301+L305</f>
        <v>0</v>
      </c>
    </row>
    <row r="293" spans="1:12" ht="14.25" hidden="1">
      <c r="A293" s="55"/>
      <c r="B293" s="56"/>
      <c r="C293" s="101" t="s">
        <v>416</v>
      </c>
      <c r="D293" s="96"/>
      <c r="E293" s="96"/>
      <c r="F293" s="96"/>
      <c r="G293" s="96"/>
      <c r="H293" s="96"/>
      <c r="I293" s="43"/>
      <c r="J293" s="55"/>
      <c r="K293" s="41"/>
      <c r="L293" s="43"/>
    </row>
    <row r="294" spans="1:12" ht="14.25" hidden="1">
      <c r="A294" s="55"/>
      <c r="B294" s="56"/>
      <c r="C294" s="96" t="s">
        <v>418</v>
      </c>
      <c r="D294" s="96"/>
      <c r="E294" s="96"/>
      <c r="F294" s="96"/>
      <c r="G294" s="96"/>
      <c r="H294" s="96"/>
      <c r="I294" s="43"/>
      <c r="J294" s="55"/>
      <c r="K294" s="41"/>
      <c r="L294" s="43">
        <f>SUMIF(CD58:CD282, 4, AR58:AR282)</f>
        <v>0</v>
      </c>
    </row>
    <row r="295" spans="1:12" ht="14.25" hidden="1">
      <c r="A295" s="55"/>
      <c r="B295" s="56"/>
      <c r="C295" s="96" t="s">
        <v>419</v>
      </c>
      <c r="D295" s="96"/>
      <c r="E295" s="96"/>
      <c r="F295" s="96"/>
      <c r="G295" s="96"/>
      <c r="H295" s="96"/>
      <c r="I295" s="43"/>
      <c r="J295" s="55"/>
      <c r="K295" s="41"/>
      <c r="L295" s="43">
        <f>L297+L300+L299</f>
        <v>0</v>
      </c>
    </row>
    <row r="296" spans="1:12" ht="14.25" hidden="1">
      <c r="A296" s="55"/>
      <c r="B296" s="56"/>
      <c r="C296" s="101" t="s">
        <v>420</v>
      </c>
      <c r="D296" s="96"/>
      <c r="E296" s="96"/>
      <c r="F296" s="96"/>
      <c r="G296" s="96"/>
      <c r="H296" s="96"/>
      <c r="I296" s="43"/>
      <c r="J296" s="55"/>
      <c r="K296" s="41"/>
      <c r="L296" s="43"/>
    </row>
    <row r="297" spans="1:12" ht="14.25" hidden="1">
      <c r="A297" s="55"/>
      <c r="B297" s="56"/>
      <c r="C297" s="96" t="s">
        <v>419</v>
      </c>
      <c r="D297" s="96"/>
      <c r="E297" s="96"/>
      <c r="F297" s="96"/>
      <c r="G297" s="96"/>
      <c r="H297" s="96"/>
      <c r="I297" s="43"/>
      <c r="J297" s="55"/>
      <c r="K297" s="41"/>
      <c r="L297" s="43">
        <f>SUMIF(CD58:CD282, 4, AO58:AO282)</f>
        <v>0</v>
      </c>
    </row>
    <row r="298" spans="1:12" ht="14.25" hidden="1">
      <c r="A298" s="55"/>
      <c r="B298" s="56"/>
      <c r="C298" s="101" t="s">
        <v>421</v>
      </c>
      <c r="D298" s="96"/>
      <c r="E298" s="96"/>
      <c r="F298" s="96"/>
      <c r="G298" s="96"/>
      <c r="H298" s="96"/>
      <c r="I298" s="43"/>
      <c r="J298" s="55"/>
      <c r="K298" s="41"/>
      <c r="L298" s="43"/>
    </row>
    <row r="299" spans="1:12" ht="14.25" hidden="1">
      <c r="A299" s="55"/>
      <c r="B299" s="56"/>
      <c r="C299" s="96" t="s">
        <v>430</v>
      </c>
      <c r="D299" s="96"/>
      <c r="E299" s="96"/>
      <c r="F299" s="96"/>
      <c r="G299" s="96"/>
      <c r="H299" s="96"/>
      <c r="I299" s="43"/>
      <c r="J299" s="55"/>
      <c r="K299" s="41"/>
      <c r="L299" s="43">
        <f>SUMIF(CD58:CD282, 4, AT58:AT282)</f>
        <v>0</v>
      </c>
    </row>
    <row r="300" spans="1:12" ht="14.25" hidden="1">
      <c r="A300" s="55"/>
      <c r="B300" s="56"/>
      <c r="C300" s="96" t="s">
        <v>422</v>
      </c>
      <c r="D300" s="96"/>
      <c r="E300" s="96"/>
      <c r="F300" s="96"/>
      <c r="G300" s="96"/>
      <c r="H300" s="96"/>
      <c r="I300" s="43"/>
      <c r="J300" s="55"/>
      <c r="K300" s="41"/>
      <c r="L300" s="43">
        <f>SUMIF(CD58:CD282, 4, AV58:AV282)</f>
        <v>0</v>
      </c>
    </row>
    <row r="301" spans="1:12" ht="14.25" hidden="1">
      <c r="A301" s="55"/>
      <c r="B301" s="56"/>
      <c r="C301" s="96" t="s">
        <v>423</v>
      </c>
      <c r="D301" s="96"/>
      <c r="E301" s="96"/>
      <c r="F301" s="96"/>
      <c r="G301" s="96"/>
      <c r="H301" s="96"/>
      <c r="I301" s="43"/>
      <c r="J301" s="55"/>
      <c r="K301" s="41"/>
      <c r="L301" s="43">
        <f>L303+L304</f>
        <v>0</v>
      </c>
    </row>
    <row r="302" spans="1:12" ht="14.25" hidden="1">
      <c r="A302" s="55"/>
      <c r="B302" s="56"/>
      <c r="C302" s="101" t="s">
        <v>420</v>
      </c>
      <c r="D302" s="96"/>
      <c r="E302" s="96"/>
      <c r="F302" s="96"/>
      <c r="G302" s="96"/>
      <c r="H302" s="96"/>
      <c r="I302" s="43"/>
      <c r="J302" s="55"/>
      <c r="K302" s="41"/>
      <c r="L302" s="43"/>
    </row>
    <row r="303" spans="1:12" ht="14.25" hidden="1">
      <c r="A303" s="55"/>
      <c r="B303" s="56"/>
      <c r="C303" s="96" t="s">
        <v>424</v>
      </c>
      <c r="D303" s="96"/>
      <c r="E303" s="96"/>
      <c r="F303" s="96"/>
      <c r="G303" s="96"/>
      <c r="H303" s="96"/>
      <c r="I303" s="43"/>
      <c r="J303" s="55"/>
      <c r="K303" s="41"/>
      <c r="L303" s="43">
        <f>SUMIF(CD58:CD282, 4, AW58:AW282)-SUMIF(CD58:CD282, 4, BK58:BK282)</f>
        <v>0</v>
      </c>
    </row>
    <row r="304" spans="1:12" ht="14.25" hidden="1">
      <c r="A304" s="55"/>
      <c r="B304" s="56"/>
      <c r="C304" s="96" t="s">
        <v>425</v>
      </c>
      <c r="D304" s="96"/>
      <c r="E304" s="96"/>
      <c r="F304" s="96"/>
      <c r="G304" s="96"/>
      <c r="H304" s="96"/>
      <c r="I304" s="43"/>
      <c r="J304" s="55"/>
      <c r="K304" s="41"/>
      <c r="L304" s="43">
        <f>SUMIF(CD58:CD282, 4, BC58:BC282)</f>
        <v>0</v>
      </c>
    </row>
    <row r="305" spans="1:12" ht="14.25" hidden="1">
      <c r="A305" s="55"/>
      <c r="B305" s="56"/>
      <c r="C305" s="96" t="s">
        <v>426</v>
      </c>
      <c r="D305" s="96"/>
      <c r="E305" s="96"/>
      <c r="F305" s="96"/>
      <c r="G305" s="96"/>
      <c r="H305" s="96"/>
      <c r="I305" s="43"/>
      <c r="J305" s="55"/>
      <c r="K305" s="41"/>
      <c r="L305" s="43">
        <f>SUMIF(CD58:CD282, 4, BB58:BB282)</f>
        <v>0</v>
      </c>
    </row>
    <row r="306" spans="1:12" ht="14.25" hidden="1">
      <c r="A306" s="55"/>
      <c r="B306" s="56"/>
      <c r="C306" s="96" t="s">
        <v>427</v>
      </c>
      <c r="D306" s="96"/>
      <c r="E306" s="96"/>
      <c r="F306" s="96"/>
      <c r="G306" s="96"/>
      <c r="H306" s="96"/>
      <c r="I306" s="43"/>
      <c r="J306" s="55"/>
      <c r="K306" s="41"/>
      <c r="L306" s="43">
        <f>SUMIF(CD58:CD282, 4, AR58:AR282)+SUMIF(CD58:CD282, 4, AT58:AT282)+SUMIF(CD58:CD282, 4, AV58:AV282)</f>
        <v>0</v>
      </c>
    </row>
    <row r="307" spans="1:12" ht="14.25" hidden="1">
      <c r="A307" s="55"/>
      <c r="B307" s="56"/>
      <c r="C307" s="96" t="s">
        <v>428</v>
      </c>
      <c r="D307" s="96"/>
      <c r="E307" s="96"/>
      <c r="F307" s="96"/>
      <c r="G307" s="96"/>
      <c r="H307" s="96"/>
      <c r="I307" s="43"/>
      <c r="J307" s="55"/>
      <c r="K307" s="41"/>
      <c r="L307" s="43">
        <f>SUMIF(CD58:CD282, 4, AZ58:AZ282)</f>
        <v>0</v>
      </c>
    </row>
    <row r="308" spans="1:12" ht="14.25" hidden="1">
      <c r="A308" s="55"/>
      <c r="B308" s="56"/>
      <c r="C308" s="96" t="s">
        <v>429</v>
      </c>
      <c r="D308" s="96"/>
      <c r="E308" s="96"/>
      <c r="F308" s="96"/>
      <c r="G308" s="96"/>
      <c r="H308" s="96"/>
      <c r="I308" s="43"/>
      <c r="J308" s="55"/>
      <c r="K308" s="41"/>
      <c r="L308" s="43">
        <f>SUMIF(CD58:CD282, 4, BA58:BA282)</f>
        <v>0</v>
      </c>
    </row>
    <row r="310" spans="1:12" ht="15">
      <c r="A310" s="57"/>
      <c r="B310" s="58"/>
      <c r="C310" s="100" t="s">
        <v>440</v>
      </c>
      <c r="D310" s="100"/>
      <c r="E310" s="100"/>
      <c r="F310" s="100"/>
      <c r="G310" s="100"/>
      <c r="H310" s="100"/>
      <c r="I310" s="46"/>
      <c r="J310" s="57"/>
      <c r="K310" s="59"/>
      <c r="L310" s="46">
        <f>L239+L259+L279+L284</f>
        <v>446992.58</v>
      </c>
    </row>
    <row r="311" spans="1:12" ht="14.25">
      <c r="A311" s="55"/>
      <c r="B311" s="56"/>
      <c r="C311" s="101" t="s">
        <v>416</v>
      </c>
      <c r="D311" s="96"/>
      <c r="E311" s="96"/>
      <c r="F311" s="96"/>
      <c r="G311" s="96"/>
      <c r="H311" s="96"/>
      <c r="I311" s="43"/>
      <c r="J311" s="55"/>
      <c r="K311" s="41"/>
      <c r="L311" s="43"/>
    </row>
    <row r="312" spans="1:12" ht="14.25">
      <c r="A312" s="55"/>
      <c r="B312" s="56"/>
      <c r="C312" s="96" t="s">
        <v>417</v>
      </c>
      <c r="D312" s="96"/>
      <c r="E312" s="96"/>
      <c r="F312" s="96"/>
      <c r="G312" s="96"/>
      <c r="H312" s="96"/>
      <c r="I312" s="43"/>
      <c r="J312" s="55"/>
      <c r="K312" s="41"/>
      <c r="L312" s="43">
        <f>L314+L315+L321+L325</f>
        <v>233365.4</v>
      </c>
    </row>
    <row r="313" spans="1:12" ht="14.25">
      <c r="A313" s="55"/>
      <c r="B313" s="56"/>
      <c r="C313" s="101" t="s">
        <v>416</v>
      </c>
      <c r="D313" s="96"/>
      <c r="E313" s="96"/>
      <c r="F313" s="96"/>
      <c r="G313" s="96"/>
      <c r="H313" s="96"/>
      <c r="I313" s="43"/>
      <c r="J313" s="55"/>
      <c r="K313" s="41"/>
      <c r="L313" s="43"/>
    </row>
    <row r="314" spans="1:12" ht="14.25">
      <c r="A314" s="55"/>
      <c r="B314" s="56"/>
      <c r="C314" s="96" t="s">
        <v>418</v>
      </c>
      <c r="D314" s="96"/>
      <c r="E314" s="96"/>
      <c r="F314" s="96"/>
      <c r="G314" s="96"/>
      <c r="H314" s="96"/>
      <c r="I314" s="43"/>
      <c r="J314" s="55"/>
      <c r="K314" s="41"/>
      <c r="L314" s="43">
        <f>SUM(AR58:AR308)</f>
        <v>105304.53000000001</v>
      </c>
    </row>
    <row r="315" spans="1:12" ht="14.25" hidden="1">
      <c r="A315" s="55"/>
      <c r="B315" s="56"/>
      <c r="C315" s="96" t="s">
        <v>419</v>
      </c>
      <c r="D315" s="96"/>
      <c r="E315" s="96"/>
      <c r="F315" s="96"/>
      <c r="G315" s="96"/>
      <c r="H315" s="96"/>
      <c r="I315" s="43"/>
      <c r="J315" s="55"/>
      <c r="K315" s="41"/>
      <c r="L315" s="43">
        <f>L317+L320+L319</f>
        <v>127423.72</v>
      </c>
    </row>
    <row r="316" spans="1:12" ht="14.25" hidden="1">
      <c r="A316" s="55"/>
      <c r="B316" s="56"/>
      <c r="C316" s="101" t="s">
        <v>420</v>
      </c>
      <c r="D316" s="96"/>
      <c r="E316" s="96"/>
      <c r="F316" s="96"/>
      <c r="G316" s="96"/>
      <c r="H316" s="96"/>
      <c r="I316" s="43"/>
      <c r="J316" s="55"/>
      <c r="K316" s="41"/>
      <c r="L316" s="43"/>
    </row>
    <row r="317" spans="1:12" ht="14.25">
      <c r="A317" s="55"/>
      <c r="B317" s="56"/>
      <c r="C317" s="96" t="s">
        <v>419</v>
      </c>
      <c r="D317" s="96"/>
      <c r="E317" s="96"/>
      <c r="F317" s="96"/>
      <c r="G317" s="96"/>
      <c r="H317" s="96"/>
      <c r="I317" s="43"/>
      <c r="J317" s="55"/>
      <c r="K317" s="41"/>
      <c r="L317" s="43">
        <f>SUM(AO58:AO308)</f>
        <v>94306.200000000012</v>
      </c>
    </row>
    <row r="318" spans="1:12" ht="14.25" hidden="1">
      <c r="A318" s="55"/>
      <c r="B318" s="56"/>
      <c r="C318" s="101" t="s">
        <v>421</v>
      </c>
      <c r="D318" s="96"/>
      <c r="E318" s="96"/>
      <c r="F318" s="96"/>
      <c r="G318" s="96"/>
      <c r="H318" s="96"/>
      <c r="I318" s="43"/>
      <c r="J318" s="55"/>
      <c r="K318" s="41"/>
      <c r="L318" s="43"/>
    </row>
    <row r="319" spans="1:12" ht="14.25">
      <c r="A319" s="55"/>
      <c r="B319" s="56"/>
      <c r="C319" s="96" t="s">
        <v>430</v>
      </c>
      <c r="D319" s="96"/>
      <c r="E319" s="96"/>
      <c r="F319" s="96"/>
      <c r="G319" s="96"/>
      <c r="H319" s="96"/>
      <c r="I319" s="43"/>
      <c r="J319" s="55"/>
      <c r="K319" s="41"/>
      <c r="L319" s="43">
        <f>SUM(AT58:AT308)</f>
        <v>33117.519999999997</v>
      </c>
    </row>
    <row r="320" spans="1:12" ht="14.25" hidden="1">
      <c r="A320" s="55"/>
      <c r="B320" s="56"/>
      <c r="C320" s="96" t="s">
        <v>422</v>
      </c>
      <c r="D320" s="96"/>
      <c r="E320" s="96"/>
      <c r="F320" s="96"/>
      <c r="G320" s="96"/>
      <c r="H320" s="96"/>
      <c r="I320" s="43"/>
      <c r="J320" s="55"/>
      <c r="K320" s="41"/>
      <c r="L320" s="43">
        <f>SUM(AV58:AV308)</f>
        <v>0</v>
      </c>
    </row>
    <row r="321" spans="1:12" ht="14.25">
      <c r="A321" s="55"/>
      <c r="B321" s="56"/>
      <c r="C321" s="96" t="s">
        <v>423</v>
      </c>
      <c r="D321" s="96"/>
      <c r="E321" s="96"/>
      <c r="F321" s="96"/>
      <c r="G321" s="96"/>
      <c r="H321" s="96"/>
      <c r="I321" s="43"/>
      <c r="J321" s="55"/>
      <c r="K321" s="41"/>
      <c r="L321" s="43">
        <f>L323+L324</f>
        <v>637.15</v>
      </c>
    </row>
    <row r="322" spans="1:12" ht="14.25">
      <c r="A322" s="55"/>
      <c r="B322" s="56"/>
      <c r="C322" s="101" t="s">
        <v>420</v>
      </c>
      <c r="D322" s="96"/>
      <c r="E322" s="96"/>
      <c r="F322" s="96"/>
      <c r="G322" s="96"/>
      <c r="H322" s="96"/>
      <c r="I322" s="43"/>
      <c r="J322" s="55"/>
      <c r="K322" s="41"/>
      <c r="L322" s="43"/>
    </row>
    <row r="323" spans="1:12" ht="14.25">
      <c r="A323" s="55"/>
      <c r="B323" s="56"/>
      <c r="C323" s="96" t="s">
        <v>424</v>
      </c>
      <c r="D323" s="96"/>
      <c r="E323" s="96"/>
      <c r="F323" s="96"/>
      <c r="G323" s="96"/>
      <c r="H323" s="96"/>
      <c r="I323" s="43"/>
      <c r="J323" s="55"/>
      <c r="K323" s="41"/>
      <c r="L323" s="43">
        <f>SUM(AW58:AW308)-SUM(BK58:BK308)</f>
        <v>637.15</v>
      </c>
    </row>
    <row r="324" spans="1:12" ht="14.25" hidden="1">
      <c r="A324" s="55"/>
      <c r="B324" s="56"/>
      <c r="C324" s="96" t="s">
        <v>425</v>
      </c>
      <c r="D324" s="96"/>
      <c r="E324" s="96"/>
      <c r="F324" s="96"/>
      <c r="G324" s="96"/>
      <c r="H324" s="96"/>
      <c r="I324" s="43"/>
      <c r="J324" s="55"/>
      <c r="K324" s="41"/>
      <c r="L324" s="43">
        <f>SUM(BC58:BC308)</f>
        <v>0</v>
      </c>
    </row>
    <row r="325" spans="1:12" ht="14.25" hidden="1">
      <c r="A325" s="55"/>
      <c r="B325" s="56"/>
      <c r="C325" s="96" t="s">
        <v>426</v>
      </c>
      <c r="D325" s="96"/>
      <c r="E325" s="96"/>
      <c r="F325" s="96"/>
      <c r="G325" s="96"/>
      <c r="H325" s="96"/>
      <c r="I325" s="43"/>
      <c r="J325" s="55"/>
      <c r="K325" s="41"/>
      <c r="L325" s="43">
        <f>SUM(BB58:BB308)</f>
        <v>0</v>
      </c>
    </row>
    <row r="326" spans="1:12" ht="14.25">
      <c r="A326" s="55"/>
      <c r="B326" s="56"/>
      <c r="C326" s="96" t="s">
        <v>441</v>
      </c>
      <c r="D326" s="96"/>
      <c r="E326" s="96"/>
      <c r="F326" s="96"/>
      <c r="G326" s="96"/>
      <c r="H326" s="96"/>
      <c r="I326" s="43"/>
      <c r="J326" s="55"/>
      <c r="K326" s="41"/>
      <c r="L326" s="43">
        <f>SUM(AR58:AR308)+SUM(AT58:AT308)+SUM(AV58:AV308)</f>
        <v>138422.05000000002</v>
      </c>
    </row>
    <row r="327" spans="1:12" ht="14.25">
      <c r="A327" s="55"/>
      <c r="B327" s="56"/>
      <c r="C327" s="96" t="s">
        <v>442</v>
      </c>
      <c r="D327" s="96"/>
      <c r="E327" s="96"/>
      <c r="F327" s="96"/>
      <c r="G327" s="96"/>
      <c r="H327" s="96"/>
      <c r="I327" s="43"/>
      <c r="J327" s="55"/>
      <c r="K327" s="41"/>
      <c r="L327" s="43">
        <f>SUM(AZ58:AZ308)</f>
        <v>136503.56</v>
      </c>
    </row>
    <row r="328" spans="1:12" ht="14.25">
      <c r="A328" s="55"/>
      <c r="B328" s="56"/>
      <c r="C328" s="96" t="s">
        <v>443</v>
      </c>
      <c r="D328" s="96"/>
      <c r="E328" s="96"/>
      <c r="F328" s="96"/>
      <c r="G328" s="96"/>
      <c r="H328" s="96"/>
      <c r="I328" s="43"/>
      <c r="J328" s="55"/>
      <c r="K328" s="41"/>
      <c r="L328" s="43">
        <f>SUM(BA58:BA308)</f>
        <v>77123.62</v>
      </c>
    </row>
    <row r="329" spans="1:12" ht="14.25" hidden="1">
      <c r="A329" s="55"/>
      <c r="B329" s="56"/>
      <c r="C329" s="96" t="s">
        <v>444</v>
      </c>
      <c r="D329" s="96"/>
      <c r="E329" s="96"/>
      <c r="F329" s="96"/>
      <c r="G329" s="96"/>
      <c r="H329" s="96"/>
      <c r="I329" s="43"/>
      <c r="J329" s="55"/>
      <c r="K329" s="41"/>
      <c r="L329" s="43">
        <f>L331+L332</f>
        <v>0</v>
      </c>
    </row>
    <row r="330" spans="1:12" ht="14.25" hidden="1">
      <c r="A330" s="55"/>
      <c r="B330" s="56"/>
      <c r="C330" s="101" t="s">
        <v>416</v>
      </c>
      <c r="D330" s="96"/>
      <c r="E330" s="96"/>
      <c r="F330" s="96"/>
      <c r="G330" s="96"/>
      <c r="H330" s="96"/>
      <c r="I330" s="43"/>
      <c r="J330" s="55"/>
      <c r="K330" s="41"/>
      <c r="L330" s="43"/>
    </row>
    <row r="331" spans="1:12" ht="14.25" hidden="1">
      <c r="A331" s="55"/>
      <c r="B331" s="56"/>
      <c r="C331" s="96" t="s">
        <v>433</v>
      </c>
      <c r="D331" s="96"/>
      <c r="E331" s="96"/>
      <c r="F331" s="96"/>
      <c r="G331" s="96"/>
      <c r="H331" s="96"/>
      <c r="I331" s="43"/>
      <c r="J331" s="55"/>
      <c r="K331" s="41"/>
      <c r="L331" s="43">
        <f>SUM(BK58:BK308)</f>
        <v>0</v>
      </c>
    </row>
    <row r="332" spans="1:12" ht="14.25" hidden="1">
      <c r="A332" s="55"/>
      <c r="B332" s="56"/>
      <c r="C332" s="96" t="s">
        <v>434</v>
      </c>
      <c r="D332" s="96"/>
      <c r="E332" s="96"/>
      <c r="F332" s="96"/>
      <c r="G332" s="96"/>
      <c r="H332" s="96"/>
      <c r="I332" s="43"/>
      <c r="J332" s="55"/>
      <c r="K332" s="41"/>
      <c r="L332" s="43">
        <f>SUM(BD58:BD308)</f>
        <v>0</v>
      </c>
    </row>
    <row r="333" spans="1:12" ht="14.25" hidden="1">
      <c r="A333" s="55"/>
      <c r="B333" s="56"/>
      <c r="C333" s="96" t="s">
        <v>445</v>
      </c>
      <c r="D333" s="96"/>
      <c r="E333" s="96"/>
      <c r="F333" s="96"/>
      <c r="G333" s="96"/>
      <c r="H333" s="96"/>
      <c r="I333" s="43"/>
      <c r="J333" s="55"/>
      <c r="K333" s="41"/>
      <c r="L333" s="43">
        <f>L284</f>
        <v>0</v>
      </c>
    </row>
    <row r="334" spans="1:12" ht="14.25">
      <c r="A334" s="55"/>
      <c r="B334" s="56"/>
      <c r="C334" s="100" t="s">
        <v>446</v>
      </c>
      <c r="D334" s="96"/>
      <c r="E334" s="96"/>
      <c r="F334" s="96"/>
      <c r="G334" s="96"/>
      <c r="H334" s="96"/>
      <c r="I334" s="43"/>
      <c r="J334" s="55"/>
      <c r="K334" s="41"/>
      <c r="L334" s="43"/>
    </row>
    <row r="335" spans="1:12" ht="14.25" hidden="1">
      <c r="A335" s="55"/>
      <c r="B335" s="56"/>
      <c r="C335" s="96" t="s">
        <v>447</v>
      </c>
      <c r="D335" s="96"/>
      <c r="E335" s="96"/>
      <c r="F335" s="96"/>
      <c r="G335" s="96"/>
      <c r="H335" s="96"/>
      <c r="I335" s="43"/>
      <c r="J335" s="55"/>
      <c r="K335" s="41"/>
      <c r="L335" s="43">
        <f>SUM(AX58:AX308)</f>
        <v>0</v>
      </c>
    </row>
    <row r="336" spans="1:12" ht="14.25" hidden="1">
      <c r="A336" s="55"/>
      <c r="B336" s="56"/>
      <c r="C336" s="96" t="s">
        <v>448</v>
      </c>
      <c r="D336" s="96"/>
      <c r="E336" s="96"/>
      <c r="F336" s="96"/>
      <c r="G336" s="96"/>
      <c r="H336" s="96"/>
      <c r="I336" s="43"/>
      <c r="J336" s="55"/>
      <c r="K336" s="41"/>
      <c r="L336" s="43">
        <f>SUM(AY58:AY308)</f>
        <v>0</v>
      </c>
    </row>
    <row r="337" spans="1:12" ht="14.25">
      <c r="A337" s="55"/>
      <c r="B337" s="56"/>
      <c r="C337" s="96" t="s">
        <v>449</v>
      </c>
      <c r="D337" s="96"/>
      <c r="E337" s="96"/>
      <c r="F337" s="97"/>
      <c r="G337" s="45">
        <f>Source!F67</f>
        <v>282.28830540000001</v>
      </c>
      <c r="H337" s="55"/>
      <c r="I337" s="55"/>
      <c r="J337" s="55"/>
      <c r="K337" s="55"/>
      <c r="L337" s="55"/>
    </row>
    <row r="338" spans="1:12" ht="14.25">
      <c r="A338" s="55"/>
      <c r="B338" s="56"/>
      <c r="C338" s="96" t="s">
        <v>450</v>
      </c>
      <c r="D338" s="96"/>
      <c r="E338" s="96"/>
      <c r="F338" s="97"/>
      <c r="G338" s="45">
        <f>Source!F68</f>
        <v>68.982838999999998</v>
      </c>
      <c r="H338" s="55"/>
      <c r="I338" s="55"/>
      <c r="J338" s="55"/>
      <c r="K338" s="55"/>
      <c r="L338" s="55"/>
    </row>
    <row r="340" spans="1:12" ht="14.25">
      <c r="C340" s="98" t="str">
        <f>Source!H74</f>
        <v>Итого</v>
      </c>
      <c r="D340" s="98"/>
      <c r="E340" s="98"/>
      <c r="F340" s="98"/>
      <c r="G340" s="98"/>
      <c r="H340" s="98"/>
      <c r="I340" s="98"/>
      <c r="J340" s="98"/>
      <c r="K340" s="98"/>
      <c r="L340" s="53">
        <f>IF(Source!Y74=0, "", Source!Y74)</f>
        <v>446992.58</v>
      </c>
    </row>
    <row r="341" spans="1:12" ht="14.25">
      <c r="C341" s="98" t="str">
        <f>Source!H75</f>
        <v>НДС 22%</v>
      </c>
      <c r="D341" s="98"/>
      <c r="E341" s="98"/>
      <c r="F341" s="98"/>
      <c r="G341" s="98"/>
      <c r="H341" s="98"/>
      <c r="I341" s="98"/>
      <c r="J341" s="98"/>
      <c r="K341" s="98"/>
      <c r="L341" s="53">
        <f>IF(Source!Y75=0, "", Source!Y75)</f>
        <v>98338.37</v>
      </c>
    </row>
    <row r="342" spans="1:12" ht="14.25">
      <c r="C342" s="98" t="str">
        <f>Source!H76</f>
        <v>ВСЕГО</v>
      </c>
      <c r="D342" s="98"/>
      <c r="E342" s="98"/>
      <c r="F342" s="98"/>
      <c r="G342" s="98"/>
      <c r="H342" s="98"/>
      <c r="I342" s="98"/>
      <c r="J342" s="98"/>
      <c r="K342" s="98"/>
      <c r="L342" s="53">
        <f>IF(Source!Y76=0, "", Source!Y76)</f>
        <v>545330.94999999995</v>
      </c>
    </row>
    <row r="343" spans="1:12" ht="14.25">
      <c r="C343" s="92"/>
      <c r="D343" s="92"/>
      <c r="E343" s="92"/>
      <c r="F343" s="92"/>
      <c r="G343" s="92"/>
      <c r="H343" s="92"/>
      <c r="I343" s="92"/>
      <c r="J343" s="92"/>
      <c r="K343" s="92"/>
      <c r="L343" s="53"/>
    </row>
    <row r="344" spans="1:12" ht="14.25">
      <c r="C344" s="92"/>
      <c r="D344" s="92"/>
      <c r="E344" s="92"/>
      <c r="F344" s="92"/>
      <c r="G344" s="92"/>
      <c r="H344" s="92"/>
      <c r="I344" s="92"/>
      <c r="J344" s="92"/>
      <c r="K344" s="92"/>
      <c r="L344" s="53"/>
    </row>
    <row r="345" spans="1:12" ht="14.25">
      <c r="C345" s="92"/>
      <c r="D345" s="92"/>
      <c r="E345" s="92"/>
      <c r="F345" s="92"/>
      <c r="G345" s="92"/>
      <c r="H345" s="92"/>
      <c r="I345" s="92"/>
      <c r="J345" s="92"/>
      <c r="K345" s="92"/>
      <c r="L345" s="53"/>
    </row>
    <row r="346" spans="1:12" ht="14.25">
      <c r="C346" s="92"/>
      <c r="D346" s="92"/>
      <c r="E346" s="92"/>
      <c r="F346" s="92"/>
      <c r="G346" s="92"/>
      <c r="H346" s="92"/>
      <c r="I346" s="92"/>
      <c r="J346" s="92"/>
      <c r="K346" s="92"/>
      <c r="L346" s="53"/>
    </row>
    <row r="349" spans="1:12" ht="14.25" customHeight="1">
      <c r="A349" s="93" t="s">
        <v>451</v>
      </c>
      <c r="B349" s="93"/>
      <c r="C349" s="94" t="s">
        <v>489</v>
      </c>
      <c r="D349" s="94"/>
      <c r="E349" s="94"/>
      <c r="F349" s="94"/>
      <c r="G349" s="94"/>
      <c r="H349" s="95"/>
      <c r="I349" s="95"/>
      <c r="J349" s="95"/>
      <c r="K349" s="95"/>
      <c r="L349" s="90"/>
    </row>
    <row r="350" spans="1:12" ht="14.25" customHeight="1">
      <c r="A350" s="91"/>
      <c r="B350" s="91"/>
      <c r="C350" s="99" t="s">
        <v>452</v>
      </c>
      <c r="D350" s="99"/>
      <c r="E350" s="99"/>
      <c r="F350" s="99"/>
      <c r="G350" s="99"/>
      <c r="H350" s="91"/>
      <c r="I350" s="91"/>
      <c r="J350" s="91"/>
      <c r="K350" s="91"/>
      <c r="L350" s="90"/>
    </row>
    <row r="351" spans="1:12" ht="14.25" customHeight="1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0"/>
    </row>
    <row r="352" spans="1:12" ht="14.25" customHeight="1">
      <c r="A352" s="93" t="s">
        <v>453</v>
      </c>
      <c r="B352" s="93"/>
      <c r="C352" s="94" t="s">
        <v>490</v>
      </c>
      <c r="D352" s="94"/>
      <c r="E352" s="94"/>
      <c r="F352" s="94"/>
      <c r="G352" s="94"/>
      <c r="H352" s="95"/>
      <c r="I352" s="95"/>
      <c r="J352" s="95"/>
      <c r="K352" s="95"/>
      <c r="L352" s="90"/>
    </row>
    <row r="353" spans="1:12" ht="14.25" customHeight="1">
      <c r="A353" s="91"/>
      <c r="B353" s="91"/>
      <c r="C353" s="99" t="s">
        <v>452</v>
      </c>
      <c r="D353" s="99"/>
      <c r="E353" s="99"/>
      <c r="F353" s="99"/>
      <c r="G353" s="99"/>
      <c r="H353" s="91"/>
      <c r="I353" s="91"/>
      <c r="J353" s="91"/>
      <c r="K353" s="91"/>
      <c r="L353" s="90"/>
    </row>
  </sheetData>
  <mergeCells count="186">
    <mergeCell ref="B3:E3"/>
    <mergeCell ref="H3:L3"/>
    <mergeCell ref="B4:E4"/>
    <mergeCell ref="H4:L4"/>
    <mergeCell ref="B6:E6"/>
    <mergeCell ref="H6:L6"/>
    <mergeCell ref="A14:E14"/>
    <mergeCell ref="F14:L14"/>
    <mergeCell ref="A16:E16"/>
    <mergeCell ref="F16:L16"/>
    <mergeCell ref="A18:E18"/>
    <mergeCell ref="F18:L18"/>
    <mergeCell ref="B7:E7"/>
    <mergeCell ref="H7:L7"/>
    <mergeCell ref="A10:E10"/>
    <mergeCell ref="F10:L10"/>
    <mergeCell ref="A12:E12"/>
    <mergeCell ref="F12:L12"/>
    <mergeCell ref="A27:L27"/>
    <mergeCell ref="A28:L28"/>
    <mergeCell ref="A31:L31"/>
    <mergeCell ref="A33:L33"/>
    <mergeCell ref="A20:E20"/>
    <mergeCell ref="F20:L20"/>
    <mergeCell ref="A22:E22"/>
    <mergeCell ref="F22:L22"/>
    <mergeCell ref="A24:E24"/>
    <mergeCell ref="F24:L24"/>
    <mergeCell ref="C49:D49"/>
    <mergeCell ref="C50:D50"/>
    <mergeCell ref="A52:A56"/>
    <mergeCell ref="B52:B56"/>
    <mergeCell ref="C52:C56"/>
    <mergeCell ref="D52:D56"/>
    <mergeCell ref="A34:L34"/>
    <mergeCell ref="C39:L39"/>
    <mergeCell ref="C40:L40"/>
    <mergeCell ref="C44:D44"/>
    <mergeCell ref="C47:D47"/>
    <mergeCell ref="C48:D48"/>
    <mergeCell ref="C104:H104"/>
    <mergeCell ref="I104:J104"/>
    <mergeCell ref="K104:L104"/>
    <mergeCell ref="C117:H117"/>
    <mergeCell ref="I117:J117"/>
    <mergeCell ref="K117:L117"/>
    <mergeCell ref="E52:G55"/>
    <mergeCell ref="H52:L55"/>
    <mergeCell ref="C70:H70"/>
    <mergeCell ref="I70:J70"/>
    <mergeCell ref="K70:L70"/>
    <mergeCell ref="C91:H91"/>
    <mergeCell ref="I91:J91"/>
    <mergeCell ref="K91:L91"/>
    <mergeCell ref="C156:H156"/>
    <mergeCell ref="I156:J156"/>
    <mergeCell ref="K156:L156"/>
    <mergeCell ref="C171:H171"/>
    <mergeCell ref="I171:J171"/>
    <mergeCell ref="K171:L171"/>
    <mergeCell ref="C130:H130"/>
    <mergeCell ref="I130:J130"/>
    <mergeCell ref="K130:L130"/>
    <mergeCell ref="C141:H141"/>
    <mergeCell ref="I141:J141"/>
    <mergeCell ref="K141:L141"/>
    <mergeCell ref="C218:H218"/>
    <mergeCell ref="I218:J218"/>
    <mergeCell ref="K218:L218"/>
    <mergeCell ref="C235:H235"/>
    <mergeCell ref="I235:J235"/>
    <mergeCell ref="K235:L235"/>
    <mergeCell ref="C188:H188"/>
    <mergeCell ref="I188:J188"/>
    <mergeCell ref="K188:L188"/>
    <mergeCell ref="C201:H201"/>
    <mergeCell ref="I201:J201"/>
    <mergeCell ref="K201:L201"/>
    <mergeCell ref="C244:H244"/>
    <mergeCell ref="C245:H245"/>
    <mergeCell ref="C246:H246"/>
    <mergeCell ref="C247:H247"/>
    <mergeCell ref="C248:H248"/>
    <mergeCell ref="C249:H249"/>
    <mergeCell ref="C237:H237"/>
    <mergeCell ref="C239:H239"/>
    <mergeCell ref="C240:H240"/>
    <mergeCell ref="C241:H241"/>
    <mergeCell ref="C242:H242"/>
    <mergeCell ref="C243:H243"/>
    <mergeCell ref="C256:H256"/>
    <mergeCell ref="C257:H257"/>
    <mergeCell ref="C259:H259"/>
    <mergeCell ref="C260:H260"/>
    <mergeCell ref="C261:H261"/>
    <mergeCell ref="C262:H262"/>
    <mergeCell ref="C250:H250"/>
    <mergeCell ref="C251:H251"/>
    <mergeCell ref="C252:H252"/>
    <mergeCell ref="C253:H253"/>
    <mergeCell ref="C254:H254"/>
    <mergeCell ref="C255:H255"/>
    <mergeCell ref="C269:H269"/>
    <mergeCell ref="C270:H270"/>
    <mergeCell ref="C271:H271"/>
    <mergeCell ref="C272:H272"/>
    <mergeCell ref="C273:H273"/>
    <mergeCell ref="C274:H274"/>
    <mergeCell ref="C263:H263"/>
    <mergeCell ref="C264:H264"/>
    <mergeCell ref="C265:H265"/>
    <mergeCell ref="C266:H266"/>
    <mergeCell ref="C267:H267"/>
    <mergeCell ref="C268:H268"/>
    <mergeCell ref="C282:H282"/>
    <mergeCell ref="C284:H284"/>
    <mergeCell ref="C285:H285"/>
    <mergeCell ref="C286:H286"/>
    <mergeCell ref="C287:H287"/>
    <mergeCell ref="C288:H288"/>
    <mergeCell ref="C275:H275"/>
    <mergeCell ref="C276:H276"/>
    <mergeCell ref="C277:H277"/>
    <mergeCell ref="C279:H279"/>
    <mergeCell ref="C280:H280"/>
    <mergeCell ref="C281:H281"/>
    <mergeCell ref="C295:H295"/>
    <mergeCell ref="C296:H296"/>
    <mergeCell ref="C297:H297"/>
    <mergeCell ref="C298:H298"/>
    <mergeCell ref="C299:H299"/>
    <mergeCell ref="C300:H300"/>
    <mergeCell ref="C289:H289"/>
    <mergeCell ref="C290:H290"/>
    <mergeCell ref="C291:H291"/>
    <mergeCell ref="C292:H292"/>
    <mergeCell ref="C293:H293"/>
    <mergeCell ref="C294:H294"/>
    <mergeCell ref="C307:H307"/>
    <mergeCell ref="C308:H308"/>
    <mergeCell ref="C310:H310"/>
    <mergeCell ref="C311:H311"/>
    <mergeCell ref="C312:H312"/>
    <mergeCell ref="C313:H313"/>
    <mergeCell ref="C301:H301"/>
    <mergeCell ref="C302:H302"/>
    <mergeCell ref="C303:H303"/>
    <mergeCell ref="C304:H304"/>
    <mergeCell ref="C305:H305"/>
    <mergeCell ref="C306:H306"/>
    <mergeCell ref="C320:H320"/>
    <mergeCell ref="C321:H321"/>
    <mergeCell ref="C322:H322"/>
    <mergeCell ref="C323:H323"/>
    <mergeCell ref="C324:H324"/>
    <mergeCell ref="C325:H325"/>
    <mergeCell ref="C314:H314"/>
    <mergeCell ref="C315:H315"/>
    <mergeCell ref="C316:H316"/>
    <mergeCell ref="C317:H317"/>
    <mergeCell ref="C318:H318"/>
    <mergeCell ref="C319:H319"/>
    <mergeCell ref="C353:G353"/>
    <mergeCell ref="C332:H332"/>
    <mergeCell ref="C333:H333"/>
    <mergeCell ref="C334:H334"/>
    <mergeCell ref="C335:H335"/>
    <mergeCell ref="C336:H336"/>
    <mergeCell ref="C337:F337"/>
    <mergeCell ref="C326:H326"/>
    <mergeCell ref="C327:H327"/>
    <mergeCell ref="C328:H328"/>
    <mergeCell ref="C329:H329"/>
    <mergeCell ref="C330:H330"/>
    <mergeCell ref="C331:H331"/>
    <mergeCell ref="A349:B349"/>
    <mergeCell ref="C349:G349"/>
    <mergeCell ref="H349:K349"/>
    <mergeCell ref="A352:B352"/>
    <mergeCell ref="C352:G352"/>
    <mergeCell ref="H352:K352"/>
    <mergeCell ref="C338:F338"/>
    <mergeCell ref="C340:K340"/>
    <mergeCell ref="C341:K341"/>
    <mergeCell ref="C342:K342"/>
    <mergeCell ref="C350:G350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E331"/>
  <sheetViews>
    <sheetView zoomScaleNormal="100" workbookViewId="0">
      <selection activeCell="A216" sqref="A216"/>
    </sheetView>
  </sheetViews>
  <sheetFormatPr defaultRowHeight="12.75"/>
  <cols>
    <col min="1" max="2" width="5.7109375" customWidth="1"/>
    <col min="3" max="3" width="20.7109375" customWidth="1"/>
    <col min="4" max="4" width="40.7109375" customWidth="1"/>
    <col min="5" max="5" width="10.7109375" customWidth="1"/>
    <col min="6" max="13" width="15.7109375" customWidth="1"/>
    <col min="15" max="101" width="0" hidden="1" customWidth="1"/>
  </cols>
  <sheetData>
    <row r="1" spans="1:13">
      <c r="A1" s="8" t="str">
        <f>Source!B1</f>
        <v>Smeta.RU  (495) 974-1589</v>
      </c>
    </row>
    <row r="2" spans="1:13" ht="12.75" customHeight="1">
      <c r="A2" s="25"/>
      <c r="B2" s="25"/>
      <c r="C2" s="25"/>
      <c r="D2" s="25"/>
      <c r="E2" s="25"/>
      <c r="F2" s="25"/>
      <c r="G2" s="25"/>
      <c r="H2" s="25"/>
      <c r="I2" s="25"/>
      <c r="J2" s="164" t="s">
        <v>454</v>
      </c>
      <c r="K2" s="164"/>
      <c r="L2" s="164"/>
      <c r="M2" s="164"/>
    </row>
    <row r="3" spans="1:13" ht="12.75" customHeight="1">
      <c r="A3" s="25"/>
      <c r="B3" s="25"/>
      <c r="C3" s="25"/>
      <c r="D3" s="25"/>
      <c r="E3" s="25"/>
      <c r="F3" s="25"/>
      <c r="G3" s="25"/>
      <c r="H3" s="25"/>
      <c r="I3" s="164" t="s">
        <v>455</v>
      </c>
      <c r="J3" s="164"/>
      <c r="K3" s="164"/>
      <c r="L3" s="164"/>
      <c r="M3" s="164"/>
    </row>
    <row r="4" spans="1:13" ht="12.75" customHeight="1">
      <c r="A4" s="25"/>
      <c r="B4" s="25"/>
      <c r="C4" s="25"/>
      <c r="D4" s="25"/>
      <c r="E4" s="25"/>
      <c r="F4" s="25"/>
      <c r="G4" s="25"/>
      <c r="H4" s="25"/>
      <c r="I4" s="25"/>
      <c r="J4" s="164" t="s">
        <v>456</v>
      </c>
      <c r="K4" s="164"/>
      <c r="L4" s="164"/>
      <c r="M4" s="164"/>
    </row>
    <row r="5" spans="1:13" ht="12.7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4.2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158" t="s">
        <v>457</v>
      </c>
      <c r="L6" s="158"/>
      <c r="M6" s="158"/>
    </row>
    <row r="7" spans="1:13" ht="28.5" customHeight="1">
      <c r="A7" s="25"/>
      <c r="B7" s="25"/>
      <c r="C7" s="25"/>
      <c r="D7" s="25"/>
      <c r="E7" s="25"/>
      <c r="F7" s="25"/>
      <c r="G7" s="25"/>
      <c r="H7" s="25"/>
      <c r="I7" s="25"/>
      <c r="J7" s="69" t="s">
        <v>458</v>
      </c>
      <c r="K7" s="145">
        <v>322005</v>
      </c>
      <c r="L7" s="146"/>
      <c r="M7" s="147"/>
    </row>
    <row r="8" spans="1:13" ht="12.75" customHeight="1">
      <c r="A8" s="25"/>
      <c r="B8" s="25"/>
      <c r="C8" s="25"/>
      <c r="D8" s="25"/>
      <c r="E8" s="25"/>
      <c r="F8" s="25"/>
      <c r="G8" s="25"/>
      <c r="H8" s="25"/>
      <c r="I8" s="25"/>
      <c r="J8" s="71"/>
      <c r="K8" s="154" t="str">
        <f>IF(Source!AT15 &lt;&gt; "", Source!AT15, "")</f>
        <v/>
      </c>
      <c r="L8" s="155"/>
      <c r="M8" s="156"/>
    </row>
    <row r="9" spans="1:13" ht="14.25" customHeight="1">
      <c r="A9" s="160" t="s">
        <v>459</v>
      </c>
      <c r="B9" s="160"/>
      <c r="C9" s="161" t="str">
        <f>IF(Source!BA15 &lt;&gt; "", Source!BA15, IF(Source!AU15 &lt;&gt; "", Source!AU15, ""))</f>
        <v/>
      </c>
      <c r="D9" s="161"/>
      <c r="E9" s="161"/>
      <c r="F9" s="161"/>
      <c r="G9" s="161"/>
      <c r="H9" s="161"/>
      <c r="I9" s="161"/>
      <c r="J9" s="72" t="s">
        <v>460</v>
      </c>
      <c r="K9" s="157"/>
      <c r="L9" s="158"/>
      <c r="M9" s="159"/>
    </row>
    <row r="10" spans="1:13" ht="12.75" customHeight="1">
      <c r="A10" s="25"/>
      <c r="B10" s="25"/>
      <c r="C10" s="129" t="s">
        <v>461</v>
      </c>
      <c r="D10" s="129"/>
      <c r="E10" s="129"/>
      <c r="F10" s="129"/>
      <c r="G10" s="129"/>
      <c r="H10" s="129"/>
      <c r="I10" s="129"/>
      <c r="J10" s="71"/>
      <c r="K10" s="154" t="str">
        <f>IF(Source!AK15 &lt;&gt; "", Source!AK15, "")</f>
        <v/>
      </c>
      <c r="L10" s="155"/>
      <c r="M10" s="156"/>
    </row>
    <row r="11" spans="1:13" ht="14.25" customHeight="1">
      <c r="A11" s="160" t="s">
        <v>462</v>
      </c>
      <c r="B11" s="160"/>
      <c r="C11" s="161" t="str">
        <f>IF(Source!AX12&lt;&gt; "", Source!AX12, IF(Source!AJ12 &lt;&gt; "", Source!AJ12, ""))</f>
        <v/>
      </c>
      <c r="D11" s="161"/>
      <c r="E11" s="161"/>
      <c r="F11" s="161"/>
      <c r="G11" s="161"/>
      <c r="H11" s="161"/>
      <c r="I11" s="161"/>
      <c r="J11" s="72" t="s">
        <v>460</v>
      </c>
      <c r="K11" s="157"/>
      <c r="L11" s="158"/>
      <c r="M11" s="159"/>
    </row>
    <row r="12" spans="1:13" ht="12.75" customHeight="1">
      <c r="A12" s="25"/>
      <c r="B12" s="25"/>
      <c r="C12" s="129" t="s">
        <v>461</v>
      </c>
      <c r="D12" s="129"/>
      <c r="E12" s="129"/>
      <c r="F12" s="129"/>
      <c r="G12" s="129"/>
      <c r="H12" s="129"/>
      <c r="I12" s="129"/>
      <c r="J12" s="71"/>
      <c r="K12" s="154" t="str">
        <f>IF(Source!AO15 &lt;&gt; "", Source!AO15, "")</f>
        <v/>
      </c>
      <c r="L12" s="155"/>
      <c r="M12" s="156"/>
    </row>
    <row r="13" spans="1:13" ht="14.25" customHeight="1">
      <c r="A13" s="160" t="s">
        <v>463</v>
      </c>
      <c r="B13" s="160"/>
      <c r="C13" s="161" t="str">
        <f>IF(Source!AY12&lt;&gt; "", Source!AY12, IF(Source!AN12 &lt;&gt; "", Source!AN12, ""))</f>
        <v/>
      </c>
      <c r="D13" s="161"/>
      <c r="E13" s="161"/>
      <c r="F13" s="161"/>
      <c r="G13" s="161"/>
      <c r="H13" s="161"/>
      <c r="I13" s="161"/>
      <c r="J13" s="72" t="s">
        <v>460</v>
      </c>
      <c r="K13" s="157"/>
      <c r="L13" s="158"/>
      <c r="M13" s="159"/>
    </row>
    <row r="14" spans="1:13" ht="12.75" customHeight="1">
      <c r="A14" s="25"/>
      <c r="B14" s="25"/>
      <c r="C14" s="129" t="s">
        <v>461</v>
      </c>
      <c r="D14" s="129"/>
      <c r="E14" s="129"/>
      <c r="F14" s="129"/>
      <c r="G14" s="129"/>
      <c r="H14" s="129"/>
      <c r="I14" s="129"/>
      <c r="J14" s="71"/>
      <c r="K14" s="154" t="str">
        <f>IF(Source!CO15 &lt;&gt; "", Source!CO15, "")</f>
        <v/>
      </c>
      <c r="L14" s="155"/>
      <c r="M14" s="156"/>
    </row>
    <row r="15" spans="1:13" ht="14.25" customHeight="1">
      <c r="A15" s="160" t="s">
        <v>464</v>
      </c>
      <c r="B15" s="160"/>
      <c r="C15" s="161" t="s">
        <v>5</v>
      </c>
      <c r="D15" s="161"/>
      <c r="E15" s="161"/>
      <c r="F15" s="161"/>
      <c r="G15" s="161"/>
      <c r="H15" s="161"/>
      <c r="I15" s="161"/>
      <c r="J15" s="73"/>
      <c r="K15" s="157"/>
      <c r="L15" s="158"/>
      <c r="M15" s="159"/>
    </row>
    <row r="16" spans="1:13" ht="12.75" customHeight="1">
      <c r="A16" s="25"/>
      <c r="B16" s="25"/>
      <c r="C16" s="129" t="s">
        <v>465</v>
      </c>
      <c r="D16" s="129"/>
      <c r="E16" s="129"/>
      <c r="F16" s="129"/>
      <c r="G16" s="129"/>
      <c r="H16" s="129"/>
      <c r="I16" s="129"/>
      <c r="J16" s="71"/>
      <c r="K16" s="154" t="str">
        <f>IF(Source!CP15 &lt;&gt; "", Source!CP15, "")</f>
        <v/>
      </c>
      <c r="L16" s="155"/>
      <c r="M16" s="156"/>
    </row>
    <row r="17" spans="1:13" ht="14.25" customHeight="1">
      <c r="A17" s="160" t="s">
        <v>466</v>
      </c>
      <c r="B17" s="160"/>
      <c r="C17" s="161" t="str">
        <f>IF(Source!G12&lt;&gt;"Новый объект", Source!G12, "")</f>
        <v>Строительство хмелевой плантации</v>
      </c>
      <c r="D17" s="161"/>
      <c r="E17" s="161"/>
      <c r="F17" s="161"/>
      <c r="G17" s="161"/>
      <c r="H17" s="161"/>
      <c r="I17" s="161"/>
      <c r="J17" s="73"/>
      <c r="K17" s="157"/>
      <c r="L17" s="158"/>
      <c r="M17" s="159"/>
    </row>
    <row r="18" spans="1:13" ht="12.75" customHeight="1">
      <c r="A18" s="25"/>
      <c r="B18" s="25"/>
      <c r="C18" s="129" t="s">
        <v>467</v>
      </c>
      <c r="D18" s="129"/>
      <c r="E18" s="129"/>
      <c r="F18" s="129"/>
      <c r="G18" s="129"/>
      <c r="H18" s="129"/>
      <c r="I18" s="129"/>
      <c r="J18" s="25"/>
      <c r="K18" s="75"/>
      <c r="L18" s="75"/>
      <c r="M18" s="75"/>
    </row>
    <row r="19" spans="1:13" ht="14.25" customHeight="1">
      <c r="A19" s="25"/>
      <c r="B19" s="25"/>
      <c r="C19" s="25"/>
      <c r="D19" s="25"/>
      <c r="E19" s="25"/>
      <c r="F19" s="25"/>
      <c r="G19" s="25"/>
      <c r="H19" s="162" t="s">
        <v>468</v>
      </c>
      <c r="I19" s="162"/>
      <c r="J19" s="163"/>
      <c r="K19" s="145" t="str">
        <f>IF(Source!CQ15 &lt;&gt; "", Source!CQ15, "")</f>
        <v/>
      </c>
      <c r="L19" s="146"/>
      <c r="M19" s="147"/>
    </row>
    <row r="20" spans="1:13" ht="14.25" customHeight="1">
      <c r="A20" s="25"/>
      <c r="B20" s="25"/>
      <c r="C20" s="25"/>
      <c r="D20" s="25"/>
      <c r="E20" s="25"/>
      <c r="F20" s="25"/>
      <c r="G20" s="25"/>
      <c r="H20" s="143" t="s">
        <v>469</v>
      </c>
      <c r="I20" s="144"/>
      <c r="J20" s="76" t="s">
        <v>470</v>
      </c>
      <c r="K20" s="145" t="str">
        <f>IF(Source!CR15 &lt;&gt; "", Source!CR15, "")</f>
        <v/>
      </c>
      <c r="L20" s="146"/>
      <c r="M20" s="147"/>
    </row>
    <row r="21" spans="1:13" ht="14.25" customHeight="1">
      <c r="A21" s="25"/>
      <c r="B21" s="25"/>
      <c r="C21" s="25"/>
      <c r="D21" s="25"/>
      <c r="E21" s="25"/>
      <c r="F21" s="25"/>
      <c r="G21" s="25"/>
      <c r="H21" s="25"/>
      <c r="I21" s="70"/>
      <c r="J21" s="76" t="s">
        <v>471</v>
      </c>
      <c r="K21" s="148" t="str">
        <f>IF(Source!CS15 &lt;&gt; 0, Source!CS15, "")</f>
        <v/>
      </c>
      <c r="L21" s="149"/>
      <c r="M21" s="150"/>
    </row>
    <row r="22" spans="1:13" ht="14.25" customHeight="1">
      <c r="A22" s="25"/>
      <c r="B22" s="25"/>
      <c r="C22" s="25"/>
      <c r="D22" s="25"/>
      <c r="E22" s="25"/>
      <c r="F22" s="25"/>
      <c r="G22" s="25"/>
      <c r="H22" s="25"/>
      <c r="I22" s="25"/>
      <c r="J22" s="77" t="s">
        <v>472</v>
      </c>
      <c r="K22" s="145" t="str">
        <f>IF(Source!CT15 &lt;&gt; "", Source!CT15, "")</f>
        <v/>
      </c>
      <c r="L22" s="146"/>
      <c r="M22" s="147"/>
    </row>
    <row r="23" spans="1:13" ht="12.75" customHeight="1">
      <c r="A23" s="25"/>
      <c r="B23" s="25"/>
      <c r="C23" s="25"/>
      <c r="D23" s="25"/>
      <c r="E23" s="25"/>
      <c r="F23" s="25"/>
      <c r="G23" s="78"/>
      <c r="H23" s="78"/>
      <c r="I23" s="78"/>
      <c r="J23" s="78"/>
      <c r="K23" s="74"/>
      <c r="L23" s="74"/>
      <c r="M23" s="74"/>
    </row>
    <row r="24" spans="1:13" ht="12.75" customHeight="1">
      <c r="A24" s="25"/>
      <c r="B24" s="25"/>
      <c r="C24" s="25"/>
      <c r="D24" s="25"/>
      <c r="E24" s="25"/>
      <c r="F24" s="71"/>
      <c r="G24" s="138" t="s">
        <v>473</v>
      </c>
      <c r="H24" s="116" t="s">
        <v>474</v>
      </c>
      <c r="I24" s="136" t="s">
        <v>475</v>
      </c>
      <c r="J24" s="153"/>
      <c r="K24" s="79"/>
      <c r="L24" s="25"/>
      <c r="M24" s="25"/>
    </row>
    <row r="25" spans="1:13" ht="12.75" customHeight="1">
      <c r="A25" s="25"/>
      <c r="B25" s="25"/>
      <c r="C25" s="25"/>
      <c r="D25" s="25"/>
      <c r="E25" s="25"/>
      <c r="F25" s="73"/>
      <c r="G25" s="151"/>
      <c r="H25" s="152"/>
      <c r="I25" s="32" t="s">
        <v>476</v>
      </c>
      <c r="J25" s="32" t="s">
        <v>477</v>
      </c>
      <c r="K25" s="79"/>
      <c r="L25" s="25"/>
      <c r="M25" s="25"/>
    </row>
    <row r="26" spans="1:13" ht="12.75" customHeight="1">
      <c r="A26" s="25"/>
      <c r="B26" s="25"/>
      <c r="C26" s="25"/>
      <c r="D26" s="25"/>
      <c r="E26" s="25"/>
      <c r="F26" s="70"/>
      <c r="G26" s="80" t="str">
        <f>IF(Source!CN15 &lt;&gt; "", Source!CN15, "")</f>
        <v/>
      </c>
      <c r="H26" s="81" t="str">
        <f>IF(Source!CX15 &lt;&gt; 0, Source!CX15, "")</f>
        <v/>
      </c>
      <c r="I26" s="81" t="str">
        <f>IF(Source!CV15 &lt;&gt; 0, Source!CV15, "")</f>
        <v/>
      </c>
      <c r="J26" s="81" t="str">
        <f>IF(Source!CW15 &lt;&gt; 0, Source!CW15, "")</f>
        <v/>
      </c>
      <c r="K26" s="79"/>
      <c r="L26" s="25"/>
      <c r="M26" s="25"/>
    </row>
    <row r="27" spans="1:13" ht="12.75" customHeight="1">
      <c r="A27" s="25"/>
      <c r="B27" s="25"/>
      <c r="C27" s="25"/>
      <c r="D27" s="25"/>
      <c r="E27" s="25"/>
      <c r="F27" s="25"/>
      <c r="G27" s="74"/>
      <c r="H27" s="74"/>
      <c r="I27" s="74"/>
      <c r="J27" s="74"/>
      <c r="K27" s="25"/>
      <c r="L27" s="25"/>
      <c r="M27" s="25"/>
    </row>
    <row r="28" spans="1:13" ht="18" customHeight="1">
      <c r="A28" s="134" t="s">
        <v>478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1:13" ht="18" customHeight="1">
      <c r="A29" s="134" t="s">
        <v>479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</row>
    <row r="30" spans="1:13" ht="12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ht="14.25" customHeight="1">
      <c r="A31" s="135" t="s">
        <v>372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</row>
    <row r="32" spans="1:13" ht="12.75" customHeight="1">
      <c r="A32" s="136" t="s">
        <v>356</v>
      </c>
      <c r="B32" s="137"/>
      <c r="C32" s="138" t="s">
        <v>357</v>
      </c>
      <c r="D32" s="116" t="s">
        <v>358</v>
      </c>
      <c r="E32" s="116" t="s">
        <v>359</v>
      </c>
      <c r="F32" s="105" t="s">
        <v>360</v>
      </c>
      <c r="G32" s="106"/>
      <c r="H32" s="107"/>
      <c r="I32" s="105" t="s">
        <v>361</v>
      </c>
      <c r="J32" s="106"/>
      <c r="K32" s="106"/>
      <c r="L32" s="106"/>
      <c r="M32" s="107"/>
    </row>
    <row r="33" spans="1:83" ht="12.75" customHeight="1">
      <c r="A33" s="116" t="s">
        <v>356</v>
      </c>
      <c r="B33" s="130" t="s">
        <v>480</v>
      </c>
      <c r="C33" s="139"/>
      <c r="D33" s="117"/>
      <c r="E33" s="117"/>
      <c r="F33" s="108"/>
      <c r="G33" s="109"/>
      <c r="H33" s="110"/>
      <c r="I33" s="141"/>
      <c r="J33" s="109"/>
      <c r="K33" s="109"/>
      <c r="L33" s="109"/>
      <c r="M33" s="110"/>
    </row>
    <row r="34" spans="1:83" ht="12.75" customHeight="1">
      <c r="A34" s="117"/>
      <c r="B34" s="131"/>
      <c r="C34" s="139"/>
      <c r="D34" s="117"/>
      <c r="E34" s="117"/>
      <c r="F34" s="108"/>
      <c r="G34" s="109"/>
      <c r="H34" s="110"/>
      <c r="I34" s="141"/>
      <c r="J34" s="109"/>
      <c r="K34" s="109"/>
      <c r="L34" s="109"/>
      <c r="M34" s="110"/>
    </row>
    <row r="35" spans="1:83" ht="12.75" customHeight="1">
      <c r="A35" s="117"/>
      <c r="B35" s="131"/>
      <c r="C35" s="139"/>
      <c r="D35" s="117"/>
      <c r="E35" s="117"/>
      <c r="F35" s="111"/>
      <c r="G35" s="112"/>
      <c r="H35" s="113"/>
      <c r="I35" s="142"/>
      <c r="J35" s="112"/>
      <c r="K35" s="112"/>
      <c r="L35" s="112"/>
      <c r="M35" s="113"/>
    </row>
    <row r="36" spans="1:83" ht="51" customHeight="1">
      <c r="A36" s="118"/>
      <c r="B36" s="132"/>
      <c r="C36" s="140"/>
      <c r="D36" s="118"/>
      <c r="E36" s="118"/>
      <c r="F36" s="32" t="s">
        <v>362</v>
      </c>
      <c r="G36" s="32" t="s">
        <v>363</v>
      </c>
      <c r="H36" s="33" t="s">
        <v>364</v>
      </c>
      <c r="I36" s="32" t="s">
        <v>365</v>
      </c>
      <c r="J36" s="32" t="s">
        <v>366</v>
      </c>
      <c r="K36" s="32" t="s">
        <v>367</v>
      </c>
      <c r="L36" s="32" t="s">
        <v>363</v>
      </c>
      <c r="M36" s="32" t="s">
        <v>368</v>
      </c>
    </row>
    <row r="37" spans="1:83" ht="12.75" customHeight="1">
      <c r="A37" s="82">
        <v>1</v>
      </c>
      <c r="B37" s="82">
        <v>2</v>
      </c>
      <c r="C37" s="82">
        <v>3</v>
      </c>
      <c r="D37" s="82">
        <v>4</v>
      </c>
      <c r="E37" s="82">
        <v>5</v>
      </c>
      <c r="F37" s="82">
        <v>6</v>
      </c>
      <c r="G37" s="82">
        <v>7</v>
      </c>
      <c r="H37" s="82">
        <v>8</v>
      </c>
      <c r="I37" s="82">
        <v>9</v>
      </c>
      <c r="J37" s="82">
        <v>10</v>
      </c>
      <c r="K37" s="82">
        <v>11</v>
      </c>
      <c r="L37" s="82">
        <v>12</v>
      </c>
      <c r="M37" s="82">
        <v>13</v>
      </c>
    </row>
    <row r="39" spans="1:83" ht="16.5">
      <c r="A39" s="133" t="s">
        <v>481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</row>
    <row r="40" spans="1:83" ht="42.75">
      <c r="A40" s="37" t="s">
        <v>15</v>
      </c>
      <c r="B40" s="37" t="s">
        <v>15</v>
      </c>
      <c r="C40" s="39" t="s">
        <v>373</v>
      </c>
      <c r="D40" s="39" t="str">
        <f>Source!G24</f>
        <v>Бурение ям глубиной до 2 м бурильно-крановыми машинами: на автомобиле, группа грунтов 2</v>
      </c>
      <c r="E40" s="40" t="str">
        <f>Source!H24</f>
        <v>100 ШТ</v>
      </c>
      <c r="F40" s="41">
        <f>Source!K24</f>
        <v>0.28000000000000003</v>
      </c>
      <c r="G40" s="41"/>
      <c r="H40" s="41">
        <f>Source!I24</f>
        <v>0.28000000000000003</v>
      </c>
      <c r="I40" s="43"/>
      <c r="J40" s="42"/>
      <c r="K40" s="43"/>
      <c r="L40" s="42"/>
      <c r="M40" s="43"/>
    </row>
    <row r="41" spans="1:83">
      <c r="D41" s="44" t="str">
        <f>"Объем: "&amp;Source!I24&amp;"=28/"&amp;"100"</f>
        <v>Объем: 0,28=28/100</v>
      </c>
    </row>
    <row r="42" spans="1:83" ht="15">
      <c r="A42" s="38"/>
      <c r="B42" s="38"/>
      <c r="C42" s="41">
        <v>1</v>
      </c>
      <c r="D42" s="38" t="s">
        <v>374</v>
      </c>
      <c r="E42" s="40" t="s">
        <v>256</v>
      </c>
      <c r="F42" s="45"/>
      <c r="G42" s="41"/>
      <c r="H42" s="41">
        <f>Source!U24</f>
        <v>3.6680000000000001</v>
      </c>
      <c r="I42" s="41"/>
      <c r="J42" s="41"/>
      <c r="K42" s="41"/>
      <c r="L42" s="41"/>
      <c r="M42" s="46">
        <f>SUM(M43:M43)-SUMIF(CE43:CE43, 1, M43:M43)</f>
        <v>1208.3499999999999</v>
      </c>
    </row>
    <row r="43" spans="1:83" ht="14.25">
      <c r="A43" s="39"/>
      <c r="B43" s="39"/>
      <c r="C43" s="39" t="s">
        <v>254</v>
      </c>
      <c r="D43" s="39" t="s">
        <v>255</v>
      </c>
      <c r="E43" s="40" t="s">
        <v>256</v>
      </c>
      <c r="F43" s="41">
        <v>13.1</v>
      </c>
      <c r="G43" s="41"/>
      <c r="H43" s="41">
        <f>SmtRes!CX1</f>
        <v>3.6680000000000001</v>
      </c>
      <c r="I43" s="43"/>
      <c r="J43" s="42"/>
      <c r="K43" s="43">
        <f>SmtRes!CZ1</f>
        <v>329.43</v>
      </c>
      <c r="L43" s="42"/>
      <c r="M43" s="43">
        <f>SmtRes!DI1</f>
        <v>1208.3499999999999</v>
      </c>
    </row>
    <row r="44" spans="1:83" ht="15">
      <c r="A44" s="38"/>
      <c r="B44" s="38"/>
      <c r="C44" s="41">
        <v>2</v>
      </c>
      <c r="D44" s="38" t="s">
        <v>375</v>
      </c>
      <c r="E44" s="40"/>
      <c r="F44" s="45"/>
      <c r="G44" s="41"/>
      <c r="H44" s="41"/>
      <c r="I44" s="41"/>
      <c r="J44" s="41"/>
      <c r="K44" s="41"/>
      <c r="L44" s="41"/>
      <c r="M44" s="46">
        <f>SUM(M45:M47)-SUMIF(CE45:CE47, 1, M45:M47)</f>
        <v>11625.17</v>
      </c>
    </row>
    <row r="45" spans="1:83" ht="15">
      <c r="A45" s="38"/>
      <c r="B45" s="38"/>
      <c r="C45" s="41"/>
      <c r="D45" s="38" t="s">
        <v>377</v>
      </c>
      <c r="E45" s="40" t="s">
        <v>256</v>
      </c>
      <c r="F45" s="45"/>
      <c r="G45" s="41"/>
      <c r="H45" s="41">
        <f>Source!V24</f>
        <v>4.0039999999999996</v>
      </c>
      <c r="I45" s="41"/>
      <c r="J45" s="41"/>
      <c r="K45" s="41"/>
      <c r="L45" s="41"/>
      <c r="M45" s="46">
        <f>SUMIF(CE46:CE47, 1, M46:M47)</f>
        <v>1863.58</v>
      </c>
      <c r="CE45">
        <v>1</v>
      </c>
    </row>
    <row r="46" spans="1:83" ht="42.75">
      <c r="A46" s="39"/>
      <c r="B46" s="39"/>
      <c r="C46" s="39" t="s">
        <v>259</v>
      </c>
      <c r="D46" s="39" t="s">
        <v>261</v>
      </c>
      <c r="E46" s="40" t="s">
        <v>262</v>
      </c>
      <c r="F46" s="41">
        <v>14.3</v>
      </c>
      <c r="G46" s="41"/>
      <c r="H46" s="41">
        <f>SmtRes!CX3</f>
        <v>4.0039999999999996</v>
      </c>
      <c r="I46" s="43">
        <f>SmtRes!CZ3</f>
        <v>2088.77</v>
      </c>
      <c r="J46" s="42">
        <f>SmtRes!AJ3</f>
        <v>1.39</v>
      </c>
      <c r="K46" s="43">
        <f>ROUND(I46*J46, 2)</f>
        <v>2903.39</v>
      </c>
      <c r="L46" s="42"/>
      <c r="M46" s="43">
        <f>SmtRes!DG3</f>
        <v>11625.17</v>
      </c>
    </row>
    <row r="47" spans="1:83" ht="28.5">
      <c r="A47" s="39"/>
      <c r="B47" s="39"/>
      <c r="C47" s="39" t="s">
        <v>263</v>
      </c>
      <c r="D47" s="47" t="s">
        <v>376</v>
      </c>
      <c r="E47" s="48" t="s">
        <v>256</v>
      </c>
      <c r="F47" s="49">
        <f>SmtRes!DO3*SmtRes!AT3</f>
        <v>14.3</v>
      </c>
      <c r="G47" s="49"/>
      <c r="H47" s="49">
        <f>ROUND(F47*H40, 7)</f>
        <v>4.0039999999999996</v>
      </c>
      <c r="I47" s="50"/>
      <c r="J47" s="51"/>
      <c r="K47" s="50">
        <f>ROUND(SmtRes!AG3/SmtRes!DO3, 2)</f>
        <v>465.43</v>
      </c>
      <c r="L47" s="51"/>
      <c r="M47" s="50">
        <f>SmtRes!DH3</f>
        <v>1863.58</v>
      </c>
      <c r="CE47">
        <v>1</v>
      </c>
    </row>
    <row r="48" spans="1:83" ht="15">
      <c r="A48" s="39"/>
      <c r="B48" s="39"/>
      <c r="C48" s="39"/>
      <c r="D48" s="54" t="s">
        <v>378</v>
      </c>
      <c r="E48" s="40"/>
      <c r="F48" s="41"/>
      <c r="G48" s="41"/>
      <c r="H48" s="41"/>
      <c r="I48" s="43"/>
      <c r="J48" s="42"/>
      <c r="K48" s="43"/>
      <c r="L48" s="42"/>
      <c r="M48" s="43">
        <f>M42+M44+M45</f>
        <v>14697.1</v>
      </c>
    </row>
    <row r="49" spans="1:83" ht="14.25">
      <c r="A49" s="39"/>
      <c r="B49" s="39"/>
      <c r="C49" s="39"/>
      <c r="D49" s="39" t="s">
        <v>379</v>
      </c>
      <c r="E49" s="40"/>
      <c r="F49" s="41"/>
      <c r="G49" s="41"/>
      <c r="H49" s="41"/>
      <c r="I49" s="43"/>
      <c r="J49" s="42"/>
      <c r="K49" s="43"/>
      <c r="L49" s="42"/>
      <c r="M49" s="43">
        <f>SUM(AR40:AR52)+SUM(AS40:AS52)+SUM(AT40:AT52)+SUM(AU40:AU52)+SUM(AV40:AV52)</f>
        <v>3071.93</v>
      </c>
    </row>
    <row r="50" spans="1:83" ht="57">
      <c r="A50" s="39"/>
      <c r="B50" s="39"/>
      <c r="C50" s="39" t="s">
        <v>24</v>
      </c>
      <c r="D50" s="39" t="s">
        <v>380</v>
      </c>
      <c r="E50" s="40" t="s">
        <v>106</v>
      </c>
      <c r="F50" s="41">
        <f>Source!BZ24</f>
        <v>89</v>
      </c>
      <c r="G50" s="41"/>
      <c r="H50" s="41">
        <f>Source!AT24</f>
        <v>89</v>
      </c>
      <c r="I50" s="43"/>
      <c r="J50" s="42"/>
      <c r="K50" s="43"/>
      <c r="L50" s="42"/>
      <c r="M50" s="43">
        <f>SUM(AZ40:AZ52)</f>
        <v>2734.02</v>
      </c>
    </row>
    <row r="51" spans="1:83" ht="57">
      <c r="A51" s="47"/>
      <c r="B51" s="47"/>
      <c r="C51" s="47" t="s">
        <v>25</v>
      </c>
      <c r="D51" s="47" t="s">
        <v>381</v>
      </c>
      <c r="E51" s="48" t="s">
        <v>106</v>
      </c>
      <c r="F51" s="49">
        <f>Source!CA24</f>
        <v>41</v>
      </c>
      <c r="G51" s="49"/>
      <c r="H51" s="49">
        <f>Source!AU24</f>
        <v>41</v>
      </c>
      <c r="I51" s="50"/>
      <c r="J51" s="51"/>
      <c r="K51" s="50"/>
      <c r="L51" s="51"/>
      <c r="M51" s="50">
        <f>SUM(BA40:BA52)</f>
        <v>1259.49</v>
      </c>
    </row>
    <row r="52" spans="1:83" ht="15">
      <c r="D52" s="103" t="s">
        <v>382</v>
      </c>
      <c r="E52" s="103"/>
      <c r="F52" s="103"/>
      <c r="G52" s="103"/>
      <c r="H52" s="103"/>
      <c r="I52" s="103"/>
      <c r="J52" s="104">
        <f>IF(F40&lt;&gt;0,L52/F40, 0)</f>
        <v>66752.178571428565</v>
      </c>
      <c r="K52" s="104"/>
      <c r="L52" s="104">
        <f>M42+M44+M50+M51+M45</f>
        <v>18690.61</v>
      </c>
      <c r="M52" s="104"/>
      <c r="AD52">
        <f>ROUND((Source!AT24/100)*((ROUND(SUMIF(SmtRes!AQ1:'SmtRes'!AQ3,"=1",SmtRes!AD1:'SmtRes'!AD3)*Source!I24, 2)+ROUND(SUMIF(SmtRes!AQ1:'SmtRes'!AQ3,"=1",SmtRes!AC1:'SmtRes'!AC3)*Source!I24, 2))), 2)</f>
        <v>198.08</v>
      </c>
      <c r="AE52">
        <f>ROUND((Source!AU24/100)*((ROUND(SUMIF(SmtRes!AQ1:'SmtRes'!AQ3,"=1",SmtRes!AD1:'SmtRes'!AD3)*Source!I24, 2)+ROUND(SUMIF(SmtRes!AQ1:'SmtRes'!AQ3,"=1",SmtRes!AC1:'SmtRes'!AC3)*Source!I24, 2))), 2)</f>
        <v>91.25</v>
      </c>
      <c r="AN52" s="52">
        <f>M42+M44+M50+M51+M45</f>
        <v>18690.61</v>
      </c>
      <c r="AO52" s="52">
        <f>M44</f>
        <v>11625.17</v>
      </c>
      <c r="AQ52" t="s">
        <v>383</v>
      </c>
      <c r="AR52" s="52">
        <f>M42</f>
        <v>1208.3499999999999</v>
      </c>
      <c r="AT52" s="52">
        <f>M45</f>
        <v>1863.58</v>
      </c>
      <c r="AV52" t="s">
        <v>383</v>
      </c>
      <c r="AW52">
        <f>0</f>
        <v>0</v>
      </c>
      <c r="AZ52">
        <f>Source!X24</f>
        <v>2734.02</v>
      </c>
      <c r="BA52">
        <f>Source!Y24</f>
        <v>1259.49</v>
      </c>
      <c r="CD52">
        <v>1</v>
      </c>
    </row>
    <row r="53" spans="1:83" ht="68.25">
      <c r="A53" s="37" t="s">
        <v>27</v>
      </c>
      <c r="B53" s="37" t="s">
        <v>27</v>
      </c>
      <c r="C53" s="39" t="s">
        <v>384</v>
      </c>
      <c r="D53" s="39" t="s">
        <v>385</v>
      </c>
      <c r="E53" s="40" t="str">
        <f>Source!H25</f>
        <v>ШТ</v>
      </c>
      <c r="F53" s="41">
        <f>Source!K25</f>
        <v>28</v>
      </c>
      <c r="G53" s="41"/>
      <c r="H53" s="41">
        <f>Source!I25</f>
        <v>28</v>
      </c>
      <c r="I53" s="43"/>
      <c r="J53" s="42"/>
      <c r="K53" s="43"/>
      <c r="L53" s="42"/>
      <c r="M53" s="43"/>
    </row>
    <row r="54" spans="1:83" ht="15">
      <c r="A54" s="38"/>
      <c r="B54" s="38"/>
      <c r="C54" s="41">
        <v>1</v>
      </c>
      <c r="D54" s="38" t="s">
        <v>374</v>
      </c>
      <c r="E54" s="40" t="s">
        <v>256</v>
      </c>
      <c r="F54" s="45"/>
      <c r="G54" s="41"/>
      <c r="H54" s="41">
        <f>Source!U25</f>
        <v>66.36</v>
      </c>
      <c r="I54" s="41"/>
      <c r="J54" s="41"/>
      <c r="K54" s="41"/>
      <c r="L54" s="41"/>
      <c r="M54" s="46">
        <f>SUM(M55:M55)-SUMIF(CE55:CE55, 1, M55:M55)</f>
        <v>25070.14</v>
      </c>
    </row>
    <row r="55" spans="1:83" ht="14.25">
      <c r="A55" s="39"/>
      <c r="B55" s="39"/>
      <c r="C55" s="39" t="s">
        <v>264</v>
      </c>
      <c r="D55" s="39" t="s">
        <v>265</v>
      </c>
      <c r="E55" s="40" t="s">
        <v>256</v>
      </c>
      <c r="F55" s="41">
        <v>2.37</v>
      </c>
      <c r="G55" s="41"/>
      <c r="H55" s="41">
        <f>SmtRes!CX4</f>
        <v>66.36</v>
      </c>
      <c r="I55" s="43"/>
      <c r="J55" s="42"/>
      <c r="K55" s="43">
        <f>SmtRes!CZ4</f>
        <v>377.79</v>
      </c>
      <c r="L55" s="42"/>
      <c r="M55" s="43">
        <f>SmtRes!DI4</f>
        <v>25070.14</v>
      </c>
    </row>
    <row r="56" spans="1:83" ht="15">
      <c r="A56" s="38"/>
      <c r="B56" s="38"/>
      <c r="C56" s="41">
        <v>2</v>
      </c>
      <c r="D56" s="38" t="s">
        <v>375</v>
      </c>
      <c r="E56" s="40"/>
      <c r="F56" s="45"/>
      <c r="G56" s="41"/>
      <c r="H56" s="41"/>
      <c r="I56" s="41"/>
      <c r="J56" s="41"/>
      <c r="K56" s="41"/>
      <c r="L56" s="41"/>
      <c r="M56" s="46">
        <f>SUM(M57:M61)-SUMIF(CE57:CE61, 1, M57:M61)</f>
        <v>14636.8</v>
      </c>
    </row>
    <row r="57" spans="1:83" ht="15">
      <c r="A57" s="38"/>
      <c r="B57" s="38"/>
      <c r="C57" s="41"/>
      <c r="D57" s="38" t="s">
        <v>377</v>
      </c>
      <c r="E57" s="40" t="s">
        <v>256</v>
      </c>
      <c r="F57" s="45"/>
      <c r="G57" s="41"/>
      <c r="H57" s="41">
        <f>Source!V25</f>
        <v>12.879999999999999</v>
      </c>
      <c r="I57" s="41"/>
      <c r="J57" s="41"/>
      <c r="K57" s="41"/>
      <c r="L57" s="41"/>
      <c r="M57" s="46">
        <f>SUMIF(CE58:CE61, 1, M58:M61)</f>
        <v>5994.74</v>
      </c>
      <c r="CE57">
        <v>1</v>
      </c>
    </row>
    <row r="58" spans="1:83" ht="14.25">
      <c r="A58" s="39"/>
      <c r="B58" s="39"/>
      <c r="C58" s="39" t="s">
        <v>266</v>
      </c>
      <c r="D58" s="39" t="s">
        <v>268</v>
      </c>
      <c r="E58" s="40" t="s">
        <v>262</v>
      </c>
      <c r="F58" s="41">
        <v>0.18</v>
      </c>
      <c r="G58" s="41"/>
      <c r="H58" s="41">
        <f>SmtRes!CX6</f>
        <v>5.04</v>
      </c>
      <c r="I58" s="43">
        <f>SmtRes!CZ6</f>
        <v>828.16</v>
      </c>
      <c r="J58" s="42">
        <f>SmtRes!AJ6</f>
        <v>1.44</v>
      </c>
      <c r="K58" s="43">
        <f>ROUND(I58*J58, 2)</f>
        <v>1192.55</v>
      </c>
      <c r="L58" s="42"/>
      <c r="M58" s="43">
        <f>SmtRes!DG6</f>
        <v>6010.45</v>
      </c>
    </row>
    <row r="59" spans="1:83" ht="28.5">
      <c r="A59" s="39"/>
      <c r="B59" s="39"/>
      <c r="C59" s="39" t="s">
        <v>263</v>
      </c>
      <c r="D59" s="39" t="s">
        <v>376</v>
      </c>
      <c r="E59" s="40" t="s">
        <v>256</v>
      </c>
      <c r="F59" s="41">
        <f>SmtRes!DO6*SmtRes!AT6</f>
        <v>0.18</v>
      </c>
      <c r="G59" s="41"/>
      <c r="H59" s="41">
        <f>ROUND(F59*H53, 7)</f>
        <v>5.04</v>
      </c>
      <c r="I59" s="43"/>
      <c r="J59" s="42"/>
      <c r="K59" s="43">
        <f>ROUND(SmtRes!AG6/SmtRes!DO6, 2)</f>
        <v>465.43</v>
      </c>
      <c r="L59" s="42"/>
      <c r="M59" s="43">
        <f>SmtRes!DH6</f>
        <v>2345.77</v>
      </c>
      <c r="CE59">
        <v>1</v>
      </c>
    </row>
    <row r="60" spans="1:83" ht="71.25">
      <c r="A60" s="39"/>
      <c r="B60" s="39"/>
      <c r="C60" s="39" t="s">
        <v>269</v>
      </c>
      <c r="D60" s="39" t="s">
        <v>271</v>
      </c>
      <c r="E60" s="40" t="s">
        <v>262</v>
      </c>
      <c r="F60" s="41">
        <v>0.28000000000000003</v>
      </c>
      <c r="G60" s="41"/>
      <c r="H60" s="41">
        <f>SmtRes!CX7</f>
        <v>7.84</v>
      </c>
      <c r="I60" s="43">
        <f>SmtRes!CZ7</f>
        <v>774.86</v>
      </c>
      <c r="J60" s="42">
        <f>SmtRes!AJ7</f>
        <v>1.42</v>
      </c>
      <c r="K60" s="43">
        <f>ROUND(I60*J60, 2)</f>
        <v>1100.3</v>
      </c>
      <c r="L60" s="42"/>
      <c r="M60" s="43">
        <f>SmtRes!DG7</f>
        <v>8626.35</v>
      </c>
    </row>
    <row r="61" spans="1:83" ht="28.5">
      <c r="A61" s="39"/>
      <c r="B61" s="39"/>
      <c r="C61" s="39" t="s">
        <v>263</v>
      </c>
      <c r="D61" s="39" t="s">
        <v>376</v>
      </c>
      <c r="E61" s="40" t="s">
        <v>256</v>
      </c>
      <c r="F61" s="41">
        <f>SmtRes!DO7*SmtRes!AT7</f>
        <v>0.28000000000000003</v>
      </c>
      <c r="G61" s="41"/>
      <c r="H61" s="41">
        <f>ROUND(F61*H53, 7)</f>
        <v>7.84</v>
      </c>
      <c r="I61" s="43"/>
      <c r="J61" s="42"/>
      <c r="K61" s="43">
        <f>ROUND(SmtRes!AG7/SmtRes!DO7, 2)</f>
        <v>465.43</v>
      </c>
      <c r="L61" s="42"/>
      <c r="M61" s="43">
        <f>SmtRes!DH7</f>
        <v>3648.97</v>
      </c>
      <c r="CE61">
        <v>1</v>
      </c>
    </row>
    <row r="62" spans="1:83" ht="15" hidden="1">
      <c r="A62" s="38"/>
      <c r="B62" s="38"/>
      <c r="C62" s="41">
        <v>4</v>
      </c>
      <c r="D62" s="38" t="s">
        <v>386</v>
      </c>
      <c r="E62" s="40"/>
      <c r="F62" s="45"/>
      <c r="G62" s="41"/>
      <c r="H62" s="41"/>
      <c r="I62" s="41"/>
      <c r="J62" s="41"/>
      <c r="K62" s="41"/>
      <c r="L62" s="41"/>
      <c r="M62" s="46">
        <f>SUM(M63:M67)-SUMIF(CE63:CE67, 1, M63:M67)</f>
        <v>0</v>
      </c>
    </row>
    <row r="63" spans="1:83" ht="28.5">
      <c r="A63" s="39"/>
      <c r="B63" s="39"/>
      <c r="C63" s="39" t="s">
        <v>272</v>
      </c>
      <c r="D63" s="39" t="s">
        <v>274</v>
      </c>
      <c r="E63" s="40" t="s">
        <v>275</v>
      </c>
      <c r="F63" s="41">
        <v>4.0000000000000003E-5</v>
      </c>
      <c r="G63" s="41">
        <f t="shared" ref="G63:G68" si="0">ROUND(0,7)</f>
        <v>0</v>
      </c>
      <c r="H63" s="41">
        <f>SmtRes!CX8</f>
        <v>0</v>
      </c>
      <c r="I63" s="43">
        <f>SmtRes!CZ8</f>
        <v>76110.2</v>
      </c>
      <c r="J63" s="42">
        <f>SmtRes!AI8</f>
        <v>1.19</v>
      </c>
      <c r="K63" s="43">
        <f>ROUND(I63*J63, 2)</f>
        <v>90571.14</v>
      </c>
      <c r="L63" s="42"/>
      <c r="M63" s="43">
        <f>SmtRes!DF8</f>
        <v>0</v>
      </c>
    </row>
    <row r="64" spans="1:83" ht="14.25">
      <c r="A64" s="39"/>
      <c r="B64" s="39"/>
      <c r="C64" s="39" t="s">
        <v>276</v>
      </c>
      <c r="D64" s="39" t="s">
        <v>278</v>
      </c>
      <c r="E64" s="40" t="s">
        <v>85</v>
      </c>
      <c r="F64" s="41">
        <v>6.1999999999999998E-3</v>
      </c>
      <c r="G64" s="41">
        <f t="shared" si="0"/>
        <v>0</v>
      </c>
      <c r="H64" s="41">
        <f>SmtRes!CX9</f>
        <v>0</v>
      </c>
      <c r="I64" s="43">
        <f>SmtRes!CZ9</f>
        <v>56.11</v>
      </c>
      <c r="J64" s="42">
        <f>SmtRes!AI9</f>
        <v>1.59</v>
      </c>
      <c r="K64" s="43">
        <f>ROUND(I64*J64, 2)</f>
        <v>89.21</v>
      </c>
      <c r="L64" s="42"/>
      <c r="M64" s="43">
        <f>SmtRes!DF9</f>
        <v>0</v>
      </c>
    </row>
    <row r="65" spans="1:83" ht="57">
      <c r="A65" s="39"/>
      <c r="B65" s="39"/>
      <c r="C65" s="39" t="s">
        <v>279</v>
      </c>
      <c r="D65" s="39" t="s">
        <v>281</v>
      </c>
      <c r="E65" s="40" t="s">
        <v>73</v>
      </c>
      <c r="F65" s="41">
        <v>5.0000000000000002E-5</v>
      </c>
      <c r="G65" s="41">
        <f t="shared" si="0"/>
        <v>0</v>
      </c>
      <c r="H65" s="41">
        <f>SmtRes!CX11</f>
        <v>0</v>
      </c>
      <c r="I65" s="43">
        <f>SmtRes!CZ11</f>
        <v>5764.42</v>
      </c>
      <c r="J65" s="42">
        <f>SmtRes!AI11</f>
        <v>1.42</v>
      </c>
      <c r="K65" s="43">
        <f>ROUND(I65*J65, 2)</f>
        <v>8185.48</v>
      </c>
      <c r="L65" s="42"/>
      <c r="M65" s="43">
        <f>SmtRes!DF11</f>
        <v>0</v>
      </c>
    </row>
    <row r="66" spans="1:83" ht="14.25">
      <c r="A66" s="39"/>
      <c r="B66" s="39"/>
      <c r="C66" s="39" t="s">
        <v>282</v>
      </c>
      <c r="D66" s="39" t="s">
        <v>284</v>
      </c>
      <c r="E66" s="40" t="s">
        <v>85</v>
      </c>
      <c r="F66" s="41">
        <v>0.05</v>
      </c>
      <c r="G66" s="41">
        <f t="shared" si="0"/>
        <v>0</v>
      </c>
      <c r="H66" s="41">
        <f>SmtRes!CX12</f>
        <v>0</v>
      </c>
      <c r="I66" s="43">
        <f>SmtRes!CZ12</f>
        <v>61.28</v>
      </c>
      <c r="J66" s="42">
        <f>SmtRes!AI12</f>
        <v>1.73</v>
      </c>
      <c r="K66" s="43">
        <f>ROUND(I66*J66, 2)</f>
        <v>106.01</v>
      </c>
      <c r="L66" s="42"/>
      <c r="M66" s="43">
        <f>SmtRes!DF12</f>
        <v>0</v>
      </c>
    </row>
    <row r="67" spans="1:83" ht="28.5">
      <c r="A67" s="39"/>
      <c r="B67" s="39"/>
      <c r="C67" s="39" t="s">
        <v>285</v>
      </c>
      <c r="D67" s="39" t="s">
        <v>287</v>
      </c>
      <c r="E67" s="40" t="s">
        <v>275</v>
      </c>
      <c r="F67" s="41">
        <v>3.0000000000000001E-5</v>
      </c>
      <c r="G67" s="41">
        <f t="shared" si="0"/>
        <v>0</v>
      </c>
      <c r="H67" s="41">
        <f>SmtRes!CX13</f>
        <v>0</v>
      </c>
      <c r="I67" s="43">
        <f>SmtRes!CZ13</f>
        <v>65007.69</v>
      </c>
      <c r="J67" s="42">
        <f>SmtRes!AI13</f>
        <v>1.2</v>
      </c>
      <c r="K67" s="43">
        <f>ROUND(I67*J67, 2)</f>
        <v>78009.23</v>
      </c>
      <c r="L67" s="42"/>
      <c r="M67" s="43">
        <f>SmtRes!DF13</f>
        <v>0</v>
      </c>
    </row>
    <row r="68" spans="1:83" ht="28.5">
      <c r="A68" s="39"/>
      <c r="B68" s="39"/>
      <c r="C68" s="39" t="str">
        <f>EtalonRes!I10</f>
        <v>11.1.02.04</v>
      </c>
      <c r="D68" s="47" t="str">
        <f>EtalonRes!K10</f>
        <v>Лесоматериалы пропитанные для опор линий связи диаметром до 24 см</v>
      </c>
      <c r="E68" s="48" t="str">
        <f>EtalonRes!O10</f>
        <v>ШТ</v>
      </c>
      <c r="F68" s="49">
        <f>EtalonRes!X10</f>
        <v>1</v>
      </c>
      <c r="G68" s="49">
        <f t="shared" si="0"/>
        <v>0</v>
      </c>
      <c r="H68" s="49">
        <f>ROUND(EtalonRes!AG10*Source!I25, 7)</f>
        <v>0</v>
      </c>
      <c r="I68" s="50"/>
      <c r="J68" s="51"/>
      <c r="K68" s="50"/>
      <c r="L68" s="51"/>
      <c r="M68" s="50"/>
    </row>
    <row r="69" spans="1:83" ht="15">
      <c r="A69" s="39"/>
      <c r="B69" s="39"/>
      <c r="C69" s="39"/>
      <c r="D69" s="54" t="s">
        <v>378</v>
      </c>
      <c r="E69" s="40"/>
      <c r="F69" s="41"/>
      <c r="G69" s="41"/>
      <c r="H69" s="41"/>
      <c r="I69" s="43"/>
      <c r="J69" s="42"/>
      <c r="K69" s="43"/>
      <c r="L69" s="42"/>
      <c r="M69" s="43">
        <f>M54+M56+M57+M62</f>
        <v>45701.68</v>
      </c>
    </row>
    <row r="70" spans="1:83" ht="14.25">
      <c r="A70" s="39"/>
      <c r="B70" s="39"/>
      <c r="C70" s="39"/>
      <c r="D70" s="39" t="s">
        <v>379</v>
      </c>
      <c r="E70" s="40"/>
      <c r="F70" s="41"/>
      <c r="G70" s="41"/>
      <c r="H70" s="41"/>
      <c r="I70" s="43"/>
      <c r="J70" s="42"/>
      <c r="K70" s="43"/>
      <c r="L70" s="42"/>
      <c r="M70" s="43">
        <f>SUM(AR53:AR73)+SUM(AS53:AS73)+SUM(AT53:AT73)+SUM(AU53:AU73)+SUM(AV53:AV73)</f>
        <v>31064.879999999997</v>
      </c>
    </row>
    <row r="71" spans="1:83" ht="42.75">
      <c r="A71" s="39"/>
      <c r="B71" s="39"/>
      <c r="C71" s="39" t="s">
        <v>36</v>
      </c>
      <c r="D71" s="39" t="s">
        <v>387</v>
      </c>
      <c r="E71" s="40" t="s">
        <v>106</v>
      </c>
      <c r="F71" s="41">
        <f>Source!BZ25</f>
        <v>98</v>
      </c>
      <c r="G71" s="41"/>
      <c r="H71" s="41">
        <f>Source!AT25</f>
        <v>98</v>
      </c>
      <c r="I71" s="43"/>
      <c r="J71" s="42"/>
      <c r="K71" s="43"/>
      <c r="L71" s="42"/>
      <c r="M71" s="43">
        <f>SUM(AZ53:AZ73)</f>
        <v>30443.58</v>
      </c>
    </row>
    <row r="72" spans="1:83" ht="42.75">
      <c r="A72" s="47"/>
      <c r="B72" s="47"/>
      <c r="C72" s="47" t="s">
        <v>37</v>
      </c>
      <c r="D72" s="47" t="s">
        <v>388</v>
      </c>
      <c r="E72" s="48" t="s">
        <v>106</v>
      </c>
      <c r="F72" s="49">
        <f>Source!CA25</f>
        <v>58</v>
      </c>
      <c r="G72" s="49"/>
      <c r="H72" s="49">
        <f>Source!AU25</f>
        <v>58</v>
      </c>
      <c r="I72" s="50"/>
      <c r="J72" s="51"/>
      <c r="K72" s="50"/>
      <c r="L72" s="51"/>
      <c r="M72" s="50">
        <f>SUM(BA53:BA73)</f>
        <v>18017.63</v>
      </c>
    </row>
    <row r="73" spans="1:83" ht="15">
      <c r="D73" s="103" t="s">
        <v>382</v>
      </c>
      <c r="E73" s="103"/>
      <c r="F73" s="103"/>
      <c r="G73" s="103"/>
      <c r="H73" s="103"/>
      <c r="I73" s="103"/>
      <c r="J73" s="104">
        <f>IF(F53&lt;&gt;0,L73/F53, 0)</f>
        <v>3362.9603571428574</v>
      </c>
      <c r="K73" s="104"/>
      <c r="L73" s="104">
        <f>M54+M56+M62+M71+M72+M57</f>
        <v>94162.890000000014</v>
      </c>
      <c r="M73" s="104"/>
      <c r="AD73">
        <f>ROUND((Source!AT25/100)*((ROUND(SUMIF(SmtRes!AQ4:'SmtRes'!AQ13,"=1",SmtRes!AD4:'SmtRes'!AD13)*Source!I25, 2)+ROUND(SUMIF(SmtRes!AQ4:'SmtRes'!AQ13,"=1",SmtRes!AC4:'SmtRes'!AC13)*Source!I25, 2))), 2)</f>
        <v>35909.360000000001</v>
      </c>
      <c r="AE73">
        <f>ROUND((Source!AU25/100)*((ROUND(SUMIF(SmtRes!AQ4:'SmtRes'!AQ13,"=1",SmtRes!AD4:'SmtRes'!AD13)*Source!I25, 2)+ROUND(SUMIF(SmtRes!AQ4:'SmtRes'!AQ13,"=1",SmtRes!AC4:'SmtRes'!AC13)*Source!I25, 2))), 2)</f>
        <v>21252.48</v>
      </c>
      <c r="AN73" s="52">
        <f>M54+M56+M62+M71+M72+M57</f>
        <v>94162.890000000014</v>
      </c>
      <c r="AO73" s="52">
        <f>M56</f>
        <v>14636.8</v>
      </c>
      <c r="AQ73" t="s">
        <v>383</v>
      </c>
      <c r="AR73" s="52">
        <f>M54</f>
        <v>25070.14</v>
      </c>
      <c r="AT73" s="52">
        <f>M57</f>
        <v>5994.74</v>
      </c>
      <c r="AV73" t="s">
        <v>383</v>
      </c>
      <c r="AW73" s="52">
        <f>M62</f>
        <v>0</v>
      </c>
      <c r="AZ73">
        <f>Source!X25</f>
        <v>30443.58</v>
      </c>
      <c r="BA73">
        <f>Source!Y25</f>
        <v>18017.63</v>
      </c>
      <c r="CD73">
        <v>1</v>
      </c>
    </row>
    <row r="74" spans="1:83" ht="42.75">
      <c r="A74" s="37" t="s">
        <v>42</v>
      </c>
      <c r="B74" s="37" t="s">
        <v>42</v>
      </c>
      <c r="C74" s="39" t="s">
        <v>389</v>
      </c>
      <c r="D74" s="39" t="str">
        <f>Source!G27</f>
        <v>Развозка конструкций и материалов опор ВЛ 0,38-10 кВ по трассе: одностоечных деревянных опор</v>
      </c>
      <c r="E74" s="40" t="str">
        <f>Source!H27</f>
        <v>ШТ</v>
      </c>
      <c r="F74" s="41">
        <f>Source!K27</f>
        <v>28</v>
      </c>
      <c r="G74" s="41"/>
      <c r="H74" s="41">
        <f>Source!I27</f>
        <v>28</v>
      </c>
      <c r="I74" s="43"/>
      <c r="J74" s="42"/>
      <c r="K74" s="43"/>
      <c r="L74" s="42"/>
      <c r="M74" s="43"/>
    </row>
    <row r="75" spans="1:83" ht="15">
      <c r="A75" s="38"/>
      <c r="B75" s="38"/>
      <c r="C75" s="41">
        <v>1</v>
      </c>
      <c r="D75" s="38" t="s">
        <v>374</v>
      </c>
      <c r="E75" s="40" t="s">
        <v>256</v>
      </c>
      <c r="F75" s="45"/>
      <c r="G75" s="41"/>
      <c r="H75" s="41">
        <f>Source!U27</f>
        <v>5.6</v>
      </c>
      <c r="I75" s="41"/>
      <c r="J75" s="41"/>
      <c r="K75" s="41"/>
      <c r="L75" s="41"/>
      <c r="M75" s="46">
        <f>SUM(M76:M76)-SUMIF(CE76:CE76, 1, M76:M76)</f>
        <v>1929.42</v>
      </c>
    </row>
    <row r="76" spans="1:83" ht="14.25">
      <c r="A76" s="39"/>
      <c r="B76" s="39"/>
      <c r="C76" s="39" t="s">
        <v>288</v>
      </c>
      <c r="D76" s="39" t="s">
        <v>289</v>
      </c>
      <c r="E76" s="40" t="s">
        <v>256</v>
      </c>
      <c r="F76" s="41">
        <v>0.2</v>
      </c>
      <c r="G76" s="41"/>
      <c r="H76" s="41">
        <f>SmtRes!CX14</f>
        <v>5.6</v>
      </c>
      <c r="I76" s="43"/>
      <c r="J76" s="42"/>
      <c r="K76" s="43">
        <f>SmtRes!CZ14</f>
        <v>344.54</v>
      </c>
      <c r="L76" s="42"/>
      <c r="M76" s="43">
        <f>SmtRes!DI14</f>
        <v>1929.42</v>
      </c>
    </row>
    <row r="77" spans="1:83" ht="15">
      <c r="A77" s="38"/>
      <c r="B77" s="38"/>
      <c r="C77" s="41">
        <v>2</v>
      </c>
      <c r="D77" s="38" t="s">
        <v>375</v>
      </c>
      <c r="E77" s="40"/>
      <c r="F77" s="45"/>
      <c r="G77" s="41"/>
      <c r="H77" s="41"/>
      <c r="I77" s="41"/>
      <c r="J77" s="41"/>
      <c r="K77" s="41"/>
      <c r="L77" s="41"/>
      <c r="M77" s="46">
        <f>SUM(M78:M81)-SUMIF(CE78:CE81, 1, M78:M81)</f>
        <v>2133.92</v>
      </c>
    </row>
    <row r="78" spans="1:83" ht="15">
      <c r="A78" s="38"/>
      <c r="B78" s="38"/>
      <c r="C78" s="41"/>
      <c r="D78" s="38" t="s">
        <v>377</v>
      </c>
      <c r="E78" s="40" t="s">
        <v>256</v>
      </c>
      <c r="F78" s="45"/>
      <c r="G78" s="41"/>
      <c r="H78" s="41">
        <f>Source!V27</f>
        <v>3.08</v>
      </c>
      <c r="I78" s="41"/>
      <c r="J78" s="41"/>
      <c r="K78" s="41"/>
      <c r="L78" s="41"/>
      <c r="M78" s="46">
        <f>SUMIF(CE79:CE81, 1, M79:M81)</f>
        <v>1247.3699999999999</v>
      </c>
      <c r="CE78">
        <v>1</v>
      </c>
    </row>
    <row r="79" spans="1:83" ht="28.5">
      <c r="A79" s="39"/>
      <c r="B79" s="39"/>
      <c r="C79" s="39" t="s">
        <v>290</v>
      </c>
      <c r="D79" s="39" t="s">
        <v>292</v>
      </c>
      <c r="E79" s="40" t="s">
        <v>262</v>
      </c>
      <c r="F79" s="41">
        <v>0.11</v>
      </c>
      <c r="G79" s="41"/>
      <c r="H79" s="41">
        <f>SmtRes!CX16</f>
        <v>3.08</v>
      </c>
      <c r="I79" s="43"/>
      <c r="J79" s="42"/>
      <c r="K79" s="43">
        <f>SmtRes!CZ16</f>
        <v>14.59</v>
      </c>
      <c r="L79" s="42"/>
      <c r="M79" s="43">
        <f>SmtRes!DG16</f>
        <v>44.94</v>
      </c>
    </row>
    <row r="80" spans="1:83" ht="28.5">
      <c r="A80" s="39"/>
      <c r="B80" s="39"/>
      <c r="C80" s="39" t="s">
        <v>293</v>
      </c>
      <c r="D80" s="39" t="s">
        <v>295</v>
      </c>
      <c r="E80" s="40" t="s">
        <v>262</v>
      </c>
      <c r="F80" s="41">
        <v>0.11</v>
      </c>
      <c r="G80" s="41"/>
      <c r="H80" s="41">
        <f>SmtRes!CX17</f>
        <v>3.08</v>
      </c>
      <c r="I80" s="43">
        <f>SmtRes!CZ17</f>
        <v>487.94</v>
      </c>
      <c r="J80" s="42">
        <f>SmtRes!AJ17</f>
        <v>1.39</v>
      </c>
      <c r="K80" s="43">
        <f>ROUND(I80*J80, 2)</f>
        <v>678.24</v>
      </c>
      <c r="L80" s="42"/>
      <c r="M80" s="43">
        <f>SmtRes!DG17</f>
        <v>2088.98</v>
      </c>
    </row>
    <row r="81" spans="1:83" ht="28.5">
      <c r="A81" s="39"/>
      <c r="B81" s="39"/>
      <c r="C81" s="39" t="s">
        <v>296</v>
      </c>
      <c r="D81" s="47" t="s">
        <v>390</v>
      </c>
      <c r="E81" s="48" t="s">
        <v>256</v>
      </c>
      <c r="F81" s="49">
        <f>SmtRes!DO17*SmtRes!AT17</f>
        <v>0.11</v>
      </c>
      <c r="G81" s="49"/>
      <c r="H81" s="49">
        <f>ROUND(F81*H74, 7)</f>
        <v>3.08</v>
      </c>
      <c r="I81" s="50"/>
      <c r="J81" s="51"/>
      <c r="K81" s="50">
        <f>ROUND(SmtRes!AG17/SmtRes!DO17, 2)</f>
        <v>404.99</v>
      </c>
      <c r="L81" s="51"/>
      <c r="M81" s="50">
        <f>SmtRes!DH17</f>
        <v>1247.3699999999999</v>
      </c>
      <c r="CE81">
        <v>1</v>
      </c>
    </row>
    <row r="82" spans="1:83" ht="15">
      <c r="A82" s="39"/>
      <c r="B82" s="39"/>
      <c r="C82" s="39"/>
      <c r="D82" s="54" t="s">
        <v>378</v>
      </c>
      <c r="E82" s="40"/>
      <c r="F82" s="41"/>
      <c r="G82" s="41"/>
      <c r="H82" s="41"/>
      <c r="I82" s="43"/>
      <c r="J82" s="42"/>
      <c r="K82" s="43"/>
      <c r="L82" s="42"/>
      <c r="M82" s="43">
        <f>M75+M77+M78</f>
        <v>5310.71</v>
      </c>
    </row>
    <row r="83" spans="1:83" ht="14.25">
      <c r="A83" s="39"/>
      <c r="B83" s="39"/>
      <c r="C83" s="39"/>
      <c r="D83" s="39" t="s">
        <v>379</v>
      </c>
      <c r="E83" s="40"/>
      <c r="F83" s="41"/>
      <c r="G83" s="41"/>
      <c r="H83" s="41"/>
      <c r="I83" s="43"/>
      <c r="J83" s="42"/>
      <c r="K83" s="43"/>
      <c r="L83" s="42"/>
      <c r="M83" s="43">
        <f>SUM(AR74:AR86)+SUM(AS74:AS86)+SUM(AT74:AT86)+SUM(AU74:AU86)+SUM(AV74:AV86)</f>
        <v>3176.79</v>
      </c>
    </row>
    <row r="84" spans="1:83" ht="14.25">
      <c r="A84" s="39"/>
      <c r="B84" s="39"/>
      <c r="C84" s="39" t="s">
        <v>48</v>
      </c>
      <c r="D84" s="39" t="s">
        <v>391</v>
      </c>
      <c r="E84" s="40" t="s">
        <v>106</v>
      </c>
      <c r="F84" s="41">
        <f>Source!BZ27</f>
        <v>103</v>
      </c>
      <c r="G84" s="41"/>
      <c r="H84" s="41">
        <f>Source!AT27</f>
        <v>103</v>
      </c>
      <c r="I84" s="43"/>
      <c r="J84" s="42"/>
      <c r="K84" s="43"/>
      <c r="L84" s="42"/>
      <c r="M84" s="43">
        <f>SUM(AZ74:AZ86)</f>
        <v>3272.09</v>
      </c>
    </row>
    <row r="85" spans="1:83" ht="14.25">
      <c r="A85" s="47"/>
      <c r="B85" s="47"/>
      <c r="C85" s="47" t="s">
        <v>49</v>
      </c>
      <c r="D85" s="47" t="s">
        <v>392</v>
      </c>
      <c r="E85" s="48" t="s">
        <v>106</v>
      </c>
      <c r="F85" s="49">
        <f>Source!CA27</f>
        <v>60</v>
      </c>
      <c r="G85" s="49"/>
      <c r="H85" s="49">
        <f>Source!AU27</f>
        <v>60</v>
      </c>
      <c r="I85" s="50"/>
      <c r="J85" s="51"/>
      <c r="K85" s="50"/>
      <c r="L85" s="51"/>
      <c r="M85" s="50">
        <f>SUM(BA74:BA86)</f>
        <v>1906.07</v>
      </c>
    </row>
    <row r="86" spans="1:83" ht="15">
      <c r="D86" s="103" t="s">
        <v>382</v>
      </c>
      <c r="E86" s="103"/>
      <c r="F86" s="103"/>
      <c r="G86" s="103"/>
      <c r="H86" s="103"/>
      <c r="I86" s="103"/>
      <c r="J86" s="104">
        <f>IF(F74&lt;&gt;0,L86/F74, 0)</f>
        <v>374.60249999999996</v>
      </c>
      <c r="K86" s="104"/>
      <c r="L86" s="104">
        <f>M75+M77+M84+M85+M78</f>
        <v>10488.869999999999</v>
      </c>
      <c r="M86" s="104"/>
      <c r="AD86">
        <f>ROUND((Source!AT27/100)*((ROUND(SUMIF(SmtRes!AQ14:'SmtRes'!AQ17,"=1",SmtRes!AD14:'SmtRes'!AD17)*Source!I27, 2)+ROUND(SUMIF(SmtRes!AQ14:'SmtRes'!AQ17,"=1",SmtRes!AC14:'SmtRes'!AC17)*Source!I27, 2))), 2)</f>
        <v>21616.45</v>
      </c>
      <c r="AE86">
        <f>ROUND((Source!AU27/100)*((ROUND(SUMIF(SmtRes!AQ14:'SmtRes'!AQ17,"=1",SmtRes!AD14:'SmtRes'!AD17)*Source!I27, 2)+ROUND(SUMIF(SmtRes!AQ14:'SmtRes'!AQ17,"=1",SmtRes!AC14:'SmtRes'!AC17)*Source!I27, 2))), 2)</f>
        <v>12592.1</v>
      </c>
      <c r="AN86" s="52">
        <f>M75+M77+M84+M85+M78</f>
        <v>10488.869999999999</v>
      </c>
      <c r="AO86" s="52">
        <f>M77</f>
        <v>2133.92</v>
      </c>
      <c r="AQ86" t="s">
        <v>383</v>
      </c>
      <c r="AR86" s="52">
        <f>M75</f>
        <v>1929.42</v>
      </c>
      <c r="AT86" s="52">
        <f>M78</f>
        <v>1247.3699999999999</v>
      </c>
      <c r="AV86" t="s">
        <v>383</v>
      </c>
      <c r="AW86">
        <f>0</f>
        <v>0</v>
      </c>
      <c r="AZ86">
        <f>Source!X27</f>
        <v>3272.09</v>
      </c>
      <c r="BA86">
        <f>Source!Y27</f>
        <v>1906.07</v>
      </c>
      <c r="CD86">
        <v>1</v>
      </c>
    </row>
    <row r="87" spans="1:83" ht="57">
      <c r="A87" s="37" t="s">
        <v>50</v>
      </c>
      <c r="B87" s="37" t="s">
        <v>50</v>
      </c>
      <c r="C87" s="39" t="s">
        <v>393</v>
      </c>
      <c r="D87" s="39" t="str">
        <f>Source!G28</f>
        <v>Развозка конструкций и материалов опор ВЛ 0,38-10 кВ по трассе: материалов оснастки одностоечных опор</v>
      </c>
      <c r="E87" s="40" t="str">
        <f>Source!H28</f>
        <v>ШТ</v>
      </c>
      <c r="F87" s="41">
        <f>Source!K28</f>
        <v>28</v>
      </c>
      <c r="G87" s="41"/>
      <c r="H87" s="41">
        <f>Source!I28</f>
        <v>28</v>
      </c>
      <c r="I87" s="43"/>
      <c r="J87" s="42"/>
      <c r="K87" s="43"/>
      <c r="L87" s="42"/>
      <c r="M87" s="43"/>
    </row>
    <row r="88" spans="1:83" ht="15">
      <c r="A88" s="38"/>
      <c r="B88" s="38"/>
      <c r="C88" s="41">
        <v>1</v>
      </c>
      <c r="D88" s="38" t="s">
        <v>374</v>
      </c>
      <c r="E88" s="40" t="s">
        <v>256</v>
      </c>
      <c r="F88" s="45"/>
      <c r="G88" s="41"/>
      <c r="H88" s="41">
        <f>Source!U28</f>
        <v>7</v>
      </c>
      <c r="I88" s="41"/>
      <c r="J88" s="41"/>
      <c r="K88" s="41"/>
      <c r="L88" s="41"/>
      <c r="M88" s="46">
        <f>SUM(M89:M89)-SUMIF(CE89:CE89, 1, M89:M89)</f>
        <v>2411.7800000000002</v>
      </c>
    </row>
    <row r="89" spans="1:83" ht="14.25">
      <c r="A89" s="39"/>
      <c r="B89" s="39"/>
      <c r="C89" s="39" t="s">
        <v>288</v>
      </c>
      <c r="D89" s="39" t="s">
        <v>289</v>
      </c>
      <c r="E89" s="40" t="s">
        <v>256</v>
      </c>
      <c r="F89" s="41">
        <v>0.25</v>
      </c>
      <c r="G89" s="41"/>
      <c r="H89" s="41">
        <f>SmtRes!CX18</f>
        <v>7</v>
      </c>
      <c r="I89" s="43"/>
      <c r="J89" s="42"/>
      <c r="K89" s="43">
        <f>SmtRes!CZ18</f>
        <v>344.54</v>
      </c>
      <c r="L89" s="42"/>
      <c r="M89" s="43">
        <f>SmtRes!DI18</f>
        <v>2411.7800000000002</v>
      </c>
    </row>
    <row r="90" spans="1:83" ht="15">
      <c r="A90" s="38"/>
      <c r="B90" s="38"/>
      <c r="C90" s="41">
        <v>2</v>
      </c>
      <c r="D90" s="38" t="s">
        <v>375</v>
      </c>
      <c r="E90" s="40"/>
      <c r="F90" s="45"/>
      <c r="G90" s="41"/>
      <c r="H90" s="41"/>
      <c r="I90" s="41"/>
      <c r="J90" s="41"/>
      <c r="K90" s="41"/>
      <c r="L90" s="41"/>
      <c r="M90" s="46">
        <f>SUM(M91:M94)-SUMIF(CE91:CE94, 1, M91:M94)</f>
        <v>2715.8900000000003</v>
      </c>
    </row>
    <row r="91" spans="1:83" ht="15">
      <c r="A91" s="38"/>
      <c r="B91" s="38"/>
      <c r="C91" s="41"/>
      <c r="D91" s="38" t="s">
        <v>377</v>
      </c>
      <c r="E91" s="40" t="s">
        <v>256</v>
      </c>
      <c r="F91" s="45"/>
      <c r="G91" s="41"/>
      <c r="H91" s="41">
        <f>Source!V28</f>
        <v>3.92</v>
      </c>
      <c r="I91" s="41"/>
      <c r="J91" s="41"/>
      <c r="K91" s="41"/>
      <c r="L91" s="41"/>
      <c r="M91" s="46">
        <f>SUMIF(CE92:CE94, 1, M92:M94)</f>
        <v>1587.56</v>
      </c>
      <c r="CE91">
        <v>1</v>
      </c>
    </row>
    <row r="92" spans="1:83" ht="28.5">
      <c r="A92" s="39"/>
      <c r="B92" s="39"/>
      <c r="C92" s="39" t="s">
        <v>290</v>
      </c>
      <c r="D92" s="39" t="s">
        <v>292</v>
      </c>
      <c r="E92" s="40" t="s">
        <v>262</v>
      </c>
      <c r="F92" s="41">
        <v>0.14000000000000001</v>
      </c>
      <c r="G92" s="41"/>
      <c r="H92" s="41">
        <f>SmtRes!CX20</f>
        <v>3.92</v>
      </c>
      <c r="I92" s="43"/>
      <c r="J92" s="42"/>
      <c r="K92" s="43">
        <f>SmtRes!CZ20</f>
        <v>14.59</v>
      </c>
      <c r="L92" s="42"/>
      <c r="M92" s="43">
        <f>SmtRes!DG20</f>
        <v>57.19</v>
      </c>
    </row>
    <row r="93" spans="1:83" ht="28.5">
      <c r="A93" s="39"/>
      <c r="B93" s="39"/>
      <c r="C93" s="39" t="s">
        <v>293</v>
      </c>
      <c r="D93" s="39" t="s">
        <v>295</v>
      </c>
      <c r="E93" s="40" t="s">
        <v>262</v>
      </c>
      <c r="F93" s="41">
        <v>0.14000000000000001</v>
      </c>
      <c r="G93" s="41"/>
      <c r="H93" s="41">
        <f>SmtRes!CX21</f>
        <v>3.92</v>
      </c>
      <c r="I93" s="43">
        <f>SmtRes!CZ21</f>
        <v>487.94</v>
      </c>
      <c r="J93" s="42">
        <f>SmtRes!AJ21</f>
        <v>1.39</v>
      </c>
      <c r="K93" s="43">
        <f>ROUND(I93*J93, 2)</f>
        <v>678.24</v>
      </c>
      <c r="L93" s="42"/>
      <c r="M93" s="43">
        <f>SmtRes!DG21</f>
        <v>2658.7</v>
      </c>
    </row>
    <row r="94" spans="1:83" ht="28.5">
      <c r="A94" s="39"/>
      <c r="B94" s="39"/>
      <c r="C94" s="39" t="s">
        <v>296</v>
      </c>
      <c r="D94" s="47" t="s">
        <v>390</v>
      </c>
      <c r="E94" s="48" t="s">
        <v>256</v>
      </c>
      <c r="F94" s="49">
        <f>SmtRes!DO21*SmtRes!AT21</f>
        <v>0.14000000000000001</v>
      </c>
      <c r="G94" s="49"/>
      <c r="H94" s="49">
        <f>ROUND(F94*H87, 7)</f>
        <v>3.92</v>
      </c>
      <c r="I94" s="50"/>
      <c r="J94" s="51"/>
      <c r="K94" s="50">
        <f>ROUND(SmtRes!AG21/SmtRes!DO21, 2)</f>
        <v>404.99</v>
      </c>
      <c r="L94" s="51"/>
      <c r="M94" s="50">
        <f>SmtRes!DH21</f>
        <v>1587.56</v>
      </c>
      <c r="CE94">
        <v>1</v>
      </c>
    </row>
    <row r="95" spans="1:83" ht="15">
      <c r="A95" s="39"/>
      <c r="B95" s="39"/>
      <c r="C95" s="39"/>
      <c r="D95" s="54" t="s">
        <v>378</v>
      </c>
      <c r="E95" s="40"/>
      <c r="F95" s="41"/>
      <c r="G95" s="41"/>
      <c r="H95" s="41"/>
      <c r="I95" s="43"/>
      <c r="J95" s="42"/>
      <c r="K95" s="43"/>
      <c r="L95" s="42"/>
      <c r="M95" s="43">
        <f>M88+M90+M91</f>
        <v>6715.23</v>
      </c>
    </row>
    <row r="96" spans="1:83" ht="14.25">
      <c r="A96" s="39"/>
      <c r="B96" s="39"/>
      <c r="C96" s="39"/>
      <c r="D96" s="39" t="s">
        <v>379</v>
      </c>
      <c r="E96" s="40"/>
      <c r="F96" s="41"/>
      <c r="G96" s="41"/>
      <c r="H96" s="41"/>
      <c r="I96" s="43"/>
      <c r="J96" s="42"/>
      <c r="K96" s="43"/>
      <c r="L96" s="42"/>
      <c r="M96" s="43">
        <f>SUM(AR87:AR99)+SUM(AS87:AS99)+SUM(AT87:AT99)+SUM(AU87:AU99)+SUM(AV87:AV99)</f>
        <v>3999.34</v>
      </c>
    </row>
    <row r="97" spans="1:83" ht="14.25">
      <c r="A97" s="39"/>
      <c r="B97" s="39"/>
      <c r="C97" s="39" t="s">
        <v>48</v>
      </c>
      <c r="D97" s="39" t="s">
        <v>391</v>
      </c>
      <c r="E97" s="40" t="s">
        <v>106</v>
      </c>
      <c r="F97" s="41">
        <f>Source!BZ28</f>
        <v>103</v>
      </c>
      <c r="G97" s="41"/>
      <c r="H97" s="41">
        <f>Source!AT28</f>
        <v>103</v>
      </c>
      <c r="I97" s="43"/>
      <c r="J97" s="42"/>
      <c r="K97" s="43"/>
      <c r="L97" s="42"/>
      <c r="M97" s="43">
        <f>SUM(AZ87:AZ99)</f>
        <v>4119.32</v>
      </c>
    </row>
    <row r="98" spans="1:83" ht="14.25">
      <c r="A98" s="47"/>
      <c r="B98" s="47"/>
      <c r="C98" s="47" t="s">
        <v>49</v>
      </c>
      <c r="D98" s="47" t="s">
        <v>392</v>
      </c>
      <c r="E98" s="48" t="s">
        <v>106</v>
      </c>
      <c r="F98" s="49">
        <f>Source!CA28</f>
        <v>60</v>
      </c>
      <c r="G98" s="49"/>
      <c r="H98" s="49">
        <f>Source!AU28</f>
        <v>60</v>
      </c>
      <c r="I98" s="50"/>
      <c r="J98" s="51"/>
      <c r="K98" s="50"/>
      <c r="L98" s="51"/>
      <c r="M98" s="50">
        <f>SUM(BA87:BA99)</f>
        <v>2399.6</v>
      </c>
    </row>
    <row r="99" spans="1:83" ht="15">
      <c r="D99" s="103" t="s">
        <v>382</v>
      </c>
      <c r="E99" s="103"/>
      <c r="F99" s="103"/>
      <c r="G99" s="103"/>
      <c r="H99" s="103"/>
      <c r="I99" s="103"/>
      <c r="J99" s="104">
        <f>IF(F87&lt;&gt;0,L99/F87, 0)</f>
        <v>472.64821428571429</v>
      </c>
      <c r="K99" s="104"/>
      <c r="L99" s="104">
        <f>M88+M90+M97+M98+M91</f>
        <v>13234.15</v>
      </c>
      <c r="M99" s="104"/>
      <c r="AD99">
        <f>ROUND((Source!AT28/100)*((ROUND(SUMIF(SmtRes!AQ18:'SmtRes'!AQ21,"=1",SmtRes!AD18:'SmtRes'!AD21)*Source!I28, 2)+ROUND(SUMIF(SmtRes!AQ18:'SmtRes'!AQ21,"=1",SmtRes!AC18:'SmtRes'!AC21)*Source!I28, 2))), 2)</f>
        <v>21616.45</v>
      </c>
      <c r="AE99">
        <f>ROUND((Source!AU28/100)*((ROUND(SUMIF(SmtRes!AQ18:'SmtRes'!AQ21,"=1",SmtRes!AD18:'SmtRes'!AD21)*Source!I28, 2)+ROUND(SUMIF(SmtRes!AQ18:'SmtRes'!AQ21,"=1",SmtRes!AC18:'SmtRes'!AC21)*Source!I28, 2))), 2)</f>
        <v>12592.1</v>
      </c>
      <c r="AN99" s="52">
        <f>M88+M90+M97+M98+M91</f>
        <v>13234.15</v>
      </c>
      <c r="AO99" s="52">
        <f>M90</f>
        <v>2715.8900000000003</v>
      </c>
      <c r="AQ99" t="s">
        <v>383</v>
      </c>
      <c r="AR99" s="52">
        <f>M88</f>
        <v>2411.7800000000002</v>
      </c>
      <c r="AT99" s="52">
        <f>M91</f>
        <v>1587.56</v>
      </c>
      <c r="AV99" t="s">
        <v>383</v>
      </c>
      <c r="AW99">
        <f>0</f>
        <v>0</v>
      </c>
      <c r="AZ99">
        <f>Source!X28</f>
        <v>4119.32</v>
      </c>
      <c r="BA99">
        <f>Source!Y28</f>
        <v>2399.6</v>
      </c>
      <c r="CD99">
        <v>1</v>
      </c>
    </row>
    <row r="100" spans="1:83" ht="42.75">
      <c r="A100" s="37" t="s">
        <v>54</v>
      </c>
      <c r="B100" s="37" t="s">
        <v>54</v>
      </c>
      <c r="C100" s="39" t="s">
        <v>394</v>
      </c>
      <c r="D100" s="39" t="str">
        <f>Source!G29</f>
        <v>Разработка грунта в отвал экскаваторами, вместимость ковша 0,25 м3, группа грунтов: 2</v>
      </c>
      <c r="E100" s="40" t="str">
        <f>Source!H29</f>
        <v>1000 м3</v>
      </c>
      <c r="F100" s="41">
        <f>Source!K29</f>
        <v>0.1018</v>
      </c>
      <c r="G100" s="41"/>
      <c r="H100" s="41">
        <f>Source!I29</f>
        <v>0.1018</v>
      </c>
      <c r="I100" s="43"/>
      <c r="J100" s="42"/>
      <c r="K100" s="43"/>
      <c r="L100" s="42"/>
      <c r="M100" s="43"/>
    </row>
    <row r="101" spans="1:83">
      <c r="D101" s="44" t="str">
        <f>"Объем: "&amp;Source!I29&amp;"=101,8/"&amp;"1000"</f>
        <v>Объем: 0,1018=101,8/1000</v>
      </c>
    </row>
    <row r="102" spans="1:83" ht="15">
      <c r="A102" s="38"/>
      <c r="B102" s="38"/>
      <c r="C102" s="41">
        <v>1</v>
      </c>
      <c r="D102" s="38" t="s">
        <v>374</v>
      </c>
      <c r="E102" s="40" t="s">
        <v>256</v>
      </c>
      <c r="F102" s="45"/>
      <c r="G102" s="41"/>
      <c r="H102" s="41">
        <f>Source!U29</f>
        <v>0.90907400000000005</v>
      </c>
      <c r="I102" s="41"/>
      <c r="J102" s="41"/>
      <c r="K102" s="41"/>
      <c r="L102" s="41"/>
      <c r="M102" s="46">
        <f>SUM(M103:M103)-SUMIF(CE103:CE103, 1, M103:M103)</f>
        <v>299.48</v>
      </c>
    </row>
    <row r="103" spans="1:83" ht="14.25">
      <c r="A103" s="39"/>
      <c r="B103" s="39"/>
      <c r="C103" s="39" t="s">
        <v>254</v>
      </c>
      <c r="D103" s="39" t="s">
        <v>255</v>
      </c>
      <c r="E103" s="40" t="s">
        <v>256</v>
      </c>
      <c r="F103" s="41">
        <v>8.93</v>
      </c>
      <c r="G103" s="41"/>
      <c r="H103" s="41">
        <f>SmtRes!CX22</f>
        <v>0.90907400000000005</v>
      </c>
      <c r="I103" s="43"/>
      <c r="J103" s="42"/>
      <c r="K103" s="43">
        <f>SmtRes!CZ22</f>
        <v>329.43</v>
      </c>
      <c r="L103" s="42"/>
      <c r="M103" s="43">
        <f>SmtRes!DI22</f>
        <v>299.48</v>
      </c>
    </row>
    <row r="104" spans="1:83" ht="15">
      <c r="A104" s="38"/>
      <c r="B104" s="38"/>
      <c r="C104" s="41">
        <v>2</v>
      </c>
      <c r="D104" s="38" t="s">
        <v>375</v>
      </c>
      <c r="E104" s="40"/>
      <c r="F104" s="45"/>
      <c r="G104" s="41"/>
      <c r="H104" s="41"/>
      <c r="I104" s="41"/>
      <c r="J104" s="41"/>
      <c r="K104" s="41"/>
      <c r="L104" s="41"/>
      <c r="M104" s="46">
        <f>SUM(M105:M107)-SUMIF(CE105:CE107, 1, M105:M107)</f>
        <v>4379.3399999999992</v>
      </c>
    </row>
    <row r="105" spans="1:83" ht="15">
      <c r="A105" s="38"/>
      <c r="B105" s="38"/>
      <c r="C105" s="41"/>
      <c r="D105" s="38" t="s">
        <v>377</v>
      </c>
      <c r="E105" s="40" t="s">
        <v>256</v>
      </c>
      <c r="F105" s="45"/>
      <c r="G105" s="41"/>
      <c r="H105" s="41">
        <f>Source!V29</f>
        <v>4.7326819999999996</v>
      </c>
      <c r="I105" s="41"/>
      <c r="J105" s="41"/>
      <c r="K105" s="41"/>
      <c r="L105" s="41"/>
      <c r="M105" s="46">
        <f>SUMIF(CE106:CE107, 1, M106:M107)</f>
        <v>2202.73</v>
      </c>
      <c r="CE105">
        <v>1</v>
      </c>
    </row>
    <row r="106" spans="1:83" ht="42.75">
      <c r="A106" s="39"/>
      <c r="B106" s="39"/>
      <c r="C106" s="39" t="s">
        <v>297</v>
      </c>
      <c r="D106" s="39" t="s">
        <v>299</v>
      </c>
      <c r="E106" s="40" t="s">
        <v>262</v>
      </c>
      <c r="F106" s="41">
        <v>46.49</v>
      </c>
      <c r="G106" s="41"/>
      <c r="H106" s="41">
        <f>SmtRes!CX24</f>
        <v>4.7326819999999996</v>
      </c>
      <c r="I106" s="43">
        <f>SmtRes!CZ24</f>
        <v>675.43</v>
      </c>
      <c r="J106" s="42">
        <f>SmtRes!AJ24</f>
        <v>1.37</v>
      </c>
      <c r="K106" s="43">
        <f>ROUND(I106*J106, 2)</f>
        <v>925.34</v>
      </c>
      <c r="L106" s="42"/>
      <c r="M106" s="43">
        <f>SmtRes!DG24</f>
        <v>4379.34</v>
      </c>
    </row>
    <row r="107" spans="1:83" ht="28.5">
      <c r="A107" s="39"/>
      <c r="B107" s="39"/>
      <c r="C107" s="39" t="s">
        <v>263</v>
      </c>
      <c r="D107" s="47" t="s">
        <v>376</v>
      </c>
      <c r="E107" s="48" t="s">
        <v>256</v>
      </c>
      <c r="F107" s="49">
        <f>SmtRes!DO24*SmtRes!AT24</f>
        <v>46.49</v>
      </c>
      <c r="G107" s="49"/>
      <c r="H107" s="49">
        <f>ROUND(F107*H100, 7)</f>
        <v>4.7326819999999996</v>
      </c>
      <c r="I107" s="50"/>
      <c r="J107" s="51"/>
      <c r="K107" s="50">
        <f>ROUND(SmtRes!AG24/SmtRes!DO24, 2)</f>
        <v>465.43</v>
      </c>
      <c r="L107" s="51"/>
      <c r="M107" s="50">
        <f>SmtRes!DH24</f>
        <v>2202.73</v>
      </c>
      <c r="CE107">
        <v>1</v>
      </c>
    </row>
    <row r="108" spans="1:83" ht="15">
      <c r="A108" s="39"/>
      <c r="B108" s="39"/>
      <c r="C108" s="39"/>
      <c r="D108" s="54" t="s">
        <v>378</v>
      </c>
      <c r="E108" s="40"/>
      <c r="F108" s="41"/>
      <c r="G108" s="41"/>
      <c r="H108" s="41"/>
      <c r="I108" s="43"/>
      <c r="J108" s="42"/>
      <c r="K108" s="43"/>
      <c r="L108" s="42"/>
      <c r="M108" s="43">
        <f>M102+M104+M105</f>
        <v>6881.5499999999993</v>
      </c>
    </row>
    <row r="109" spans="1:83" ht="14.25">
      <c r="A109" s="39"/>
      <c r="B109" s="39"/>
      <c r="C109" s="39"/>
      <c r="D109" s="39" t="s">
        <v>379</v>
      </c>
      <c r="E109" s="40"/>
      <c r="F109" s="41"/>
      <c r="G109" s="41"/>
      <c r="H109" s="41"/>
      <c r="I109" s="43"/>
      <c r="J109" s="42"/>
      <c r="K109" s="43"/>
      <c r="L109" s="42"/>
      <c r="M109" s="43">
        <f>SUM(AR100:AR112)+SUM(AS100:AS112)+SUM(AT100:AT112)+SUM(AU100:AU112)+SUM(AV100:AV112)</f>
        <v>2502.21</v>
      </c>
    </row>
    <row r="110" spans="1:83" ht="28.5">
      <c r="A110" s="39"/>
      <c r="B110" s="39"/>
      <c r="C110" s="39" t="s">
        <v>60</v>
      </c>
      <c r="D110" s="39" t="s">
        <v>395</v>
      </c>
      <c r="E110" s="40" t="s">
        <v>106</v>
      </c>
      <c r="F110" s="41">
        <f>Source!BZ29</f>
        <v>92</v>
      </c>
      <c r="G110" s="41"/>
      <c r="H110" s="41">
        <f>Source!AT29</f>
        <v>92</v>
      </c>
      <c r="I110" s="43"/>
      <c r="J110" s="42"/>
      <c r="K110" s="43"/>
      <c r="L110" s="42"/>
      <c r="M110" s="43">
        <f>SUM(AZ100:AZ112)</f>
        <v>2302.0300000000002</v>
      </c>
    </row>
    <row r="111" spans="1:83" ht="28.5">
      <c r="A111" s="47"/>
      <c r="B111" s="47"/>
      <c r="C111" s="47" t="s">
        <v>61</v>
      </c>
      <c r="D111" s="47" t="s">
        <v>396</v>
      </c>
      <c r="E111" s="48" t="s">
        <v>106</v>
      </c>
      <c r="F111" s="49">
        <f>Source!CA29</f>
        <v>46</v>
      </c>
      <c r="G111" s="49"/>
      <c r="H111" s="49">
        <f>Source!AU29</f>
        <v>46</v>
      </c>
      <c r="I111" s="50"/>
      <c r="J111" s="51"/>
      <c r="K111" s="50"/>
      <c r="L111" s="51"/>
      <c r="M111" s="50">
        <f>SUM(BA100:BA112)</f>
        <v>1151.02</v>
      </c>
    </row>
    <row r="112" spans="1:83" ht="15">
      <c r="D112" s="103" t="s">
        <v>382</v>
      </c>
      <c r="E112" s="103"/>
      <c r="F112" s="103"/>
      <c r="G112" s="103"/>
      <c r="H112" s="103"/>
      <c r="I112" s="103"/>
      <c r="J112" s="104">
        <f>IF(F100&lt;&gt;0,L112/F100, 0)</f>
        <v>101518.66404715128</v>
      </c>
      <c r="K112" s="104"/>
      <c r="L112" s="104">
        <f>M102+M104+M110+M111+M105</f>
        <v>10334.6</v>
      </c>
      <c r="M112" s="104"/>
      <c r="AD112">
        <f>ROUND((Source!AT29/100)*((ROUND(SUMIF(SmtRes!AQ22:'SmtRes'!AQ24,"=1",SmtRes!AD22:'SmtRes'!AD24)*Source!I29, 2)+ROUND(SUMIF(SmtRes!AQ22:'SmtRes'!AQ24,"=1",SmtRes!AC22:'SmtRes'!AC24)*Source!I29, 2))), 2)</f>
        <v>74.45</v>
      </c>
      <c r="AE112">
        <f>ROUND((Source!AU29/100)*((ROUND(SUMIF(SmtRes!AQ22:'SmtRes'!AQ24,"=1",SmtRes!AD22:'SmtRes'!AD24)*Source!I29, 2)+ROUND(SUMIF(SmtRes!AQ22:'SmtRes'!AQ24,"=1",SmtRes!AC22:'SmtRes'!AC24)*Source!I29, 2))), 2)</f>
        <v>37.22</v>
      </c>
      <c r="AN112" s="52">
        <f>M102+M104+M110+M111+M105</f>
        <v>10334.6</v>
      </c>
      <c r="AO112" s="52">
        <f>M104</f>
        <v>4379.3399999999992</v>
      </c>
      <c r="AQ112" t="s">
        <v>383</v>
      </c>
      <c r="AR112" s="52">
        <f>M102</f>
        <v>299.48</v>
      </c>
      <c r="AT112" s="52">
        <f>M105</f>
        <v>2202.73</v>
      </c>
      <c r="AV112" t="s">
        <v>383</v>
      </c>
      <c r="AW112">
        <f>0</f>
        <v>0</v>
      </c>
      <c r="AZ112">
        <f>Source!X29</f>
        <v>2302.0300000000002</v>
      </c>
      <c r="BA112">
        <f>Source!Y29</f>
        <v>1151.02</v>
      </c>
      <c r="CD112">
        <v>1</v>
      </c>
    </row>
    <row r="113" spans="1:83" ht="57">
      <c r="A113" s="37" t="s">
        <v>62</v>
      </c>
      <c r="B113" s="37" t="s">
        <v>62</v>
      </c>
      <c r="C113" s="39" t="s">
        <v>397</v>
      </c>
      <c r="D113" s="39" t="str">
        <f>Source!G30</f>
        <v>Засыпка траншей и котлованов с перемещением грунта до 5 м бульдозерами мощностью: 59 кВт (80 л.с.), группа грунтов 2</v>
      </c>
      <c r="E113" s="40" t="str">
        <f>Source!H30</f>
        <v>1000 м3</v>
      </c>
      <c r="F113" s="41">
        <f>Source!K30</f>
        <v>0.1018</v>
      </c>
      <c r="G113" s="41"/>
      <c r="H113" s="41">
        <f>Source!I30</f>
        <v>0.1018</v>
      </c>
      <c r="I113" s="43"/>
      <c r="J113" s="42"/>
      <c r="K113" s="43"/>
      <c r="L113" s="42"/>
      <c r="M113" s="43"/>
    </row>
    <row r="114" spans="1:83">
      <c r="D114" s="44" t="str">
        <f>"Объем: "&amp;Source!I30&amp;"=101,8/"&amp;"1000"</f>
        <v>Объем: 0,1018=101,8/1000</v>
      </c>
    </row>
    <row r="115" spans="1:83" ht="15">
      <c r="A115" s="38"/>
      <c r="B115" s="38"/>
      <c r="C115" s="41">
        <v>2</v>
      </c>
      <c r="D115" s="38" t="s">
        <v>375</v>
      </c>
      <c r="E115" s="40"/>
      <c r="F115" s="45"/>
      <c r="G115" s="41"/>
      <c r="H115" s="41"/>
      <c r="I115" s="41"/>
      <c r="J115" s="41"/>
      <c r="K115" s="41"/>
      <c r="L115" s="41"/>
      <c r="M115" s="46">
        <f>SUM(M116:M118)-SUMIF(CE116:CE118, 1, M116:M118)</f>
        <v>978.49999999999977</v>
      </c>
    </row>
    <row r="116" spans="1:83" ht="15">
      <c r="A116" s="38"/>
      <c r="B116" s="38"/>
      <c r="C116" s="41"/>
      <c r="D116" s="38" t="s">
        <v>377</v>
      </c>
      <c r="E116" s="40" t="s">
        <v>256</v>
      </c>
      <c r="F116" s="45"/>
      <c r="G116" s="41"/>
      <c r="H116" s="41">
        <f>Source!V30</f>
        <v>0.82050800000000002</v>
      </c>
      <c r="I116" s="41"/>
      <c r="J116" s="41"/>
      <c r="K116" s="41"/>
      <c r="L116" s="41"/>
      <c r="M116" s="46">
        <f>SUMIF(CE117:CE118, 1, M117:M118)</f>
        <v>381.89</v>
      </c>
      <c r="CE116">
        <v>1</v>
      </c>
    </row>
    <row r="117" spans="1:83" ht="14.25">
      <c r="A117" s="39"/>
      <c r="B117" s="39"/>
      <c r="C117" s="39" t="s">
        <v>266</v>
      </c>
      <c r="D117" s="39" t="s">
        <v>268</v>
      </c>
      <c r="E117" s="40" t="s">
        <v>262</v>
      </c>
      <c r="F117" s="41">
        <v>8.06</v>
      </c>
      <c r="G117" s="41"/>
      <c r="H117" s="41">
        <f>SmtRes!CX26</f>
        <v>0.82050800000000002</v>
      </c>
      <c r="I117" s="43">
        <f>SmtRes!CZ26</f>
        <v>828.16</v>
      </c>
      <c r="J117" s="42">
        <f>SmtRes!AJ26</f>
        <v>1.44</v>
      </c>
      <c r="K117" s="43">
        <f>ROUND(I117*J117, 2)</f>
        <v>1192.55</v>
      </c>
      <c r="L117" s="42"/>
      <c r="M117" s="43">
        <f>SmtRes!DG26</f>
        <v>978.5</v>
      </c>
    </row>
    <row r="118" spans="1:83" ht="28.5">
      <c r="A118" s="39"/>
      <c r="B118" s="39"/>
      <c r="C118" s="39" t="s">
        <v>263</v>
      </c>
      <c r="D118" s="47" t="s">
        <v>376</v>
      </c>
      <c r="E118" s="48" t="s">
        <v>256</v>
      </c>
      <c r="F118" s="49">
        <f>SmtRes!DO26*SmtRes!AT26</f>
        <v>8.06</v>
      </c>
      <c r="G118" s="49"/>
      <c r="H118" s="49">
        <f>ROUND(F118*H113, 7)</f>
        <v>0.82050800000000002</v>
      </c>
      <c r="I118" s="50"/>
      <c r="J118" s="51"/>
      <c r="K118" s="50">
        <f>ROUND(SmtRes!AG26/SmtRes!DO26, 2)</f>
        <v>465.43</v>
      </c>
      <c r="L118" s="51"/>
      <c r="M118" s="50">
        <f>SmtRes!DH26</f>
        <v>381.89</v>
      </c>
      <c r="CE118">
        <v>1</v>
      </c>
    </row>
    <row r="119" spans="1:83" ht="15">
      <c r="A119" s="39"/>
      <c r="B119" s="39"/>
      <c r="C119" s="39"/>
      <c r="D119" s="54" t="s">
        <v>378</v>
      </c>
      <c r="E119" s="40"/>
      <c r="F119" s="41"/>
      <c r="G119" s="41"/>
      <c r="H119" s="41"/>
      <c r="I119" s="43"/>
      <c r="J119" s="42"/>
      <c r="K119" s="43"/>
      <c r="L119" s="42"/>
      <c r="M119" s="43">
        <f>M115+M116</f>
        <v>1360.3899999999999</v>
      </c>
    </row>
    <row r="120" spans="1:83" ht="14.25">
      <c r="A120" s="39"/>
      <c r="B120" s="39"/>
      <c r="C120" s="39"/>
      <c r="D120" s="39" t="s">
        <v>379</v>
      </c>
      <c r="E120" s="40"/>
      <c r="F120" s="41"/>
      <c r="G120" s="41"/>
      <c r="H120" s="41"/>
      <c r="I120" s="43"/>
      <c r="J120" s="42"/>
      <c r="K120" s="43"/>
      <c r="L120" s="42"/>
      <c r="M120" s="43">
        <f>SUM(AR113:AR123)+SUM(AS113:AS123)+SUM(AT113:AT123)+SUM(AU113:AU123)+SUM(AV113:AV123)</f>
        <v>381.89</v>
      </c>
    </row>
    <row r="121" spans="1:83" ht="28.5">
      <c r="A121" s="39"/>
      <c r="B121" s="39"/>
      <c r="C121" s="39" t="s">
        <v>60</v>
      </c>
      <c r="D121" s="39" t="s">
        <v>395</v>
      </c>
      <c r="E121" s="40" t="s">
        <v>106</v>
      </c>
      <c r="F121" s="41">
        <f>Source!BZ30</f>
        <v>92</v>
      </c>
      <c r="G121" s="41"/>
      <c r="H121" s="41">
        <f>Source!AT30</f>
        <v>92</v>
      </c>
      <c r="I121" s="43"/>
      <c r="J121" s="42"/>
      <c r="K121" s="43"/>
      <c r="L121" s="42"/>
      <c r="M121" s="43">
        <f>SUM(AZ113:AZ123)</f>
        <v>351.34</v>
      </c>
    </row>
    <row r="122" spans="1:83" ht="28.5">
      <c r="A122" s="47"/>
      <c r="B122" s="47"/>
      <c r="C122" s="47" t="s">
        <v>61</v>
      </c>
      <c r="D122" s="47" t="s">
        <v>396</v>
      </c>
      <c r="E122" s="48" t="s">
        <v>106</v>
      </c>
      <c r="F122" s="49">
        <f>Source!CA30</f>
        <v>46</v>
      </c>
      <c r="G122" s="49"/>
      <c r="H122" s="49">
        <f>Source!AU30</f>
        <v>46</v>
      </c>
      <c r="I122" s="50"/>
      <c r="J122" s="51"/>
      <c r="K122" s="50"/>
      <c r="L122" s="51"/>
      <c r="M122" s="50">
        <f>SUM(BA113:BA123)</f>
        <v>175.67</v>
      </c>
    </row>
    <row r="123" spans="1:83" ht="15">
      <c r="D123" s="103" t="s">
        <v>382</v>
      </c>
      <c r="E123" s="103"/>
      <c r="F123" s="103"/>
      <c r="G123" s="103"/>
      <c r="H123" s="103"/>
      <c r="I123" s="103"/>
      <c r="J123" s="104">
        <f>IF(F113&lt;&gt;0,L123/F113, 0)</f>
        <v>18540.275049115909</v>
      </c>
      <c r="K123" s="104"/>
      <c r="L123" s="104">
        <f>M115+M121+M122+M116</f>
        <v>1887.3999999999996</v>
      </c>
      <c r="M123" s="104"/>
      <c r="AD123">
        <f>ROUND((Source!AT30/100)*((ROUND(SUMIF(SmtRes!AQ25:'SmtRes'!AQ26,"=1",SmtRes!AD25:'SmtRes'!AD26)*Source!I30, 2)+ROUND(SUMIF(SmtRes!AQ25:'SmtRes'!AQ26,"=1",SmtRes!AC25:'SmtRes'!AC26)*Source!I30, 2))), 2)</f>
        <v>43.59</v>
      </c>
      <c r="AE123">
        <f>ROUND((Source!AU30/100)*((ROUND(SUMIF(SmtRes!AQ25:'SmtRes'!AQ26,"=1",SmtRes!AD25:'SmtRes'!AD26)*Source!I30, 2)+ROUND(SUMIF(SmtRes!AQ25:'SmtRes'!AQ26,"=1",SmtRes!AC25:'SmtRes'!AC26)*Source!I30, 2))), 2)</f>
        <v>21.79</v>
      </c>
      <c r="AN123" s="52">
        <f>M115+M121+M122+M116</f>
        <v>1887.3999999999996</v>
      </c>
      <c r="AO123" s="52">
        <f>M115</f>
        <v>978.49999999999977</v>
      </c>
      <c r="AQ123" t="s">
        <v>383</v>
      </c>
      <c r="AR123">
        <f>0</f>
        <v>0</v>
      </c>
      <c r="AT123" s="52">
        <f>M116</f>
        <v>381.89</v>
      </c>
      <c r="AV123" t="s">
        <v>383</v>
      </c>
      <c r="AW123">
        <f>0</f>
        <v>0</v>
      </c>
      <c r="AZ123">
        <f>Source!X30</f>
        <v>351.34</v>
      </c>
      <c r="BA123">
        <f>Source!Y30</f>
        <v>175.67</v>
      </c>
      <c r="CD123">
        <v>1</v>
      </c>
    </row>
    <row r="124" spans="1:83" ht="82.5">
      <c r="A124" s="37" t="s">
        <v>66</v>
      </c>
      <c r="B124" s="37" t="s">
        <v>66</v>
      </c>
      <c r="C124" s="39" t="s">
        <v>398</v>
      </c>
      <c r="D124" s="39" t="s">
        <v>399</v>
      </c>
      <c r="E124" s="40" t="str">
        <f>Source!H31</f>
        <v>ШТ</v>
      </c>
      <c r="F124" s="41">
        <f>Source!K31</f>
        <v>32</v>
      </c>
      <c r="G124" s="41"/>
      <c r="H124" s="41">
        <f>Source!I31</f>
        <v>32</v>
      </c>
      <c r="I124" s="43"/>
      <c r="J124" s="42"/>
      <c r="K124" s="43"/>
      <c r="L124" s="42"/>
      <c r="M124" s="43"/>
    </row>
    <row r="125" spans="1:83" ht="15">
      <c r="A125" s="38"/>
      <c r="B125" s="38"/>
      <c r="C125" s="41">
        <v>1</v>
      </c>
      <c r="D125" s="38" t="s">
        <v>374</v>
      </c>
      <c r="E125" s="40" t="s">
        <v>256</v>
      </c>
      <c r="F125" s="45"/>
      <c r="G125" s="41"/>
      <c r="H125" s="41">
        <f>Source!U31</f>
        <v>58.56</v>
      </c>
      <c r="I125" s="41"/>
      <c r="J125" s="41"/>
      <c r="K125" s="41"/>
      <c r="L125" s="41"/>
      <c r="M125" s="46">
        <f>SUM(M126:M126)-SUMIF(CE126:CE126, 1, M126:M126)</f>
        <v>21592.240000000002</v>
      </c>
    </row>
    <row r="126" spans="1:83" ht="14.25">
      <c r="A126" s="39"/>
      <c r="B126" s="39"/>
      <c r="C126" s="39" t="s">
        <v>300</v>
      </c>
      <c r="D126" s="39" t="s">
        <v>301</v>
      </c>
      <c r="E126" s="40" t="s">
        <v>256</v>
      </c>
      <c r="F126" s="41">
        <v>1.83</v>
      </c>
      <c r="G126" s="41"/>
      <c r="H126" s="41">
        <f>SmtRes!CX27</f>
        <v>58.56</v>
      </c>
      <c r="I126" s="43"/>
      <c r="J126" s="42"/>
      <c r="K126" s="43">
        <f>SmtRes!CZ27</f>
        <v>368.72</v>
      </c>
      <c r="L126" s="42"/>
      <c r="M126" s="43">
        <f>SmtRes!DI27</f>
        <v>21592.240000000002</v>
      </c>
    </row>
    <row r="127" spans="1:83" ht="15">
      <c r="A127" s="38"/>
      <c r="B127" s="38"/>
      <c r="C127" s="41">
        <v>2</v>
      </c>
      <c r="D127" s="38" t="s">
        <v>375</v>
      </c>
      <c r="E127" s="40"/>
      <c r="F127" s="45"/>
      <c r="G127" s="41"/>
      <c r="H127" s="41"/>
      <c r="I127" s="41"/>
      <c r="J127" s="41"/>
      <c r="K127" s="41"/>
      <c r="L127" s="41"/>
      <c r="M127" s="46">
        <f>SUM(M128:M130)-SUMIF(CE128:CE130, 1, M128:M130)</f>
        <v>6869.090000000002</v>
      </c>
    </row>
    <row r="128" spans="1:83" ht="15">
      <c r="A128" s="38"/>
      <c r="B128" s="38"/>
      <c r="C128" s="41"/>
      <c r="D128" s="38" t="s">
        <v>377</v>
      </c>
      <c r="E128" s="40" t="s">
        <v>256</v>
      </c>
      <c r="F128" s="45"/>
      <c r="G128" s="41"/>
      <c r="H128" s="41">
        <f>Source!V31</f>
        <v>5.76</v>
      </c>
      <c r="I128" s="41"/>
      <c r="J128" s="41"/>
      <c r="K128" s="41"/>
      <c r="L128" s="41"/>
      <c r="M128" s="46">
        <f>SUMIF(CE129:CE130, 1, M129:M130)</f>
        <v>2680.88</v>
      </c>
      <c r="CE128">
        <v>1</v>
      </c>
    </row>
    <row r="129" spans="1:83" ht="14.25">
      <c r="A129" s="39"/>
      <c r="B129" s="39"/>
      <c r="C129" s="39" t="s">
        <v>266</v>
      </c>
      <c r="D129" s="39" t="s">
        <v>268</v>
      </c>
      <c r="E129" s="40" t="s">
        <v>262</v>
      </c>
      <c r="F129" s="41">
        <v>0.18</v>
      </c>
      <c r="G129" s="41"/>
      <c r="H129" s="41">
        <f>SmtRes!CX29</f>
        <v>5.76</v>
      </c>
      <c r="I129" s="43">
        <f>SmtRes!CZ29</f>
        <v>828.16</v>
      </c>
      <c r="J129" s="42">
        <f>SmtRes!AJ29</f>
        <v>1.44</v>
      </c>
      <c r="K129" s="43">
        <f>ROUND(I129*J129, 2)</f>
        <v>1192.55</v>
      </c>
      <c r="L129" s="42"/>
      <c r="M129" s="43">
        <f>SmtRes!DG29</f>
        <v>6869.09</v>
      </c>
    </row>
    <row r="130" spans="1:83" ht="28.5">
      <c r="A130" s="39"/>
      <c r="B130" s="39"/>
      <c r="C130" s="39" t="s">
        <v>263</v>
      </c>
      <c r="D130" s="39" t="s">
        <v>376</v>
      </c>
      <c r="E130" s="40" t="s">
        <v>256</v>
      </c>
      <c r="F130" s="41">
        <f>SmtRes!DO29*SmtRes!AT29</f>
        <v>0.18</v>
      </c>
      <c r="G130" s="41"/>
      <c r="H130" s="41">
        <f>ROUND(F130*H124, 7)</f>
        <v>5.76</v>
      </c>
      <c r="I130" s="43"/>
      <c r="J130" s="42"/>
      <c r="K130" s="43">
        <f>ROUND(SmtRes!AG29/SmtRes!DO29, 2)</f>
        <v>465.43</v>
      </c>
      <c r="L130" s="42"/>
      <c r="M130" s="43">
        <f>SmtRes!DH29</f>
        <v>2680.88</v>
      </c>
      <c r="CE130">
        <v>1</v>
      </c>
    </row>
    <row r="131" spans="1:83" ht="15" hidden="1">
      <c r="A131" s="38"/>
      <c r="B131" s="38"/>
      <c r="C131" s="41">
        <v>4</v>
      </c>
      <c r="D131" s="38" t="s">
        <v>386</v>
      </c>
      <c r="E131" s="40"/>
      <c r="F131" s="45"/>
      <c r="G131" s="41"/>
      <c r="H131" s="41"/>
      <c r="I131" s="41"/>
      <c r="J131" s="41"/>
      <c r="K131" s="41"/>
      <c r="L131" s="41"/>
      <c r="M131" s="46">
        <f>SUM(M132:M132)-SUMIF(CE132:CE132, 1, M132:M132)</f>
        <v>0</v>
      </c>
    </row>
    <row r="132" spans="1:83" ht="42.75">
      <c r="A132" s="39"/>
      <c r="B132" s="39"/>
      <c r="C132" s="39" t="s">
        <v>302</v>
      </c>
      <c r="D132" s="39" t="s">
        <v>304</v>
      </c>
      <c r="E132" s="40" t="s">
        <v>275</v>
      </c>
      <c r="F132" s="41">
        <v>2.48E-3</v>
      </c>
      <c r="G132" s="41">
        <f>ROUND(0,7)</f>
        <v>0</v>
      </c>
      <c r="H132" s="41">
        <f>SmtRes!CX31</f>
        <v>0</v>
      </c>
      <c r="I132" s="43">
        <f>SmtRes!CZ31</f>
        <v>73218.100000000006</v>
      </c>
      <c r="J132" s="42">
        <f>SmtRes!AI31</f>
        <v>0.98</v>
      </c>
      <c r="K132" s="43">
        <f>ROUND(I132*J132, 2)</f>
        <v>71753.740000000005</v>
      </c>
      <c r="L132" s="42"/>
      <c r="M132" s="43">
        <f>SmtRes!DF31</f>
        <v>0</v>
      </c>
    </row>
    <row r="133" spans="1:83" ht="14.25">
      <c r="A133" s="39"/>
      <c r="B133" s="39"/>
      <c r="C133" s="39" t="str">
        <f>EtalonRes!I30</f>
        <v>05.1.02.06</v>
      </c>
      <c r="D133" s="47" t="str">
        <f>EtalonRes!K30</f>
        <v>Приставки железобетонные</v>
      </c>
      <c r="E133" s="48" t="str">
        <f>EtalonRes!O30</f>
        <v>м3</v>
      </c>
      <c r="F133" s="49">
        <f>EtalonRes!X30</f>
        <v>0</v>
      </c>
      <c r="G133" s="49">
        <f>ROUND(0,7)</f>
        <v>0</v>
      </c>
      <c r="H133" s="49">
        <f>ROUND(EtalonRes!AG30*Source!I31, 7)</f>
        <v>0</v>
      </c>
      <c r="I133" s="50"/>
      <c r="J133" s="51"/>
      <c r="K133" s="50"/>
      <c r="L133" s="51"/>
      <c r="M133" s="50"/>
    </row>
    <row r="134" spans="1:83" ht="15">
      <c r="A134" s="39"/>
      <c r="B134" s="39"/>
      <c r="C134" s="39"/>
      <c r="D134" s="54" t="s">
        <v>378</v>
      </c>
      <c r="E134" s="40"/>
      <c r="F134" s="41"/>
      <c r="G134" s="41"/>
      <c r="H134" s="41"/>
      <c r="I134" s="43"/>
      <c r="J134" s="42"/>
      <c r="K134" s="43"/>
      <c r="L134" s="42"/>
      <c r="M134" s="43">
        <f>M125+M127+M128+M131</f>
        <v>31142.210000000003</v>
      </c>
    </row>
    <row r="135" spans="1:83" ht="14.25">
      <c r="A135" s="39"/>
      <c r="B135" s="39"/>
      <c r="C135" s="39"/>
      <c r="D135" s="39" t="s">
        <v>379</v>
      </c>
      <c r="E135" s="40"/>
      <c r="F135" s="41"/>
      <c r="G135" s="41"/>
      <c r="H135" s="41"/>
      <c r="I135" s="43"/>
      <c r="J135" s="42"/>
      <c r="K135" s="43"/>
      <c r="L135" s="42"/>
      <c r="M135" s="43">
        <f>SUM(AR124:AR138)+SUM(AS124:AS138)+SUM(AT124:AT138)+SUM(AU124:AU138)+SUM(AV124:AV138)</f>
        <v>24273.120000000003</v>
      </c>
    </row>
    <row r="136" spans="1:83" ht="42.75">
      <c r="A136" s="39"/>
      <c r="B136" s="39"/>
      <c r="C136" s="39" t="s">
        <v>36</v>
      </c>
      <c r="D136" s="39" t="s">
        <v>387</v>
      </c>
      <c r="E136" s="40" t="s">
        <v>106</v>
      </c>
      <c r="F136" s="41">
        <f>Source!BZ31</f>
        <v>98</v>
      </c>
      <c r="G136" s="41"/>
      <c r="H136" s="41">
        <f>Source!AT31</f>
        <v>98</v>
      </c>
      <c r="I136" s="43"/>
      <c r="J136" s="42"/>
      <c r="K136" s="43"/>
      <c r="L136" s="42"/>
      <c r="M136" s="43">
        <f>SUM(AZ124:AZ138)</f>
        <v>23787.66</v>
      </c>
    </row>
    <row r="137" spans="1:83" ht="42.75">
      <c r="A137" s="47"/>
      <c r="B137" s="47"/>
      <c r="C137" s="47" t="s">
        <v>37</v>
      </c>
      <c r="D137" s="47" t="s">
        <v>388</v>
      </c>
      <c r="E137" s="48" t="s">
        <v>106</v>
      </c>
      <c r="F137" s="49">
        <f>Source!CA31</f>
        <v>58</v>
      </c>
      <c r="G137" s="49"/>
      <c r="H137" s="49">
        <f>Source!AU31</f>
        <v>58</v>
      </c>
      <c r="I137" s="50"/>
      <c r="J137" s="51"/>
      <c r="K137" s="50"/>
      <c r="L137" s="51"/>
      <c r="M137" s="50">
        <f>SUM(BA124:BA138)</f>
        <v>14078.41</v>
      </c>
    </row>
    <row r="138" spans="1:83" ht="15">
      <c r="D138" s="103" t="s">
        <v>382</v>
      </c>
      <c r="E138" s="103"/>
      <c r="F138" s="103"/>
      <c r="G138" s="103"/>
      <c r="H138" s="103"/>
      <c r="I138" s="103"/>
      <c r="J138" s="104">
        <f>IF(F124&lt;&gt;0,L138/F124, 0)</f>
        <v>2156.5087500000004</v>
      </c>
      <c r="K138" s="104"/>
      <c r="L138" s="104">
        <f>M125+M127+M131+M136+M137+M128</f>
        <v>69008.280000000013</v>
      </c>
      <c r="M138" s="104"/>
      <c r="AD138">
        <f>ROUND((Source!AT31/100)*((ROUND(SUMIF(SmtRes!AQ27:'SmtRes'!AQ31,"=1",SmtRes!AD27:'SmtRes'!AD31)*Source!I31, 2)+ROUND(SUMIF(SmtRes!AQ27:'SmtRes'!AQ31,"=1",SmtRes!AC27:'SmtRes'!AC31)*Source!I31, 2))), 2)</f>
        <v>26158.94</v>
      </c>
      <c r="AE138">
        <f>ROUND((Source!AU31/100)*((ROUND(SUMIF(SmtRes!AQ27:'SmtRes'!AQ31,"=1",SmtRes!AD27:'SmtRes'!AD31)*Source!I31, 2)+ROUND(SUMIF(SmtRes!AQ27:'SmtRes'!AQ31,"=1",SmtRes!AC27:'SmtRes'!AC31)*Source!I31, 2))), 2)</f>
        <v>15481.82</v>
      </c>
      <c r="AN138" s="52">
        <f>M125+M127+M131+M136+M137+M128</f>
        <v>69008.280000000013</v>
      </c>
      <c r="AO138" s="52">
        <f>M127</f>
        <v>6869.090000000002</v>
      </c>
      <c r="AQ138" t="s">
        <v>383</v>
      </c>
      <c r="AR138" s="52">
        <f>M125</f>
        <v>21592.240000000002</v>
      </c>
      <c r="AT138" s="52">
        <f>M128</f>
        <v>2680.88</v>
      </c>
      <c r="AV138" t="s">
        <v>383</v>
      </c>
      <c r="AW138" s="52">
        <f>M131</f>
        <v>0</v>
      </c>
      <c r="AZ138">
        <f>Source!X31</f>
        <v>23787.66</v>
      </c>
      <c r="BA138">
        <f>Source!Y31</f>
        <v>14078.41</v>
      </c>
      <c r="CD138">
        <v>1</v>
      </c>
    </row>
    <row r="139" spans="1:83" ht="42.75">
      <c r="A139" s="37" t="s">
        <v>74</v>
      </c>
      <c r="B139" s="37" t="s">
        <v>74</v>
      </c>
      <c r="C139" s="39" t="s">
        <v>400</v>
      </c>
      <c r="D139" s="39" t="str">
        <f>Source!G33</f>
        <v>Развозка конструкций и материалов опор ВЛ 0,38-10 кВ по трассе: приставок железобетонных</v>
      </c>
      <c r="E139" s="40" t="str">
        <f>Source!H33</f>
        <v>ШТ</v>
      </c>
      <c r="F139" s="41">
        <f>Source!K33</f>
        <v>26</v>
      </c>
      <c r="G139" s="41"/>
      <c r="H139" s="41">
        <f>Source!I33</f>
        <v>26</v>
      </c>
      <c r="I139" s="43"/>
      <c r="J139" s="42"/>
      <c r="K139" s="43"/>
      <c r="L139" s="42"/>
      <c r="M139" s="43"/>
    </row>
    <row r="140" spans="1:83" ht="15">
      <c r="A140" s="38"/>
      <c r="B140" s="38"/>
      <c r="C140" s="41">
        <v>1</v>
      </c>
      <c r="D140" s="38" t="s">
        <v>374</v>
      </c>
      <c r="E140" s="40" t="s">
        <v>256</v>
      </c>
      <c r="F140" s="45"/>
      <c r="G140" s="41"/>
      <c r="H140" s="41">
        <f>Source!U33</f>
        <v>10.66</v>
      </c>
      <c r="I140" s="41"/>
      <c r="J140" s="41"/>
      <c r="K140" s="41"/>
      <c r="L140" s="41"/>
      <c r="M140" s="46">
        <f>SUM(M141:M141)-SUMIF(CE141:CE141, 1, M141:M141)</f>
        <v>3672.8</v>
      </c>
    </row>
    <row r="141" spans="1:83" ht="14.25">
      <c r="A141" s="39"/>
      <c r="B141" s="39"/>
      <c r="C141" s="39" t="s">
        <v>288</v>
      </c>
      <c r="D141" s="39" t="s">
        <v>289</v>
      </c>
      <c r="E141" s="40" t="s">
        <v>256</v>
      </c>
      <c r="F141" s="41">
        <v>0.41</v>
      </c>
      <c r="G141" s="41"/>
      <c r="H141" s="41">
        <f>SmtRes!CX32</f>
        <v>10.66</v>
      </c>
      <c r="I141" s="43"/>
      <c r="J141" s="42"/>
      <c r="K141" s="43">
        <f>SmtRes!CZ32</f>
        <v>344.54</v>
      </c>
      <c r="L141" s="42"/>
      <c r="M141" s="43">
        <f>SmtRes!DI32</f>
        <v>3672.8</v>
      </c>
    </row>
    <row r="142" spans="1:83" ht="15">
      <c r="A142" s="38"/>
      <c r="B142" s="38"/>
      <c r="C142" s="41">
        <v>2</v>
      </c>
      <c r="D142" s="38" t="s">
        <v>375</v>
      </c>
      <c r="E142" s="40"/>
      <c r="F142" s="45"/>
      <c r="G142" s="41"/>
      <c r="H142" s="41"/>
      <c r="I142" s="41"/>
      <c r="J142" s="41"/>
      <c r="K142" s="41"/>
      <c r="L142" s="41"/>
      <c r="M142" s="46">
        <f>SUM(M143:M148)-SUMIF(CE143:CE148, 1, M143:M148)</f>
        <v>13800.979999999996</v>
      </c>
    </row>
    <row r="143" spans="1:83" ht="15">
      <c r="A143" s="38"/>
      <c r="B143" s="38"/>
      <c r="C143" s="41"/>
      <c r="D143" s="38" t="s">
        <v>377</v>
      </c>
      <c r="E143" s="40" t="s">
        <v>256</v>
      </c>
      <c r="F143" s="45"/>
      <c r="G143" s="41"/>
      <c r="H143" s="41">
        <f>Source!V33</f>
        <v>11.44</v>
      </c>
      <c r="I143" s="41"/>
      <c r="J143" s="41"/>
      <c r="K143" s="41"/>
      <c r="L143" s="41"/>
      <c r="M143" s="46">
        <f>SUMIF(CE144:CE148, 1, M144:M148)</f>
        <v>5428.28</v>
      </c>
      <c r="CE143">
        <v>1</v>
      </c>
    </row>
    <row r="144" spans="1:83" ht="28.5">
      <c r="A144" s="39"/>
      <c r="B144" s="39"/>
      <c r="C144" s="39" t="s">
        <v>305</v>
      </c>
      <c r="D144" s="39" t="s">
        <v>307</v>
      </c>
      <c r="E144" s="40" t="s">
        <v>262</v>
      </c>
      <c r="F144" s="41">
        <v>0.22</v>
      </c>
      <c r="G144" s="41"/>
      <c r="H144" s="41">
        <f>SmtRes!CX34</f>
        <v>5.72</v>
      </c>
      <c r="I144" s="43"/>
      <c r="J144" s="42"/>
      <c r="K144" s="43">
        <f>SmtRes!CZ34</f>
        <v>1719.93</v>
      </c>
      <c r="L144" s="42"/>
      <c r="M144" s="43">
        <f>SmtRes!DG34</f>
        <v>9838</v>
      </c>
    </row>
    <row r="145" spans="1:83" ht="28.5">
      <c r="A145" s="39"/>
      <c r="B145" s="39"/>
      <c r="C145" s="39" t="s">
        <v>308</v>
      </c>
      <c r="D145" s="39" t="s">
        <v>401</v>
      </c>
      <c r="E145" s="40" t="s">
        <v>256</v>
      </c>
      <c r="F145" s="41">
        <f>SmtRes!DO34*SmtRes!AT34</f>
        <v>0.22</v>
      </c>
      <c r="G145" s="41"/>
      <c r="H145" s="41">
        <f>ROUND(F145*H139, 7)</f>
        <v>5.72</v>
      </c>
      <c r="I145" s="43"/>
      <c r="J145" s="42"/>
      <c r="K145" s="43">
        <f>ROUND(SmtRes!AG34/SmtRes!DO34, 2)</f>
        <v>544.01</v>
      </c>
      <c r="L145" s="42"/>
      <c r="M145" s="43">
        <f>SmtRes!DH34</f>
        <v>3111.74</v>
      </c>
      <c r="CE145">
        <v>1</v>
      </c>
    </row>
    <row r="146" spans="1:83" ht="28.5">
      <c r="A146" s="39"/>
      <c r="B146" s="39"/>
      <c r="C146" s="39" t="s">
        <v>290</v>
      </c>
      <c r="D146" s="39" t="s">
        <v>292</v>
      </c>
      <c r="E146" s="40" t="s">
        <v>262</v>
      </c>
      <c r="F146" s="41">
        <v>0.22</v>
      </c>
      <c r="G146" s="41"/>
      <c r="H146" s="41">
        <f>SmtRes!CX35</f>
        <v>5.72</v>
      </c>
      <c r="I146" s="43"/>
      <c r="J146" s="42"/>
      <c r="K146" s="43">
        <f>SmtRes!CZ35</f>
        <v>14.59</v>
      </c>
      <c r="L146" s="42"/>
      <c r="M146" s="43">
        <f>SmtRes!DG35</f>
        <v>83.45</v>
      </c>
    </row>
    <row r="147" spans="1:83" ht="28.5">
      <c r="A147" s="39"/>
      <c r="B147" s="39"/>
      <c r="C147" s="39" t="s">
        <v>293</v>
      </c>
      <c r="D147" s="39" t="s">
        <v>295</v>
      </c>
      <c r="E147" s="40" t="s">
        <v>262</v>
      </c>
      <c r="F147" s="41">
        <v>0.22</v>
      </c>
      <c r="G147" s="41"/>
      <c r="H147" s="41">
        <f>SmtRes!CX36</f>
        <v>5.72</v>
      </c>
      <c r="I147" s="43">
        <f>SmtRes!CZ36</f>
        <v>487.94</v>
      </c>
      <c r="J147" s="42">
        <f>SmtRes!AJ36</f>
        <v>1.39</v>
      </c>
      <c r="K147" s="43">
        <f>ROUND(I147*J147, 2)</f>
        <v>678.24</v>
      </c>
      <c r="L147" s="42"/>
      <c r="M147" s="43">
        <f>SmtRes!DG36</f>
        <v>3879.53</v>
      </c>
    </row>
    <row r="148" spans="1:83" ht="28.5">
      <c r="A148" s="39"/>
      <c r="B148" s="39"/>
      <c r="C148" s="39" t="s">
        <v>296</v>
      </c>
      <c r="D148" s="47" t="s">
        <v>390</v>
      </c>
      <c r="E148" s="48" t="s">
        <v>256</v>
      </c>
      <c r="F148" s="49">
        <f>SmtRes!DO36*SmtRes!AT36</f>
        <v>0.22</v>
      </c>
      <c r="G148" s="49"/>
      <c r="H148" s="49">
        <f>ROUND(F148*H139, 7)</f>
        <v>5.72</v>
      </c>
      <c r="I148" s="50"/>
      <c r="J148" s="51"/>
      <c r="K148" s="50">
        <f>ROUND(SmtRes!AG36/SmtRes!DO36, 2)</f>
        <v>404.99</v>
      </c>
      <c r="L148" s="51"/>
      <c r="M148" s="50">
        <f>SmtRes!DH36</f>
        <v>2316.54</v>
      </c>
      <c r="CE148">
        <v>1</v>
      </c>
    </row>
    <row r="149" spans="1:83" ht="15">
      <c r="A149" s="39"/>
      <c r="B149" s="39"/>
      <c r="C149" s="39"/>
      <c r="D149" s="54" t="s">
        <v>378</v>
      </c>
      <c r="E149" s="40"/>
      <c r="F149" s="41"/>
      <c r="G149" s="41"/>
      <c r="H149" s="41"/>
      <c r="I149" s="43"/>
      <c r="J149" s="42"/>
      <c r="K149" s="43"/>
      <c r="L149" s="42"/>
      <c r="M149" s="43">
        <f>M140+M142+M143</f>
        <v>22902.059999999994</v>
      </c>
    </row>
    <row r="150" spans="1:83" ht="14.25">
      <c r="A150" s="39"/>
      <c r="B150" s="39"/>
      <c r="C150" s="39"/>
      <c r="D150" s="39" t="s">
        <v>379</v>
      </c>
      <c r="E150" s="40"/>
      <c r="F150" s="41"/>
      <c r="G150" s="41"/>
      <c r="H150" s="41"/>
      <c r="I150" s="43"/>
      <c r="J150" s="42"/>
      <c r="K150" s="43"/>
      <c r="L150" s="42"/>
      <c r="M150" s="43">
        <f>SUM(AR139:AR153)+SUM(AS139:AS153)+SUM(AT139:AT153)+SUM(AU139:AU153)+SUM(AV139:AV153)</f>
        <v>9101.08</v>
      </c>
    </row>
    <row r="151" spans="1:83" ht="14.25">
      <c r="A151" s="39"/>
      <c r="B151" s="39"/>
      <c r="C151" s="39" t="s">
        <v>48</v>
      </c>
      <c r="D151" s="39" t="s">
        <v>391</v>
      </c>
      <c r="E151" s="40" t="s">
        <v>106</v>
      </c>
      <c r="F151" s="41">
        <f>Source!BZ33</f>
        <v>103</v>
      </c>
      <c r="G151" s="41"/>
      <c r="H151" s="41">
        <f>Source!AT33</f>
        <v>103</v>
      </c>
      <c r="I151" s="43"/>
      <c r="J151" s="42"/>
      <c r="K151" s="43"/>
      <c r="L151" s="42"/>
      <c r="M151" s="43">
        <f>SUM(AZ139:AZ153)</f>
        <v>9374.11</v>
      </c>
    </row>
    <row r="152" spans="1:83" ht="14.25">
      <c r="A152" s="47"/>
      <c r="B152" s="47"/>
      <c r="C152" s="47" t="s">
        <v>49</v>
      </c>
      <c r="D152" s="47" t="s">
        <v>392</v>
      </c>
      <c r="E152" s="48" t="s">
        <v>106</v>
      </c>
      <c r="F152" s="49">
        <f>Source!CA33</f>
        <v>60</v>
      </c>
      <c r="G152" s="49"/>
      <c r="H152" s="49">
        <f>Source!AU33</f>
        <v>60</v>
      </c>
      <c r="I152" s="50"/>
      <c r="J152" s="51"/>
      <c r="K152" s="50"/>
      <c r="L152" s="51"/>
      <c r="M152" s="50">
        <f>SUM(BA139:BA153)</f>
        <v>5460.65</v>
      </c>
    </row>
    <row r="153" spans="1:83" ht="15">
      <c r="D153" s="103" t="s">
        <v>382</v>
      </c>
      <c r="E153" s="103"/>
      <c r="F153" s="103"/>
      <c r="G153" s="103"/>
      <c r="H153" s="103"/>
      <c r="I153" s="103"/>
      <c r="J153" s="104">
        <f>IF(F139&lt;&gt;0,L153/F139, 0)</f>
        <v>1451.4161538461535</v>
      </c>
      <c r="K153" s="104"/>
      <c r="L153" s="104">
        <f>M140+M142+M151+M152+M143</f>
        <v>37736.819999999992</v>
      </c>
      <c r="M153" s="104"/>
      <c r="AD153">
        <f>ROUND((Source!AT33/100)*((ROUND(SUMIF(SmtRes!AQ32:'SmtRes'!AQ36,"=1",SmtRes!AD32:'SmtRes'!AD36)*Source!I33, 2)+ROUND(SUMIF(SmtRes!AQ32:'SmtRes'!AQ36,"=1",SmtRes!AC32:'SmtRes'!AC36)*Source!I33, 2))), 2)</f>
        <v>34641</v>
      </c>
      <c r="AE153">
        <f>ROUND((Source!AU33/100)*((ROUND(SUMIF(SmtRes!AQ32:'SmtRes'!AQ36,"=1",SmtRes!AD32:'SmtRes'!AD36)*Source!I33, 2)+ROUND(SUMIF(SmtRes!AQ32:'SmtRes'!AQ36,"=1",SmtRes!AC32:'SmtRes'!AC36)*Source!I33, 2))), 2)</f>
        <v>20179.22</v>
      </c>
      <c r="AN153" s="52">
        <f>M140+M142+M151+M152+M143</f>
        <v>37736.819999999992</v>
      </c>
      <c r="AO153" s="52">
        <f>M142</f>
        <v>13800.979999999996</v>
      </c>
      <c r="AQ153" t="s">
        <v>383</v>
      </c>
      <c r="AR153" s="52">
        <f>M140</f>
        <v>3672.8</v>
      </c>
      <c r="AT153" s="52">
        <f>M143</f>
        <v>5428.28</v>
      </c>
      <c r="AV153" t="s">
        <v>383</v>
      </c>
      <c r="AW153">
        <f>0</f>
        <v>0</v>
      </c>
      <c r="AZ153">
        <f>Source!X33</f>
        <v>9374.11</v>
      </c>
      <c r="BA153">
        <f>Source!Y33</f>
        <v>5460.65</v>
      </c>
      <c r="CD153">
        <v>1</v>
      </c>
    </row>
    <row r="154" spans="1:83" ht="54">
      <c r="A154" s="37" t="s">
        <v>78</v>
      </c>
      <c r="B154" s="37" t="s">
        <v>78</v>
      </c>
      <c r="C154" s="39" t="s">
        <v>402</v>
      </c>
      <c r="D154" s="39" t="s">
        <v>403</v>
      </c>
      <c r="E154" s="40" t="str">
        <f>Source!H34</f>
        <v>ШТ</v>
      </c>
      <c r="F154" s="41">
        <f>Source!K34</f>
        <v>40</v>
      </c>
      <c r="G154" s="41"/>
      <c r="H154" s="41">
        <f>Source!I34</f>
        <v>40</v>
      </c>
      <c r="I154" s="43"/>
      <c r="J154" s="42"/>
      <c r="K154" s="43"/>
      <c r="L154" s="42"/>
      <c r="M154" s="43"/>
    </row>
    <row r="155" spans="1:83" ht="15">
      <c r="A155" s="38"/>
      <c r="B155" s="38"/>
      <c r="C155" s="41">
        <v>1</v>
      </c>
      <c r="D155" s="38" t="s">
        <v>374</v>
      </c>
      <c r="E155" s="40" t="s">
        <v>256</v>
      </c>
      <c r="F155" s="45"/>
      <c r="G155" s="41"/>
      <c r="H155" s="41">
        <f>Source!U34</f>
        <v>48</v>
      </c>
      <c r="I155" s="41"/>
      <c r="J155" s="41"/>
      <c r="K155" s="41"/>
      <c r="L155" s="41"/>
      <c r="M155" s="46">
        <f>SUM(M156:M156)-SUMIF(CE156:CE156, 1, M156:M156)</f>
        <v>17263.2</v>
      </c>
    </row>
    <row r="156" spans="1:83" ht="14.25">
      <c r="A156" s="39"/>
      <c r="B156" s="39"/>
      <c r="C156" s="39" t="s">
        <v>309</v>
      </c>
      <c r="D156" s="39" t="s">
        <v>310</v>
      </c>
      <c r="E156" s="40" t="s">
        <v>256</v>
      </c>
      <c r="F156" s="41">
        <v>1.2</v>
      </c>
      <c r="G156" s="41"/>
      <c r="H156" s="41">
        <f>SmtRes!CX37</f>
        <v>48</v>
      </c>
      <c r="I156" s="43"/>
      <c r="J156" s="42"/>
      <c r="K156" s="43">
        <f>SmtRes!CZ37</f>
        <v>359.65</v>
      </c>
      <c r="L156" s="42"/>
      <c r="M156" s="43">
        <f>SmtRes!DI37</f>
        <v>17263.2</v>
      </c>
    </row>
    <row r="157" spans="1:83" ht="15">
      <c r="A157" s="38"/>
      <c r="B157" s="38"/>
      <c r="C157" s="41">
        <v>2</v>
      </c>
      <c r="D157" s="38" t="s">
        <v>375</v>
      </c>
      <c r="E157" s="40"/>
      <c r="F157" s="45"/>
      <c r="G157" s="41"/>
      <c r="H157" s="41"/>
      <c r="I157" s="41"/>
      <c r="J157" s="41"/>
      <c r="K157" s="41"/>
      <c r="L157" s="41"/>
      <c r="M157" s="46">
        <f>SUM(M158:M160)-SUMIF(CE158:CE160, 1, M158:M160)</f>
        <v>1633.7999999999997</v>
      </c>
    </row>
    <row r="158" spans="1:83" ht="15">
      <c r="A158" s="38"/>
      <c r="B158" s="38"/>
      <c r="C158" s="41"/>
      <c r="D158" s="38" t="s">
        <v>377</v>
      </c>
      <c r="E158" s="40" t="s">
        <v>256</v>
      </c>
      <c r="F158" s="45"/>
      <c r="G158" s="41"/>
      <c r="H158" s="41">
        <f>Source!V34</f>
        <v>2.4</v>
      </c>
      <c r="I158" s="41"/>
      <c r="J158" s="41"/>
      <c r="K158" s="41"/>
      <c r="L158" s="41"/>
      <c r="M158" s="46">
        <f>SUMIF(CE159:CE160, 1, M159:M160)</f>
        <v>971.98</v>
      </c>
      <c r="CE158">
        <v>1</v>
      </c>
    </row>
    <row r="159" spans="1:83" ht="28.5">
      <c r="A159" s="39"/>
      <c r="B159" s="39"/>
      <c r="C159" s="39" t="s">
        <v>311</v>
      </c>
      <c r="D159" s="39" t="s">
        <v>313</v>
      </c>
      <c r="E159" s="40" t="s">
        <v>262</v>
      </c>
      <c r="F159" s="41">
        <v>0.06</v>
      </c>
      <c r="G159" s="41"/>
      <c r="H159" s="41">
        <f>SmtRes!CX39</f>
        <v>2.4</v>
      </c>
      <c r="I159" s="43"/>
      <c r="J159" s="42"/>
      <c r="K159" s="43">
        <f>SmtRes!CZ39</f>
        <v>680.75</v>
      </c>
      <c r="L159" s="42"/>
      <c r="M159" s="43">
        <f>SmtRes!DG39</f>
        <v>1633.8</v>
      </c>
    </row>
    <row r="160" spans="1:83" ht="28.5">
      <c r="A160" s="39"/>
      <c r="B160" s="39"/>
      <c r="C160" s="39" t="s">
        <v>296</v>
      </c>
      <c r="D160" s="39" t="s">
        <v>390</v>
      </c>
      <c r="E160" s="40" t="s">
        <v>256</v>
      </c>
      <c r="F160" s="41">
        <f>SmtRes!DO39*SmtRes!AT39</f>
        <v>0.06</v>
      </c>
      <c r="G160" s="41"/>
      <c r="H160" s="41">
        <f>ROUND(F160*H154, 7)</f>
        <v>2.4</v>
      </c>
      <c r="I160" s="43"/>
      <c r="J160" s="42"/>
      <c r="K160" s="43">
        <f>ROUND(SmtRes!AG39/SmtRes!DO39, 2)</f>
        <v>404.99</v>
      </c>
      <c r="L160" s="42"/>
      <c r="M160" s="43">
        <f>SmtRes!DH39</f>
        <v>971.98</v>
      </c>
      <c r="CE160">
        <v>1</v>
      </c>
    </row>
    <row r="161" spans="1:83" ht="15" hidden="1">
      <c r="A161" s="38"/>
      <c r="B161" s="38"/>
      <c r="C161" s="41">
        <v>4</v>
      </c>
      <c r="D161" s="38" t="s">
        <v>386</v>
      </c>
      <c r="E161" s="40"/>
      <c r="F161" s="45"/>
      <c r="G161" s="41"/>
      <c r="H161" s="41"/>
      <c r="I161" s="41"/>
      <c r="J161" s="41"/>
      <c r="K161" s="41"/>
      <c r="L161" s="41"/>
      <c r="M161" s="46">
        <f>SUM(M162:M163)-SUMIF(CE162:CE163, 1, M162:M163)</f>
        <v>0</v>
      </c>
    </row>
    <row r="162" spans="1:83" ht="14.25">
      <c r="A162" s="39"/>
      <c r="B162" s="39"/>
      <c r="C162" s="39" t="s">
        <v>314</v>
      </c>
      <c r="D162" s="39" t="s">
        <v>316</v>
      </c>
      <c r="E162" s="40" t="s">
        <v>85</v>
      </c>
      <c r="F162" s="41">
        <v>0.03</v>
      </c>
      <c r="G162" s="41">
        <f>ROUND(0,7)</f>
        <v>0</v>
      </c>
      <c r="H162" s="41">
        <f>SmtRes!CX40</f>
        <v>0</v>
      </c>
      <c r="I162" s="43">
        <f>SmtRes!CZ40</f>
        <v>58.53</v>
      </c>
      <c r="J162" s="42">
        <f>SmtRes!AI40</f>
        <v>1.5</v>
      </c>
      <c r="K162" s="43">
        <f>ROUND(I162*J162, 2)</f>
        <v>87.8</v>
      </c>
      <c r="L162" s="42"/>
      <c r="M162" s="43">
        <f>SmtRes!DF40</f>
        <v>0</v>
      </c>
    </row>
    <row r="163" spans="1:83" ht="14.25">
      <c r="A163" s="39"/>
      <c r="B163" s="39"/>
      <c r="C163" s="39" t="s">
        <v>317</v>
      </c>
      <c r="D163" s="39" t="s">
        <v>319</v>
      </c>
      <c r="E163" s="40" t="s">
        <v>275</v>
      </c>
      <c r="F163" s="41">
        <v>3.0000000000000001E-5</v>
      </c>
      <c r="G163" s="41">
        <f>ROUND(0,7)</f>
        <v>0</v>
      </c>
      <c r="H163" s="41">
        <f>SmtRes!CX43</f>
        <v>0</v>
      </c>
      <c r="I163" s="43">
        <f>SmtRes!CZ43</f>
        <v>80020.98</v>
      </c>
      <c r="J163" s="42">
        <f>SmtRes!AI43</f>
        <v>1.36</v>
      </c>
      <c r="K163" s="43">
        <f>ROUND(I163*J163, 2)</f>
        <v>108828.53</v>
      </c>
      <c r="L163" s="42"/>
      <c r="M163" s="43">
        <f>SmtRes!DF43</f>
        <v>0</v>
      </c>
    </row>
    <row r="164" spans="1:83" ht="14.25">
      <c r="A164" s="39"/>
      <c r="B164" s="39"/>
      <c r="C164" s="39" t="str">
        <f>EtalonRes!I42</f>
        <v>07.2.02.03</v>
      </c>
      <c r="D164" s="39" t="str">
        <f>EtalonRes!K42</f>
        <v>Оттяжки</v>
      </c>
      <c r="E164" s="40" t="str">
        <f>EtalonRes!O42</f>
        <v>КОМПЛ</v>
      </c>
      <c r="F164" s="41">
        <f>EtalonRes!X42</f>
        <v>0</v>
      </c>
      <c r="G164" s="41">
        <f>ROUND(0,7)</f>
        <v>0</v>
      </c>
      <c r="H164" s="41">
        <f>ROUND(EtalonRes!AG42*Source!I34, 7)</f>
        <v>0</v>
      </c>
      <c r="I164" s="43"/>
      <c r="J164" s="42"/>
      <c r="K164" s="43"/>
      <c r="L164" s="42"/>
      <c r="M164" s="43"/>
    </row>
    <row r="165" spans="1:83" ht="14.25">
      <c r="A165" s="39"/>
      <c r="B165" s="39"/>
      <c r="C165" s="39" t="str">
        <f>EtalonRes!I44</f>
        <v>22.2.02.03</v>
      </c>
      <c r="D165" s="47" t="str">
        <f>EtalonRes!K44</f>
        <v>Детали крепления стальные</v>
      </c>
      <c r="E165" s="48" t="str">
        <f>EtalonRes!O44</f>
        <v>кг</v>
      </c>
      <c r="F165" s="49">
        <f>EtalonRes!X44</f>
        <v>0</v>
      </c>
      <c r="G165" s="49">
        <f>ROUND(0,7)</f>
        <v>0</v>
      </c>
      <c r="H165" s="49">
        <f>ROUND(EtalonRes!AG44*Source!I34, 7)</f>
        <v>0</v>
      </c>
      <c r="I165" s="50"/>
      <c r="J165" s="51"/>
      <c r="K165" s="50"/>
      <c r="L165" s="51"/>
      <c r="M165" s="50"/>
    </row>
    <row r="166" spans="1:83" ht="15">
      <c r="A166" s="39"/>
      <c r="B166" s="39"/>
      <c r="C166" s="39"/>
      <c r="D166" s="54" t="s">
        <v>378</v>
      </c>
      <c r="E166" s="40"/>
      <c r="F166" s="41"/>
      <c r="G166" s="41"/>
      <c r="H166" s="41"/>
      <c r="I166" s="43"/>
      <c r="J166" s="42"/>
      <c r="K166" s="43"/>
      <c r="L166" s="42"/>
      <c r="M166" s="43">
        <f>M155+M157+M158+M161</f>
        <v>19868.98</v>
      </c>
    </row>
    <row r="167" spans="1:83" ht="14.25">
      <c r="A167" s="39"/>
      <c r="B167" s="39"/>
      <c r="C167" s="39"/>
      <c r="D167" s="39" t="s">
        <v>379</v>
      </c>
      <c r="E167" s="40"/>
      <c r="F167" s="41"/>
      <c r="G167" s="41"/>
      <c r="H167" s="41"/>
      <c r="I167" s="43"/>
      <c r="J167" s="42"/>
      <c r="K167" s="43"/>
      <c r="L167" s="42"/>
      <c r="M167" s="43">
        <f>SUM(AR154:AR170)+SUM(AS154:AS170)+SUM(AT154:AT170)+SUM(AU154:AU170)+SUM(AV154:AV170)</f>
        <v>18235.18</v>
      </c>
    </row>
    <row r="168" spans="1:83" ht="14.25">
      <c r="A168" s="39"/>
      <c r="B168" s="39"/>
      <c r="C168" s="39" t="s">
        <v>48</v>
      </c>
      <c r="D168" s="39" t="s">
        <v>391</v>
      </c>
      <c r="E168" s="40" t="s">
        <v>106</v>
      </c>
      <c r="F168" s="41">
        <f>Source!BZ34</f>
        <v>103</v>
      </c>
      <c r="G168" s="41"/>
      <c r="H168" s="41">
        <f>Source!AT34</f>
        <v>103</v>
      </c>
      <c r="I168" s="43"/>
      <c r="J168" s="42"/>
      <c r="K168" s="43"/>
      <c r="L168" s="42"/>
      <c r="M168" s="43">
        <f>SUM(AZ154:AZ170)</f>
        <v>18782.240000000002</v>
      </c>
    </row>
    <row r="169" spans="1:83" ht="14.25">
      <c r="A169" s="47"/>
      <c r="B169" s="47"/>
      <c r="C169" s="47" t="s">
        <v>49</v>
      </c>
      <c r="D169" s="47" t="s">
        <v>392</v>
      </c>
      <c r="E169" s="48" t="s">
        <v>106</v>
      </c>
      <c r="F169" s="49">
        <f>Source!CA34</f>
        <v>60</v>
      </c>
      <c r="G169" s="49"/>
      <c r="H169" s="49">
        <f>Source!AU34</f>
        <v>60</v>
      </c>
      <c r="I169" s="50"/>
      <c r="J169" s="51"/>
      <c r="K169" s="50"/>
      <c r="L169" s="51"/>
      <c r="M169" s="50">
        <f>SUM(BA154:BA170)</f>
        <v>10941.11</v>
      </c>
    </row>
    <row r="170" spans="1:83" ht="15">
      <c r="D170" s="103" t="s">
        <v>382</v>
      </c>
      <c r="E170" s="103"/>
      <c r="F170" s="103"/>
      <c r="G170" s="103"/>
      <c r="H170" s="103"/>
      <c r="I170" s="103"/>
      <c r="J170" s="104">
        <f>IF(F154&lt;&gt;0,L170/F154, 0)</f>
        <v>1239.8082500000003</v>
      </c>
      <c r="K170" s="104"/>
      <c r="L170" s="104">
        <f>M155+M157+M161+M168+M169+M158</f>
        <v>49592.330000000009</v>
      </c>
      <c r="M170" s="104"/>
      <c r="AD170">
        <f>ROUND((Source!AT34/100)*((ROUND(SUMIF(SmtRes!AQ37:'SmtRes'!AQ44,"=1",SmtRes!AD37:'SmtRes'!AD44)*Source!I34, 2)+ROUND(SUMIF(SmtRes!AQ37:'SmtRes'!AQ44,"=1",SmtRes!AC37:'SmtRes'!AC44)*Source!I34, 2))), 2)</f>
        <v>31503.17</v>
      </c>
      <c r="AE170">
        <f>ROUND((Source!AU34/100)*((ROUND(SUMIF(SmtRes!AQ37:'SmtRes'!AQ44,"=1",SmtRes!AD37:'SmtRes'!AD44)*Source!I34, 2)+ROUND(SUMIF(SmtRes!AQ37:'SmtRes'!AQ44,"=1",SmtRes!AC37:'SmtRes'!AC44)*Source!I34, 2))), 2)</f>
        <v>18351.36</v>
      </c>
      <c r="AN170" s="52">
        <f>M155+M157+M161+M168+M169+M158</f>
        <v>49592.330000000009</v>
      </c>
      <c r="AO170" s="52">
        <f>M157</f>
        <v>1633.7999999999997</v>
      </c>
      <c r="AQ170" t="s">
        <v>383</v>
      </c>
      <c r="AR170" s="52">
        <f>M155</f>
        <v>17263.2</v>
      </c>
      <c r="AT170" s="52">
        <f>M158</f>
        <v>971.98</v>
      </c>
      <c r="AV170" t="s">
        <v>383</v>
      </c>
      <c r="AW170" s="52">
        <f>M161</f>
        <v>0</v>
      </c>
      <c r="AZ170">
        <f>Source!X34</f>
        <v>18782.240000000002</v>
      </c>
      <c r="BA170">
        <f>Source!Y34</f>
        <v>10941.11</v>
      </c>
      <c r="CD170">
        <v>1</v>
      </c>
    </row>
    <row r="171" spans="1:83" ht="39.75">
      <c r="A171" s="37" t="s">
        <v>94</v>
      </c>
      <c r="B171" s="37" t="s">
        <v>94</v>
      </c>
      <c r="C171" s="39" t="s">
        <v>404</v>
      </c>
      <c r="D171" s="39" t="s">
        <v>405</v>
      </c>
      <c r="E171" s="40" t="str">
        <f>Source!H38</f>
        <v>ШТ</v>
      </c>
      <c r="F171" s="41">
        <f>Source!K38</f>
        <v>56</v>
      </c>
      <c r="G171" s="41"/>
      <c r="H171" s="41">
        <f>Source!I38</f>
        <v>56</v>
      </c>
      <c r="I171" s="43"/>
      <c r="J171" s="42"/>
      <c r="K171" s="43"/>
      <c r="L171" s="42"/>
      <c r="M171" s="43"/>
    </row>
    <row r="172" spans="1:83" ht="15">
      <c r="A172" s="38"/>
      <c r="B172" s="38"/>
      <c r="C172" s="41">
        <v>1</v>
      </c>
      <c r="D172" s="38" t="s">
        <v>374</v>
      </c>
      <c r="E172" s="40" t="s">
        <v>256</v>
      </c>
      <c r="F172" s="45"/>
      <c r="G172" s="41"/>
      <c r="H172" s="41">
        <f>Source!U38</f>
        <v>11.76</v>
      </c>
      <c r="I172" s="41"/>
      <c r="J172" s="41"/>
      <c r="K172" s="41"/>
      <c r="L172" s="41"/>
      <c r="M172" s="46">
        <f>SUM(M173:M173)-SUMIF(CE173:CE173, 1, M173:M173)</f>
        <v>4549.3599999999997</v>
      </c>
    </row>
    <row r="173" spans="1:83" ht="14.25">
      <c r="A173" s="39"/>
      <c r="B173" s="39"/>
      <c r="C173" s="39" t="s">
        <v>320</v>
      </c>
      <c r="D173" s="39" t="s">
        <v>321</v>
      </c>
      <c r="E173" s="40" t="s">
        <v>256</v>
      </c>
      <c r="F173" s="41">
        <v>0.21</v>
      </c>
      <c r="G173" s="41"/>
      <c r="H173" s="41">
        <f>SmtRes!CX45</f>
        <v>11.76</v>
      </c>
      <c r="I173" s="43"/>
      <c r="J173" s="42"/>
      <c r="K173" s="43">
        <f>SmtRes!CZ45</f>
        <v>386.85</v>
      </c>
      <c r="L173" s="42"/>
      <c r="M173" s="43">
        <f>SmtRes!DI45</f>
        <v>4549.3599999999997</v>
      </c>
    </row>
    <row r="174" spans="1:83" ht="15">
      <c r="A174" s="38"/>
      <c r="B174" s="38"/>
      <c r="C174" s="41">
        <v>2</v>
      </c>
      <c r="D174" s="38" t="s">
        <v>375</v>
      </c>
      <c r="E174" s="40"/>
      <c r="F174" s="45"/>
      <c r="G174" s="41"/>
      <c r="H174" s="41"/>
      <c r="I174" s="41"/>
      <c r="J174" s="41"/>
      <c r="K174" s="41"/>
      <c r="L174" s="41"/>
      <c r="M174" s="46">
        <f>SUM(M175:M177)-SUMIF(CE175:CE177, 1, M175:M177)</f>
        <v>26005.340000000004</v>
      </c>
    </row>
    <row r="175" spans="1:83" ht="15">
      <c r="A175" s="38"/>
      <c r="B175" s="38"/>
      <c r="C175" s="41"/>
      <c r="D175" s="38" t="s">
        <v>377</v>
      </c>
      <c r="E175" s="40" t="s">
        <v>256</v>
      </c>
      <c r="F175" s="45"/>
      <c r="G175" s="41"/>
      <c r="H175" s="41">
        <f>Source!V38</f>
        <v>15.12</v>
      </c>
      <c r="I175" s="41"/>
      <c r="J175" s="41"/>
      <c r="K175" s="41"/>
      <c r="L175" s="41"/>
      <c r="M175" s="46">
        <f>SUMIF(CE176:CE177, 1, M176:M177)</f>
        <v>8225.43</v>
      </c>
      <c r="CE175">
        <v>1</v>
      </c>
    </row>
    <row r="176" spans="1:83" ht="28.5">
      <c r="A176" s="39"/>
      <c r="B176" s="39"/>
      <c r="C176" s="39" t="s">
        <v>305</v>
      </c>
      <c r="D176" s="39" t="s">
        <v>307</v>
      </c>
      <c r="E176" s="40" t="s">
        <v>262</v>
      </c>
      <c r="F176" s="41">
        <v>0.27</v>
      </c>
      <c r="G176" s="41"/>
      <c r="H176" s="41">
        <f>SmtRes!CX47</f>
        <v>15.12</v>
      </c>
      <c r="I176" s="43"/>
      <c r="J176" s="42"/>
      <c r="K176" s="43">
        <f>SmtRes!CZ47</f>
        <v>1719.93</v>
      </c>
      <c r="L176" s="42"/>
      <c r="M176" s="43">
        <f>SmtRes!DG47</f>
        <v>26005.34</v>
      </c>
    </row>
    <row r="177" spans="1:83" ht="28.5">
      <c r="A177" s="39"/>
      <c r="B177" s="39"/>
      <c r="C177" s="39" t="s">
        <v>308</v>
      </c>
      <c r="D177" s="47" t="s">
        <v>401</v>
      </c>
      <c r="E177" s="48" t="s">
        <v>256</v>
      </c>
      <c r="F177" s="49">
        <f>SmtRes!DO47*SmtRes!AT47</f>
        <v>0.27</v>
      </c>
      <c r="G177" s="49"/>
      <c r="H177" s="49">
        <f>ROUND(F177*H171, 7)</f>
        <v>15.12</v>
      </c>
      <c r="I177" s="50"/>
      <c r="J177" s="51"/>
      <c r="K177" s="50">
        <f>ROUND(SmtRes!AG47/SmtRes!DO47, 2)</f>
        <v>544.01</v>
      </c>
      <c r="L177" s="51"/>
      <c r="M177" s="50">
        <f>SmtRes!DH47</f>
        <v>8225.43</v>
      </c>
      <c r="CE177">
        <v>1</v>
      </c>
    </row>
    <row r="178" spans="1:83" ht="15">
      <c r="A178" s="39"/>
      <c r="B178" s="39"/>
      <c r="C178" s="39"/>
      <c r="D178" s="54" t="s">
        <v>378</v>
      </c>
      <c r="E178" s="40"/>
      <c r="F178" s="41"/>
      <c r="G178" s="41"/>
      <c r="H178" s="41"/>
      <c r="I178" s="43"/>
      <c r="J178" s="42"/>
      <c r="K178" s="43"/>
      <c r="L178" s="42"/>
      <c r="M178" s="43">
        <f>M172+M174+M175</f>
        <v>38780.130000000005</v>
      </c>
    </row>
    <row r="179" spans="1:83" ht="57">
      <c r="A179" s="37" t="s">
        <v>406</v>
      </c>
      <c r="B179" s="37" t="s">
        <v>406</v>
      </c>
      <c r="C179" s="39" t="str">
        <f>Source!F39</f>
        <v>421/пр_2020_п.75_пп.а</v>
      </c>
      <c r="D179" s="39" t="str">
        <f>Source!G39</f>
        <v>Сметная стоимость вспомогательных ненормируемых материальных ресурсов, не учтенная в сметной норме, 2%</v>
      </c>
      <c r="E179" s="40" t="str">
        <f>Source!H39</f>
        <v>%</v>
      </c>
      <c r="F179" s="41">
        <f>SmtRes!AT48</f>
        <v>2</v>
      </c>
      <c r="G179" s="41"/>
      <c r="H179" s="41">
        <f>Source!I39</f>
        <v>2</v>
      </c>
      <c r="I179" s="43"/>
      <c r="J179" s="42"/>
      <c r="K179" s="43"/>
      <c r="L179" s="42"/>
      <c r="M179" s="43">
        <f>Source!P39</f>
        <v>90.99</v>
      </c>
      <c r="AD179">
        <f>ROUND((Source!AT39/100)*((ROUND(0*Source!I39, 2)+ROUND(0*Source!I39, 2))), 2)</f>
        <v>0</v>
      </c>
      <c r="AE179">
        <f>ROUND((Source!AU39/100)*((ROUND(0*Source!I39, 2)+ROUND(0*Source!I39, 2))), 2)</f>
        <v>0</v>
      </c>
      <c r="AN179">
        <f>M179</f>
        <v>90.99</v>
      </c>
      <c r="AW179">
        <f>M179</f>
        <v>90.99</v>
      </c>
      <c r="AZ179">
        <f>Source!X39</f>
        <v>0</v>
      </c>
      <c r="BA179">
        <f>Source!Y39</f>
        <v>0</v>
      </c>
      <c r="CD179">
        <v>2</v>
      </c>
    </row>
    <row r="180" spans="1:83" ht="14.25">
      <c r="A180" s="39"/>
      <c r="B180" s="39"/>
      <c r="C180" s="39"/>
      <c r="D180" s="39" t="s">
        <v>379</v>
      </c>
      <c r="E180" s="40"/>
      <c r="F180" s="41"/>
      <c r="G180" s="41"/>
      <c r="H180" s="41"/>
      <c r="I180" s="43"/>
      <c r="J180" s="42"/>
      <c r="K180" s="43"/>
      <c r="L180" s="42"/>
      <c r="M180" s="43">
        <f>SUM(AR171:AR183)+SUM(AS171:AS183)+SUM(AT171:AT183)+SUM(AU171:AU183)+SUM(AV171:AV183)</f>
        <v>12774.79</v>
      </c>
    </row>
    <row r="181" spans="1:83" ht="28.5">
      <c r="A181" s="39"/>
      <c r="B181" s="39"/>
      <c r="C181" s="39" t="s">
        <v>101</v>
      </c>
      <c r="D181" s="39" t="s">
        <v>407</v>
      </c>
      <c r="E181" s="40" t="s">
        <v>106</v>
      </c>
      <c r="F181" s="41">
        <f>Source!BZ38</f>
        <v>97</v>
      </c>
      <c r="G181" s="41"/>
      <c r="H181" s="41">
        <f>Source!AT38</f>
        <v>97</v>
      </c>
      <c r="I181" s="43"/>
      <c r="J181" s="42"/>
      <c r="K181" s="43"/>
      <c r="L181" s="42"/>
      <c r="M181" s="43">
        <f>SUM(AZ171:AZ183)</f>
        <v>12391.55</v>
      </c>
    </row>
    <row r="182" spans="1:83" ht="28.5">
      <c r="A182" s="47"/>
      <c r="B182" s="47"/>
      <c r="C182" s="47" t="s">
        <v>102</v>
      </c>
      <c r="D182" s="47" t="s">
        <v>408</v>
      </c>
      <c r="E182" s="48" t="s">
        <v>106</v>
      </c>
      <c r="F182" s="49">
        <f>Source!CA38</f>
        <v>51</v>
      </c>
      <c r="G182" s="49"/>
      <c r="H182" s="49">
        <f>Source!AU38</f>
        <v>51</v>
      </c>
      <c r="I182" s="50"/>
      <c r="J182" s="51"/>
      <c r="K182" s="50"/>
      <c r="L182" s="51"/>
      <c r="M182" s="50">
        <f>SUM(BA171:BA183)</f>
        <v>6515.14</v>
      </c>
    </row>
    <row r="183" spans="1:83" ht="15">
      <c r="D183" s="103" t="s">
        <v>382</v>
      </c>
      <c r="E183" s="103"/>
      <c r="F183" s="103"/>
      <c r="G183" s="103"/>
      <c r="H183" s="103"/>
      <c r="I183" s="103"/>
      <c r="J183" s="104">
        <f>IF(F171&lt;&gt;0,L183/F171, 0)</f>
        <v>1031.7466071428571</v>
      </c>
      <c r="K183" s="104"/>
      <c r="L183" s="104">
        <f>M172+M174+M181+M182+M175+SUM(M179:M179)</f>
        <v>57777.81</v>
      </c>
      <c r="M183" s="104"/>
      <c r="AD183">
        <f>ROUND((Source!AT38/100)*((ROUND(SUMIF(SmtRes!AQ45:'SmtRes'!AQ48,"=1",SmtRes!AD45:'SmtRes'!AD48)*Source!I38, 2)+ROUND(SUMIF(SmtRes!AQ45:'SmtRes'!AQ48,"=1",SmtRes!AC45:'SmtRes'!AC48)*Source!I38, 2))), 2)</f>
        <v>50564.32</v>
      </c>
      <c r="AE183">
        <f>ROUND((Source!AU38/100)*((ROUND(SUMIF(SmtRes!AQ45:'SmtRes'!AQ48,"=1",SmtRes!AD45:'SmtRes'!AD48)*Source!I38, 2)+ROUND(SUMIF(SmtRes!AQ45:'SmtRes'!AQ48,"=1",SmtRes!AC45:'SmtRes'!AC48)*Source!I38, 2))), 2)</f>
        <v>26585.360000000001</v>
      </c>
      <c r="AN183" s="52">
        <f>M172+M174+M181+M182+M175</f>
        <v>57686.82</v>
      </c>
      <c r="AO183" s="52">
        <f>M174</f>
        <v>26005.340000000004</v>
      </c>
      <c r="AQ183" t="s">
        <v>383</v>
      </c>
      <c r="AR183" s="52">
        <f>M172</f>
        <v>4549.3599999999997</v>
      </c>
      <c r="AT183" s="52">
        <f>M175</f>
        <v>8225.43</v>
      </c>
      <c r="AV183" t="s">
        <v>383</v>
      </c>
      <c r="AW183">
        <f>0</f>
        <v>0</v>
      </c>
      <c r="AZ183">
        <f>Source!X38</f>
        <v>12391.55</v>
      </c>
      <c r="BA183">
        <f>Source!Y38</f>
        <v>6515.14</v>
      </c>
      <c r="CD183">
        <v>2</v>
      </c>
    </row>
    <row r="184" spans="1:83" ht="39.75">
      <c r="A184" s="37" t="s">
        <v>107</v>
      </c>
      <c r="B184" s="37" t="s">
        <v>107</v>
      </c>
      <c r="C184" s="39" t="s">
        <v>409</v>
      </c>
      <c r="D184" s="39" t="s">
        <v>410</v>
      </c>
      <c r="E184" s="40" t="str">
        <f>Source!H40</f>
        <v>км</v>
      </c>
      <c r="F184" s="41">
        <f>Source!K40</f>
        <v>1.0474859999999999</v>
      </c>
      <c r="G184" s="41"/>
      <c r="H184" s="41">
        <f>Source!I40</f>
        <v>1.0474859999999999</v>
      </c>
      <c r="I184" s="43"/>
      <c r="J184" s="42"/>
      <c r="K184" s="43"/>
      <c r="L184" s="42"/>
      <c r="M184" s="43"/>
    </row>
    <row r="185" spans="1:83" ht="15">
      <c r="A185" s="38"/>
      <c r="B185" s="38"/>
      <c r="C185" s="41">
        <v>1</v>
      </c>
      <c r="D185" s="38" t="s">
        <v>374</v>
      </c>
      <c r="E185" s="40" t="s">
        <v>256</v>
      </c>
      <c r="F185" s="45"/>
      <c r="G185" s="41"/>
      <c r="H185" s="41">
        <f>Source!U40</f>
        <v>31.319831400000002</v>
      </c>
      <c r="I185" s="41"/>
      <c r="J185" s="41"/>
      <c r="K185" s="41"/>
      <c r="L185" s="41"/>
      <c r="M185" s="46">
        <f>SUM(M186:M186)-SUMIF(CE186:CE186, 1, M186:M186)</f>
        <v>12258.27</v>
      </c>
    </row>
    <row r="186" spans="1:83" ht="14.25">
      <c r="A186" s="39"/>
      <c r="B186" s="39"/>
      <c r="C186" s="39" t="s">
        <v>322</v>
      </c>
      <c r="D186" s="39" t="s">
        <v>323</v>
      </c>
      <c r="E186" s="40" t="s">
        <v>256</v>
      </c>
      <c r="F186" s="41">
        <v>29.9</v>
      </c>
      <c r="G186" s="41"/>
      <c r="H186" s="41">
        <f>SmtRes!CX49</f>
        <v>31.319831400000002</v>
      </c>
      <c r="I186" s="43"/>
      <c r="J186" s="42"/>
      <c r="K186" s="43">
        <f>SmtRes!CZ49</f>
        <v>391.39</v>
      </c>
      <c r="L186" s="42"/>
      <c r="M186" s="43">
        <f>SmtRes!DI49</f>
        <v>12258.27</v>
      </c>
    </row>
    <row r="187" spans="1:83" ht="15">
      <c r="A187" s="38"/>
      <c r="B187" s="38"/>
      <c r="C187" s="41">
        <v>2</v>
      </c>
      <c r="D187" s="38" t="s">
        <v>375</v>
      </c>
      <c r="E187" s="40"/>
      <c r="F187" s="45"/>
      <c r="G187" s="41"/>
      <c r="H187" s="41"/>
      <c r="I187" s="41"/>
      <c r="J187" s="41"/>
      <c r="K187" s="41"/>
      <c r="L187" s="41"/>
      <c r="M187" s="46">
        <f>SUM(M188:M194)-SUMIF(CE188:CE194, 1, M188:M194)</f>
        <v>4276.7700000000004</v>
      </c>
    </row>
    <row r="188" spans="1:83" ht="15">
      <c r="A188" s="38"/>
      <c r="B188" s="38"/>
      <c r="C188" s="41"/>
      <c r="D188" s="38" t="s">
        <v>377</v>
      </c>
      <c r="E188" s="40" t="s">
        <v>256</v>
      </c>
      <c r="F188" s="45"/>
      <c r="G188" s="41"/>
      <c r="H188" s="41">
        <f>Source!V40</f>
        <v>2.166201</v>
      </c>
      <c r="I188" s="41"/>
      <c r="J188" s="41"/>
      <c r="K188" s="41"/>
      <c r="L188" s="41"/>
      <c r="M188" s="46">
        <f>SUMIF(CE189:CE194, 1, M189:M194)</f>
        <v>1137.08</v>
      </c>
      <c r="CE188">
        <v>1</v>
      </c>
    </row>
    <row r="189" spans="1:83" ht="28.5">
      <c r="A189" s="39"/>
      <c r="B189" s="39"/>
      <c r="C189" s="39" t="s">
        <v>305</v>
      </c>
      <c r="D189" s="39" t="s">
        <v>307</v>
      </c>
      <c r="E189" s="40" t="s">
        <v>262</v>
      </c>
      <c r="F189" s="41">
        <v>0.28399999999999997</v>
      </c>
      <c r="G189" s="41"/>
      <c r="H189" s="41">
        <f>SmtRes!CX51</f>
        <v>0.29748599999999997</v>
      </c>
      <c r="I189" s="43"/>
      <c r="J189" s="42"/>
      <c r="K189" s="43">
        <f>SmtRes!CZ51</f>
        <v>1719.93</v>
      </c>
      <c r="L189" s="42"/>
      <c r="M189" s="43">
        <f>SmtRes!DG51</f>
        <v>511.66</v>
      </c>
    </row>
    <row r="190" spans="1:83" ht="28.5">
      <c r="A190" s="39"/>
      <c r="B190" s="39"/>
      <c r="C190" s="39" t="s">
        <v>308</v>
      </c>
      <c r="D190" s="39" t="s">
        <v>401</v>
      </c>
      <c r="E190" s="40" t="s">
        <v>256</v>
      </c>
      <c r="F190" s="41">
        <f>SmtRes!DO51*SmtRes!AT51</f>
        <v>0.28399999999999997</v>
      </c>
      <c r="G190" s="41"/>
      <c r="H190" s="41">
        <f>ROUND(F190*H184, 7)</f>
        <v>0.29748599999999997</v>
      </c>
      <c r="I190" s="43"/>
      <c r="J190" s="42"/>
      <c r="K190" s="43">
        <f>ROUND(SmtRes!AG51/SmtRes!DO51, 2)</f>
        <v>544.01</v>
      </c>
      <c r="L190" s="42"/>
      <c r="M190" s="43">
        <f>SmtRes!DH51</f>
        <v>161.84</v>
      </c>
      <c r="CE190">
        <v>1</v>
      </c>
    </row>
    <row r="191" spans="1:83" ht="42.75">
      <c r="A191" s="39"/>
      <c r="B191" s="39"/>
      <c r="C191" s="39" t="s">
        <v>324</v>
      </c>
      <c r="D191" s="39" t="s">
        <v>326</v>
      </c>
      <c r="E191" s="40" t="s">
        <v>262</v>
      </c>
      <c r="F191" s="41">
        <v>1.5</v>
      </c>
      <c r="G191" s="41"/>
      <c r="H191" s="41">
        <f>SmtRes!CX52</f>
        <v>1.571229</v>
      </c>
      <c r="I191" s="43">
        <f>SmtRes!CZ52</f>
        <v>1472.34</v>
      </c>
      <c r="J191" s="42">
        <f>SmtRes!AJ52</f>
        <v>1.54</v>
      </c>
      <c r="K191" s="43">
        <f>ROUND(I191*J191, 2)</f>
        <v>2267.4</v>
      </c>
      <c r="L191" s="42"/>
      <c r="M191" s="43">
        <f>SmtRes!DG52</f>
        <v>3562.6</v>
      </c>
    </row>
    <row r="192" spans="1:83" ht="28.5">
      <c r="A192" s="39"/>
      <c r="B192" s="39"/>
      <c r="C192" s="39" t="s">
        <v>308</v>
      </c>
      <c r="D192" s="39" t="s">
        <v>401</v>
      </c>
      <c r="E192" s="40" t="s">
        <v>256</v>
      </c>
      <c r="F192" s="41">
        <f>SmtRes!DO52*SmtRes!AT52</f>
        <v>1.5</v>
      </c>
      <c r="G192" s="41"/>
      <c r="H192" s="41">
        <f>ROUND(F192*H184, 7)</f>
        <v>1.571229</v>
      </c>
      <c r="I192" s="43"/>
      <c r="J192" s="42"/>
      <c r="K192" s="43">
        <f>ROUND(SmtRes!AG52/SmtRes!DO52, 2)</f>
        <v>544.01</v>
      </c>
      <c r="L192" s="42"/>
      <c r="M192" s="43">
        <f>SmtRes!DH52</f>
        <v>854.76</v>
      </c>
      <c r="CE192">
        <v>1</v>
      </c>
    </row>
    <row r="193" spans="1:83" ht="28.5">
      <c r="A193" s="39"/>
      <c r="B193" s="39"/>
      <c r="C193" s="39" t="s">
        <v>311</v>
      </c>
      <c r="D193" s="39" t="s">
        <v>313</v>
      </c>
      <c r="E193" s="40" t="s">
        <v>262</v>
      </c>
      <c r="F193" s="41">
        <v>0.28399999999999997</v>
      </c>
      <c r="G193" s="41"/>
      <c r="H193" s="41">
        <f>SmtRes!CX53</f>
        <v>0.29748599999999997</v>
      </c>
      <c r="I193" s="43"/>
      <c r="J193" s="42"/>
      <c r="K193" s="43">
        <f>SmtRes!CZ53</f>
        <v>680.75</v>
      </c>
      <c r="L193" s="42"/>
      <c r="M193" s="43">
        <f>SmtRes!DG53</f>
        <v>202.51</v>
      </c>
    </row>
    <row r="194" spans="1:83" ht="28.5">
      <c r="A194" s="39"/>
      <c r="B194" s="39"/>
      <c r="C194" s="39" t="s">
        <v>296</v>
      </c>
      <c r="D194" s="47" t="s">
        <v>390</v>
      </c>
      <c r="E194" s="48" t="s">
        <v>256</v>
      </c>
      <c r="F194" s="49">
        <f>SmtRes!DO53*SmtRes!AT53</f>
        <v>0.28399999999999997</v>
      </c>
      <c r="G194" s="49"/>
      <c r="H194" s="49">
        <f>ROUND(F194*H184, 7)</f>
        <v>0.29748599999999997</v>
      </c>
      <c r="I194" s="50"/>
      <c r="J194" s="51"/>
      <c r="K194" s="50">
        <f>ROUND(SmtRes!AG53/SmtRes!DO53, 2)</f>
        <v>404.99</v>
      </c>
      <c r="L194" s="51"/>
      <c r="M194" s="50">
        <f>SmtRes!DH53</f>
        <v>120.48</v>
      </c>
      <c r="CE194">
        <v>1</v>
      </c>
    </row>
    <row r="195" spans="1:83" ht="15">
      <c r="A195" s="39"/>
      <c r="B195" s="39"/>
      <c r="C195" s="39"/>
      <c r="D195" s="54" t="s">
        <v>378</v>
      </c>
      <c r="E195" s="40"/>
      <c r="F195" s="41"/>
      <c r="G195" s="41"/>
      <c r="H195" s="41"/>
      <c r="I195" s="43"/>
      <c r="J195" s="42"/>
      <c r="K195" s="43"/>
      <c r="L195" s="42"/>
      <c r="M195" s="43">
        <f>M185+M187+M188</f>
        <v>17672.120000000003</v>
      </c>
    </row>
    <row r="196" spans="1:83" ht="57">
      <c r="A196" s="37" t="s">
        <v>411</v>
      </c>
      <c r="B196" s="37" t="s">
        <v>411</v>
      </c>
      <c r="C196" s="39" t="str">
        <f>Source!F41</f>
        <v>421/пр_2020_п.75_пп.а</v>
      </c>
      <c r="D196" s="39" t="str">
        <f>Source!G41</f>
        <v>Сметная стоимость вспомогательных ненормируемых материальных ресурсов, не учтенная в сметной норме, 2%</v>
      </c>
      <c r="E196" s="40" t="str">
        <f>Source!H41</f>
        <v>%</v>
      </c>
      <c r="F196" s="41">
        <f>SmtRes!AT54</f>
        <v>2</v>
      </c>
      <c r="G196" s="41"/>
      <c r="H196" s="41">
        <f>Source!I41</f>
        <v>2</v>
      </c>
      <c r="I196" s="43"/>
      <c r="J196" s="42"/>
      <c r="K196" s="43"/>
      <c r="L196" s="42"/>
      <c r="M196" s="43">
        <f>Source!P41</f>
        <v>245.17</v>
      </c>
      <c r="AD196">
        <f>ROUND((Source!AT41/100)*((ROUND(0*Source!I41, 2)+ROUND(0*Source!I41, 2))), 2)</f>
        <v>0</v>
      </c>
      <c r="AE196">
        <f>ROUND((Source!AU41/100)*((ROUND(0*Source!I41, 2)+ROUND(0*Source!I41, 2))), 2)</f>
        <v>0</v>
      </c>
      <c r="AN196">
        <f>M196</f>
        <v>245.17</v>
      </c>
      <c r="AW196">
        <f>M196</f>
        <v>245.17</v>
      </c>
      <c r="AZ196">
        <f>Source!X41</f>
        <v>0</v>
      </c>
      <c r="BA196">
        <f>Source!Y41</f>
        <v>0</v>
      </c>
      <c r="CD196">
        <v>2</v>
      </c>
    </row>
    <row r="197" spans="1:83" ht="14.25">
      <c r="A197" s="39"/>
      <c r="B197" s="39"/>
      <c r="C197" s="39"/>
      <c r="D197" s="39" t="s">
        <v>379</v>
      </c>
      <c r="E197" s="40"/>
      <c r="F197" s="41"/>
      <c r="G197" s="41"/>
      <c r="H197" s="41"/>
      <c r="I197" s="43"/>
      <c r="J197" s="42"/>
      <c r="K197" s="43"/>
      <c r="L197" s="42"/>
      <c r="M197" s="43">
        <f>SUM(AR184:AR200)+SUM(AS184:AS200)+SUM(AT184:AT200)+SUM(AU184:AU200)+SUM(AV184:AV200)</f>
        <v>13395.35</v>
      </c>
    </row>
    <row r="198" spans="1:83" ht="28.5">
      <c r="A198" s="39"/>
      <c r="B198" s="39"/>
      <c r="C198" s="39" t="s">
        <v>101</v>
      </c>
      <c r="D198" s="39" t="s">
        <v>407</v>
      </c>
      <c r="E198" s="40" t="s">
        <v>106</v>
      </c>
      <c r="F198" s="41">
        <f>Source!BZ40</f>
        <v>97</v>
      </c>
      <c r="G198" s="41"/>
      <c r="H198" s="41">
        <f>Source!AT40</f>
        <v>97</v>
      </c>
      <c r="I198" s="43"/>
      <c r="J198" s="42"/>
      <c r="K198" s="43"/>
      <c r="L198" s="42"/>
      <c r="M198" s="43">
        <f>SUM(AZ184:AZ200)</f>
        <v>12993.49</v>
      </c>
    </row>
    <row r="199" spans="1:83" ht="28.5">
      <c r="A199" s="47"/>
      <c r="B199" s="47"/>
      <c r="C199" s="47" t="s">
        <v>102</v>
      </c>
      <c r="D199" s="47" t="s">
        <v>408</v>
      </c>
      <c r="E199" s="48" t="s">
        <v>106</v>
      </c>
      <c r="F199" s="49">
        <f>Source!CA40</f>
        <v>51</v>
      </c>
      <c r="G199" s="49"/>
      <c r="H199" s="49">
        <f>Source!AU40</f>
        <v>51</v>
      </c>
      <c r="I199" s="50"/>
      <c r="J199" s="51"/>
      <c r="K199" s="50"/>
      <c r="L199" s="51"/>
      <c r="M199" s="50">
        <f>SUM(BA184:BA200)</f>
        <v>6831.63</v>
      </c>
    </row>
    <row r="200" spans="1:83" ht="15">
      <c r="D200" s="103" t="s">
        <v>382</v>
      </c>
      <c r="E200" s="103"/>
      <c r="F200" s="103"/>
      <c r="G200" s="103"/>
      <c r="H200" s="103"/>
      <c r="I200" s="103"/>
      <c r="J200" s="104">
        <f>IF(F184&lt;&gt;0,L200/F184, 0)</f>
        <v>36031.421899672168</v>
      </c>
      <c r="K200" s="104"/>
      <c r="L200" s="104">
        <f>M185+M187+M198+M199+M188+SUM(M196:M196)</f>
        <v>37742.409999999996</v>
      </c>
      <c r="M200" s="104"/>
      <c r="AD200">
        <f>ROUND((Source!AT40/100)*((ROUND(SUMIF(SmtRes!AQ49:'SmtRes'!AQ54,"=1",SmtRes!AD49:'SmtRes'!AD54)*Source!I40, 2)+ROUND(SUMIF(SmtRes!AQ49:'SmtRes'!AQ54,"=1",SmtRes!AC49:'SmtRes'!AC54)*Source!I40, 2))), 2)</f>
        <v>1914.67</v>
      </c>
      <c r="AE200">
        <f>ROUND((Source!AU40/100)*((ROUND(SUMIF(SmtRes!AQ49:'SmtRes'!AQ54,"=1",SmtRes!AD49:'SmtRes'!AD54)*Source!I40, 2)+ROUND(SUMIF(SmtRes!AQ49:'SmtRes'!AQ54,"=1",SmtRes!AC49:'SmtRes'!AC54)*Source!I40, 2))), 2)</f>
        <v>1006.68</v>
      </c>
      <c r="AN200" s="52">
        <f>M185+M187+M198+M199+M188</f>
        <v>37497.24</v>
      </c>
      <c r="AO200" s="52">
        <f>M187</f>
        <v>4276.7700000000004</v>
      </c>
      <c r="AQ200" t="s">
        <v>383</v>
      </c>
      <c r="AR200" s="52">
        <f>M185</f>
        <v>12258.27</v>
      </c>
      <c r="AT200" s="52">
        <f>M188</f>
        <v>1137.08</v>
      </c>
      <c r="AV200" t="s">
        <v>383</v>
      </c>
      <c r="AW200">
        <f>0</f>
        <v>0</v>
      </c>
      <c r="AZ200">
        <f>Source!X40</f>
        <v>12993.49</v>
      </c>
      <c r="BA200">
        <f>Source!Y40</f>
        <v>6831.63</v>
      </c>
      <c r="CD200">
        <v>2</v>
      </c>
    </row>
    <row r="201" spans="1:83" ht="39.75">
      <c r="A201" s="37" t="s">
        <v>113</v>
      </c>
      <c r="B201" s="37" t="s">
        <v>113</v>
      </c>
      <c r="C201" s="39" t="s">
        <v>409</v>
      </c>
      <c r="D201" s="39" t="s">
        <v>412</v>
      </c>
      <c r="E201" s="40" t="str">
        <f>Source!H42</f>
        <v>км</v>
      </c>
      <c r="F201" s="41">
        <f>Source!K42</f>
        <v>1.286</v>
      </c>
      <c r="G201" s="41"/>
      <c r="H201" s="41">
        <f>Source!I42</f>
        <v>1.286</v>
      </c>
      <c r="I201" s="43"/>
      <c r="J201" s="42"/>
      <c r="K201" s="43"/>
      <c r="L201" s="42"/>
      <c r="M201" s="43"/>
    </row>
    <row r="202" spans="1:83" ht="15">
      <c r="A202" s="38"/>
      <c r="B202" s="38"/>
      <c r="C202" s="41">
        <v>1</v>
      </c>
      <c r="D202" s="38" t="s">
        <v>374</v>
      </c>
      <c r="E202" s="40" t="s">
        <v>256</v>
      </c>
      <c r="F202" s="45"/>
      <c r="G202" s="41"/>
      <c r="H202" s="41">
        <f>Source!U42</f>
        <v>38.4514</v>
      </c>
      <c r="I202" s="41"/>
      <c r="J202" s="41"/>
      <c r="K202" s="41"/>
      <c r="L202" s="41"/>
      <c r="M202" s="46">
        <f>SUM(M203:M203)-SUMIF(CE203:CE203, 1, M203:M203)</f>
        <v>15049.49</v>
      </c>
    </row>
    <row r="203" spans="1:83" ht="14.25">
      <c r="A203" s="39"/>
      <c r="B203" s="39"/>
      <c r="C203" s="39" t="s">
        <v>322</v>
      </c>
      <c r="D203" s="39" t="s">
        <v>323</v>
      </c>
      <c r="E203" s="40" t="s">
        <v>256</v>
      </c>
      <c r="F203" s="41">
        <v>29.9</v>
      </c>
      <c r="G203" s="41"/>
      <c r="H203" s="41">
        <f>SmtRes!CX55</f>
        <v>38.4514</v>
      </c>
      <c r="I203" s="43"/>
      <c r="J203" s="42"/>
      <c r="K203" s="43">
        <f>SmtRes!CZ55</f>
        <v>391.39</v>
      </c>
      <c r="L203" s="42"/>
      <c r="M203" s="43">
        <f>SmtRes!DI55</f>
        <v>15049.49</v>
      </c>
    </row>
    <row r="204" spans="1:83" ht="15">
      <c r="A204" s="38"/>
      <c r="B204" s="38"/>
      <c r="C204" s="41">
        <v>2</v>
      </c>
      <c r="D204" s="38" t="s">
        <v>375</v>
      </c>
      <c r="E204" s="40"/>
      <c r="F204" s="45"/>
      <c r="G204" s="41"/>
      <c r="H204" s="41"/>
      <c r="I204" s="41"/>
      <c r="J204" s="41"/>
      <c r="K204" s="41"/>
      <c r="L204" s="41"/>
      <c r="M204" s="46">
        <f>SUM(M205:M211)-SUMIF(CE205:CE211, 1, M205:M211)</f>
        <v>5250.6000000000013</v>
      </c>
    </row>
    <row r="205" spans="1:83" ht="15">
      <c r="A205" s="38"/>
      <c r="B205" s="38"/>
      <c r="C205" s="41"/>
      <c r="D205" s="38" t="s">
        <v>377</v>
      </c>
      <c r="E205" s="40" t="s">
        <v>256</v>
      </c>
      <c r="F205" s="45"/>
      <c r="G205" s="41"/>
      <c r="H205" s="41">
        <f>Source!V42</f>
        <v>2.6594479999999998</v>
      </c>
      <c r="I205" s="41"/>
      <c r="J205" s="41"/>
      <c r="K205" s="41"/>
      <c r="L205" s="41"/>
      <c r="M205" s="46">
        <f>SUMIF(CE206:CE211, 1, M206:M211)</f>
        <v>1396.0000000000002</v>
      </c>
      <c r="CE205">
        <v>1</v>
      </c>
    </row>
    <row r="206" spans="1:83" ht="28.5">
      <c r="A206" s="39"/>
      <c r="B206" s="39"/>
      <c r="C206" s="39" t="s">
        <v>305</v>
      </c>
      <c r="D206" s="39" t="s">
        <v>307</v>
      </c>
      <c r="E206" s="40" t="s">
        <v>262</v>
      </c>
      <c r="F206" s="41">
        <v>0.28399999999999997</v>
      </c>
      <c r="G206" s="41"/>
      <c r="H206" s="41">
        <f>SmtRes!CX57</f>
        <v>0.36522399999999999</v>
      </c>
      <c r="I206" s="43"/>
      <c r="J206" s="42"/>
      <c r="K206" s="43">
        <f>SmtRes!CZ57</f>
        <v>1719.93</v>
      </c>
      <c r="L206" s="42"/>
      <c r="M206" s="43">
        <f>SmtRes!DG57</f>
        <v>628.16</v>
      </c>
    </row>
    <row r="207" spans="1:83" ht="28.5">
      <c r="A207" s="39"/>
      <c r="B207" s="39"/>
      <c r="C207" s="39" t="s">
        <v>308</v>
      </c>
      <c r="D207" s="39" t="s">
        <v>401</v>
      </c>
      <c r="E207" s="40" t="s">
        <v>256</v>
      </c>
      <c r="F207" s="41">
        <f>SmtRes!DO57*SmtRes!AT57</f>
        <v>0.28399999999999997</v>
      </c>
      <c r="G207" s="41"/>
      <c r="H207" s="41">
        <f>ROUND(F207*H201, 7)</f>
        <v>0.36522399999999999</v>
      </c>
      <c r="I207" s="43"/>
      <c r="J207" s="42"/>
      <c r="K207" s="43">
        <f>ROUND(SmtRes!AG57/SmtRes!DO57, 2)</f>
        <v>544.01</v>
      </c>
      <c r="L207" s="42"/>
      <c r="M207" s="43">
        <f>SmtRes!DH57</f>
        <v>198.69</v>
      </c>
      <c r="CE207">
        <v>1</v>
      </c>
    </row>
    <row r="208" spans="1:83" ht="42.75">
      <c r="A208" s="39"/>
      <c r="B208" s="39"/>
      <c r="C208" s="39" t="s">
        <v>324</v>
      </c>
      <c r="D208" s="39" t="s">
        <v>326</v>
      </c>
      <c r="E208" s="40" t="s">
        <v>262</v>
      </c>
      <c r="F208" s="41">
        <v>1.5</v>
      </c>
      <c r="G208" s="41"/>
      <c r="H208" s="41">
        <f>SmtRes!CX58</f>
        <v>1.929</v>
      </c>
      <c r="I208" s="43">
        <f>SmtRes!CZ58</f>
        <v>1472.34</v>
      </c>
      <c r="J208" s="42">
        <f>SmtRes!AJ58</f>
        <v>1.54</v>
      </c>
      <c r="K208" s="43">
        <f>ROUND(I208*J208, 2)</f>
        <v>2267.4</v>
      </c>
      <c r="L208" s="42"/>
      <c r="M208" s="43">
        <f>SmtRes!DG58</f>
        <v>4373.8100000000004</v>
      </c>
    </row>
    <row r="209" spans="1:83" ht="28.5">
      <c r="A209" s="39"/>
      <c r="B209" s="39"/>
      <c r="C209" s="39" t="s">
        <v>308</v>
      </c>
      <c r="D209" s="39" t="s">
        <v>401</v>
      </c>
      <c r="E209" s="40" t="s">
        <v>256</v>
      </c>
      <c r="F209" s="41">
        <f>SmtRes!DO58*SmtRes!AT58</f>
        <v>1.5</v>
      </c>
      <c r="G209" s="41"/>
      <c r="H209" s="41">
        <f>ROUND(F209*H201, 7)</f>
        <v>1.929</v>
      </c>
      <c r="I209" s="43"/>
      <c r="J209" s="42"/>
      <c r="K209" s="43">
        <f>ROUND(SmtRes!AG58/SmtRes!DO58, 2)</f>
        <v>544.01</v>
      </c>
      <c r="L209" s="42"/>
      <c r="M209" s="43">
        <f>SmtRes!DH58</f>
        <v>1049.4000000000001</v>
      </c>
      <c r="CE209">
        <v>1</v>
      </c>
    </row>
    <row r="210" spans="1:83" ht="28.5">
      <c r="A210" s="39"/>
      <c r="B210" s="39"/>
      <c r="C210" s="39" t="s">
        <v>311</v>
      </c>
      <c r="D210" s="39" t="s">
        <v>313</v>
      </c>
      <c r="E210" s="40" t="s">
        <v>262</v>
      </c>
      <c r="F210" s="41">
        <v>0.28399999999999997</v>
      </c>
      <c r="G210" s="41"/>
      <c r="H210" s="41">
        <f>SmtRes!CX59</f>
        <v>0.36522399999999999</v>
      </c>
      <c r="I210" s="43"/>
      <c r="J210" s="42"/>
      <c r="K210" s="43">
        <f>SmtRes!CZ59</f>
        <v>680.75</v>
      </c>
      <c r="L210" s="42"/>
      <c r="M210" s="43">
        <f>SmtRes!DG59</f>
        <v>248.63</v>
      </c>
    </row>
    <row r="211" spans="1:83" ht="28.5">
      <c r="A211" s="39"/>
      <c r="B211" s="39"/>
      <c r="C211" s="39" t="s">
        <v>296</v>
      </c>
      <c r="D211" s="47" t="s">
        <v>390</v>
      </c>
      <c r="E211" s="48" t="s">
        <v>256</v>
      </c>
      <c r="F211" s="49">
        <f>SmtRes!DO59*SmtRes!AT59</f>
        <v>0.28399999999999997</v>
      </c>
      <c r="G211" s="49"/>
      <c r="H211" s="49">
        <f>ROUND(F211*H201, 7)</f>
        <v>0.36522399999999999</v>
      </c>
      <c r="I211" s="50"/>
      <c r="J211" s="51"/>
      <c r="K211" s="50">
        <f>ROUND(SmtRes!AG59/SmtRes!DO59, 2)</f>
        <v>404.99</v>
      </c>
      <c r="L211" s="51"/>
      <c r="M211" s="50">
        <f>SmtRes!DH59</f>
        <v>147.91</v>
      </c>
      <c r="CE211">
        <v>1</v>
      </c>
    </row>
    <row r="212" spans="1:83" ht="15">
      <c r="A212" s="39"/>
      <c r="B212" s="39"/>
      <c r="C212" s="39"/>
      <c r="D212" s="54" t="s">
        <v>378</v>
      </c>
      <c r="E212" s="40"/>
      <c r="F212" s="41"/>
      <c r="G212" s="41"/>
      <c r="H212" s="41"/>
      <c r="I212" s="43"/>
      <c r="J212" s="42"/>
      <c r="K212" s="43"/>
      <c r="L212" s="42"/>
      <c r="M212" s="43">
        <f>M202+M204+M205</f>
        <v>21696.09</v>
      </c>
    </row>
    <row r="213" spans="1:83" ht="57">
      <c r="A213" s="37" t="s">
        <v>413</v>
      </c>
      <c r="B213" s="37" t="s">
        <v>413</v>
      </c>
      <c r="C213" s="39" t="str">
        <f>Source!F43</f>
        <v>421/пр_2020_п.75_пп.а</v>
      </c>
      <c r="D213" s="39" t="str">
        <f>Source!G43</f>
        <v>Сметная стоимость вспомогательных ненормируемых материальных ресурсов, не учтенная в сметной норме, 2%</v>
      </c>
      <c r="E213" s="40" t="str">
        <f>Source!H43</f>
        <v>%</v>
      </c>
      <c r="F213" s="41">
        <f>SmtRes!AT60</f>
        <v>2</v>
      </c>
      <c r="G213" s="41"/>
      <c r="H213" s="41">
        <f>Source!I43</f>
        <v>2</v>
      </c>
      <c r="I213" s="43"/>
      <c r="J213" s="42"/>
      <c r="K213" s="43"/>
      <c r="L213" s="42"/>
      <c r="M213" s="43">
        <f>Source!P43</f>
        <v>300.99</v>
      </c>
      <c r="AD213">
        <f>ROUND((Source!AT43/100)*((ROUND(0*Source!I43, 2)+ROUND(0*Source!I43, 2))), 2)</f>
        <v>0</v>
      </c>
      <c r="AE213">
        <f>ROUND((Source!AU43/100)*((ROUND(0*Source!I43, 2)+ROUND(0*Source!I43, 2))), 2)</f>
        <v>0</v>
      </c>
      <c r="AN213">
        <f>M213</f>
        <v>300.99</v>
      </c>
      <c r="AW213">
        <f>M213</f>
        <v>300.99</v>
      </c>
      <c r="AZ213">
        <f>Source!X43</f>
        <v>0</v>
      </c>
      <c r="BA213">
        <f>Source!Y43</f>
        <v>0</v>
      </c>
      <c r="CD213">
        <v>2</v>
      </c>
    </row>
    <row r="214" spans="1:83" ht="14.25">
      <c r="A214" s="39"/>
      <c r="B214" s="39"/>
      <c r="C214" s="39"/>
      <c r="D214" s="39" t="s">
        <v>379</v>
      </c>
      <c r="E214" s="40"/>
      <c r="F214" s="41"/>
      <c r="G214" s="41"/>
      <c r="H214" s="41"/>
      <c r="I214" s="43"/>
      <c r="J214" s="42"/>
      <c r="K214" s="43"/>
      <c r="L214" s="42"/>
      <c r="M214" s="43">
        <f>SUM(AR201:AR217)+SUM(AS201:AS217)+SUM(AT201:AT217)+SUM(AU201:AU217)+SUM(AV201:AV217)</f>
        <v>16445.490000000002</v>
      </c>
    </row>
    <row r="215" spans="1:83" ht="28.5">
      <c r="A215" s="39"/>
      <c r="B215" s="39"/>
      <c r="C215" s="39" t="s">
        <v>101</v>
      </c>
      <c r="D215" s="39" t="s">
        <v>407</v>
      </c>
      <c r="E215" s="40" t="s">
        <v>106</v>
      </c>
      <c r="F215" s="41">
        <f>Source!BZ42</f>
        <v>97</v>
      </c>
      <c r="G215" s="41"/>
      <c r="H215" s="41">
        <f>Source!AT42</f>
        <v>97</v>
      </c>
      <c r="I215" s="43"/>
      <c r="J215" s="42"/>
      <c r="K215" s="43"/>
      <c r="L215" s="42"/>
      <c r="M215" s="43">
        <f>SUM(AZ201:AZ217)</f>
        <v>15952.13</v>
      </c>
    </row>
    <row r="216" spans="1:83" ht="28.5">
      <c r="A216" s="47"/>
      <c r="B216" s="47"/>
      <c r="C216" s="47" t="s">
        <v>102</v>
      </c>
      <c r="D216" s="47" t="s">
        <v>408</v>
      </c>
      <c r="E216" s="48" t="s">
        <v>106</v>
      </c>
      <c r="F216" s="49">
        <f>Source!CA42</f>
        <v>51</v>
      </c>
      <c r="G216" s="49"/>
      <c r="H216" s="49">
        <f>Source!AU42</f>
        <v>51</v>
      </c>
      <c r="I216" s="50"/>
      <c r="J216" s="51"/>
      <c r="K216" s="50"/>
      <c r="L216" s="51"/>
      <c r="M216" s="50">
        <f>SUM(BA201:BA217)</f>
        <v>8387.2000000000007</v>
      </c>
    </row>
    <row r="217" spans="1:83" ht="15">
      <c r="D217" s="103" t="s">
        <v>382</v>
      </c>
      <c r="E217" s="103"/>
      <c r="F217" s="103"/>
      <c r="G217" s="103"/>
      <c r="H217" s="103"/>
      <c r="I217" s="103"/>
      <c r="J217" s="104">
        <f>IF(F201&lt;&gt;0,L217/F201, 0)</f>
        <v>36031.423017107307</v>
      </c>
      <c r="K217" s="104"/>
      <c r="L217" s="104">
        <f>M202+M204+M215+M216+M205+SUM(M213:M213)</f>
        <v>46336.409999999996</v>
      </c>
      <c r="M217" s="104"/>
      <c r="AD217">
        <f>ROUND((Source!AT42/100)*((ROUND(SUMIF(SmtRes!AQ55:'SmtRes'!AQ60,"=1",SmtRes!AD55:'SmtRes'!AD60)*Source!I42, 2)+ROUND(SUMIF(SmtRes!AQ55:'SmtRes'!AQ60,"=1",SmtRes!AC55:'SmtRes'!AC60)*Source!I42, 2))), 2)</f>
        <v>2350.64</v>
      </c>
      <c r="AE217">
        <f>ROUND((Source!AU42/100)*((ROUND(SUMIF(SmtRes!AQ55:'SmtRes'!AQ60,"=1",SmtRes!AD55:'SmtRes'!AD60)*Source!I42, 2)+ROUND(SUMIF(SmtRes!AQ55:'SmtRes'!AQ60,"=1",SmtRes!AC55:'SmtRes'!AC60)*Source!I42, 2))), 2)</f>
        <v>1235.9000000000001</v>
      </c>
      <c r="AN217" s="52">
        <f>M202+M204+M215+M216+M205</f>
        <v>46035.42</v>
      </c>
      <c r="AO217" s="52">
        <f>M204</f>
        <v>5250.6000000000013</v>
      </c>
      <c r="AQ217" t="s">
        <v>383</v>
      </c>
      <c r="AR217" s="52">
        <f>M202</f>
        <v>15049.49</v>
      </c>
      <c r="AT217" s="52">
        <f>M205</f>
        <v>1396.0000000000002</v>
      </c>
      <c r="AV217" t="s">
        <v>383</v>
      </c>
      <c r="AW217">
        <f>0</f>
        <v>0</v>
      </c>
      <c r="AZ217">
        <f>Source!X42</f>
        <v>15952.13</v>
      </c>
      <c r="BA217">
        <f>Source!Y42</f>
        <v>8387.2000000000007</v>
      </c>
      <c r="CD217">
        <v>2</v>
      </c>
    </row>
    <row r="219" spans="1:83" ht="15">
      <c r="A219" s="60"/>
      <c r="B219" s="60"/>
      <c r="C219" s="61"/>
      <c r="D219" s="102" t="s">
        <v>482</v>
      </c>
      <c r="E219" s="102"/>
      <c r="F219" s="102"/>
      <c r="G219" s="102"/>
      <c r="H219" s="102"/>
      <c r="I219" s="102"/>
      <c r="J219" s="62"/>
      <c r="K219" s="60"/>
      <c r="L219" s="63"/>
      <c r="M219" s="62"/>
    </row>
    <row r="221" spans="1:83" ht="15">
      <c r="A221" s="57"/>
      <c r="B221" s="57"/>
      <c r="C221" s="58"/>
      <c r="D221" s="100" t="s">
        <v>415</v>
      </c>
      <c r="E221" s="100"/>
      <c r="F221" s="100"/>
      <c r="G221" s="100"/>
      <c r="H221" s="100"/>
      <c r="I221" s="100"/>
      <c r="J221" s="46"/>
      <c r="K221" s="57"/>
      <c r="L221" s="59"/>
      <c r="M221" s="46">
        <f>M223+M238+M239</f>
        <v>305135.95</v>
      </c>
    </row>
    <row r="222" spans="1:83" ht="14.25">
      <c r="A222" s="55"/>
      <c r="B222" s="55"/>
      <c r="C222" s="56"/>
      <c r="D222" s="101" t="s">
        <v>416</v>
      </c>
      <c r="E222" s="96"/>
      <c r="F222" s="96"/>
      <c r="G222" s="96"/>
      <c r="H222" s="96"/>
      <c r="I222" s="96"/>
      <c r="J222" s="43"/>
      <c r="K222" s="55"/>
      <c r="L222" s="41"/>
      <c r="M222" s="43"/>
    </row>
    <row r="223" spans="1:83" ht="14.25">
      <c r="A223" s="55"/>
      <c r="B223" s="55"/>
      <c r="C223" s="56"/>
      <c r="D223" s="96" t="s">
        <v>417</v>
      </c>
      <c r="E223" s="96"/>
      <c r="F223" s="96"/>
      <c r="G223" s="96"/>
      <c r="H223" s="96"/>
      <c r="I223" s="96"/>
      <c r="J223" s="43"/>
      <c r="K223" s="55"/>
      <c r="L223" s="41"/>
      <c r="M223" s="43">
        <f>M225+M226+M232+M236</f>
        <v>154579.91</v>
      </c>
    </row>
    <row r="224" spans="1:83" ht="14.25">
      <c r="A224" s="55"/>
      <c r="B224" s="55"/>
      <c r="C224" s="56"/>
      <c r="D224" s="101" t="s">
        <v>416</v>
      </c>
      <c r="E224" s="96"/>
      <c r="F224" s="96"/>
      <c r="G224" s="96"/>
      <c r="H224" s="96"/>
      <c r="I224" s="96"/>
      <c r="J224" s="43"/>
      <c r="K224" s="55"/>
      <c r="L224" s="41"/>
      <c r="M224" s="43"/>
    </row>
    <row r="225" spans="1:13" ht="14.25">
      <c r="A225" s="55"/>
      <c r="B225" s="55"/>
      <c r="C225" s="56"/>
      <c r="D225" s="96" t="s">
        <v>418</v>
      </c>
      <c r="E225" s="96"/>
      <c r="F225" s="96"/>
      <c r="G225" s="96"/>
      <c r="H225" s="96"/>
      <c r="I225" s="96"/>
      <c r="J225" s="43"/>
      <c r="K225" s="55"/>
      <c r="L225" s="41"/>
      <c r="M225" s="43">
        <f>SUMIF(CD39:CD217, 1, AR39:AR217)</f>
        <v>73447.41</v>
      </c>
    </row>
    <row r="226" spans="1:13" ht="14.25" hidden="1">
      <c r="A226" s="55"/>
      <c r="B226" s="55"/>
      <c r="C226" s="56"/>
      <c r="D226" s="96" t="s">
        <v>419</v>
      </c>
      <c r="E226" s="96"/>
      <c r="F226" s="96"/>
      <c r="G226" s="96"/>
      <c r="H226" s="96"/>
      <c r="I226" s="96"/>
      <c r="J226" s="43"/>
      <c r="K226" s="55"/>
      <c r="L226" s="41"/>
      <c r="M226" s="43">
        <f>M228+M231+M230</f>
        <v>81132.5</v>
      </c>
    </row>
    <row r="227" spans="1:13" ht="14.25" hidden="1">
      <c r="A227" s="55"/>
      <c r="B227" s="55"/>
      <c r="C227" s="56"/>
      <c r="D227" s="101" t="s">
        <v>420</v>
      </c>
      <c r="E227" s="96"/>
      <c r="F227" s="96"/>
      <c r="G227" s="96"/>
      <c r="H227" s="96"/>
      <c r="I227" s="96"/>
      <c r="J227" s="43"/>
      <c r="K227" s="55"/>
      <c r="L227" s="41"/>
      <c r="M227" s="43"/>
    </row>
    <row r="228" spans="1:13" ht="14.25">
      <c r="A228" s="55"/>
      <c r="B228" s="55"/>
      <c r="C228" s="56"/>
      <c r="D228" s="96" t="s">
        <v>419</v>
      </c>
      <c r="E228" s="96"/>
      <c r="F228" s="96"/>
      <c r="G228" s="96"/>
      <c r="H228" s="96"/>
      <c r="I228" s="96"/>
      <c r="J228" s="43"/>
      <c r="K228" s="55"/>
      <c r="L228" s="41"/>
      <c r="M228" s="43">
        <f>SUMIF(CD39:CD217, 1, AO39:AO217)</f>
        <v>58773.49</v>
      </c>
    </row>
    <row r="229" spans="1:13" ht="14.25" hidden="1">
      <c r="A229" s="55"/>
      <c r="B229" s="55"/>
      <c r="C229" s="56"/>
      <c r="D229" s="101" t="s">
        <v>421</v>
      </c>
      <c r="E229" s="96"/>
      <c r="F229" s="96"/>
      <c r="G229" s="96"/>
      <c r="H229" s="96"/>
      <c r="I229" s="96"/>
      <c r="J229" s="43"/>
      <c r="K229" s="55"/>
      <c r="L229" s="41"/>
      <c r="M229" s="43"/>
    </row>
    <row r="230" spans="1:13" ht="14.25">
      <c r="A230" s="55"/>
      <c r="B230" s="55"/>
      <c r="C230" s="56"/>
      <c r="D230" s="96" t="s">
        <v>430</v>
      </c>
      <c r="E230" s="96"/>
      <c r="F230" s="96"/>
      <c r="G230" s="96"/>
      <c r="H230" s="96"/>
      <c r="I230" s="96"/>
      <c r="J230" s="43"/>
      <c r="K230" s="55"/>
      <c r="L230" s="41"/>
      <c r="M230" s="43">
        <f>SUMIF(CD39:CD217, 1, AT39:AT217)</f>
        <v>22359.009999999995</v>
      </c>
    </row>
    <row r="231" spans="1:13" ht="14.25" hidden="1">
      <c r="A231" s="55"/>
      <c r="B231" s="55"/>
      <c r="C231" s="56"/>
      <c r="D231" s="96" t="s">
        <v>422</v>
      </c>
      <c r="E231" s="96"/>
      <c r="F231" s="96"/>
      <c r="G231" s="96"/>
      <c r="H231" s="96"/>
      <c r="I231" s="96"/>
      <c r="J231" s="43"/>
      <c r="K231" s="55"/>
      <c r="L231" s="41"/>
      <c r="M231" s="43">
        <f>SUMIF(CD39:CD217, 1, AV39:AV217)</f>
        <v>0</v>
      </c>
    </row>
    <row r="232" spans="1:13" ht="14.25" hidden="1">
      <c r="A232" s="55"/>
      <c r="B232" s="55"/>
      <c r="C232" s="56"/>
      <c r="D232" s="96" t="s">
        <v>423</v>
      </c>
      <c r="E232" s="96"/>
      <c r="F232" s="96"/>
      <c r="G232" s="96"/>
      <c r="H232" s="96"/>
      <c r="I232" s="96"/>
      <c r="J232" s="43"/>
      <c r="K232" s="55"/>
      <c r="L232" s="41"/>
      <c r="M232" s="43">
        <f>M234+M235</f>
        <v>0</v>
      </c>
    </row>
    <row r="233" spans="1:13" ht="14.25" hidden="1">
      <c r="A233" s="55"/>
      <c r="B233" s="55"/>
      <c r="C233" s="56"/>
      <c r="D233" s="101" t="s">
        <v>420</v>
      </c>
      <c r="E233" s="96"/>
      <c r="F233" s="96"/>
      <c r="G233" s="96"/>
      <c r="H233" s="96"/>
      <c r="I233" s="96"/>
      <c r="J233" s="43"/>
      <c r="K233" s="55"/>
      <c r="L233" s="41"/>
      <c r="M233" s="43"/>
    </row>
    <row r="234" spans="1:13" ht="14.25" hidden="1">
      <c r="A234" s="55"/>
      <c r="B234" s="55"/>
      <c r="C234" s="56"/>
      <c r="D234" s="96" t="s">
        <v>424</v>
      </c>
      <c r="E234" s="96"/>
      <c r="F234" s="96"/>
      <c r="G234" s="96"/>
      <c r="H234" s="96"/>
      <c r="I234" s="96"/>
      <c r="J234" s="43"/>
      <c r="K234" s="55"/>
      <c r="L234" s="41"/>
      <c r="M234" s="43">
        <f>SUMIF(CD39:CD217, 1, AW39:AW217)-SUMIF(CD39:CD217, 1, BK39:BK217)</f>
        <v>0</v>
      </c>
    </row>
    <row r="235" spans="1:13" ht="14.25" hidden="1">
      <c r="A235" s="55"/>
      <c r="B235" s="55"/>
      <c r="C235" s="56"/>
      <c r="D235" s="96" t="s">
        <v>425</v>
      </c>
      <c r="E235" s="96"/>
      <c r="F235" s="96"/>
      <c r="G235" s="96"/>
      <c r="H235" s="96"/>
      <c r="I235" s="96"/>
      <c r="J235" s="43"/>
      <c r="K235" s="55"/>
      <c r="L235" s="41"/>
      <c r="M235" s="43">
        <f>SUMIF(CD39:CD217, 1, BC39:BC217)</f>
        <v>0</v>
      </c>
    </row>
    <row r="236" spans="1:13" ht="14.25" hidden="1">
      <c r="A236" s="55"/>
      <c r="B236" s="55"/>
      <c r="C236" s="56"/>
      <c r="D236" s="96" t="s">
        <v>426</v>
      </c>
      <c r="E236" s="96"/>
      <c r="F236" s="96"/>
      <c r="G236" s="96"/>
      <c r="H236" s="96"/>
      <c r="I236" s="96"/>
      <c r="J236" s="43"/>
      <c r="K236" s="55"/>
      <c r="L236" s="41"/>
      <c r="M236" s="43">
        <f>SUMIF(CD39:CD217, 1, BB39:BB217)</f>
        <v>0</v>
      </c>
    </row>
    <row r="237" spans="1:13" ht="14.25">
      <c r="A237" s="55"/>
      <c r="B237" s="55"/>
      <c r="C237" s="56"/>
      <c r="D237" s="96" t="s">
        <v>427</v>
      </c>
      <c r="E237" s="96"/>
      <c r="F237" s="96"/>
      <c r="G237" s="96"/>
      <c r="H237" s="96"/>
      <c r="I237" s="96"/>
      <c r="J237" s="43"/>
      <c r="K237" s="55"/>
      <c r="L237" s="41"/>
      <c r="M237" s="43">
        <f>SUMIF(CD39:CD217, 1, AR39:AR217)+SUMIF(CD39:CD217, 1, AT39:AT217)+SUMIF(CD39:CD217, 1, AV39:AV217)</f>
        <v>95806.42</v>
      </c>
    </row>
    <row r="238" spans="1:13" ht="14.25">
      <c r="A238" s="55"/>
      <c r="B238" s="55"/>
      <c r="C238" s="56"/>
      <c r="D238" s="96" t="s">
        <v>428</v>
      </c>
      <c r="E238" s="96"/>
      <c r="F238" s="96"/>
      <c r="G238" s="96"/>
      <c r="H238" s="96"/>
      <c r="I238" s="96"/>
      <c r="J238" s="43"/>
      <c r="K238" s="55"/>
      <c r="L238" s="41"/>
      <c r="M238" s="43">
        <f>SUMIF(CD39:CD217, 1, AZ39:AZ217)</f>
        <v>95166.39</v>
      </c>
    </row>
    <row r="239" spans="1:13" ht="14.25">
      <c r="A239" s="55"/>
      <c r="B239" s="55"/>
      <c r="C239" s="56"/>
      <c r="D239" s="96" t="s">
        <v>429</v>
      </c>
      <c r="E239" s="96"/>
      <c r="F239" s="96"/>
      <c r="G239" s="96"/>
      <c r="H239" s="96"/>
      <c r="I239" s="96"/>
      <c r="J239" s="43"/>
      <c r="K239" s="55"/>
      <c r="L239" s="41"/>
      <c r="M239" s="43">
        <f>SUMIF(CD39:CD217, 1, BA39:BA217)</f>
        <v>55389.65</v>
      </c>
    </row>
    <row r="241" spans="1:13" ht="15">
      <c r="A241" s="57"/>
      <c r="B241" s="57"/>
      <c r="C241" s="58"/>
      <c r="D241" s="100" t="s">
        <v>431</v>
      </c>
      <c r="E241" s="100"/>
      <c r="F241" s="100"/>
      <c r="G241" s="100"/>
      <c r="H241" s="100"/>
      <c r="I241" s="100"/>
      <c r="J241" s="46"/>
      <c r="K241" s="57"/>
      <c r="L241" s="59"/>
      <c r="M241" s="46">
        <f>M243+M258+M259</f>
        <v>141856.63</v>
      </c>
    </row>
    <row r="242" spans="1:13" ht="14.25">
      <c r="A242" s="55"/>
      <c r="B242" s="55"/>
      <c r="C242" s="56"/>
      <c r="D242" s="101" t="s">
        <v>416</v>
      </c>
      <c r="E242" s="96"/>
      <c r="F242" s="96"/>
      <c r="G242" s="96"/>
      <c r="H242" s="96"/>
      <c r="I242" s="96"/>
      <c r="J242" s="43"/>
      <c r="K242" s="55"/>
      <c r="L242" s="41"/>
      <c r="M242" s="43"/>
    </row>
    <row r="243" spans="1:13" ht="14.25">
      <c r="A243" s="55"/>
      <c r="B243" s="55"/>
      <c r="C243" s="56"/>
      <c r="D243" s="96" t="s">
        <v>417</v>
      </c>
      <c r="E243" s="96"/>
      <c r="F243" s="96"/>
      <c r="G243" s="96"/>
      <c r="H243" s="96"/>
      <c r="I243" s="96"/>
      <c r="J243" s="43"/>
      <c r="K243" s="55"/>
      <c r="L243" s="41"/>
      <c r="M243" s="43">
        <f>M245+M246+M252+M256</f>
        <v>78785.490000000005</v>
      </c>
    </row>
    <row r="244" spans="1:13" ht="14.25">
      <c r="A244" s="55"/>
      <c r="B244" s="55"/>
      <c r="C244" s="56"/>
      <c r="D244" s="101" t="s">
        <v>416</v>
      </c>
      <c r="E244" s="96"/>
      <c r="F244" s="96"/>
      <c r="G244" s="96"/>
      <c r="H244" s="96"/>
      <c r="I244" s="96"/>
      <c r="J244" s="43"/>
      <c r="K244" s="55"/>
      <c r="L244" s="41"/>
      <c r="M244" s="43"/>
    </row>
    <row r="245" spans="1:13" ht="14.25">
      <c r="A245" s="55"/>
      <c r="B245" s="55"/>
      <c r="C245" s="56"/>
      <c r="D245" s="96" t="s">
        <v>418</v>
      </c>
      <c r="E245" s="96"/>
      <c r="F245" s="96"/>
      <c r="G245" s="96"/>
      <c r="H245" s="96"/>
      <c r="I245" s="96"/>
      <c r="J245" s="43"/>
      <c r="K245" s="55"/>
      <c r="L245" s="41"/>
      <c r="M245" s="43">
        <f>SUMIF(CD39:CD239, 2, AR39:AR239)</f>
        <v>31857.120000000003</v>
      </c>
    </row>
    <row r="246" spans="1:13" ht="14.25" hidden="1">
      <c r="A246" s="55"/>
      <c r="B246" s="55"/>
      <c r="C246" s="56"/>
      <c r="D246" s="96" t="s">
        <v>419</v>
      </c>
      <c r="E246" s="96"/>
      <c r="F246" s="96"/>
      <c r="G246" s="96"/>
      <c r="H246" s="96"/>
      <c r="I246" s="96"/>
      <c r="J246" s="43"/>
      <c r="K246" s="55"/>
      <c r="L246" s="41"/>
      <c r="M246" s="43">
        <f>M248+M251+M250</f>
        <v>46291.220000000008</v>
      </c>
    </row>
    <row r="247" spans="1:13" ht="14.25" hidden="1">
      <c r="A247" s="55"/>
      <c r="B247" s="55"/>
      <c r="C247" s="56"/>
      <c r="D247" s="101" t="s">
        <v>420</v>
      </c>
      <c r="E247" s="96"/>
      <c r="F247" s="96"/>
      <c r="G247" s="96"/>
      <c r="H247" s="96"/>
      <c r="I247" s="96"/>
      <c r="J247" s="43"/>
      <c r="K247" s="55"/>
      <c r="L247" s="41"/>
      <c r="M247" s="43"/>
    </row>
    <row r="248" spans="1:13" ht="14.25">
      <c r="A248" s="55"/>
      <c r="B248" s="55"/>
      <c r="C248" s="56"/>
      <c r="D248" s="96" t="s">
        <v>419</v>
      </c>
      <c r="E248" s="96"/>
      <c r="F248" s="96"/>
      <c r="G248" s="96"/>
      <c r="H248" s="96"/>
      <c r="I248" s="96"/>
      <c r="J248" s="43"/>
      <c r="K248" s="55"/>
      <c r="L248" s="41"/>
      <c r="M248" s="43">
        <f>SUMIF(CD39:CD239, 2, AO39:AO239)</f>
        <v>35532.710000000006</v>
      </c>
    </row>
    <row r="249" spans="1:13" ht="14.25" hidden="1">
      <c r="A249" s="55"/>
      <c r="B249" s="55"/>
      <c r="C249" s="56"/>
      <c r="D249" s="101" t="s">
        <v>421</v>
      </c>
      <c r="E249" s="96"/>
      <c r="F249" s="96"/>
      <c r="G249" s="96"/>
      <c r="H249" s="96"/>
      <c r="I249" s="96"/>
      <c r="J249" s="43"/>
      <c r="K249" s="55"/>
      <c r="L249" s="41"/>
      <c r="M249" s="43"/>
    </row>
    <row r="250" spans="1:13" ht="14.25">
      <c r="A250" s="55"/>
      <c r="B250" s="55"/>
      <c r="C250" s="56"/>
      <c r="D250" s="96" t="s">
        <v>430</v>
      </c>
      <c r="E250" s="96"/>
      <c r="F250" s="96"/>
      <c r="G250" s="96"/>
      <c r="H250" s="96"/>
      <c r="I250" s="96"/>
      <c r="J250" s="43"/>
      <c r="K250" s="55"/>
      <c r="L250" s="41"/>
      <c r="M250" s="43">
        <f>SUMIF(CD39:CD239, 2, AT39:AT239)</f>
        <v>10758.51</v>
      </c>
    </row>
    <row r="251" spans="1:13" ht="14.25" hidden="1">
      <c r="A251" s="55"/>
      <c r="B251" s="55"/>
      <c r="C251" s="56"/>
      <c r="D251" s="96" t="s">
        <v>422</v>
      </c>
      <c r="E251" s="96"/>
      <c r="F251" s="96"/>
      <c r="G251" s="96"/>
      <c r="H251" s="96"/>
      <c r="I251" s="96"/>
      <c r="J251" s="43"/>
      <c r="K251" s="55"/>
      <c r="L251" s="41"/>
      <c r="M251" s="43">
        <f>SUMIF(CD39:CD239, 2, AV39:AV239)</f>
        <v>0</v>
      </c>
    </row>
    <row r="252" spans="1:13" ht="14.25">
      <c r="A252" s="55"/>
      <c r="B252" s="55"/>
      <c r="C252" s="56"/>
      <c r="D252" s="96" t="s">
        <v>423</v>
      </c>
      <c r="E252" s="96"/>
      <c r="F252" s="96"/>
      <c r="G252" s="96"/>
      <c r="H252" s="96"/>
      <c r="I252" s="96"/>
      <c r="J252" s="43"/>
      <c r="K252" s="55"/>
      <c r="L252" s="41"/>
      <c r="M252" s="43">
        <f>M254+M255</f>
        <v>637.15</v>
      </c>
    </row>
    <row r="253" spans="1:13" ht="14.25">
      <c r="A253" s="55"/>
      <c r="B253" s="55"/>
      <c r="C253" s="56"/>
      <c r="D253" s="101" t="s">
        <v>420</v>
      </c>
      <c r="E253" s="96"/>
      <c r="F253" s="96"/>
      <c r="G253" s="96"/>
      <c r="H253" s="96"/>
      <c r="I253" s="96"/>
      <c r="J253" s="43"/>
      <c r="K253" s="55"/>
      <c r="L253" s="41"/>
      <c r="M253" s="43"/>
    </row>
    <row r="254" spans="1:13" ht="14.25">
      <c r="A254" s="55"/>
      <c r="B254" s="55"/>
      <c r="C254" s="56"/>
      <c r="D254" s="96" t="s">
        <v>424</v>
      </c>
      <c r="E254" s="96"/>
      <c r="F254" s="96"/>
      <c r="G254" s="96"/>
      <c r="H254" s="96"/>
      <c r="I254" s="96"/>
      <c r="J254" s="43"/>
      <c r="K254" s="55"/>
      <c r="L254" s="41"/>
      <c r="M254" s="43">
        <f>SUMIF(CD39:CD239, 2, AW39:AW239)-SUMIF(CD39:CD239, 2, BK39:BK239)</f>
        <v>637.15</v>
      </c>
    </row>
    <row r="255" spans="1:13" ht="14.25" hidden="1">
      <c r="A255" s="55"/>
      <c r="B255" s="55"/>
      <c r="C255" s="56"/>
      <c r="D255" s="96" t="s">
        <v>425</v>
      </c>
      <c r="E255" s="96"/>
      <c r="F255" s="96"/>
      <c r="G255" s="96"/>
      <c r="H255" s="96"/>
      <c r="I255" s="96"/>
      <c r="J255" s="43"/>
      <c r="K255" s="55"/>
      <c r="L255" s="41"/>
      <c r="M255" s="43">
        <f>SUMIF(CD39:CD239, 2, BC39:BC239)</f>
        <v>0</v>
      </c>
    </row>
    <row r="256" spans="1:13" ht="14.25" hidden="1">
      <c r="A256" s="55"/>
      <c r="B256" s="55"/>
      <c r="C256" s="56"/>
      <c r="D256" s="96" t="s">
        <v>426</v>
      </c>
      <c r="E256" s="96"/>
      <c r="F256" s="96"/>
      <c r="G256" s="96"/>
      <c r="H256" s="96"/>
      <c r="I256" s="96"/>
      <c r="J256" s="43"/>
      <c r="K256" s="55"/>
      <c r="L256" s="41"/>
      <c r="M256" s="43">
        <f>SUMIF(CD39:CD239, 2, BB39:BB239)</f>
        <v>0</v>
      </c>
    </row>
    <row r="257" spans="1:13" ht="14.25">
      <c r="A257" s="55"/>
      <c r="B257" s="55"/>
      <c r="C257" s="56"/>
      <c r="D257" s="96" t="s">
        <v>427</v>
      </c>
      <c r="E257" s="96"/>
      <c r="F257" s="96"/>
      <c r="G257" s="96"/>
      <c r="H257" s="96"/>
      <c r="I257" s="96"/>
      <c r="J257" s="43"/>
      <c r="K257" s="55"/>
      <c r="L257" s="41"/>
      <c r="M257" s="43">
        <f>SUMIF(CD39:CD239, 2, AR39:AR239)+SUMIF(CD39:CD239, 2, AT39:AT239)+SUMIF(CD39:CD239, 2, AV39:AV239)</f>
        <v>42615.630000000005</v>
      </c>
    </row>
    <row r="258" spans="1:13" ht="14.25">
      <c r="A258" s="55"/>
      <c r="B258" s="55"/>
      <c r="C258" s="56"/>
      <c r="D258" s="96" t="s">
        <v>428</v>
      </c>
      <c r="E258" s="96"/>
      <c r="F258" s="96"/>
      <c r="G258" s="96"/>
      <c r="H258" s="96"/>
      <c r="I258" s="96"/>
      <c r="J258" s="43"/>
      <c r="K258" s="55"/>
      <c r="L258" s="41"/>
      <c r="M258" s="43">
        <f>SUMIF(CD39:CD239, 2, AZ39:AZ239)</f>
        <v>41337.17</v>
      </c>
    </row>
    <row r="259" spans="1:13" ht="14.25">
      <c r="A259" s="55"/>
      <c r="B259" s="55"/>
      <c r="C259" s="56"/>
      <c r="D259" s="96" t="s">
        <v>429</v>
      </c>
      <c r="E259" s="96"/>
      <c r="F259" s="96"/>
      <c r="G259" s="96"/>
      <c r="H259" s="96"/>
      <c r="I259" s="96"/>
      <c r="J259" s="43"/>
      <c r="K259" s="55"/>
      <c r="L259" s="41"/>
      <c r="M259" s="43">
        <f>SUMIF(CD39:CD239, 2, BA39:BA239)</f>
        <v>21733.97</v>
      </c>
    </row>
    <row r="260" spans="1:13" hidden="1"/>
    <row r="261" spans="1:13" ht="15" hidden="1">
      <c r="A261" s="57"/>
      <c r="B261" s="57"/>
      <c r="C261" s="58"/>
      <c r="D261" s="100" t="s">
        <v>432</v>
      </c>
      <c r="E261" s="100"/>
      <c r="F261" s="100"/>
      <c r="G261" s="100"/>
      <c r="H261" s="100"/>
      <c r="I261" s="100"/>
      <c r="J261" s="46"/>
      <c r="K261" s="57"/>
      <c r="L261" s="59"/>
      <c r="M261" s="46">
        <f>M263+M264</f>
        <v>0</v>
      </c>
    </row>
    <row r="262" spans="1:13" ht="14.25" hidden="1">
      <c r="A262" s="55"/>
      <c r="B262" s="55"/>
      <c r="C262" s="56"/>
      <c r="D262" s="101" t="s">
        <v>416</v>
      </c>
      <c r="E262" s="96"/>
      <c r="F262" s="96"/>
      <c r="G262" s="96"/>
      <c r="H262" s="96"/>
      <c r="I262" s="96"/>
      <c r="J262" s="43"/>
      <c r="K262" s="55"/>
      <c r="L262" s="41"/>
      <c r="M262" s="43"/>
    </row>
    <row r="263" spans="1:13" ht="14.25" hidden="1">
      <c r="A263" s="55"/>
      <c r="B263" s="55"/>
      <c r="C263" s="56"/>
      <c r="D263" s="96" t="s">
        <v>433</v>
      </c>
      <c r="E263" s="96"/>
      <c r="F263" s="96"/>
      <c r="G263" s="96"/>
      <c r="H263" s="96"/>
      <c r="I263" s="96"/>
      <c r="J263" s="43"/>
      <c r="K263" s="55"/>
      <c r="L263" s="41"/>
      <c r="M263" s="43">
        <f>SUMIF(CD39:CD259, 3, BK39:BK259)</f>
        <v>0</v>
      </c>
    </row>
    <row r="264" spans="1:13" ht="14.25" hidden="1">
      <c r="A264" s="55"/>
      <c r="B264" s="55"/>
      <c r="C264" s="56"/>
      <c r="D264" s="96" t="s">
        <v>434</v>
      </c>
      <c r="E264" s="96"/>
      <c r="F264" s="96"/>
      <c r="G264" s="96"/>
      <c r="H264" s="96"/>
      <c r="I264" s="96"/>
      <c r="J264" s="43"/>
      <c r="K264" s="55"/>
      <c r="L264" s="41"/>
      <c r="M264" s="43">
        <f>SUMIF(CD39:CD259, 3, BD39:BD259)</f>
        <v>0</v>
      </c>
    </row>
    <row r="265" spans="1:13" hidden="1"/>
    <row r="266" spans="1:13" ht="15" hidden="1">
      <c r="A266" s="57"/>
      <c r="B266" s="57"/>
      <c r="C266" s="58"/>
      <c r="D266" s="100" t="s">
        <v>435</v>
      </c>
      <c r="E266" s="100"/>
      <c r="F266" s="100"/>
      <c r="G266" s="100"/>
      <c r="H266" s="100"/>
      <c r="I266" s="100"/>
      <c r="J266" s="46"/>
      <c r="K266" s="57"/>
      <c r="L266" s="59"/>
      <c r="M266" s="46">
        <f>M274+M289+M290+M268+M269+M270+M271</f>
        <v>0</v>
      </c>
    </row>
    <row r="267" spans="1:13" ht="14.25" hidden="1">
      <c r="A267" s="55"/>
      <c r="B267" s="55"/>
      <c r="C267" s="56"/>
      <c r="D267" s="101" t="s">
        <v>416</v>
      </c>
      <c r="E267" s="96"/>
      <c r="F267" s="96"/>
      <c r="G267" s="96"/>
      <c r="H267" s="96"/>
      <c r="I267" s="96"/>
      <c r="J267" s="43"/>
      <c r="K267" s="55"/>
      <c r="L267" s="41"/>
      <c r="M267" s="43"/>
    </row>
    <row r="268" spans="1:13" ht="14.25" hidden="1">
      <c r="A268" s="55"/>
      <c r="B268" s="55"/>
      <c r="C268" s="56"/>
      <c r="D268" s="96" t="s">
        <v>436</v>
      </c>
      <c r="E268" s="96"/>
      <c r="F268" s="96"/>
      <c r="G268" s="96"/>
      <c r="H268" s="96"/>
      <c r="I268" s="96"/>
      <c r="J268" s="43"/>
      <c r="K268" s="55"/>
      <c r="L268" s="41"/>
      <c r="M268" s="43"/>
    </row>
    <row r="269" spans="1:13" ht="14.25" hidden="1">
      <c r="A269" s="55"/>
      <c r="B269" s="55"/>
      <c r="C269" s="56"/>
      <c r="D269" s="96" t="s">
        <v>436</v>
      </c>
      <c r="E269" s="96"/>
      <c r="F269" s="96"/>
      <c r="G269" s="96"/>
      <c r="H269" s="96"/>
      <c r="I269" s="96"/>
      <c r="J269" s="43"/>
      <c r="K269" s="55"/>
      <c r="L269" s="41"/>
      <c r="M269" s="43">
        <f>SUM(BQ39:BQ264)</f>
        <v>0</v>
      </c>
    </row>
    <row r="270" spans="1:13" ht="14.25" hidden="1">
      <c r="A270" s="55"/>
      <c r="B270" s="55"/>
      <c r="C270" s="56"/>
      <c r="D270" s="96" t="s">
        <v>437</v>
      </c>
      <c r="E270" s="96"/>
      <c r="F270" s="96"/>
      <c r="G270" s="96"/>
      <c r="H270" s="96"/>
      <c r="I270" s="96"/>
      <c r="J270" s="43"/>
      <c r="K270" s="55"/>
      <c r="L270" s="41"/>
      <c r="M270" s="43">
        <f>SUMIF(CD39:CD264, 4, BB39:BB264)+SUMIF(CD39:CD264, 4, BC39:BC264)+SUMIF(CD39:CD264, 4, BD39:BD264)</f>
        <v>0</v>
      </c>
    </row>
    <row r="271" spans="1:13" ht="14.25" hidden="1">
      <c r="A271" s="55"/>
      <c r="B271" s="55"/>
      <c r="C271" s="56"/>
      <c r="D271" s="96" t="s">
        <v>438</v>
      </c>
      <c r="E271" s="96"/>
      <c r="F271" s="96"/>
      <c r="G271" s="96"/>
      <c r="H271" s="96"/>
      <c r="I271" s="96"/>
      <c r="J271" s="43"/>
      <c r="K271" s="55"/>
      <c r="L271" s="41"/>
      <c r="M271" s="43">
        <f>SUM(BO39:BO264)</f>
        <v>0</v>
      </c>
    </row>
    <row r="272" spans="1:13" ht="14.25" hidden="1">
      <c r="A272" s="55"/>
      <c r="B272" s="55"/>
      <c r="C272" s="56"/>
      <c r="D272" s="96" t="s">
        <v>439</v>
      </c>
      <c r="E272" s="96"/>
      <c r="F272" s="96"/>
      <c r="G272" s="96"/>
      <c r="H272" s="96"/>
      <c r="I272" s="96"/>
      <c r="J272" s="43"/>
      <c r="K272" s="55"/>
      <c r="L272" s="41"/>
      <c r="M272" s="43">
        <f>M274+M289+M290</f>
        <v>0</v>
      </c>
    </row>
    <row r="273" spans="1:13" ht="14.25" hidden="1">
      <c r="A273" s="55"/>
      <c r="B273" s="55"/>
      <c r="C273" s="56"/>
      <c r="D273" s="101" t="s">
        <v>416</v>
      </c>
      <c r="E273" s="96"/>
      <c r="F273" s="96"/>
      <c r="G273" s="96"/>
      <c r="H273" s="96"/>
      <c r="I273" s="96"/>
      <c r="J273" s="43"/>
      <c r="K273" s="55"/>
      <c r="L273" s="41"/>
      <c r="M273" s="43"/>
    </row>
    <row r="274" spans="1:13" ht="14.25" hidden="1">
      <c r="A274" s="55"/>
      <c r="B274" s="55"/>
      <c r="C274" s="56"/>
      <c r="D274" s="96" t="s">
        <v>417</v>
      </c>
      <c r="E274" s="96"/>
      <c r="F274" s="96"/>
      <c r="G274" s="96"/>
      <c r="H274" s="96"/>
      <c r="I274" s="96"/>
      <c r="J274" s="43"/>
      <c r="K274" s="55"/>
      <c r="L274" s="41"/>
      <c r="M274" s="43">
        <f>M276+M277+M283+M287</f>
        <v>0</v>
      </c>
    </row>
    <row r="275" spans="1:13" ht="14.25" hidden="1">
      <c r="A275" s="55"/>
      <c r="B275" s="55"/>
      <c r="C275" s="56"/>
      <c r="D275" s="101" t="s">
        <v>416</v>
      </c>
      <c r="E275" s="96"/>
      <c r="F275" s="96"/>
      <c r="G275" s="96"/>
      <c r="H275" s="96"/>
      <c r="I275" s="96"/>
      <c r="J275" s="43"/>
      <c r="K275" s="55"/>
      <c r="L275" s="41"/>
      <c r="M275" s="43"/>
    </row>
    <row r="276" spans="1:13" ht="14.25" hidden="1">
      <c r="A276" s="55"/>
      <c r="B276" s="55"/>
      <c r="C276" s="56"/>
      <c r="D276" s="96" t="s">
        <v>418</v>
      </c>
      <c r="E276" s="96"/>
      <c r="F276" s="96"/>
      <c r="G276" s="96"/>
      <c r="H276" s="96"/>
      <c r="I276" s="96"/>
      <c r="J276" s="43"/>
      <c r="K276" s="55"/>
      <c r="L276" s="41"/>
      <c r="M276" s="43">
        <f>SUMIF(CD39:CD264, 4, AR39:AR264)</f>
        <v>0</v>
      </c>
    </row>
    <row r="277" spans="1:13" ht="14.25" hidden="1">
      <c r="A277" s="55"/>
      <c r="B277" s="55"/>
      <c r="C277" s="56"/>
      <c r="D277" s="96" t="s">
        <v>419</v>
      </c>
      <c r="E277" s="96"/>
      <c r="F277" s="96"/>
      <c r="G277" s="96"/>
      <c r="H277" s="96"/>
      <c r="I277" s="96"/>
      <c r="J277" s="43"/>
      <c r="K277" s="55"/>
      <c r="L277" s="41"/>
      <c r="M277" s="43">
        <f>M279+M282+M281</f>
        <v>0</v>
      </c>
    </row>
    <row r="278" spans="1:13" ht="14.25" hidden="1">
      <c r="A278" s="55"/>
      <c r="B278" s="55"/>
      <c r="C278" s="56"/>
      <c r="D278" s="101" t="s">
        <v>420</v>
      </c>
      <c r="E278" s="96"/>
      <c r="F278" s="96"/>
      <c r="G278" s="96"/>
      <c r="H278" s="96"/>
      <c r="I278" s="96"/>
      <c r="J278" s="43"/>
      <c r="K278" s="55"/>
      <c r="L278" s="41"/>
      <c r="M278" s="43"/>
    </row>
    <row r="279" spans="1:13" ht="14.25" hidden="1">
      <c r="A279" s="55"/>
      <c r="B279" s="55"/>
      <c r="C279" s="56"/>
      <c r="D279" s="96" t="s">
        <v>419</v>
      </c>
      <c r="E279" s="96"/>
      <c r="F279" s="96"/>
      <c r="G279" s="96"/>
      <c r="H279" s="96"/>
      <c r="I279" s="96"/>
      <c r="J279" s="43"/>
      <c r="K279" s="55"/>
      <c r="L279" s="41"/>
      <c r="M279" s="43">
        <f>SUMIF(CD39:CD264, 4, AO39:AO264)</f>
        <v>0</v>
      </c>
    </row>
    <row r="280" spans="1:13" ht="14.25" hidden="1">
      <c r="A280" s="55"/>
      <c r="B280" s="55"/>
      <c r="C280" s="56"/>
      <c r="D280" s="101" t="s">
        <v>421</v>
      </c>
      <c r="E280" s="96"/>
      <c r="F280" s="96"/>
      <c r="G280" s="96"/>
      <c r="H280" s="96"/>
      <c r="I280" s="96"/>
      <c r="J280" s="43"/>
      <c r="K280" s="55"/>
      <c r="L280" s="41"/>
      <c r="M280" s="43"/>
    </row>
    <row r="281" spans="1:13" ht="14.25" hidden="1">
      <c r="A281" s="55"/>
      <c r="B281" s="55"/>
      <c r="C281" s="56"/>
      <c r="D281" s="96" t="s">
        <v>430</v>
      </c>
      <c r="E281" s="96"/>
      <c r="F281" s="96"/>
      <c r="G281" s="96"/>
      <c r="H281" s="96"/>
      <c r="I281" s="96"/>
      <c r="J281" s="43"/>
      <c r="K281" s="55"/>
      <c r="L281" s="41"/>
      <c r="M281" s="43">
        <f>SUMIF(CD39:CD264, 4, AT39:AT264)</f>
        <v>0</v>
      </c>
    </row>
    <row r="282" spans="1:13" ht="14.25" hidden="1">
      <c r="A282" s="55"/>
      <c r="B282" s="55"/>
      <c r="C282" s="56"/>
      <c r="D282" s="96" t="s">
        <v>422</v>
      </c>
      <c r="E282" s="96"/>
      <c r="F282" s="96"/>
      <c r="G282" s="96"/>
      <c r="H282" s="96"/>
      <c r="I282" s="96"/>
      <c r="J282" s="43"/>
      <c r="K282" s="55"/>
      <c r="L282" s="41"/>
      <c r="M282" s="43">
        <f>SUMIF(CD39:CD264, 4, AV39:AV264)</f>
        <v>0</v>
      </c>
    </row>
    <row r="283" spans="1:13" ht="14.25" hidden="1">
      <c r="A283" s="55"/>
      <c r="B283" s="55"/>
      <c r="C283" s="56"/>
      <c r="D283" s="96" t="s">
        <v>423</v>
      </c>
      <c r="E283" s="96"/>
      <c r="F283" s="96"/>
      <c r="G283" s="96"/>
      <c r="H283" s="96"/>
      <c r="I283" s="96"/>
      <c r="J283" s="43"/>
      <c r="K283" s="55"/>
      <c r="L283" s="41"/>
      <c r="M283" s="43">
        <f>M285+M286</f>
        <v>0</v>
      </c>
    </row>
    <row r="284" spans="1:13" ht="14.25" hidden="1">
      <c r="A284" s="55"/>
      <c r="B284" s="55"/>
      <c r="C284" s="56"/>
      <c r="D284" s="101" t="s">
        <v>420</v>
      </c>
      <c r="E284" s="96"/>
      <c r="F284" s="96"/>
      <c r="G284" s="96"/>
      <c r="H284" s="96"/>
      <c r="I284" s="96"/>
      <c r="J284" s="43"/>
      <c r="K284" s="55"/>
      <c r="L284" s="41"/>
      <c r="M284" s="43"/>
    </row>
    <row r="285" spans="1:13" ht="14.25" hidden="1">
      <c r="A285" s="55"/>
      <c r="B285" s="55"/>
      <c r="C285" s="56"/>
      <c r="D285" s="96" t="s">
        <v>424</v>
      </c>
      <c r="E285" s="96"/>
      <c r="F285" s="96"/>
      <c r="G285" s="96"/>
      <c r="H285" s="96"/>
      <c r="I285" s="96"/>
      <c r="J285" s="43"/>
      <c r="K285" s="55"/>
      <c r="L285" s="41"/>
      <c r="M285" s="43">
        <f>SUMIF(CD39:CD264, 4, AW39:AW264)-SUMIF(CD39:CD264, 4, BK39:BK264)</f>
        <v>0</v>
      </c>
    </row>
    <row r="286" spans="1:13" ht="14.25" hidden="1">
      <c r="A286" s="55"/>
      <c r="B286" s="55"/>
      <c r="C286" s="56"/>
      <c r="D286" s="96" t="s">
        <v>425</v>
      </c>
      <c r="E286" s="96"/>
      <c r="F286" s="96"/>
      <c r="G286" s="96"/>
      <c r="H286" s="96"/>
      <c r="I286" s="96"/>
      <c r="J286" s="43"/>
      <c r="K286" s="55"/>
      <c r="L286" s="41"/>
      <c r="M286" s="43">
        <f>SUMIF(CD39:CD264, 4, BC39:BC264)</f>
        <v>0</v>
      </c>
    </row>
    <row r="287" spans="1:13" ht="14.25" hidden="1">
      <c r="A287" s="55"/>
      <c r="B287" s="55"/>
      <c r="C287" s="56"/>
      <c r="D287" s="96" t="s">
        <v>426</v>
      </c>
      <c r="E287" s="96"/>
      <c r="F287" s="96"/>
      <c r="G287" s="96"/>
      <c r="H287" s="96"/>
      <c r="I287" s="96"/>
      <c r="J287" s="43"/>
      <c r="K287" s="55"/>
      <c r="L287" s="41"/>
      <c r="M287" s="43">
        <f>SUMIF(CD39:CD264, 4, BB39:BB264)</f>
        <v>0</v>
      </c>
    </row>
    <row r="288" spans="1:13" ht="14.25" hidden="1">
      <c r="A288" s="55"/>
      <c r="B288" s="55"/>
      <c r="C288" s="56"/>
      <c r="D288" s="96" t="s">
        <v>427</v>
      </c>
      <c r="E288" s="96"/>
      <c r="F288" s="96"/>
      <c r="G288" s="96"/>
      <c r="H288" s="96"/>
      <c r="I288" s="96"/>
      <c r="J288" s="43"/>
      <c r="K288" s="55"/>
      <c r="L288" s="41"/>
      <c r="M288" s="43">
        <f>SUMIF(CD39:CD264, 4, AR39:AR264)+SUMIF(CD39:CD264, 4, AT39:AT264)+SUMIF(CD39:CD264, 4, AV39:AV264)</f>
        <v>0</v>
      </c>
    </row>
    <row r="289" spans="1:13" ht="14.25" hidden="1">
      <c r="A289" s="55"/>
      <c r="B289" s="55"/>
      <c r="C289" s="56"/>
      <c r="D289" s="96" t="s">
        <v>428</v>
      </c>
      <c r="E289" s="96"/>
      <c r="F289" s="96"/>
      <c r="G289" s="96"/>
      <c r="H289" s="96"/>
      <c r="I289" s="96"/>
      <c r="J289" s="43"/>
      <c r="K289" s="55"/>
      <c r="L289" s="41"/>
      <c r="M289" s="43">
        <f>SUMIF(CD39:CD264, 4, AZ39:AZ264)</f>
        <v>0</v>
      </c>
    </row>
    <row r="290" spans="1:13" ht="14.25" hidden="1">
      <c r="A290" s="55"/>
      <c r="B290" s="55"/>
      <c r="C290" s="56"/>
      <c r="D290" s="96" t="s">
        <v>429</v>
      </c>
      <c r="E290" s="96"/>
      <c r="F290" s="96"/>
      <c r="G290" s="96"/>
      <c r="H290" s="96"/>
      <c r="I290" s="96"/>
      <c r="J290" s="43"/>
      <c r="K290" s="55"/>
      <c r="L290" s="41"/>
      <c r="M290" s="43">
        <f>SUMIF(CD39:CD264, 4, BA39:BA264)</f>
        <v>0</v>
      </c>
    </row>
    <row r="292" spans="1:13" ht="15">
      <c r="A292" s="57"/>
      <c r="B292" s="57"/>
      <c r="C292" s="58"/>
      <c r="D292" s="100" t="s">
        <v>483</v>
      </c>
      <c r="E292" s="100"/>
      <c r="F292" s="100"/>
      <c r="G292" s="100"/>
      <c r="H292" s="100"/>
      <c r="I292" s="100"/>
      <c r="J292" s="46"/>
      <c r="K292" s="57"/>
      <c r="L292" s="59"/>
      <c r="M292" s="46">
        <f>M221+M241+M261+M266</f>
        <v>446992.58</v>
      </c>
    </row>
    <row r="293" spans="1:13" ht="14.25">
      <c r="A293" s="55"/>
      <c r="B293" s="55"/>
      <c r="C293" s="56"/>
      <c r="D293" s="101" t="s">
        <v>416</v>
      </c>
      <c r="E293" s="96"/>
      <c r="F293" s="96"/>
      <c r="G293" s="96"/>
      <c r="H293" s="96"/>
      <c r="I293" s="96"/>
      <c r="J293" s="43"/>
      <c r="K293" s="55"/>
      <c r="L293" s="41"/>
      <c r="M293" s="43"/>
    </row>
    <row r="294" spans="1:13" ht="14.25">
      <c r="A294" s="55"/>
      <c r="B294" s="55"/>
      <c r="C294" s="56"/>
      <c r="D294" s="96" t="s">
        <v>417</v>
      </c>
      <c r="E294" s="96"/>
      <c r="F294" s="96"/>
      <c r="G294" s="96"/>
      <c r="H294" s="96"/>
      <c r="I294" s="96"/>
      <c r="J294" s="43"/>
      <c r="K294" s="55"/>
      <c r="L294" s="41"/>
      <c r="M294" s="43">
        <f>M296+M297+M303+M307</f>
        <v>233365.4</v>
      </c>
    </row>
    <row r="295" spans="1:13" ht="14.25">
      <c r="A295" s="55"/>
      <c r="B295" s="55"/>
      <c r="C295" s="56"/>
      <c r="D295" s="101" t="s">
        <v>416</v>
      </c>
      <c r="E295" s="96"/>
      <c r="F295" s="96"/>
      <c r="G295" s="96"/>
      <c r="H295" s="96"/>
      <c r="I295" s="96"/>
      <c r="J295" s="43"/>
      <c r="K295" s="55"/>
      <c r="L295" s="41"/>
      <c r="M295" s="43"/>
    </row>
    <row r="296" spans="1:13" ht="14.25">
      <c r="A296" s="55"/>
      <c r="B296" s="55"/>
      <c r="C296" s="56"/>
      <c r="D296" s="96" t="s">
        <v>418</v>
      </c>
      <c r="E296" s="96"/>
      <c r="F296" s="96"/>
      <c r="G296" s="96"/>
      <c r="H296" s="96"/>
      <c r="I296" s="96"/>
      <c r="J296" s="43"/>
      <c r="K296" s="55"/>
      <c r="L296" s="41"/>
      <c r="M296" s="43">
        <f>SUM(AR39:AR290)</f>
        <v>105304.53000000001</v>
      </c>
    </row>
    <row r="297" spans="1:13" ht="14.25" hidden="1">
      <c r="A297" s="55"/>
      <c r="B297" s="55"/>
      <c r="C297" s="56"/>
      <c r="D297" s="96" t="s">
        <v>419</v>
      </c>
      <c r="E297" s="96"/>
      <c r="F297" s="96"/>
      <c r="G297" s="96"/>
      <c r="H297" s="96"/>
      <c r="I297" s="96"/>
      <c r="J297" s="43"/>
      <c r="K297" s="55"/>
      <c r="L297" s="41"/>
      <c r="M297" s="43">
        <f>M299+M302+M301</f>
        <v>127423.72</v>
      </c>
    </row>
    <row r="298" spans="1:13" ht="14.25" hidden="1">
      <c r="A298" s="55"/>
      <c r="B298" s="55"/>
      <c r="C298" s="56"/>
      <c r="D298" s="101" t="s">
        <v>420</v>
      </c>
      <c r="E298" s="96"/>
      <c r="F298" s="96"/>
      <c r="G298" s="96"/>
      <c r="H298" s="96"/>
      <c r="I298" s="96"/>
      <c r="J298" s="43"/>
      <c r="K298" s="55"/>
      <c r="L298" s="41"/>
      <c r="M298" s="43"/>
    </row>
    <row r="299" spans="1:13" ht="14.25">
      <c r="A299" s="55"/>
      <c r="B299" s="55"/>
      <c r="C299" s="56"/>
      <c r="D299" s="96" t="s">
        <v>419</v>
      </c>
      <c r="E299" s="96"/>
      <c r="F299" s="96"/>
      <c r="G299" s="96"/>
      <c r="H299" s="96"/>
      <c r="I299" s="96"/>
      <c r="J299" s="43"/>
      <c r="K299" s="55"/>
      <c r="L299" s="41"/>
      <c r="M299" s="43">
        <f>SUM(AO39:AO290)</f>
        <v>94306.200000000012</v>
      </c>
    </row>
    <row r="300" spans="1:13" ht="14.25" hidden="1">
      <c r="A300" s="55"/>
      <c r="B300" s="55"/>
      <c r="C300" s="56"/>
      <c r="D300" s="101" t="s">
        <v>421</v>
      </c>
      <c r="E300" s="96"/>
      <c r="F300" s="96"/>
      <c r="G300" s="96"/>
      <c r="H300" s="96"/>
      <c r="I300" s="96"/>
      <c r="J300" s="43"/>
      <c r="K300" s="55"/>
      <c r="L300" s="41"/>
      <c r="M300" s="43"/>
    </row>
    <row r="301" spans="1:13" ht="14.25">
      <c r="A301" s="55"/>
      <c r="B301" s="55"/>
      <c r="C301" s="56"/>
      <c r="D301" s="96" t="s">
        <v>430</v>
      </c>
      <c r="E301" s="96"/>
      <c r="F301" s="96"/>
      <c r="G301" s="96"/>
      <c r="H301" s="96"/>
      <c r="I301" s="96"/>
      <c r="J301" s="43"/>
      <c r="K301" s="55"/>
      <c r="L301" s="41"/>
      <c r="M301" s="43">
        <f>SUM(AT39:AT290)</f>
        <v>33117.519999999997</v>
      </c>
    </row>
    <row r="302" spans="1:13" ht="14.25" hidden="1">
      <c r="A302" s="55"/>
      <c r="B302" s="55"/>
      <c r="C302" s="56"/>
      <c r="D302" s="96" t="s">
        <v>422</v>
      </c>
      <c r="E302" s="96"/>
      <c r="F302" s="96"/>
      <c r="G302" s="96"/>
      <c r="H302" s="96"/>
      <c r="I302" s="96"/>
      <c r="J302" s="43"/>
      <c r="K302" s="55"/>
      <c r="L302" s="41"/>
      <c r="M302" s="43">
        <f>SUM(AV39:AV290)</f>
        <v>0</v>
      </c>
    </row>
    <row r="303" spans="1:13" ht="14.25">
      <c r="A303" s="55"/>
      <c r="B303" s="55"/>
      <c r="C303" s="56"/>
      <c r="D303" s="96" t="s">
        <v>423</v>
      </c>
      <c r="E303" s="96"/>
      <c r="F303" s="96"/>
      <c r="G303" s="96"/>
      <c r="H303" s="96"/>
      <c r="I303" s="96"/>
      <c r="J303" s="43"/>
      <c r="K303" s="55"/>
      <c r="L303" s="41"/>
      <c r="M303" s="43">
        <f>M305+M306</f>
        <v>637.15</v>
      </c>
    </row>
    <row r="304" spans="1:13" ht="14.25">
      <c r="A304" s="55"/>
      <c r="B304" s="55"/>
      <c r="C304" s="56"/>
      <c r="D304" s="101" t="s">
        <v>420</v>
      </c>
      <c r="E304" s="96"/>
      <c r="F304" s="96"/>
      <c r="G304" s="96"/>
      <c r="H304" s="96"/>
      <c r="I304" s="96"/>
      <c r="J304" s="43"/>
      <c r="K304" s="55"/>
      <c r="L304" s="41"/>
      <c r="M304" s="43"/>
    </row>
    <row r="305" spans="1:13" ht="14.25">
      <c r="A305" s="55"/>
      <c r="B305" s="55"/>
      <c r="C305" s="56"/>
      <c r="D305" s="96" t="s">
        <v>424</v>
      </c>
      <c r="E305" s="96"/>
      <c r="F305" s="96"/>
      <c r="G305" s="96"/>
      <c r="H305" s="96"/>
      <c r="I305" s="96"/>
      <c r="J305" s="43"/>
      <c r="K305" s="55"/>
      <c r="L305" s="41"/>
      <c r="M305" s="43">
        <f>SUM(AW39:AW290)-SUM(BK39:BK290)</f>
        <v>637.15</v>
      </c>
    </row>
    <row r="306" spans="1:13" ht="14.25" hidden="1">
      <c r="A306" s="55"/>
      <c r="B306" s="55"/>
      <c r="C306" s="56"/>
      <c r="D306" s="96" t="s">
        <v>425</v>
      </c>
      <c r="E306" s="96"/>
      <c r="F306" s="96"/>
      <c r="G306" s="96"/>
      <c r="H306" s="96"/>
      <c r="I306" s="96"/>
      <c r="J306" s="43"/>
      <c r="K306" s="55"/>
      <c r="L306" s="41"/>
      <c r="M306" s="43">
        <f>SUM(BC39:BC290)</f>
        <v>0</v>
      </c>
    </row>
    <row r="307" spans="1:13" ht="14.25" hidden="1">
      <c r="A307" s="55"/>
      <c r="B307" s="55"/>
      <c r="C307" s="56"/>
      <c r="D307" s="96" t="s">
        <v>426</v>
      </c>
      <c r="E307" s="96"/>
      <c r="F307" s="96"/>
      <c r="G307" s="96"/>
      <c r="H307" s="96"/>
      <c r="I307" s="96"/>
      <c r="J307" s="43"/>
      <c r="K307" s="55"/>
      <c r="L307" s="41"/>
      <c r="M307" s="43">
        <f>SUM(BB39:BB290)</f>
        <v>0</v>
      </c>
    </row>
    <row r="308" spans="1:13" ht="14.25">
      <c r="A308" s="55"/>
      <c r="B308" s="55"/>
      <c r="C308" s="56"/>
      <c r="D308" s="96" t="s">
        <v>441</v>
      </c>
      <c r="E308" s="96"/>
      <c r="F308" s="96"/>
      <c r="G308" s="96"/>
      <c r="H308" s="96"/>
      <c r="I308" s="96"/>
      <c r="J308" s="43"/>
      <c r="K308" s="55"/>
      <c r="L308" s="41"/>
      <c r="M308" s="43">
        <f>SUM(AR39:AR290)+SUM(AT39:AT290)+SUM(AV39:AV290)</f>
        <v>138422.05000000002</v>
      </c>
    </row>
    <row r="309" spans="1:13" ht="14.25">
      <c r="A309" s="55"/>
      <c r="B309" s="55"/>
      <c r="C309" s="56"/>
      <c r="D309" s="96" t="s">
        <v>442</v>
      </c>
      <c r="E309" s="96"/>
      <c r="F309" s="96"/>
      <c r="G309" s="96"/>
      <c r="H309" s="96"/>
      <c r="I309" s="96"/>
      <c r="J309" s="43"/>
      <c r="K309" s="55"/>
      <c r="L309" s="41"/>
      <c r="M309" s="43">
        <f>SUM(AZ39:AZ290)</f>
        <v>136503.56</v>
      </c>
    </row>
    <row r="310" spans="1:13" ht="14.25">
      <c r="A310" s="55"/>
      <c r="B310" s="55"/>
      <c r="C310" s="56"/>
      <c r="D310" s="96" t="s">
        <v>443</v>
      </c>
      <c r="E310" s="96"/>
      <c r="F310" s="96"/>
      <c r="G310" s="96"/>
      <c r="H310" s="96"/>
      <c r="I310" s="96"/>
      <c r="J310" s="43"/>
      <c r="K310" s="55"/>
      <c r="L310" s="41"/>
      <c r="M310" s="43">
        <f>SUM(BA39:BA290)</f>
        <v>77123.62</v>
      </c>
    </row>
    <row r="311" spans="1:13" ht="14.25" hidden="1">
      <c r="A311" s="55"/>
      <c r="B311" s="55"/>
      <c r="C311" s="56"/>
      <c r="D311" s="96" t="s">
        <v>444</v>
      </c>
      <c r="E311" s="96"/>
      <c r="F311" s="96"/>
      <c r="G311" s="96"/>
      <c r="H311" s="96"/>
      <c r="I311" s="96"/>
      <c r="J311" s="43"/>
      <c r="K311" s="55"/>
      <c r="L311" s="41"/>
      <c r="M311" s="43">
        <f>M313+M314</f>
        <v>0</v>
      </c>
    </row>
    <row r="312" spans="1:13" ht="14.25" hidden="1">
      <c r="A312" s="55"/>
      <c r="B312" s="55"/>
      <c r="C312" s="56"/>
      <c r="D312" s="101" t="s">
        <v>416</v>
      </c>
      <c r="E312" s="96"/>
      <c r="F312" s="96"/>
      <c r="G312" s="96"/>
      <c r="H312" s="96"/>
      <c r="I312" s="96"/>
      <c r="J312" s="43"/>
      <c r="K312" s="55"/>
      <c r="L312" s="41"/>
      <c r="M312" s="43"/>
    </row>
    <row r="313" spans="1:13" ht="14.25" hidden="1">
      <c r="A313" s="55"/>
      <c r="B313" s="55"/>
      <c r="C313" s="56"/>
      <c r="D313" s="96" t="s">
        <v>433</v>
      </c>
      <c r="E313" s="96"/>
      <c r="F313" s="96"/>
      <c r="G313" s="96"/>
      <c r="H313" s="96"/>
      <c r="I313" s="96"/>
      <c r="J313" s="43"/>
      <c r="K313" s="55"/>
      <c r="L313" s="41"/>
      <c r="M313" s="43">
        <f>SUM(BK39:BK290)</f>
        <v>0</v>
      </c>
    </row>
    <row r="314" spans="1:13" ht="14.25" hidden="1">
      <c r="A314" s="55"/>
      <c r="B314" s="55"/>
      <c r="C314" s="56"/>
      <c r="D314" s="96" t="s">
        <v>434</v>
      </c>
      <c r="E314" s="96"/>
      <c r="F314" s="96"/>
      <c r="G314" s="96"/>
      <c r="H314" s="96"/>
      <c r="I314" s="96"/>
      <c r="J314" s="43"/>
      <c r="K314" s="55"/>
      <c r="L314" s="41"/>
      <c r="M314" s="43">
        <f>SUM(BD39:BD290)</f>
        <v>0</v>
      </c>
    </row>
    <row r="315" spans="1:13" ht="14.25" hidden="1">
      <c r="A315" s="55"/>
      <c r="B315" s="55"/>
      <c r="C315" s="56"/>
      <c r="D315" s="96" t="s">
        <v>445</v>
      </c>
      <c r="E315" s="96"/>
      <c r="F315" s="96"/>
      <c r="G315" s="96"/>
      <c r="H315" s="96"/>
      <c r="I315" s="96"/>
      <c r="J315" s="43"/>
      <c r="K315" s="55"/>
      <c r="L315" s="41"/>
      <c r="M315" s="43">
        <f>M266</f>
        <v>0</v>
      </c>
    </row>
    <row r="316" spans="1:13" ht="14.25">
      <c r="A316" s="55"/>
      <c r="B316" s="55"/>
      <c r="C316" s="56"/>
      <c r="D316" s="100" t="s">
        <v>446</v>
      </c>
      <c r="E316" s="96"/>
      <c r="F316" s="96"/>
      <c r="G316" s="96"/>
      <c r="H316" s="96"/>
      <c r="I316" s="96"/>
      <c r="J316" s="43"/>
      <c r="K316" s="55"/>
      <c r="L316" s="41"/>
      <c r="M316" s="43"/>
    </row>
    <row r="317" spans="1:13" ht="14.25" hidden="1">
      <c r="A317" s="55"/>
      <c r="B317" s="55"/>
      <c r="C317" s="56"/>
      <c r="D317" s="96" t="s">
        <v>447</v>
      </c>
      <c r="E317" s="96"/>
      <c r="F317" s="96"/>
      <c r="G317" s="96"/>
      <c r="H317" s="96"/>
      <c r="I317" s="96"/>
      <c r="J317" s="43"/>
      <c r="K317" s="55"/>
      <c r="L317" s="41"/>
      <c r="M317" s="43">
        <f>SUM(AX39:AX290)</f>
        <v>0</v>
      </c>
    </row>
    <row r="318" spans="1:13" ht="14.25" hidden="1">
      <c r="A318" s="55"/>
      <c r="B318" s="55"/>
      <c r="C318" s="56"/>
      <c r="D318" s="96" t="s">
        <v>448</v>
      </c>
      <c r="E318" s="96"/>
      <c r="F318" s="96"/>
      <c r="G318" s="96"/>
      <c r="H318" s="96"/>
      <c r="I318" s="96"/>
      <c r="J318" s="43"/>
      <c r="K318" s="55"/>
      <c r="L318" s="41"/>
      <c r="M318" s="43">
        <f>SUM(AY39:AY290)</f>
        <v>0</v>
      </c>
    </row>
    <row r="319" spans="1:13" ht="14.25">
      <c r="A319" s="55"/>
      <c r="B319" s="55"/>
      <c r="C319" s="56"/>
      <c r="D319" s="96" t="s">
        <v>449</v>
      </c>
      <c r="E319" s="96"/>
      <c r="F319" s="96"/>
      <c r="G319" s="97"/>
      <c r="H319" s="45">
        <f>Source!F67</f>
        <v>282.28830540000001</v>
      </c>
      <c r="I319" s="55"/>
      <c r="J319" s="55"/>
      <c r="K319" s="55"/>
      <c r="L319" s="55"/>
      <c r="M319" s="55"/>
    </row>
    <row r="320" spans="1:13" ht="14.25">
      <c r="A320" s="55"/>
      <c r="B320" s="55"/>
      <c r="C320" s="56"/>
      <c r="D320" s="96" t="s">
        <v>450</v>
      </c>
      <c r="E320" s="96"/>
      <c r="F320" s="96"/>
      <c r="G320" s="97"/>
      <c r="H320" s="45">
        <f>Source!F68</f>
        <v>68.982838999999998</v>
      </c>
      <c r="I320" s="55"/>
      <c r="J320" s="55"/>
      <c r="K320" s="55"/>
      <c r="L320" s="55"/>
      <c r="M320" s="55"/>
    </row>
    <row r="322" spans="1:13" ht="14.25">
      <c r="D322" s="98" t="str">
        <f>Source!H74</f>
        <v>Итого</v>
      </c>
      <c r="E322" s="98"/>
      <c r="F322" s="98"/>
      <c r="G322" s="98"/>
      <c r="H322" s="98"/>
      <c r="I322" s="98"/>
      <c r="J322" s="98"/>
      <c r="K322" s="98"/>
      <c r="L322" s="98"/>
      <c r="M322" s="53">
        <f>IF(Source!Y74=0, "", Source!Y74)</f>
        <v>446992.58</v>
      </c>
    </row>
    <row r="323" spans="1:13" ht="14.25">
      <c r="D323" s="98" t="str">
        <f>Source!H75</f>
        <v>НДС 22%</v>
      </c>
      <c r="E323" s="98"/>
      <c r="F323" s="98"/>
      <c r="G323" s="98"/>
      <c r="H323" s="98"/>
      <c r="I323" s="98"/>
      <c r="J323" s="98"/>
      <c r="K323" s="98"/>
      <c r="L323" s="98"/>
      <c r="M323" s="53">
        <f>IF(Source!Y75=0, "", Source!Y75)</f>
        <v>98338.37</v>
      </c>
    </row>
    <row r="324" spans="1:13" ht="14.25">
      <c r="D324" s="98" t="str">
        <f>Source!H76</f>
        <v>ВСЕГО</v>
      </c>
      <c r="E324" s="98"/>
      <c r="F324" s="98"/>
      <c r="G324" s="98"/>
      <c r="H324" s="98"/>
      <c r="I324" s="98"/>
      <c r="J324" s="98"/>
      <c r="K324" s="98"/>
      <c r="L324" s="98"/>
      <c r="M324" s="53">
        <f>IF(Source!Y76=0, "", Source!Y76)</f>
        <v>545330.94999999995</v>
      </c>
    </row>
    <row r="327" spans="1:13" ht="14.25" customHeight="1">
      <c r="A327" s="83"/>
      <c r="B327" s="9"/>
      <c r="C327" s="84" t="s">
        <v>484</v>
      </c>
      <c r="D327" s="86" t="str">
        <f>IF(Source!AM12&lt;&gt;"", Source!AM12," ")</f>
        <v xml:space="preserve"> </v>
      </c>
      <c r="E327" s="87"/>
      <c r="F327" s="87"/>
      <c r="G327" s="87"/>
      <c r="H327" s="87"/>
      <c r="I327" s="85" t="str">
        <f>IF(Source!AL12&lt;&gt;"", Source!AL12," ")</f>
        <v xml:space="preserve"> </v>
      </c>
      <c r="J327" s="14"/>
      <c r="K327" s="14"/>
      <c r="L327" s="14"/>
      <c r="M327" s="14"/>
    </row>
    <row r="328" spans="1:13" ht="14.25" customHeight="1">
      <c r="A328" s="25"/>
      <c r="B328" s="9"/>
      <c r="C328" s="68"/>
      <c r="D328" s="129" t="s">
        <v>452</v>
      </c>
      <c r="E328" s="129"/>
      <c r="F328" s="129"/>
      <c r="G328" s="129"/>
      <c r="H328" s="129"/>
      <c r="I328" s="13"/>
      <c r="J328" s="14"/>
      <c r="K328" s="14"/>
      <c r="L328" s="14"/>
      <c r="M328" s="14"/>
    </row>
    <row r="329" spans="1:13" ht="12.75" customHeight="1">
      <c r="A329" s="25"/>
      <c r="B329" s="9"/>
      <c r="C329" s="88"/>
      <c r="D329" s="25"/>
      <c r="E329" s="25"/>
      <c r="F329" s="25"/>
      <c r="G329" s="25"/>
      <c r="H329" s="25"/>
      <c r="I329" s="25"/>
      <c r="J329" s="14"/>
      <c r="K329" s="14"/>
      <c r="L329" s="14"/>
      <c r="M329" s="14"/>
    </row>
    <row r="330" spans="1:13" ht="14.25" customHeight="1">
      <c r="A330" s="25"/>
      <c r="B330" s="9"/>
      <c r="C330" s="84" t="s">
        <v>485</v>
      </c>
      <c r="D330" s="86" t="str">
        <f>IF(Source!AI12&lt;&gt;"", Source!AI12," ")</f>
        <v xml:space="preserve"> </v>
      </c>
      <c r="E330" s="87"/>
      <c r="F330" s="87"/>
      <c r="G330" s="87"/>
      <c r="H330" s="87"/>
      <c r="I330" s="89" t="str">
        <f>IF(Source!AH12&lt;&gt;"", Source!AH12," ")</f>
        <v xml:space="preserve"> </v>
      </c>
      <c r="J330" s="14"/>
      <c r="K330" s="14"/>
      <c r="L330" s="14"/>
      <c r="M330" s="14"/>
    </row>
    <row r="331" spans="1:13" ht="14.25" customHeight="1">
      <c r="A331" s="25"/>
      <c r="B331" s="13"/>
      <c r="C331" s="13"/>
      <c r="D331" s="129" t="s">
        <v>452</v>
      </c>
      <c r="E331" s="129"/>
      <c r="F331" s="129"/>
      <c r="G331" s="129"/>
      <c r="H331" s="129"/>
      <c r="I331" s="13"/>
      <c r="J331" s="14"/>
      <c r="K331" s="14"/>
      <c r="L331" s="14"/>
      <c r="M331" s="14"/>
    </row>
  </sheetData>
  <mergeCells count="184">
    <mergeCell ref="A9:B9"/>
    <mergeCell ref="C9:I9"/>
    <mergeCell ref="C10:I10"/>
    <mergeCell ref="K10:M11"/>
    <mergeCell ref="A11:B11"/>
    <mergeCell ref="C11:I11"/>
    <mergeCell ref="J2:M2"/>
    <mergeCell ref="I3:M3"/>
    <mergeCell ref="J4:M4"/>
    <mergeCell ref="K6:M6"/>
    <mergeCell ref="K7:M7"/>
    <mergeCell ref="K8:M9"/>
    <mergeCell ref="A17:B17"/>
    <mergeCell ref="C17:I17"/>
    <mergeCell ref="C18:I18"/>
    <mergeCell ref="H19:J19"/>
    <mergeCell ref="K19:M19"/>
    <mergeCell ref="C12:I12"/>
    <mergeCell ref="K12:M13"/>
    <mergeCell ref="A13:B13"/>
    <mergeCell ref="C13:I13"/>
    <mergeCell ref="C14:I14"/>
    <mergeCell ref="K14:M15"/>
    <mergeCell ref="A15:B15"/>
    <mergeCell ref="C15:I15"/>
    <mergeCell ref="H20:I20"/>
    <mergeCell ref="K20:M20"/>
    <mergeCell ref="K21:M21"/>
    <mergeCell ref="K22:M22"/>
    <mergeCell ref="G24:G25"/>
    <mergeCell ref="H24:H25"/>
    <mergeCell ref="I24:J24"/>
    <mergeCell ref="C16:I16"/>
    <mergeCell ref="K16:M17"/>
    <mergeCell ref="B33:B36"/>
    <mergeCell ref="A39:M39"/>
    <mergeCell ref="D52:I52"/>
    <mergeCell ref="J52:K52"/>
    <mergeCell ref="L52:M52"/>
    <mergeCell ref="D73:I73"/>
    <mergeCell ref="J73:K73"/>
    <mergeCell ref="L73:M73"/>
    <mergeCell ref="A28:M28"/>
    <mergeCell ref="A29:M29"/>
    <mergeCell ref="A31:M31"/>
    <mergeCell ref="A32:B32"/>
    <mergeCell ref="C32:C36"/>
    <mergeCell ref="D32:D36"/>
    <mergeCell ref="E32:E36"/>
    <mergeCell ref="F32:H35"/>
    <mergeCell ref="I32:M35"/>
    <mergeCell ref="A33:A36"/>
    <mergeCell ref="D112:I112"/>
    <mergeCell ref="J112:K112"/>
    <mergeCell ref="L112:M112"/>
    <mergeCell ref="D123:I123"/>
    <mergeCell ref="J123:K123"/>
    <mergeCell ref="L123:M123"/>
    <mergeCell ref="D86:I86"/>
    <mergeCell ref="J86:K86"/>
    <mergeCell ref="L86:M86"/>
    <mergeCell ref="D99:I99"/>
    <mergeCell ref="J99:K99"/>
    <mergeCell ref="L99:M99"/>
    <mergeCell ref="D170:I170"/>
    <mergeCell ref="J170:K170"/>
    <mergeCell ref="L170:M170"/>
    <mergeCell ref="D183:I183"/>
    <mergeCell ref="J183:K183"/>
    <mergeCell ref="L183:M183"/>
    <mergeCell ref="D138:I138"/>
    <mergeCell ref="J138:K138"/>
    <mergeCell ref="L138:M138"/>
    <mergeCell ref="D153:I153"/>
    <mergeCell ref="J153:K153"/>
    <mergeCell ref="L153:M153"/>
    <mergeCell ref="D219:I219"/>
    <mergeCell ref="D221:I221"/>
    <mergeCell ref="D222:I222"/>
    <mergeCell ref="D223:I223"/>
    <mergeCell ref="D224:I224"/>
    <mergeCell ref="D225:I225"/>
    <mergeCell ref="D200:I200"/>
    <mergeCell ref="J200:K200"/>
    <mergeCell ref="L200:M200"/>
    <mergeCell ref="D217:I217"/>
    <mergeCell ref="J217:K217"/>
    <mergeCell ref="L217:M217"/>
    <mergeCell ref="D232:I232"/>
    <mergeCell ref="D233:I233"/>
    <mergeCell ref="D234:I234"/>
    <mergeCell ref="D235:I235"/>
    <mergeCell ref="D236:I236"/>
    <mergeCell ref="D237:I237"/>
    <mergeCell ref="D226:I226"/>
    <mergeCell ref="D227:I227"/>
    <mergeCell ref="D228:I228"/>
    <mergeCell ref="D229:I229"/>
    <mergeCell ref="D230:I230"/>
    <mergeCell ref="D231:I231"/>
    <mergeCell ref="D245:I245"/>
    <mergeCell ref="D246:I246"/>
    <mergeCell ref="D247:I247"/>
    <mergeCell ref="D248:I248"/>
    <mergeCell ref="D249:I249"/>
    <mergeCell ref="D250:I250"/>
    <mergeCell ref="D238:I238"/>
    <mergeCell ref="D239:I239"/>
    <mergeCell ref="D241:I241"/>
    <mergeCell ref="D242:I242"/>
    <mergeCell ref="D243:I243"/>
    <mergeCell ref="D244:I244"/>
    <mergeCell ref="D257:I257"/>
    <mergeCell ref="D258:I258"/>
    <mergeCell ref="D259:I259"/>
    <mergeCell ref="D261:I261"/>
    <mergeCell ref="D262:I262"/>
    <mergeCell ref="D263:I263"/>
    <mergeCell ref="D251:I251"/>
    <mergeCell ref="D252:I252"/>
    <mergeCell ref="D253:I253"/>
    <mergeCell ref="D254:I254"/>
    <mergeCell ref="D255:I255"/>
    <mergeCell ref="D256:I256"/>
    <mergeCell ref="D271:I271"/>
    <mergeCell ref="D272:I272"/>
    <mergeCell ref="D273:I273"/>
    <mergeCell ref="D274:I274"/>
    <mergeCell ref="D275:I275"/>
    <mergeCell ref="D276:I276"/>
    <mergeCell ref="D264:I264"/>
    <mergeCell ref="D266:I266"/>
    <mergeCell ref="D267:I267"/>
    <mergeCell ref="D268:I268"/>
    <mergeCell ref="D269:I269"/>
    <mergeCell ref="D270:I270"/>
    <mergeCell ref="D283:I283"/>
    <mergeCell ref="D284:I284"/>
    <mergeCell ref="D285:I285"/>
    <mergeCell ref="D286:I286"/>
    <mergeCell ref="D287:I287"/>
    <mergeCell ref="D288:I288"/>
    <mergeCell ref="D277:I277"/>
    <mergeCell ref="D278:I278"/>
    <mergeCell ref="D279:I279"/>
    <mergeCell ref="D280:I280"/>
    <mergeCell ref="D281:I281"/>
    <mergeCell ref="D282:I282"/>
    <mergeCell ref="D296:I296"/>
    <mergeCell ref="D297:I297"/>
    <mergeCell ref="D298:I298"/>
    <mergeCell ref="D299:I299"/>
    <mergeCell ref="D300:I300"/>
    <mergeCell ref="D301:I301"/>
    <mergeCell ref="D289:I289"/>
    <mergeCell ref="D290:I290"/>
    <mergeCell ref="D292:I292"/>
    <mergeCell ref="D293:I293"/>
    <mergeCell ref="D294:I294"/>
    <mergeCell ref="D295:I295"/>
    <mergeCell ref="D308:I308"/>
    <mergeCell ref="D309:I309"/>
    <mergeCell ref="D310:I310"/>
    <mergeCell ref="D311:I311"/>
    <mergeCell ref="D312:I312"/>
    <mergeCell ref="D313:I313"/>
    <mergeCell ref="D302:I302"/>
    <mergeCell ref="D303:I303"/>
    <mergeCell ref="D304:I304"/>
    <mergeCell ref="D305:I305"/>
    <mergeCell ref="D306:I306"/>
    <mergeCell ref="D307:I307"/>
    <mergeCell ref="D320:G320"/>
    <mergeCell ref="D322:L322"/>
    <mergeCell ref="D323:L323"/>
    <mergeCell ref="D324:L324"/>
    <mergeCell ref="D328:H328"/>
    <mergeCell ref="D331:H331"/>
    <mergeCell ref="D314:I314"/>
    <mergeCell ref="D315:I315"/>
    <mergeCell ref="D316:I316"/>
    <mergeCell ref="D317:I317"/>
    <mergeCell ref="D318:I318"/>
    <mergeCell ref="D319:G319"/>
  </mergeCells>
  <pageMargins left="0.4" right="0.2" top="0.2" bottom="0.4" header="0.2" footer="0.2"/>
  <pageSetup paperSize="9" scale="58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144"/>
  <sheetViews>
    <sheetView workbookViewId="0">
      <selection activeCell="L20" sqref="L20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36884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138</v>
      </c>
      <c r="C12" s="1">
        <v>0</v>
      </c>
      <c r="D12" s="1">
        <f>ROW(A78)</f>
        <v>78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489193480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327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B78</f>
        <v>138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Строительство хмелевой плантации</v>
      </c>
      <c r="H18" s="2"/>
      <c r="I18" s="2"/>
      <c r="J18" s="2"/>
      <c r="K18" s="2"/>
      <c r="L18" s="2"/>
      <c r="M18" s="2"/>
      <c r="N18" s="2"/>
      <c r="O18" s="2">
        <f t="shared" ref="O18:AT18" si="1">O78</f>
        <v>233365.4</v>
      </c>
      <c r="P18" s="2">
        <f t="shared" si="1"/>
        <v>637.15</v>
      </c>
      <c r="Q18" s="2">
        <f t="shared" si="1"/>
        <v>94306.2</v>
      </c>
      <c r="R18" s="2">
        <f t="shared" si="1"/>
        <v>33117.519999999997</v>
      </c>
      <c r="S18" s="2">
        <f t="shared" si="1"/>
        <v>105304.53</v>
      </c>
      <c r="T18" s="2">
        <f t="shared" si="1"/>
        <v>0</v>
      </c>
      <c r="U18" s="2">
        <f t="shared" si="1"/>
        <v>282.28830540000001</v>
      </c>
      <c r="V18" s="2">
        <f t="shared" si="1"/>
        <v>68.982838999999998</v>
      </c>
      <c r="W18" s="2">
        <f t="shared" si="1"/>
        <v>0</v>
      </c>
      <c r="X18" s="2">
        <f t="shared" si="1"/>
        <v>136503.56</v>
      </c>
      <c r="Y18" s="2">
        <f t="shared" si="1"/>
        <v>77123.62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446992.58</v>
      </c>
      <c r="AS18" s="2">
        <f t="shared" si="1"/>
        <v>305135.95</v>
      </c>
      <c r="AT18" s="2">
        <f t="shared" si="1"/>
        <v>141856.63</v>
      </c>
      <c r="AU18" s="2">
        <f t="shared" ref="AU18:BZ18" si="2">AU78</f>
        <v>0</v>
      </c>
      <c r="AV18" s="2">
        <f t="shared" si="2"/>
        <v>637.15</v>
      </c>
      <c r="AW18" s="2">
        <f t="shared" si="2"/>
        <v>637.15</v>
      </c>
      <c r="AX18" s="2">
        <f t="shared" si="2"/>
        <v>0</v>
      </c>
      <c r="AY18" s="2">
        <f t="shared" si="2"/>
        <v>637.15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CA78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DG78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EM78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FS78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ROW(A45)</f>
        <v>45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/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B45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O45</f>
        <v>233365.4</v>
      </c>
      <c r="P22" s="2">
        <f t="shared" si="8"/>
        <v>637.15</v>
      </c>
      <c r="Q22" s="2">
        <f t="shared" si="8"/>
        <v>94306.2</v>
      </c>
      <c r="R22" s="2">
        <f t="shared" si="8"/>
        <v>33117.519999999997</v>
      </c>
      <c r="S22" s="2">
        <f t="shared" si="8"/>
        <v>105304.53</v>
      </c>
      <c r="T22" s="2">
        <f t="shared" si="8"/>
        <v>0</v>
      </c>
      <c r="U22" s="2">
        <f t="shared" si="8"/>
        <v>282.28830540000001</v>
      </c>
      <c r="V22" s="2">
        <f t="shared" si="8"/>
        <v>68.982838999999998</v>
      </c>
      <c r="W22" s="2">
        <f t="shared" si="8"/>
        <v>0</v>
      </c>
      <c r="X22" s="2">
        <f t="shared" si="8"/>
        <v>136503.56</v>
      </c>
      <c r="Y22" s="2">
        <f t="shared" si="8"/>
        <v>77123.62</v>
      </c>
      <c r="Z22" s="2">
        <f t="shared" si="8"/>
        <v>0</v>
      </c>
      <c r="AA22" s="2">
        <f t="shared" si="8"/>
        <v>0</v>
      </c>
      <c r="AB22" s="2">
        <f t="shared" si="8"/>
        <v>233365.4</v>
      </c>
      <c r="AC22" s="2">
        <f t="shared" si="8"/>
        <v>637.15</v>
      </c>
      <c r="AD22" s="2">
        <f t="shared" si="8"/>
        <v>94306.2</v>
      </c>
      <c r="AE22" s="2">
        <f t="shared" si="8"/>
        <v>33117.519999999997</v>
      </c>
      <c r="AF22" s="2">
        <f t="shared" si="8"/>
        <v>105304.53</v>
      </c>
      <c r="AG22" s="2">
        <f t="shared" si="8"/>
        <v>0</v>
      </c>
      <c r="AH22" s="2">
        <f t="shared" si="8"/>
        <v>282.28830540000001</v>
      </c>
      <c r="AI22" s="2">
        <f t="shared" si="8"/>
        <v>68.982838999999998</v>
      </c>
      <c r="AJ22" s="2">
        <f t="shared" si="8"/>
        <v>0</v>
      </c>
      <c r="AK22" s="2">
        <f t="shared" si="8"/>
        <v>136503.56</v>
      </c>
      <c r="AL22" s="2">
        <f t="shared" si="8"/>
        <v>77123.62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446992.58</v>
      </c>
      <c r="AS22" s="2">
        <f t="shared" si="8"/>
        <v>305135.95</v>
      </c>
      <c r="AT22" s="2">
        <f t="shared" si="8"/>
        <v>141856.63</v>
      </c>
      <c r="AU22" s="2">
        <f t="shared" ref="AU22:BZ22" si="9">AU45</f>
        <v>0</v>
      </c>
      <c r="AV22" s="2">
        <f t="shared" si="9"/>
        <v>637.15</v>
      </c>
      <c r="AW22" s="2">
        <f t="shared" si="9"/>
        <v>637.15</v>
      </c>
      <c r="AX22" s="2">
        <f t="shared" si="9"/>
        <v>0</v>
      </c>
      <c r="AY22" s="2">
        <f t="shared" si="9"/>
        <v>637.15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CA45</f>
        <v>446992.58</v>
      </c>
      <c r="CB22" s="2">
        <f t="shared" si="10"/>
        <v>305135.95</v>
      </c>
      <c r="CC22" s="2">
        <f t="shared" si="10"/>
        <v>141856.63</v>
      </c>
      <c r="CD22" s="2">
        <f t="shared" si="10"/>
        <v>0</v>
      </c>
      <c r="CE22" s="2">
        <f t="shared" si="10"/>
        <v>637.15</v>
      </c>
      <c r="CF22" s="2">
        <f t="shared" si="10"/>
        <v>637.15</v>
      </c>
      <c r="CG22" s="2">
        <f t="shared" si="10"/>
        <v>0</v>
      </c>
      <c r="CH22" s="2">
        <f t="shared" si="10"/>
        <v>637.15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DG45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EM45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FS45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ROW(SmtRes!A3)</f>
        <v>3</v>
      </c>
      <c r="D24">
        <f>ROW(EtalonRes!A3)</f>
        <v>3</v>
      </c>
      <c r="E24" t="s">
        <v>15</v>
      </c>
      <c r="F24" t="s">
        <v>16</v>
      </c>
      <c r="G24" t="s">
        <v>17</v>
      </c>
      <c r="H24" t="s">
        <v>18</v>
      </c>
      <c r="I24">
        <f>ROUND(28/100,7)</f>
        <v>0.28000000000000003</v>
      </c>
      <c r="J24">
        <v>0</v>
      </c>
      <c r="K24">
        <f>ROUND(28/100,7)</f>
        <v>0.28000000000000003</v>
      </c>
      <c r="O24">
        <f t="shared" ref="O24:O38" si="14">ROUND(CP24,2)</f>
        <v>14697.1</v>
      </c>
      <c r="P24">
        <f>SUMIF(SmtRes!AQ1:'SmtRes'!AQ3,"=1",SmtRes!DF1:'SmtRes'!DF3)</f>
        <v>0</v>
      </c>
      <c r="Q24">
        <f>SUMIF(SmtRes!AQ1:'SmtRes'!AQ3,"=1",SmtRes!DG1:'SmtRes'!DG3)</f>
        <v>11625.17</v>
      </c>
      <c r="R24">
        <f>SUMIF(SmtRes!AQ1:'SmtRes'!AQ3,"=1",SmtRes!DH1:'SmtRes'!DH3)</f>
        <v>1863.58</v>
      </c>
      <c r="S24">
        <f>SUMIF(SmtRes!AQ1:'SmtRes'!AQ3,"=1",SmtRes!DI1:'SmtRes'!DI3)</f>
        <v>1208.3499999999999</v>
      </c>
      <c r="T24">
        <f t="shared" ref="T24:T43" si="15">ROUND(CU24*I24,2)</f>
        <v>0</v>
      </c>
      <c r="U24">
        <f>SUMIF(SmtRes!AQ1:'SmtRes'!AQ3,"=1",SmtRes!CV1:'SmtRes'!CV3)</f>
        <v>3.6680000000000001</v>
      </c>
      <c r="V24">
        <f>SUMIF(SmtRes!AQ1:'SmtRes'!AQ3,"=1",SmtRes!CW1:'SmtRes'!CW3)</f>
        <v>4.0039999999999996</v>
      </c>
      <c r="W24">
        <f t="shared" ref="W24:W43" si="16">ROUND(CX24*I24,2)</f>
        <v>0</v>
      </c>
      <c r="X24">
        <f t="shared" ref="X24:X43" si="17">ROUND(CY24,2)</f>
        <v>2734.02</v>
      </c>
      <c r="Y24">
        <f t="shared" ref="Y24:Y43" si="18">ROUND(CZ24,2)</f>
        <v>1259.49</v>
      </c>
      <c r="AA24">
        <v>50837940</v>
      </c>
      <c r="AB24">
        <f t="shared" ref="AB24:AB43" si="19">ROUND((AC24+AD24+AF24),6)</f>
        <v>34184.944000000003</v>
      </c>
      <c r="AC24">
        <f>ROUND((0),6)</f>
        <v>0</v>
      </c>
      <c r="AD24">
        <f>ROUND((((SUM(SmtRes!BR1:'SmtRes'!BR3))-(SUM(SmtRes!BS1:'SmtRes'!BS3)))+AE24),6)</f>
        <v>29869.411</v>
      </c>
      <c r="AE24">
        <f>ROUND((SUM(SmtRes!BS1:'SmtRes'!BS3)),6)</f>
        <v>6655.6490000000003</v>
      </c>
      <c r="AF24">
        <f>ROUND((SUM(SmtRes!BT1:'SmtRes'!BT3)),6)</f>
        <v>4315.5330000000004</v>
      </c>
      <c r="AG24">
        <f t="shared" ref="AG24:AG43" si="20">ROUND((AP24),6)</f>
        <v>0</v>
      </c>
      <c r="AH24">
        <f>(SUM(SmtRes!BU1:'SmtRes'!BU3))</f>
        <v>13.1</v>
      </c>
      <c r="AI24">
        <f>(SUM(SmtRes!BV1:'SmtRes'!BV3))</f>
        <v>14.3</v>
      </c>
      <c r="AJ24">
        <f t="shared" ref="AJ24:AJ43" si="21">(AS24)</f>
        <v>0</v>
      </c>
      <c r="AK24">
        <v>40840.593000000001</v>
      </c>
      <c r="AL24">
        <v>0</v>
      </c>
      <c r="AM24">
        <v>29869.411</v>
      </c>
      <c r="AN24">
        <v>6655.6490000000003</v>
      </c>
      <c r="AO24">
        <v>4315.5330000000004</v>
      </c>
      <c r="AP24">
        <v>0</v>
      </c>
      <c r="AQ24">
        <v>13.1</v>
      </c>
      <c r="AR24">
        <v>14.3</v>
      </c>
      <c r="AS24">
        <v>0</v>
      </c>
      <c r="AT24">
        <v>89</v>
      </c>
      <c r="AU24">
        <v>41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19</v>
      </c>
      <c r="BM24">
        <v>1006</v>
      </c>
      <c r="BN24">
        <v>0</v>
      </c>
      <c r="BO24" t="s">
        <v>3</v>
      </c>
      <c r="BP24">
        <v>0</v>
      </c>
      <c r="BQ24">
        <v>2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89</v>
      </c>
      <c r="CA24">
        <v>41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38" si="22">(P24+Q24+S24+R24)</f>
        <v>14697.1</v>
      </c>
      <c r="CQ24">
        <f>SUMIF(SmtRes!AQ1:'SmtRes'!AQ3,"=1",SmtRes!AA1:'SmtRes'!AA3)</f>
        <v>0</v>
      </c>
      <c r="CR24">
        <f>SUMIF(SmtRes!AQ1:'SmtRes'!AQ3,"=1",SmtRes!AB1:'SmtRes'!AB3)</f>
        <v>2903.39</v>
      </c>
      <c r="CS24">
        <f>SUMIF(SmtRes!AQ1:'SmtRes'!AQ3,"=1",SmtRes!AC1:'SmtRes'!AC3)</f>
        <v>465.43</v>
      </c>
      <c r="CT24">
        <f>SUMIF(SmtRes!AQ1:'SmtRes'!AQ3,"=1",SmtRes!AD1:'SmtRes'!AD3)</f>
        <v>329.43</v>
      </c>
      <c r="CU24">
        <f t="shared" ref="CU24:CU38" si="23">AG24</f>
        <v>0</v>
      </c>
      <c r="CV24">
        <f>SUMIF(SmtRes!AQ1:'SmtRes'!AQ3,"=1",SmtRes!BU1:'SmtRes'!BU3)</f>
        <v>13.1</v>
      </c>
      <c r="CW24">
        <f>SUMIF(SmtRes!AQ1:'SmtRes'!AQ3,"=1",SmtRes!BV1:'SmtRes'!BV3)</f>
        <v>14.3</v>
      </c>
      <c r="CX24">
        <f t="shared" ref="CX24:CX38" si="24">AJ24</f>
        <v>0</v>
      </c>
      <c r="CY24">
        <f t="shared" ref="CY24:CY38" si="25">(((S24+R24)*AT24)/100)</f>
        <v>2734.0176999999994</v>
      </c>
      <c r="CZ24">
        <f t="shared" ref="CZ24:CZ38" si="26">(((S24+R24)*AU24)/100)</f>
        <v>1259.4912999999999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1013</v>
      </c>
      <c r="DV24" t="s">
        <v>18</v>
      </c>
      <c r="DW24" t="s">
        <v>18</v>
      </c>
      <c r="DX24">
        <v>1</v>
      </c>
      <c r="DZ24" t="s">
        <v>3</v>
      </c>
      <c r="EA24" t="s">
        <v>3</v>
      </c>
      <c r="EB24" t="s">
        <v>3</v>
      </c>
      <c r="EC24" t="s">
        <v>3</v>
      </c>
      <c r="EE24">
        <v>49642161</v>
      </c>
      <c r="EF24">
        <v>2</v>
      </c>
      <c r="EG24" t="s">
        <v>20</v>
      </c>
      <c r="EH24">
        <v>1</v>
      </c>
      <c r="EI24" t="s">
        <v>21</v>
      </c>
      <c r="EJ24">
        <v>1</v>
      </c>
      <c r="EK24">
        <v>1006</v>
      </c>
      <c r="EL24" t="s">
        <v>22</v>
      </c>
      <c r="EM24" t="s">
        <v>23</v>
      </c>
      <c r="EO24" t="s">
        <v>3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13.1</v>
      </c>
      <c r="EX24">
        <v>14.3</v>
      </c>
      <c r="EY24">
        <v>0</v>
      </c>
      <c r="FQ24">
        <v>0</v>
      </c>
      <c r="FR24">
        <v>0</v>
      </c>
      <c r="FS24">
        <v>0</v>
      </c>
      <c r="FX24">
        <v>89</v>
      </c>
      <c r="FY24">
        <v>41</v>
      </c>
      <c r="GA24" t="s">
        <v>3</v>
      </c>
      <c r="GD24">
        <v>1</v>
      </c>
      <c r="GF24">
        <v>-1224134522</v>
      </c>
      <c r="GG24">
        <v>2</v>
      </c>
      <c r="GH24">
        <v>1</v>
      </c>
      <c r="GI24">
        <v>-2</v>
      </c>
      <c r="GJ24">
        <v>0</v>
      </c>
      <c r="GK24">
        <v>0</v>
      </c>
      <c r="GL24">
        <f t="shared" ref="GL24:GL43" si="27">ROUND(IF(AND(BH24=3,BI24=3,FS24&lt;&gt;0),P24,0),2)</f>
        <v>0</v>
      </c>
      <c r="GM24">
        <f t="shared" ref="GM24:GM43" si="28">ROUND(O24+X24+Y24,2)+GX24</f>
        <v>18690.61</v>
      </c>
      <c r="GN24">
        <f t="shared" ref="GN24:GN43" si="29">IF(OR(BI24=0,BI24=1),GM24-GX24,0)</f>
        <v>18690.61</v>
      </c>
      <c r="GO24">
        <f t="shared" ref="GO24:GO43" si="30">IF(BI24=2,GM24-GX24,0)</f>
        <v>0</v>
      </c>
      <c r="GP24">
        <f t="shared" ref="GP24:GP43" si="31">IF(BI24=4,GM24-GX24,0)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3" si="32">ROUND((GT24),6)</f>
        <v>0</v>
      </c>
      <c r="GW24">
        <v>1</v>
      </c>
      <c r="GX24">
        <f t="shared" ref="GX24:GX43" si="33">ROUND(HC24*I24,2)</f>
        <v>0</v>
      </c>
      <c r="HA24">
        <v>0</v>
      </c>
      <c r="HB24">
        <v>0</v>
      </c>
      <c r="HC24">
        <f t="shared" ref="HC24:HC38" si="34">GV24*GW24</f>
        <v>0</v>
      </c>
      <c r="HE24" t="s">
        <v>3</v>
      </c>
      <c r="HF24" t="s">
        <v>3</v>
      </c>
      <c r="HM24" t="s">
        <v>3</v>
      </c>
      <c r="HN24" t="s">
        <v>24</v>
      </c>
      <c r="HO24" t="s">
        <v>25</v>
      </c>
      <c r="HP24" t="s">
        <v>26</v>
      </c>
      <c r="HQ24" t="s">
        <v>26</v>
      </c>
      <c r="HS24">
        <v>0</v>
      </c>
      <c r="IK24">
        <v>0</v>
      </c>
    </row>
    <row r="25" spans="1:245">
      <c r="A25">
        <v>17</v>
      </c>
      <c r="B25">
        <v>1</v>
      </c>
      <c r="C25">
        <f>ROW(SmtRes!A13)</f>
        <v>13</v>
      </c>
      <c r="D25">
        <f>ROW(EtalonRes!A13)</f>
        <v>13</v>
      </c>
      <c r="E25" t="s">
        <v>27</v>
      </c>
      <c r="F25" t="s">
        <v>28</v>
      </c>
      <c r="G25" t="s">
        <v>29</v>
      </c>
      <c r="H25" t="s">
        <v>30</v>
      </c>
      <c r="I25">
        <v>28</v>
      </c>
      <c r="J25">
        <v>0</v>
      </c>
      <c r="K25">
        <v>28</v>
      </c>
      <c r="O25">
        <f t="shared" si="14"/>
        <v>45701.68</v>
      </c>
      <c r="P25">
        <f>SUMIF(SmtRes!AQ4:'SmtRes'!AQ13,"=1",SmtRes!DF4:'SmtRes'!DF13)</f>
        <v>0</v>
      </c>
      <c r="Q25">
        <f>SUMIF(SmtRes!AQ4:'SmtRes'!AQ13,"=1",SmtRes!DG4:'SmtRes'!DG13)</f>
        <v>14636.8</v>
      </c>
      <c r="R25">
        <f>SUMIF(SmtRes!AQ4:'SmtRes'!AQ13,"=1",SmtRes!DH4:'SmtRes'!DH13)</f>
        <v>5994.74</v>
      </c>
      <c r="S25">
        <f>SUMIF(SmtRes!AQ4:'SmtRes'!AQ13,"=1",SmtRes!DI4:'SmtRes'!DI13)</f>
        <v>25070.14</v>
      </c>
      <c r="T25">
        <f t="shared" si="15"/>
        <v>0</v>
      </c>
      <c r="U25">
        <f>SUMIF(SmtRes!AQ4:'SmtRes'!AQ13,"=1",SmtRes!CV4:'SmtRes'!CV13)</f>
        <v>66.36</v>
      </c>
      <c r="V25">
        <f>SUMIF(SmtRes!AQ4:'SmtRes'!AQ13,"=1",SmtRes!CW4:'SmtRes'!CW13)</f>
        <v>12.879999999999999</v>
      </c>
      <c r="W25">
        <f t="shared" si="16"/>
        <v>0</v>
      </c>
      <c r="X25">
        <f t="shared" si="17"/>
        <v>30443.58</v>
      </c>
      <c r="Y25">
        <f t="shared" si="18"/>
        <v>18017.63</v>
      </c>
      <c r="AA25">
        <v>50837940</v>
      </c>
      <c r="AB25">
        <f t="shared" si="19"/>
        <v>1261.3919000000001</v>
      </c>
      <c r="AC25">
        <f>ROUND((0),6)</f>
        <v>0</v>
      </c>
      <c r="AD25">
        <f>ROUND((((SUM(SmtRes!BR4:'SmtRes'!BR13))-(SUM(SmtRes!BS4:'SmtRes'!BS13)))+AE25),6)</f>
        <v>366.02960000000002</v>
      </c>
      <c r="AE25">
        <f>ROUND((SUM(SmtRes!BS4:'SmtRes'!BS13)),6)</f>
        <v>214.09780000000001</v>
      </c>
      <c r="AF25">
        <f>ROUND((SUM(SmtRes!BT4:'SmtRes'!BT13)),6)</f>
        <v>895.3623</v>
      </c>
      <c r="AG25">
        <f t="shared" si="20"/>
        <v>0</v>
      </c>
      <c r="AH25">
        <f>(SUM(SmtRes!BU4:'SmtRes'!BU13))</f>
        <v>2.37</v>
      </c>
      <c r="AI25">
        <f>(SUM(SmtRes!BV4:'SmtRes'!BV13))</f>
        <v>0.46</v>
      </c>
      <c r="AJ25">
        <f t="shared" si="21"/>
        <v>0</v>
      </c>
      <c r="AK25">
        <v>1484.1844417000002</v>
      </c>
      <c r="AL25">
        <v>8.6947416999999998</v>
      </c>
      <c r="AM25">
        <v>366.02960000000002</v>
      </c>
      <c r="AN25">
        <v>214.09780000000001</v>
      </c>
      <c r="AO25">
        <v>895.36230000000012</v>
      </c>
      <c r="AP25">
        <v>0</v>
      </c>
      <c r="AQ25">
        <v>2.37</v>
      </c>
      <c r="AR25">
        <v>0.46</v>
      </c>
      <c r="AS25">
        <v>0</v>
      </c>
      <c r="AT25">
        <v>98</v>
      </c>
      <c r="AU25">
        <v>58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0</v>
      </c>
      <c r="BI25">
        <v>1</v>
      </c>
      <c r="BJ25" t="s">
        <v>31</v>
      </c>
      <c r="BM25">
        <v>34001</v>
      </c>
      <c r="BN25">
        <v>0</v>
      </c>
      <c r="BO25" t="s">
        <v>3</v>
      </c>
      <c r="BP25">
        <v>0</v>
      </c>
      <c r="BQ25">
        <v>2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98</v>
      </c>
      <c r="CA25">
        <v>58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22"/>
        <v>45701.68</v>
      </c>
      <c r="CQ25">
        <f>SUMIF(SmtRes!AQ4:'SmtRes'!AQ13,"=1",SmtRes!AA4:'SmtRes'!AA13)</f>
        <v>176961.07</v>
      </c>
      <c r="CR25">
        <f>SUMIF(SmtRes!AQ4:'SmtRes'!AQ13,"=1",SmtRes!AB4:'SmtRes'!AB13)</f>
        <v>2292.85</v>
      </c>
      <c r="CS25">
        <f>SUMIF(SmtRes!AQ4:'SmtRes'!AQ13,"=1",SmtRes!AC4:'SmtRes'!AC13)</f>
        <v>930.86</v>
      </c>
      <c r="CT25">
        <f>SUMIF(SmtRes!AQ4:'SmtRes'!AQ13,"=1",SmtRes!AD4:'SmtRes'!AD13)</f>
        <v>377.79</v>
      </c>
      <c r="CU25">
        <f t="shared" si="23"/>
        <v>0</v>
      </c>
      <c r="CV25">
        <f>SUMIF(SmtRes!AQ4:'SmtRes'!AQ13,"=1",SmtRes!BU4:'SmtRes'!BU13)</f>
        <v>2.37</v>
      </c>
      <c r="CW25">
        <f>SUMIF(SmtRes!AQ4:'SmtRes'!AQ13,"=1",SmtRes!BV4:'SmtRes'!BV13)</f>
        <v>0.46</v>
      </c>
      <c r="CX25">
        <f t="shared" si="24"/>
        <v>0</v>
      </c>
      <c r="CY25">
        <f t="shared" si="25"/>
        <v>30443.582399999999</v>
      </c>
      <c r="CZ25">
        <f t="shared" si="26"/>
        <v>18017.630399999998</v>
      </c>
      <c r="DC25" t="s">
        <v>3</v>
      </c>
      <c r="DD25" t="s">
        <v>32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30</v>
      </c>
      <c r="DW25" t="s">
        <v>30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49642238</v>
      </c>
      <c r="EF25">
        <v>2</v>
      </c>
      <c r="EG25" t="s">
        <v>20</v>
      </c>
      <c r="EH25">
        <v>28</v>
      </c>
      <c r="EI25" t="s">
        <v>33</v>
      </c>
      <c r="EJ25">
        <v>1</v>
      </c>
      <c r="EK25">
        <v>34001</v>
      </c>
      <c r="EL25" t="s">
        <v>34</v>
      </c>
      <c r="EM25" t="s">
        <v>35</v>
      </c>
      <c r="EO25" t="s">
        <v>3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2.37</v>
      </c>
      <c r="EX25">
        <v>0.46</v>
      </c>
      <c r="EY25">
        <v>0</v>
      </c>
      <c r="FQ25">
        <v>0</v>
      </c>
      <c r="FR25">
        <v>0</v>
      </c>
      <c r="FS25">
        <v>0</v>
      </c>
      <c r="FX25">
        <v>98</v>
      </c>
      <c r="FY25">
        <v>58</v>
      </c>
      <c r="GA25" t="s">
        <v>3</v>
      </c>
      <c r="GD25">
        <v>1</v>
      </c>
      <c r="GF25">
        <v>1912293595</v>
      </c>
      <c r="GG25">
        <v>2</v>
      </c>
      <c r="GH25">
        <v>1</v>
      </c>
      <c r="GI25">
        <v>-2</v>
      </c>
      <c r="GJ25">
        <v>0</v>
      </c>
      <c r="GK25">
        <v>0</v>
      </c>
      <c r="GL25">
        <f t="shared" si="27"/>
        <v>0</v>
      </c>
      <c r="GM25">
        <f t="shared" si="28"/>
        <v>94162.89</v>
      </c>
      <c r="GN25">
        <f t="shared" si="29"/>
        <v>94162.89</v>
      </c>
      <c r="GO25">
        <f t="shared" si="30"/>
        <v>0</v>
      </c>
      <c r="GP25">
        <f t="shared" si="31"/>
        <v>0</v>
      </c>
      <c r="GR25">
        <v>0</v>
      </c>
      <c r="GS25">
        <v>3</v>
      </c>
      <c r="GT25">
        <v>0</v>
      </c>
      <c r="GU25" t="s">
        <v>3</v>
      </c>
      <c r="GV25">
        <f t="shared" si="32"/>
        <v>0</v>
      </c>
      <c r="GW25">
        <v>1</v>
      </c>
      <c r="GX25">
        <f t="shared" si="33"/>
        <v>0</v>
      </c>
      <c r="HA25">
        <v>0</v>
      </c>
      <c r="HB25">
        <v>0</v>
      </c>
      <c r="HC25">
        <f t="shared" si="34"/>
        <v>0</v>
      </c>
      <c r="HE25" t="s">
        <v>3</v>
      </c>
      <c r="HF25" t="s">
        <v>3</v>
      </c>
      <c r="HM25" t="s">
        <v>3</v>
      </c>
      <c r="HN25" t="s">
        <v>36</v>
      </c>
      <c r="HO25" t="s">
        <v>37</v>
      </c>
      <c r="HP25" t="s">
        <v>38</v>
      </c>
      <c r="HQ25" t="s">
        <v>38</v>
      </c>
      <c r="HS25">
        <v>0</v>
      </c>
      <c r="IK25">
        <v>0</v>
      </c>
    </row>
    <row r="26" spans="1:245">
      <c r="A26">
        <v>18</v>
      </c>
      <c r="B26">
        <v>1</v>
      </c>
      <c r="C26">
        <v>10</v>
      </c>
      <c r="E26" t="s">
        <v>39</v>
      </c>
      <c r="F26" t="s">
        <v>40</v>
      </c>
      <c r="G26" t="s">
        <v>41</v>
      </c>
      <c r="H26" t="s">
        <v>30</v>
      </c>
      <c r="I26">
        <f>I25*J26</f>
        <v>0</v>
      </c>
      <c r="J26">
        <v>0</v>
      </c>
      <c r="K26">
        <v>1</v>
      </c>
      <c r="O26">
        <f t="shared" si="14"/>
        <v>0</v>
      </c>
      <c r="P26">
        <f>ROUND(CQ26*I26,2)</f>
        <v>0</v>
      </c>
      <c r="Q26">
        <f>ROUND(CR26*I26,2)</f>
        <v>0</v>
      </c>
      <c r="R26">
        <f>ROUND(CS26*I26,2)</f>
        <v>0</v>
      </c>
      <c r="S26">
        <f>ROUND(CT26*I26,2)</f>
        <v>0</v>
      </c>
      <c r="T26">
        <f t="shared" si="15"/>
        <v>0</v>
      </c>
      <c r="U26">
        <f>ROUND(CV26*I26,7)</f>
        <v>0</v>
      </c>
      <c r="V26">
        <f>ROUND(CW26*I26,7)</f>
        <v>0</v>
      </c>
      <c r="W26">
        <f t="shared" si="16"/>
        <v>0</v>
      </c>
      <c r="X26">
        <f t="shared" si="17"/>
        <v>0</v>
      </c>
      <c r="Y26">
        <f t="shared" si="18"/>
        <v>0</v>
      </c>
      <c r="AA26">
        <v>50837940</v>
      </c>
      <c r="AB26">
        <f t="shared" si="19"/>
        <v>0</v>
      </c>
      <c r="AC26">
        <f>ROUND((ES26),6)</f>
        <v>0</v>
      </c>
      <c r="AD26">
        <f>ROUND((((ET26)-(EU26))+AE26),6)</f>
        <v>0</v>
      </c>
      <c r="AE26">
        <f>ROUND((EU26),6)</f>
        <v>0</v>
      </c>
      <c r="AF26">
        <f>ROUND((EV26),6)</f>
        <v>0</v>
      </c>
      <c r="AG26">
        <f t="shared" si="20"/>
        <v>0</v>
      </c>
      <c r="AH26">
        <f>(EW26)</f>
        <v>0</v>
      </c>
      <c r="AI26">
        <f>(EX26)</f>
        <v>0</v>
      </c>
      <c r="AJ26">
        <f t="shared" si="21"/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98</v>
      </c>
      <c r="AU26">
        <v>58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3</v>
      </c>
      <c r="BI26">
        <v>1</v>
      </c>
      <c r="BJ26" t="s">
        <v>3</v>
      </c>
      <c r="BM26">
        <v>34001</v>
      </c>
      <c r="BN26">
        <v>0</v>
      </c>
      <c r="BO26" t="s">
        <v>3</v>
      </c>
      <c r="BP26">
        <v>0</v>
      </c>
      <c r="BQ26">
        <v>2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98</v>
      </c>
      <c r="CA26">
        <v>58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22"/>
        <v>0</v>
      </c>
      <c r="CQ26">
        <f>ROUND(AL26*BC26,2)</f>
        <v>0</v>
      </c>
      <c r="CR26">
        <f>ROUND(AM26*BB26,2)</f>
        <v>0</v>
      </c>
      <c r="CS26">
        <f>ROUND(AN26*BS26,2)</f>
        <v>0</v>
      </c>
      <c r="CT26">
        <f>ROUND(AO26*BA26,2)</f>
        <v>0</v>
      </c>
      <c r="CU26">
        <f t="shared" si="23"/>
        <v>0</v>
      </c>
      <c r="CV26">
        <f>AH26</f>
        <v>0</v>
      </c>
      <c r="CW26">
        <f>AI26</f>
        <v>0</v>
      </c>
      <c r="CX26">
        <f t="shared" si="24"/>
        <v>0</v>
      </c>
      <c r="CY26">
        <f t="shared" si="25"/>
        <v>0</v>
      </c>
      <c r="CZ26">
        <f t="shared" si="26"/>
        <v>0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1013</v>
      </c>
      <c r="DV26" t="s">
        <v>30</v>
      </c>
      <c r="DW26" t="s">
        <v>30</v>
      </c>
      <c r="DX26">
        <v>1</v>
      </c>
      <c r="DZ26" t="s">
        <v>3</v>
      </c>
      <c r="EA26" t="s">
        <v>3</v>
      </c>
      <c r="EB26" t="s">
        <v>3</v>
      </c>
      <c r="EC26" t="s">
        <v>3</v>
      </c>
      <c r="EE26">
        <v>49642238</v>
      </c>
      <c r="EF26">
        <v>2</v>
      </c>
      <c r="EG26" t="s">
        <v>20</v>
      </c>
      <c r="EH26">
        <v>28</v>
      </c>
      <c r="EI26" t="s">
        <v>33</v>
      </c>
      <c r="EJ26">
        <v>1</v>
      </c>
      <c r="EK26">
        <v>34001</v>
      </c>
      <c r="EL26" t="s">
        <v>34</v>
      </c>
      <c r="EM26" t="s">
        <v>35</v>
      </c>
      <c r="EO26" t="s">
        <v>3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FQ26">
        <v>0</v>
      </c>
      <c r="FR26">
        <v>0</v>
      </c>
      <c r="FS26">
        <v>0</v>
      </c>
      <c r="FX26">
        <v>98</v>
      </c>
      <c r="FY26">
        <v>58</v>
      </c>
      <c r="GA26" t="s">
        <v>3</v>
      </c>
      <c r="GD26">
        <v>1</v>
      </c>
      <c r="GF26">
        <v>-54740772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27"/>
        <v>0</v>
      </c>
      <c r="GM26">
        <f t="shared" si="28"/>
        <v>0</v>
      </c>
      <c r="GN26">
        <f t="shared" si="29"/>
        <v>0</v>
      </c>
      <c r="GO26">
        <f t="shared" si="30"/>
        <v>0</v>
      </c>
      <c r="GP26">
        <f t="shared" si="31"/>
        <v>0</v>
      </c>
      <c r="GR26">
        <v>0</v>
      </c>
      <c r="GS26">
        <v>3</v>
      </c>
      <c r="GT26">
        <v>0</v>
      </c>
      <c r="GU26" t="s">
        <v>3</v>
      </c>
      <c r="GV26">
        <f t="shared" si="32"/>
        <v>0</v>
      </c>
      <c r="GW26">
        <v>1</v>
      </c>
      <c r="GX26">
        <f t="shared" si="33"/>
        <v>0</v>
      </c>
      <c r="HA26">
        <v>0</v>
      </c>
      <c r="HB26">
        <v>0</v>
      </c>
      <c r="HC26">
        <f t="shared" si="34"/>
        <v>0</v>
      </c>
      <c r="HE26" t="s">
        <v>3</v>
      </c>
      <c r="HF26" t="s">
        <v>3</v>
      </c>
      <c r="HM26" t="s">
        <v>32</v>
      </c>
      <c r="HN26" t="s">
        <v>36</v>
      </c>
      <c r="HO26" t="s">
        <v>37</v>
      </c>
      <c r="HP26" t="s">
        <v>38</v>
      </c>
      <c r="HQ26" t="s">
        <v>38</v>
      </c>
      <c r="HS26">
        <v>0</v>
      </c>
      <c r="IK26">
        <v>0</v>
      </c>
    </row>
    <row r="27" spans="1:245">
      <c r="A27">
        <v>17</v>
      </c>
      <c r="B27">
        <v>1</v>
      </c>
      <c r="C27">
        <f>ROW(SmtRes!A17)</f>
        <v>17</v>
      </c>
      <c r="D27">
        <f>ROW(EtalonRes!A17)</f>
        <v>17</v>
      </c>
      <c r="E27" t="s">
        <v>42</v>
      </c>
      <c r="F27" t="s">
        <v>43</v>
      </c>
      <c r="G27" t="s">
        <v>44</v>
      </c>
      <c r="H27" t="s">
        <v>30</v>
      </c>
      <c r="I27">
        <v>28</v>
      </c>
      <c r="J27">
        <v>0</v>
      </c>
      <c r="K27">
        <v>28</v>
      </c>
      <c r="O27">
        <f t="shared" si="14"/>
        <v>5310.71</v>
      </c>
      <c r="P27">
        <f>SUMIF(SmtRes!AQ14:'SmtRes'!AQ17,"=1",SmtRes!DF14:'SmtRes'!DF17)</f>
        <v>0</v>
      </c>
      <c r="Q27">
        <f>SUMIF(SmtRes!AQ14:'SmtRes'!AQ17,"=1",SmtRes!DG14:'SmtRes'!DG17)</f>
        <v>2133.92</v>
      </c>
      <c r="R27">
        <f>SUMIF(SmtRes!AQ14:'SmtRes'!AQ17,"=1",SmtRes!DH14:'SmtRes'!DH17)</f>
        <v>1247.3699999999999</v>
      </c>
      <c r="S27">
        <f>SUMIF(SmtRes!AQ14:'SmtRes'!AQ17,"=1",SmtRes!DI14:'SmtRes'!DI17)</f>
        <v>1929.42</v>
      </c>
      <c r="T27">
        <f t="shared" si="15"/>
        <v>0</v>
      </c>
      <c r="U27">
        <f>SUMIF(SmtRes!AQ14:'SmtRes'!AQ17,"=1",SmtRes!CV14:'SmtRes'!CV17)</f>
        <v>5.6</v>
      </c>
      <c r="V27">
        <f>SUMIF(SmtRes!AQ14:'SmtRes'!AQ17,"=1",SmtRes!CW14:'SmtRes'!CW17)</f>
        <v>3.08</v>
      </c>
      <c r="W27">
        <f t="shared" si="16"/>
        <v>0</v>
      </c>
      <c r="X27">
        <f t="shared" si="17"/>
        <v>3272.09</v>
      </c>
      <c r="Y27">
        <f t="shared" si="18"/>
        <v>1906.07</v>
      </c>
      <c r="AA27">
        <v>50837940</v>
      </c>
      <c r="AB27">
        <f t="shared" si="19"/>
        <v>124.1863</v>
      </c>
      <c r="AC27">
        <f>ROUND((0),6)</f>
        <v>0</v>
      </c>
      <c r="AD27">
        <f>ROUND((((SUM(SmtRes!BR14:'SmtRes'!BR17))-(SUM(SmtRes!BS14:'SmtRes'!BS17)))+AE27),6)</f>
        <v>55.278300000000002</v>
      </c>
      <c r="AE27">
        <f>ROUND((SUM(SmtRes!BS14:'SmtRes'!BS17)),6)</f>
        <v>44.548900000000003</v>
      </c>
      <c r="AF27">
        <f>ROUND((SUM(SmtRes!BT14:'SmtRes'!BT17)),6)</f>
        <v>68.908000000000001</v>
      </c>
      <c r="AG27">
        <f t="shared" si="20"/>
        <v>0</v>
      </c>
      <c r="AH27">
        <f>(SUM(SmtRes!BU14:'SmtRes'!BU17))</f>
        <v>0.2</v>
      </c>
      <c r="AI27">
        <f>(SUM(SmtRes!BV14:'SmtRes'!BV17))</f>
        <v>0.11</v>
      </c>
      <c r="AJ27">
        <f t="shared" si="21"/>
        <v>0</v>
      </c>
      <c r="AK27">
        <v>168.73520000000002</v>
      </c>
      <c r="AL27">
        <v>0</v>
      </c>
      <c r="AM27">
        <v>55.278300000000002</v>
      </c>
      <c r="AN27">
        <v>44.548900000000003</v>
      </c>
      <c r="AO27">
        <v>68.908000000000001</v>
      </c>
      <c r="AP27">
        <v>0</v>
      </c>
      <c r="AQ27">
        <v>0.2</v>
      </c>
      <c r="AR27">
        <v>0.11</v>
      </c>
      <c r="AS27">
        <v>0</v>
      </c>
      <c r="AT27">
        <v>103</v>
      </c>
      <c r="AU27">
        <v>60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0</v>
      </c>
      <c r="BI27">
        <v>1</v>
      </c>
      <c r="BJ27" t="s">
        <v>45</v>
      </c>
      <c r="BM27">
        <v>33001</v>
      </c>
      <c r="BN27">
        <v>0</v>
      </c>
      <c r="BO27" t="s">
        <v>3</v>
      </c>
      <c r="BP27">
        <v>0</v>
      </c>
      <c r="BQ27">
        <v>2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103</v>
      </c>
      <c r="CA27">
        <v>60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2"/>
        <v>5310.71</v>
      </c>
      <c r="CQ27">
        <f>SUMIF(SmtRes!AQ14:'SmtRes'!AQ17,"=1",SmtRes!AA14:'SmtRes'!AA17)</f>
        <v>0</v>
      </c>
      <c r="CR27">
        <f>SUMIF(SmtRes!AQ14:'SmtRes'!AQ17,"=1",SmtRes!AB14:'SmtRes'!AB17)</f>
        <v>692.83</v>
      </c>
      <c r="CS27">
        <f>SUMIF(SmtRes!AQ14:'SmtRes'!AQ17,"=1",SmtRes!AC14:'SmtRes'!AC17)</f>
        <v>404.99</v>
      </c>
      <c r="CT27">
        <f>SUMIF(SmtRes!AQ14:'SmtRes'!AQ17,"=1",SmtRes!AD14:'SmtRes'!AD17)</f>
        <v>344.54</v>
      </c>
      <c r="CU27">
        <f t="shared" si="23"/>
        <v>0</v>
      </c>
      <c r="CV27">
        <f>SUMIF(SmtRes!AQ14:'SmtRes'!AQ17,"=1",SmtRes!BU14:'SmtRes'!BU17)</f>
        <v>0.2</v>
      </c>
      <c r="CW27">
        <f>SUMIF(SmtRes!AQ14:'SmtRes'!AQ17,"=1",SmtRes!BV14:'SmtRes'!BV17)</f>
        <v>0.11</v>
      </c>
      <c r="CX27">
        <f t="shared" si="24"/>
        <v>0</v>
      </c>
      <c r="CY27">
        <f t="shared" si="25"/>
        <v>3272.0936999999999</v>
      </c>
      <c r="CZ27">
        <f t="shared" si="26"/>
        <v>1906.0739999999998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30</v>
      </c>
      <c r="DW27" t="s">
        <v>30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49642237</v>
      </c>
      <c r="EF27">
        <v>2</v>
      </c>
      <c r="EG27" t="s">
        <v>20</v>
      </c>
      <c r="EH27">
        <v>27</v>
      </c>
      <c r="EI27" t="s">
        <v>46</v>
      </c>
      <c r="EJ27">
        <v>1</v>
      </c>
      <c r="EK27">
        <v>33001</v>
      </c>
      <c r="EL27" t="s">
        <v>46</v>
      </c>
      <c r="EM27" t="s">
        <v>47</v>
      </c>
      <c r="EO27" t="s">
        <v>3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0.2</v>
      </c>
      <c r="EX27">
        <v>0.11</v>
      </c>
      <c r="EY27">
        <v>0</v>
      </c>
      <c r="FQ27">
        <v>0</v>
      </c>
      <c r="FR27">
        <v>0</v>
      </c>
      <c r="FS27">
        <v>0</v>
      </c>
      <c r="FX27">
        <v>103</v>
      </c>
      <c r="FY27">
        <v>60</v>
      </c>
      <c r="GA27" t="s">
        <v>3</v>
      </c>
      <c r="GD27">
        <v>1</v>
      </c>
      <c r="GF27">
        <v>636465190</v>
      </c>
      <c r="GG27">
        <v>2</v>
      </c>
      <c r="GH27">
        <v>1</v>
      </c>
      <c r="GI27">
        <v>-2</v>
      </c>
      <c r="GJ27">
        <v>0</v>
      </c>
      <c r="GK27">
        <v>0</v>
      </c>
      <c r="GL27">
        <f t="shared" si="27"/>
        <v>0</v>
      </c>
      <c r="GM27">
        <f t="shared" si="28"/>
        <v>10488.87</v>
      </c>
      <c r="GN27">
        <f t="shared" si="29"/>
        <v>10488.87</v>
      </c>
      <c r="GO27">
        <f t="shared" si="30"/>
        <v>0</v>
      </c>
      <c r="GP27">
        <f t="shared" si="31"/>
        <v>0</v>
      </c>
      <c r="GR27">
        <v>0</v>
      </c>
      <c r="GS27">
        <v>3</v>
      </c>
      <c r="GT27">
        <v>0</v>
      </c>
      <c r="GU27" t="s">
        <v>3</v>
      </c>
      <c r="GV27">
        <f t="shared" si="32"/>
        <v>0</v>
      </c>
      <c r="GW27">
        <v>1</v>
      </c>
      <c r="GX27">
        <f t="shared" si="33"/>
        <v>0</v>
      </c>
      <c r="HA27">
        <v>0</v>
      </c>
      <c r="HB27">
        <v>0</v>
      </c>
      <c r="HC27">
        <f t="shared" si="34"/>
        <v>0</v>
      </c>
      <c r="HE27" t="s">
        <v>3</v>
      </c>
      <c r="HF27" t="s">
        <v>3</v>
      </c>
      <c r="HM27" t="s">
        <v>3</v>
      </c>
      <c r="HN27" t="s">
        <v>48</v>
      </c>
      <c r="HO27" t="s">
        <v>49</v>
      </c>
      <c r="HP27" t="s">
        <v>46</v>
      </c>
      <c r="HQ27" t="s">
        <v>46</v>
      </c>
      <c r="HS27">
        <v>0</v>
      </c>
      <c r="IK27">
        <v>0</v>
      </c>
    </row>
    <row r="28" spans="1:245">
      <c r="A28">
        <v>17</v>
      </c>
      <c r="B28">
        <v>1</v>
      </c>
      <c r="C28">
        <f>ROW(SmtRes!A21)</f>
        <v>21</v>
      </c>
      <c r="D28">
        <f>ROW(EtalonRes!A21)</f>
        <v>21</v>
      </c>
      <c r="E28" t="s">
        <v>50</v>
      </c>
      <c r="F28" t="s">
        <v>51</v>
      </c>
      <c r="G28" t="s">
        <v>52</v>
      </c>
      <c r="H28" t="s">
        <v>30</v>
      </c>
      <c r="I28">
        <v>28</v>
      </c>
      <c r="J28">
        <v>0</v>
      </c>
      <c r="K28">
        <v>28</v>
      </c>
      <c r="O28">
        <f t="shared" si="14"/>
        <v>6715.23</v>
      </c>
      <c r="P28">
        <f>SUMIF(SmtRes!AQ18:'SmtRes'!AQ21,"=1",SmtRes!DF18:'SmtRes'!DF21)</f>
        <v>0</v>
      </c>
      <c r="Q28">
        <f>SUMIF(SmtRes!AQ18:'SmtRes'!AQ21,"=1",SmtRes!DG18:'SmtRes'!DG21)</f>
        <v>2715.89</v>
      </c>
      <c r="R28">
        <f>SUMIF(SmtRes!AQ18:'SmtRes'!AQ21,"=1",SmtRes!DH18:'SmtRes'!DH21)</f>
        <v>1587.56</v>
      </c>
      <c r="S28">
        <f>SUMIF(SmtRes!AQ18:'SmtRes'!AQ21,"=1",SmtRes!DI18:'SmtRes'!DI21)</f>
        <v>2411.7800000000002</v>
      </c>
      <c r="T28">
        <f t="shared" si="15"/>
        <v>0</v>
      </c>
      <c r="U28">
        <f>SUMIF(SmtRes!AQ18:'SmtRes'!AQ21,"=1",SmtRes!CV18:'SmtRes'!CV21)</f>
        <v>7</v>
      </c>
      <c r="V28">
        <f>SUMIF(SmtRes!AQ18:'SmtRes'!AQ21,"=1",SmtRes!CW18:'SmtRes'!CW21)</f>
        <v>3.92</v>
      </c>
      <c r="W28">
        <f t="shared" si="16"/>
        <v>0</v>
      </c>
      <c r="X28">
        <f t="shared" si="17"/>
        <v>4119.32</v>
      </c>
      <c r="Y28">
        <f t="shared" si="18"/>
        <v>2399.6</v>
      </c>
      <c r="AA28">
        <v>50837940</v>
      </c>
      <c r="AB28">
        <f t="shared" si="19"/>
        <v>156.48920000000001</v>
      </c>
      <c r="AC28">
        <f>ROUND((0),6)</f>
        <v>0</v>
      </c>
      <c r="AD28">
        <f>ROUND((((SUM(SmtRes!BR18:'SmtRes'!BR21))-(SUM(SmtRes!BS18:'SmtRes'!BS21)))+AE28),6)</f>
        <v>70.354200000000006</v>
      </c>
      <c r="AE28">
        <f>ROUND((SUM(SmtRes!BS18:'SmtRes'!BS21)),6)</f>
        <v>56.698599999999999</v>
      </c>
      <c r="AF28">
        <f>ROUND((SUM(SmtRes!BT18:'SmtRes'!BT21)),6)</f>
        <v>86.135000000000005</v>
      </c>
      <c r="AG28">
        <f t="shared" si="20"/>
        <v>0</v>
      </c>
      <c r="AH28">
        <f>(SUM(SmtRes!BU18:'SmtRes'!BU21))</f>
        <v>0.25</v>
      </c>
      <c r="AI28">
        <f>(SUM(SmtRes!BV18:'SmtRes'!BV21))</f>
        <v>0.14000000000000001</v>
      </c>
      <c r="AJ28">
        <f t="shared" si="21"/>
        <v>0</v>
      </c>
      <c r="AK28">
        <v>213.18780000000004</v>
      </c>
      <c r="AL28">
        <v>0</v>
      </c>
      <c r="AM28">
        <v>70.35420000000002</v>
      </c>
      <c r="AN28">
        <v>56.698600000000006</v>
      </c>
      <c r="AO28">
        <v>86.135000000000005</v>
      </c>
      <c r="AP28">
        <v>0</v>
      </c>
      <c r="AQ28">
        <v>0.25</v>
      </c>
      <c r="AR28">
        <v>0.14000000000000001</v>
      </c>
      <c r="AS28">
        <v>0</v>
      </c>
      <c r="AT28">
        <v>103</v>
      </c>
      <c r="AU28">
        <v>60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53</v>
      </c>
      <c r="BM28">
        <v>33001</v>
      </c>
      <c r="BN28">
        <v>0</v>
      </c>
      <c r="BO28" t="s">
        <v>3</v>
      </c>
      <c r="BP28">
        <v>0</v>
      </c>
      <c r="BQ28">
        <v>2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103</v>
      </c>
      <c r="CA28">
        <v>60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22"/>
        <v>6715.23</v>
      </c>
      <c r="CQ28">
        <f>SUMIF(SmtRes!AQ18:'SmtRes'!AQ21,"=1",SmtRes!AA18:'SmtRes'!AA21)</f>
        <v>0</v>
      </c>
      <c r="CR28">
        <f>SUMIF(SmtRes!AQ18:'SmtRes'!AQ21,"=1",SmtRes!AB18:'SmtRes'!AB21)</f>
        <v>692.83</v>
      </c>
      <c r="CS28">
        <f>SUMIF(SmtRes!AQ18:'SmtRes'!AQ21,"=1",SmtRes!AC18:'SmtRes'!AC21)</f>
        <v>404.99</v>
      </c>
      <c r="CT28">
        <f>SUMIF(SmtRes!AQ18:'SmtRes'!AQ21,"=1",SmtRes!AD18:'SmtRes'!AD21)</f>
        <v>344.54</v>
      </c>
      <c r="CU28">
        <f t="shared" si="23"/>
        <v>0</v>
      </c>
      <c r="CV28">
        <f>SUMIF(SmtRes!AQ18:'SmtRes'!AQ21,"=1",SmtRes!BU18:'SmtRes'!BU21)</f>
        <v>0.25</v>
      </c>
      <c r="CW28">
        <f>SUMIF(SmtRes!AQ18:'SmtRes'!AQ21,"=1",SmtRes!BV18:'SmtRes'!BV21)</f>
        <v>0.14000000000000001</v>
      </c>
      <c r="CX28">
        <f t="shared" si="24"/>
        <v>0</v>
      </c>
      <c r="CY28">
        <f t="shared" si="25"/>
        <v>4119.3202000000001</v>
      </c>
      <c r="CZ28">
        <f t="shared" si="26"/>
        <v>2399.6040000000003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30</v>
      </c>
      <c r="DW28" t="s">
        <v>30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49642237</v>
      </c>
      <c r="EF28">
        <v>2</v>
      </c>
      <c r="EG28" t="s">
        <v>20</v>
      </c>
      <c r="EH28">
        <v>27</v>
      </c>
      <c r="EI28" t="s">
        <v>46</v>
      </c>
      <c r="EJ28">
        <v>1</v>
      </c>
      <c r="EK28">
        <v>33001</v>
      </c>
      <c r="EL28" t="s">
        <v>46</v>
      </c>
      <c r="EM28" t="s">
        <v>47</v>
      </c>
      <c r="EO28" t="s">
        <v>3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0.25</v>
      </c>
      <c r="EX28">
        <v>0.14000000000000001</v>
      </c>
      <c r="EY28">
        <v>0</v>
      </c>
      <c r="FQ28">
        <v>0</v>
      </c>
      <c r="FR28">
        <v>0</v>
      </c>
      <c r="FS28">
        <v>0</v>
      </c>
      <c r="FX28">
        <v>103</v>
      </c>
      <c r="FY28">
        <v>60</v>
      </c>
      <c r="GA28" t="s">
        <v>3</v>
      </c>
      <c r="GD28">
        <v>1</v>
      </c>
      <c r="GF28">
        <v>-718096970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si="27"/>
        <v>0</v>
      </c>
      <c r="GM28">
        <f t="shared" si="28"/>
        <v>13234.15</v>
      </c>
      <c r="GN28">
        <f t="shared" si="29"/>
        <v>13234.15</v>
      </c>
      <c r="GO28">
        <f t="shared" si="30"/>
        <v>0</v>
      </c>
      <c r="GP28">
        <f t="shared" si="31"/>
        <v>0</v>
      </c>
      <c r="GR28">
        <v>0</v>
      </c>
      <c r="GS28">
        <v>3</v>
      </c>
      <c r="GT28">
        <v>0</v>
      </c>
      <c r="GU28" t="s">
        <v>3</v>
      </c>
      <c r="GV28">
        <f t="shared" si="32"/>
        <v>0</v>
      </c>
      <c r="GW28">
        <v>1</v>
      </c>
      <c r="GX28">
        <f t="shared" si="33"/>
        <v>0</v>
      </c>
      <c r="HA28">
        <v>0</v>
      </c>
      <c r="HB28">
        <v>0</v>
      </c>
      <c r="HC28">
        <f t="shared" si="34"/>
        <v>0</v>
      </c>
      <c r="HE28" t="s">
        <v>3</v>
      </c>
      <c r="HF28" t="s">
        <v>3</v>
      </c>
      <c r="HM28" t="s">
        <v>3</v>
      </c>
      <c r="HN28" t="s">
        <v>48</v>
      </c>
      <c r="HO28" t="s">
        <v>49</v>
      </c>
      <c r="HP28" t="s">
        <v>46</v>
      </c>
      <c r="HQ28" t="s">
        <v>46</v>
      </c>
      <c r="HS28">
        <v>0</v>
      </c>
      <c r="IK28">
        <v>0</v>
      </c>
    </row>
    <row r="29" spans="1:245">
      <c r="A29">
        <v>17</v>
      </c>
      <c r="B29">
        <v>1</v>
      </c>
      <c r="C29">
        <f>ROW(SmtRes!A24)</f>
        <v>24</v>
      </c>
      <c r="D29">
        <f>ROW(EtalonRes!A24)</f>
        <v>24</v>
      </c>
      <c r="E29" t="s">
        <v>54</v>
      </c>
      <c r="F29" t="s">
        <v>55</v>
      </c>
      <c r="G29" t="s">
        <v>56</v>
      </c>
      <c r="H29" t="s">
        <v>57</v>
      </c>
      <c r="I29">
        <f>ROUND(101.8/1000,7)</f>
        <v>0.1018</v>
      </c>
      <c r="J29">
        <v>0</v>
      </c>
      <c r="K29">
        <f>ROUND(101.8/1000,7)</f>
        <v>0.1018</v>
      </c>
      <c r="O29">
        <f t="shared" si="14"/>
        <v>6881.55</v>
      </c>
      <c r="P29">
        <f>SUMIF(SmtRes!AQ22:'SmtRes'!AQ24,"=1",SmtRes!DF22:'SmtRes'!DF24)</f>
        <v>0</v>
      </c>
      <c r="Q29">
        <f>SUMIF(SmtRes!AQ22:'SmtRes'!AQ24,"=1",SmtRes!DG22:'SmtRes'!DG24)</f>
        <v>4379.34</v>
      </c>
      <c r="R29">
        <f>SUMIF(SmtRes!AQ22:'SmtRes'!AQ24,"=1",SmtRes!DH22:'SmtRes'!DH24)</f>
        <v>2202.73</v>
      </c>
      <c r="S29">
        <f>SUMIF(SmtRes!AQ22:'SmtRes'!AQ24,"=1",SmtRes!DI22:'SmtRes'!DI24)</f>
        <v>299.48</v>
      </c>
      <c r="T29">
        <f t="shared" si="15"/>
        <v>0</v>
      </c>
      <c r="U29">
        <f>SUMIF(SmtRes!AQ22:'SmtRes'!AQ24,"=1",SmtRes!CV22:'SmtRes'!CV24)</f>
        <v>0.90907400000000005</v>
      </c>
      <c r="V29">
        <f>SUMIF(SmtRes!AQ22:'SmtRes'!AQ24,"=1",SmtRes!CW22:'SmtRes'!CW24)</f>
        <v>4.7326819999999996</v>
      </c>
      <c r="W29">
        <f t="shared" si="16"/>
        <v>0</v>
      </c>
      <c r="X29">
        <f t="shared" si="17"/>
        <v>2302.0300000000002</v>
      </c>
      <c r="Y29">
        <f t="shared" si="18"/>
        <v>1151.02</v>
      </c>
      <c r="AA29">
        <v>50837940</v>
      </c>
      <c r="AB29">
        <f t="shared" si="19"/>
        <v>34342.550600000002</v>
      </c>
      <c r="AC29">
        <f>ROUND((0),6)</f>
        <v>0</v>
      </c>
      <c r="AD29">
        <f>ROUND((((SUM(SmtRes!BR22:'SmtRes'!BR24))-(SUM(SmtRes!BS22:'SmtRes'!BS24)))+AE29),6)</f>
        <v>31400.740699999998</v>
      </c>
      <c r="AE29">
        <f>ROUND((SUM(SmtRes!BS22:'SmtRes'!BS24)),6)</f>
        <v>21637.840700000001</v>
      </c>
      <c r="AF29">
        <f>ROUND((SUM(SmtRes!BT22:'SmtRes'!BT24)),6)</f>
        <v>2941.8099000000002</v>
      </c>
      <c r="AG29">
        <f t="shared" si="20"/>
        <v>0</v>
      </c>
      <c r="AH29">
        <f>(SUM(SmtRes!BU22:'SmtRes'!BU24))</f>
        <v>8.93</v>
      </c>
      <c r="AI29">
        <f>(SUM(SmtRes!BV22:'SmtRes'!BV24))</f>
        <v>46.49</v>
      </c>
      <c r="AJ29">
        <f t="shared" si="21"/>
        <v>0</v>
      </c>
      <c r="AK29">
        <v>55980.391299999996</v>
      </c>
      <c r="AL29">
        <v>0</v>
      </c>
      <c r="AM29">
        <v>31400.740699999998</v>
      </c>
      <c r="AN29">
        <v>21637.840700000001</v>
      </c>
      <c r="AO29">
        <v>2941.8098999999997</v>
      </c>
      <c r="AP29">
        <v>0</v>
      </c>
      <c r="AQ29">
        <v>8.93</v>
      </c>
      <c r="AR29">
        <v>46.49</v>
      </c>
      <c r="AS29">
        <v>0</v>
      </c>
      <c r="AT29">
        <v>92</v>
      </c>
      <c r="AU29">
        <v>46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58</v>
      </c>
      <c r="BM29">
        <v>1001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92</v>
      </c>
      <c r="CA29">
        <v>46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6881.5499999999993</v>
      </c>
      <c r="CQ29">
        <f>SUMIF(SmtRes!AQ22:'SmtRes'!AQ24,"=1",SmtRes!AA22:'SmtRes'!AA24)</f>
        <v>0</v>
      </c>
      <c r="CR29">
        <f>SUMIF(SmtRes!AQ22:'SmtRes'!AQ24,"=1",SmtRes!AB22:'SmtRes'!AB24)</f>
        <v>925.34</v>
      </c>
      <c r="CS29">
        <f>SUMIF(SmtRes!AQ22:'SmtRes'!AQ24,"=1",SmtRes!AC22:'SmtRes'!AC24)</f>
        <v>465.43</v>
      </c>
      <c r="CT29">
        <f>SUMIF(SmtRes!AQ22:'SmtRes'!AQ24,"=1",SmtRes!AD22:'SmtRes'!AD24)</f>
        <v>329.43</v>
      </c>
      <c r="CU29">
        <f t="shared" si="23"/>
        <v>0</v>
      </c>
      <c r="CV29">
        <f>SUMIF(SmtRes!AQ22:'SmtRes'!AQ24,"=1",SmtRes!BU22:'SmtRes'!BU24)</f>
        <v>8.93</v>
      </c>
      <c r="CW29">
        <f>SUMIF(SmtRes!AQ22:'SmtRes'!AQ24,"=1",SmtRes!BV22:'SmtRes'!BV24)</f>
        <v>46.49</v>
      </c>
      <c r="CX29">
        <f t="shared" si="24"/>
        <v>0</v>
      </c>
      <c r="CY29">
        <f t="shared" si="25"/>
        <v>2302.0331999999999</v>
      </c>
      <c r="CZ29">
        <f t="shared" si="26"/>
        <v>1151.0165999999999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1007</v>
      </c>
      <c r="DV29" t="s">
        <v>57</v>
      </c>
      <c r="DW29" t="s">
        <v>57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49642157</v>
      </c>
      <c r="EF29">
        <v>2</v>
      </c>
      <c r="EG29" t="s">
        <v>20</v>
      </c>
      <c r="EH29">
        <v>1</v>
      </c>
      <c r="EI29" t="s">
        <v>21</v>
      </c>
      <c r="EJ29">
        <v>1</v>
      </c>
      <c r="EK29">
        <v>1001</v>
      </c>
      <c r="EL29" t="s">
        <v>59</v>
      </c>
      <c r="EM29" t="s">
        <v>23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8.93</v>
      </c>
      <c r="EX29">
        <v>46.49</v>
      </c>
      <c r="EY29">
        <v>0</v>
      </c>
      <c r="FQ29">
        <v>0</v>
      </c>
      <c r="FR29">
        <v>0</v>
      </c>
      <c r="FS29">
        <v>0</v>
      </c>
      <c r="FX29">
        <v>92</v>
      </c>
      <c r="FY29">
        <v>46</v>
      </c>
      <c r="GA29" t="s">
        <v>3</v>
      </c>
      <c r="GD29">
        <v>1</v>
      </c>
      <c r="GF29">
        <v>717132349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7"/>
        <v>0</v>
      </c>
      <c r="GM29">
        <f t="shared" si="28"/>
        <v>10334.6</v>
      </c>
      <c r="GN29">
        <f t="shared" si="29"/>
        <v>10334.6</v>
      </c>
      <c r="GO29">
        <f t="shared" si="30"/>
        <v>0</v>
      </c>
      <c r="GP29">
        <f t="shared" si="31"/>
        <v>0</v>
      </c>
      <c r="GR29">
        <v>0</v>
      </c>
      <c r="GS29">
        <v>3</v>
      </c>
      <c r="GT29">
        <v>0</v>
      </c>
      <c r="GU29" t="s">
        <v>3</v>
      </c>
      <c r="GV29">
        <f t="shared" si="32"/>
        <v>0</v>
      </c>
      <c r="GW29">
        <v>1</v>
      </c>
      <c r="GX29">
        <f t="shared" si="33"/>
        <v>0</v>
      </c>
      <c r="HA29">
        <v>0</v>
      </c>
      <c r="HB29">
        <v>0</v>
      </c>
      <c r="HC29">
        <f t="shared" si="34"/>
        <v>0</v>
      </c>
      <c r="HE29" t="s">
        <v>3</v>
      </c>
      <c r="HF29" t="s">
        <v>3</v>
      </c>
      <c r="HM29" t="s">
        <v>3</v>
      </c>
      <c r="HN29" t="s">
        <v>60</v>
      </c>
      <c r="HO29" t="s">
        <v>61</v>
      </c>
      <c r="HP29" t="s">
        <v>59</v>
      </c>
      <c r="HQ29" t="s">
        <v>59</v>
      </c>
      <c r="HS29">
        <v>0</v>
      </c>
      <c r="IK29">
        <v>0</v>
      </c>
    </row>
    <row r="30" spans="1:245">
      <c r="A30">
        <v>17</v>
      </c>
      <c r="B30">
        <v>1</v>
      </c>
      <c r="C30">
        <f>ROW(SmtRes!A26)</f>
        <v>26</v>
      </c>
      <c r="D30">
        <f>ROW(EtalonRes!A26)</f>
        <v>26</v>
      </c>
      <c r="E30" t="s">
        <v>62</v>
      </c>
      <c r="F30" t="s">
        <v>63</v>
      </c>
      <c r="G30" t="s">
        <v>64</v>
      </c>
      <c r="H30" t="s">
        <v>57</v>
      </c>
      <c r="I30">
        <f>ROUND(101.8/1000,7)</f>
        <v>0.1018</v>
      </c>
      <c r="J30">
        <v>0</v>
      </c>
      <c r="K30">
        <f>ROUND(101.8/1000,7)</f>
        <v>0.1018</v>
      </c>
      <c r="O30">
        <f t="shared" si="14"/>
        <v>1360.39</v>
      </c>
      <c r="P30">
        <f>SUMIF(SmtRes!AQ25:'SmtRes'!AQ26,"=1",SmtRes!DF25:'SmtRes'!DF26)</f>
        <v>0</v>
      </c>
      <c r="Q30">
        <f>SUMIF(SmtRes!AQ25:'SmtRes'!AQ26,"=1",SmtRes!DG25:'SmtRes'!DG26)</f>
        <v>978.5</v>
      </c>
      <c r="R30">
        <f>SUMIF(SmtRes!AQ25:'SmtRes'!AQ26,"=1",SmtRes!DH25:'SmtRes'!DH26)</f>
        <v>381.89</v>
      </c>
      <c r="S30">
        <f>SUMIF(SmtRes!AQ25:'SmtRes'!AQ26,"=1",SmtRes!DI25:'SmtRes'!DI26)</f>
        <v>0</v>
      </c>
      <c r="T30">
        <f t="shared" si="15"/>
        <v>0</v>
      </c>
      <c r="U30">
        <f>SUMIF(SmtRes!AQ25:'SmtRes'!AQ26,"=1",SmtRes!CV25:'SmtRes'!CV26)</f>
        <v>0</v>
      </c>
      <c r="V30">
        <f>SUMIF(SmtRes!AQ25:'SmtRes'!AQ26,"=1",SmtRes!CW25:'SmtRes'!CW26)</f>
        <v>0.82050800000000002</v>
      </c>
      <c r="W30">
        <f t="shared" si="16"/>
        <v>0</v>
      </c>
      <c r="X30">
        <f t="shared" si="17"/>
        <v>351.34</v>
      </c>
      <c r="Y30">
        <f t="shared" si="18"/>
        <v>175.67</v>
      </c>
      <c r="AA30">
        <v>50837940</v>
      </c>
      <c r="AB30">
        <f t="shared" si="19"/>
        <v>6674.9696000000004</v>
      </c>
      <c r="AC30">
        <f>ROUND((0),6)</f>
        <v>0</v>
      </c>
      <c r="AD30">
        <f>ROUND((((SUM(SmtRes!BR25:'SmtRes'!BR26))-(SUM(SmtRes!BS25:'SmtRes'!BS26)))+AE30),6)</f>
        <v>6674.9696000000004</v>
      </c>
      <c r="AE30">
        <f>ROUND((SUM(SmtRes!BS25:'SmtRes'!BS26)),6)</f>
        <v>3751.3658</v>
      </c>
      <c r="AF30">
        <f>ROUND((0),6)</f>
        <v>0</v>
      </c>
      <c r="AG30">
        <f t="shared" si="20"/>
        <v>0</v>
      </c>
      <c r="AH30">
        <f>(0)</f>
        <v>0</v>
      </c>
      <c r="AI30">
        <f>(SUM(SmtRes!BV25:'SmtRes'!BV26))</f>
        <v>8.06</v>
      </c>
      <c r="AJ30">
        <f t="shared" si="21"/>
        <v>0</v>
      </c>
      <c r="AK30">
        <v>10426.3354</v>
      </c>
      <c r="AL30">
        <v>0</v>
      </c>
      <c r="AM30">
        <v>6674.9696000000004</v>
      </c>
      <c r="AN30">
        <v>3751.3658000000005</v>
      </c>
      <c r="AO30">
        <v>0</v>
      </c>
      <c r="AP30">
        <v>0</v>
      </c>
      <c r="AQ30">
        <v>0</v>
      </c>
      <c r="AR30">
        <v>8.06</v>
      </c>
      <c r="AS30">
        <v>0</v>
      </c>
      <c r="AT30">
        <v>92</v>
      </c>
      <c r="AU30">
        <v>46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65</v>
      </c>
      <c r="BM30">
        <v>1001</v>
      </c>
      <c r="BN30">
        <v>0</v>
      </c>
      <c r="BO30" t="s">
        <v>3</v>
      </c>
      <c r="BP30">
        <v>0</v>
      </c>
      <c r="BQ30">
        <v>2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92</v>
      </c>
      <c r="CA30">
        <v>46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1360.3899999999999</v>
      </c>
      <c r="CQ30">
        <f>SUMIF(SmtRes!AQ25:'SmtRes'!AQ26,"=1",SmtRes!AA25:'SmtRes'!AA26)</f>
        <v>0</v>
      </c>
      <c r="CR30">
        <f>SUMIF(SmtRes!AQ25:'SmtRes'!AQ26,"=1",SmtRes!AB25:'SmtRes'!AB26)</f>
        <v>1192.55</v>
      </c>
      <c r="CS30">
        <f>SUMIF(SmtRes!AQ25:'SmtRes'!AQ26,"=1",SmtRes!AC25:'SmtRes'!AC26)</f>
        <v>465.43</v>
      </c>
      <c r="CT30">
        <f>SUMIF(SmtRes!AQ25:'SmtRes'!AQ26,"=1",SmtRes!AD25:'SmtRes'!AD26)</f>
        <v>0</v>
      </c>
      <c r="CU30">
        <f t="shared" si="23"/>
        <v>0</v>
      </c>
      <c r="CV30">
        <f>SUMIF(SmtRes!AQ25:'SmtRes'!AQ26,"=1",SmtRes!BU25:'SmtRes'!BU26)</f>
        <v>0</v>
      </c>
      <c r="CW30">
        <f>SUMIF(SmtRes!AQ25:'SmtRes'!AQ26,"=1",SmtRes!BV25:'SmtRes'!BV26)</f>
        <v>8.06</v>
      </c>
      <c r="CX30">
        <f t="shared" si="24"/>
        <v>0</v>
      </c>
      <c r="CY30">
        <f t="shared" si="25"/>
        <v>351.33879999999999</v>
      </c>
      <c r="CZ30">
        <f t="shared" si="26"/>
        <v>175.6694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1007</v>
      </c>
      <c r="DV30" t="s">
        <v>57</v>
      </c>
      <c r="DW30" t="s">
        <v>57</v>
      </c>
      <c r="DX30">
        <v>1000</v>
      </c>
      <c r="DZ30" t="s">
        <v>3</v>
      </c>
      <c r="EA30" t="s">
        <v>3</v>
      </c>
      <c r="EB30" t="s">
        <v>3</v>
      </c>
      <c r="EC30" t="s">
        <v>3</v>
      </c>
      <c r="EE30">
        <v>49642157</v>
      </c>
      <c r="EF30">
        <v>2</v>
      </c>
      <c r="EG30" t="s">
        <v>20</v>
      </c>
      <c r="EH30">
        <v>1</v>
      </c>
      <c r="EI30" t="s">
        <v>21</v>
      </c>
      <c r="EJ30">
        <v>1</v>
      </c>
      <c r="EK30">
        <v>1001</v>
      </c>
      <c r="EL30" t="s">
        <v>59</v>
      </c>
      <c r="EM30" t="s">
        <v>23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8.06</v>
      </c>
      <c r="EY30">
        <v>0</v>
      </c>
      <c r="FQ30">
        <v>0</v>
      </c>
      <c r="FR30">
        <v>0</v>
      </c>
      <c r="FS30">
        <v>0</v>
      </c>
      <c r="FX30">
        <v>92</v>
      </c>
      <c r="FY30">
        <v>46</v>
      </c>
      <c r="GA30" t="s">
        <v>3</v>
      </c>
      <c r="GD30">
        <v>1</v>
      </c>
      <c r="GF30">
        <v>1607513880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7"/>
        <v>0</v>
      </c>
      <c r="GM30">
        <f t="shared" si="28"/>
        <v>1887.4</v>
      </c>
      <c r="GN30">
        <f t="shared" si="29"/>
        <v>1887.4</v>
      </c>
      <c r="GO30">
        <f t="shared" si="30"/>
        <v>0</v>
      </c>
      <c r="GP30">
        <f t="shared" si="31"/>
        <v>0</v>
      </c>
      <c r="GR30">
        <v>0</v>
      </c>
      <c r="GS30">
        <v>3</v>
      </c>
      <c r="GT30">
        <v>0</v>
      </c>
      <c r="GU30" t="s">
        <v>3</v>
      </c>
      <c r="GV30">
        <f t="shared" si="32"/>
        <v>0</v>
      </c>
      <c r="GW30">
        <v>1</v>
      </c>
      <c r="GX30">
        <f t="shared" si="33"/>
        <v>0</v>
      </c>
      <c r="HA30">
        <v>0</v>
      </c>
      <c r="HB30">
        <v>0</v>
      </c>
      <c r="HC30">
        <f t="shared" si="34"/>
        <v>0</v>
      </c>
      <c r="HE30" t="s">
        <v>3</v>
      </c>
      <c r="HF30" t="s">
        <v>3</v>
      </c>
      <c r="HM30" t="s">
        <v>3</v>
      </c>
      <c r="HN30" t="s">
        <v>60</v>
      </c>
      <c r="HO30" t="s">
        <v>61</v>
      </c>
      <c r="HP30" t="s">
        <v>59</v>
      </c>
      <c r="HQ30" t="s">
        <v>59</v>
      </c>
      <c r="HS30">
        <v>0</v>
      </c>
      <c r="IK30">
        <v>0</v>
      </c>
    </row>
    <row r="31" spans="1:245">
      <c r="A31">
        <v>17</v>
      </c>
      <c r="B31">
        <v>1</v>
      </c>
      <c r="C31">
        <f>ROW(SmtRes!A31)</f>
        <v>31</v>
      </c>
      <c r="D31">
        <f>ROW(EtalonRes!A31)</f>
        <v>31</v>
      </c>
      <c r="E31" t="s">
        <v>66</v>
      </c>
      <c r="F31" t="s">
        <v>67</v>
      </c>
      <c r="G31" t="s">
        <v>68</v>
      </c>
      <c r="H31" t="s">
        <v>30</v>
      </c>
      <c r="I31">
        <v>32</v>
      </c>
      <c r="J31">
        <v>0</v>
      </c>
      <c r="K31">
        <v>32</v>
      </c>
      <c r="O31">
        <f t="shared" si="14"/>
        <v>31142.21</v>
      </c>
      <c r="P31">
        <f>SUMIF(SmtRes!AQ27:'SmtRes'!AQ31,"=1",SmtRes!DF27:'SmtRes'!DF31)</f>
        <v>0</v>
      </c>
      <c r="Q31">
        <f>SUMIF(SmtRes!AQ27:'SmtRes'!AQ31,"=1",SmtRes!DG27:'SmtRes'!DG31)</f>
        <v>6869.09</v>
      </c>
      <c r="R31">
        <f>SUMIF(SmtRes!AQ27:'SmtRes'!AQ31,"=1",SmtRes!DH27:'SmtRes'!DH31)</f>
        <v>2680.88</v>
      </c>
      <c r="S31">
        <f>SUMIF(SmtRes!AQ27:'SmtRes'!AQ31,"=1",SmtRes!DI27:'SmtRes'!DI31)</f>
        <v>21592.240000000002</v>
      </c>
      <c r="T31">
        <f t="shared" si="15"/>
        <v>0</v>
      </c>
      <c r="U31">
        <f>SUMIF(SmtRes!AQ27:'SmtRes'!AQ31,"=1",SmtRes!CV27:'SmtRes'!CV31)</f>
        <v>58.56</v>
      </c>
      <c r="V31">
        <f>SUMIF(SmtRes!AQ27:'SmtRes'!AQ31,"=1",SmtRes!CW27:'SmtRes'!CW31)</f>
        <v>5.76</v>
      </c>
      <c r="W31">
        <f t="shared" si="16"/>
        <v>0</v>
      </c>
      <c r="X31">
        <f t="shared" si="17"/>
        <v>23787.66</v>
      </c>
      <c r="Y31">
        <f t="shared" si="18"/>
        <v>14078.41</v>
      </c>
      <c r="AA31">
        <v>50837940</v>
      </c>
      <c r="AB31">
        <f t="shared" si="19"/>
        <v>823.82640000000004</v>
      </c>
      <c r="AC31">
        <f>ROUND((0),6)</f>
        <v>0</v>
      </c>
      <c r="AD31">
        <f>ROUND((((SUM(SmtRes!BR27:'SmtRes'!BR31))-(SUM(SmtRes!BS27:'SmtRes'!BS31)))+AE31),6)</f>
        <v>149.06880000000001</v>
      </c>
      <c r="AE31">
        <f>ROUND((SUM(SmtRes!BS27:'SmtRes'!BS31)),6)</f>
        <v>83.7774</v>
      </c>
      <c r="AF31">
        <f>ROUND((SUM(SmtRes!BT27:'SmtRes'!BT31)),6)</f>
        <v>674.75760000000002</v>
      </c>
      <c r="AG31">
        <f t="shared" si="20"/>
        <v>0</v>
      </c>
      <c r="AH31">
        <f>(SUM(SmtRes!BU27:'SmtRes'!BU31))</f>
        <v>1.83</v>
      </c>
      <c r="AI31">
        <f>(SUM(SmtRes!BV27:'SmtRes'!BV31))</f>
        <v>0.18</v>
      </c>
      <c r="AJ31">
        <f t="shared" si="21"/>
        <v>0</v>
      </c>
      <c r="AK31">
        <v>1089.1846880000001</v>
      </c>
      <c r="AL31">
        <v>181.58088800000002</v>
      </c>
      <c r="AM31">
        <v>149.06879999999998</v>
      </c>
      <c r="AN31">
        <v>83.7774</v>
      </c>
      <c r="AO31">
        <v>674.75760000000002</v>
      </c>
      <c r="AP31">
        <v>0</v>
      </c>
      <c r="AQ31">
        <v>1.83</v>
      </c>
      <c r="AR31">
        <v>0.18</v>
      </c>
      <c r="AS31">
        <v>0</v>
      </c>
      <c r="AT31">
        <v>98</v>
      </c>
      <c r="AU31">
        <v>58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69</v>
      </c>
      <c r="BM31">
        <v>34001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98</v>
      </c>
      <c r="CA31">
        <v>58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31142.210000000003</v>
      </c>
      <c r="CQ31">
        <f>SUMIF(SmtRes!AQ27:'SmtRes'!AQ31,"=1",SmtRes!AA27:'SmtRes'!AA31)</f>
        <v>71753.740000000005</v>
      </c>
      <c r="CR31">
        <f>SUMIF(SmtRes!AQ27:'SmtRes'!AQ31,"=1",SmtRes!AB27:'SmtRes'!AB31)</f>
        <v>1192.55</v>
      </c>
      <c r="CS31">
        <f>SUMIF(SmtRes!AQ27:'SmtRes'!AQ31,"=1",SmtRes!AC27:'SmtRes'!AC31)</f>
        <v>465.43</v>
      </c>
      <c r="CT31">
        <f>SUMIF(SmtRes!AQ27:'SmtRes'!AQ31,"=1",SmtRes!AD27:'SmtRes'!AD31)</f>
        <v>368.72</v>
      </c>
      <c r="CU31">
        <f t="shared" si="23"/>
        <v>0</v>
      </c>
      <c r="CV31">
        <f>SUMIF(SmtRes!AQ27:'SmtRes'!AQ31,"=1",SmtRes!BU27:'SmtRes'!BU31)</f>
        <v>1.83</v>
      </c>
      <c r="CW31">
        <f>SUMIF(SmtRes!AQ27:'SmtRes'!AQ31,"=1",SmtRes!BV27:'SmtRes'!BV31)</f>
        <v>0.18</v>
      </c>
      <c r="CX31">
        <f t="shared" si="24"/>
        <v>0</v>
      </c>
      <c r="CY31">
        <f t="shared" si="25"/>
        <v>23787.657600000002</v>
      </c>
      <c r="CZ31">
        <f t="shared" si="26"/>
        <v>14078.409600000003</v>
      </c>
      <c r="DC31" t="s">
        <v>3</v>
      </c>
      <c r="DD31" t="s">
        <v>32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30</v>
      </c>
      <c r="DW31" t="s">
        <v>30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49642238</v>
      </c>
      <c r="EF31">
        <v>2</v>
      </c>
      <c r="EG31" t="s">
        <v>20</v>
      </c>
      <c r="EH31">
        <v>28</v>
      </c>
      <c r="EI31" t="s">
        <v>33</v>
      </c>
      <c r="EJ31">
        <v>1</v>
      </c>
      <c r="EK31">
        <v>34001</v>
      </c>
      <c r="EL31" t="s">
        <v>34</v>
      </c>
      <c r="EM31" t="s">
        <v>35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1.83</v>
      </c>
      <c r="EX31">
        <v>0.18</v>
      </c>
      <c r="EY31">
        <v>0</v>
      </c>
      <c r="FQ31">
        <v>0</v>
      </c>
      <c r="FR31">
        <v>0</v>
      </c>
      <c r="FS31">
        <v>0</v>
      </c>
      <c r="FX31">
        <v>98</v>
      </c>
      <c r="FY31">
        <v>58</v>
      </c>
      <c r="GA31" t="s">
        <v>3</v>
      </c>
      <c r="GD31">
        <v>1</v>
      </c>
      <c r="GF31">
        <v>1912661368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27"/>
        <v>0</v>
      </c>
      <c r="GM31">
        <f t="shared" si="28"/>
        <v>69008.28</v>
      </c>
      <c r="GN31">
        <f t="shared" si="29"/>
        <v>69008.28</v>
      </c>
      <c r="GO31">
        <f t="shared" si="30"/>
        <v>0</v>
      </c>
      <c r="GP31">
        <f t="shared" si="31"/>
        <v>0</v>
      </c>
      <c r="GR31">
        <v>0</v>
      </c>
      <c r="GS31">
        <v>3</v>
      </c>
      <c r="GT31">
        <v>0</v>
      </c>
      <c r="GU31" t="s">
        <v>3</v>
      </c>
      <c r="GV31">
        <f t="shared" si="32"/>
        <v>0</v>
      </c>
      <c r="GW31">
        <v>1</v>
      </c>
      <c r="GX31">
        <f t="shared" si="33"/>
        <v>0</v>
      </c>
      <c r="HA31">
        <v>0</v>
      </c>
      <c r="HB31">
        <v>0</v>
      </c>
      <c r="HC31">
        <f t="shared" si="34"/>
        <v>0</v>
      </c>
      <c r="HE31" t="s">
        <v>3</v>
      </c>
      <c r="HF31" t="s">
        <v>3</v>
      </c>
      <c r="HM31" t="s">
        <v>3</v>
      </c>
      <c r="HN31" t="s">
        <v>36</v>
      </c>
      <c r="HO31" t="s">
        <v>37</v>
      </c>
      <c r="HP31" t="s">
        <v>38</v>
      </c>
      <c r="HQ31" t="s">
        <v>38</v>
      </c>
      <c r="HS31">
        <v>0</v>
      </c>
      <c r="IK31">
        <v>0</v>
      </c>
    </row>
    <row r="32" spans="1:245">
      <c r="A32">
        <v>18</v>
      </c>
      <c r="B32">
        <v>1</v>
      </c>
      <c r="C32">
        <v>30</v>
      </c>
      <c r="E32" t="s">
        <v>70</v>
      </c>
      <c r="F32" t="s">
        <v>71</v>
      </c>
      <c r="G32" t="s">
        <v>72</v>
      </c>
      <c r="H32" t="s">
        <v>73</v>
      </c>
      <c r="I32">
        <f>I31*J32</f>
        <v>0</v>
      </c>
      <c r="J32">
        <v>0</v>
      </c>
      <c r="K32">
        <v>0</v>
      </c>
      <c r="O32">
        <f t="shared" si="14"/>
        <v>0</v>
      </c>
      <c r="P32">
        <f>ROUND(CQ32*I32,2)</f>
        <v>0</v>
      </c>
      <c r="Q32">
        <f>ROUND(CR32*I32,2)</f>
        <v>0</v>
      </c>
      <c r="R32">
        <f>ROUND(CS32*I32,2)</f>
        <v>0</v>
      </c>
      <c r="S32">
        <f>ROUND(CT32*I32,2)</f>
        <v>0</v>
      </c>
      <c r="T32">
        <f t="shared" si="15"/>
        <v>0</v>
      </c>
      <c r="U32">
        <f>ROUND(CV32*I32,7)</f>
        <v>0</v>
      </c>
      <c r="V32">
        <f>ROUND(CW32*I32,7)</f>
        <v>0</v>
      </c>
      <c r="W32">
        <f t="shared" si="16"/>
        <v>0</v>
      </c>
      <c r="X32">
        <f t="shared" si="17"/>
        <v>0</v>
      </c>
      <c r="Y32">
        <f t="shared" si="18"/>
        <v>0</v>
      </c>
      <c r="AA32">
        <v>50837940</v>
      </c>
      <c r="AB32">
        <f t="shared" si="19"/>
        <v>0</v>
      </c>
      <c r="AC32">
        <f>ROUND((ES32),6)</f>
        <v>0</v>
      </c>
      <c r="AD32">
        <f>ROUND((((ET32)-(EU32))+AE32),6)</f>
        <v>0</v>
      </c>
      <c r="AE32">
        <f>ROUND((EU32),6)</f>
        <v>0</v>
      </c>
      <c r="AF32">
        <f>ROUND((EV32),6)</f>
        <v>0</v>
      </c>
      <c r="AG32">
        <f t="shared" si="20"/>
        <v>0</v>
      </c>
      <c r="AH32">
        <f>(EW32)</f>
        <v>0</v>
      </c>
      <c r="AI32">
        <f>(EX32)</f>
        <v>0</v>
      </c>
      <c r="AJ32">
        <f t="shared" si="21"/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98</v>
      </c>
      <c r="AU32">
        <v>58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1</v>
      </c>
      <c r="BJ32" t="s">
        <v>3</v>
      </c>
      <c r="BM32">
        <v>34001</v>
      </c>
      <c r="BN32">
        <v>0</v>
      </c>
      <c r="BO32" t="s">
        <v>3</v>
      </c>
      <c r="BP32">
        <v>0</v>
      </c>
      <c r="BQ32">
        <v>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98</v>
      </c>
      <c r="CA32">
        <v>58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0</v>
      </c>
      <c r="CQ32">
        <f>ROUND(AL32*BC32,2)</f>
        <v>0</v>
      </c>
      <c r="CR32">
        <f>ROUND(AM32*BB32,2)</f>
        <v>0</v>
      </c>
      <c r="CS32">
        <f>ROUND(AN32*BS32,2)</f>
        <v>0</v>
      </c>
      <c r="CT32">
        <f>ROUND(AO32*BA32,2)</f>
        <v>0</v>
      </c>
      <c r="CU32">
        <f t="shared" si="23"/>
        <v>0</v>
      </c>
      <c r="CV32">
        <f>AH32</f>
        <v>0</v>
      </c>
      <c r="CW32">
        <f>AI32</f>
        <v>0</v>
      </c>
      <c r="CX32">
        <f t="shared" si="24"/>
        <v>0</v>
      </c>
      <c r="CY32">
        <f t="shared" si="25"/>
        <v>0</v>
      </c>
      <c r="CZ32">
        <f t="shared" si="26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1007</v>
      </c>
      <c r="DV32" t="s">
        <v>73</v>
      </c>
      <c r="DW32" t="s">
        <v>73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49642238</v>
      </c>
      <c r="EF32">
        <v>2</v>
      </c>
      <c r="EG32" t="s">
        <v>20</v>
      </c>
      <c r="EH32">
        <v>28</v>
      </c>
      <c r="EI32" t="s">
        <v>33</v>
      </c>
      <c r="EJ32">
        <v>1</v>
      </c>
      <c r="EK32">
        <v>34001</v>
      </c>
      <c r="EL32" t="s">
        <v>34</v>
      </c>
      <c r="EM32" t="s">
        <v>35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FQ32">
        <v>0</v>
      </c>
      <c r="FR32">
        <v>0</v>
      </c>
      <c r="FS32">
        <v>0</v>
      </c>
      <c r="FX32">
        <v>98</v>
      </c>
      <c r="FY32">
        <v>58</v>
      </c>
      <c r="GA32" t="s">
        <v>3</v>
      </c>
      <c r="GD32">
        <v>1</v>
      </c>
      <c r="GF32">
        <v>-1462611281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7"/>
        <v>0</v>
      </c>
      <c r="GM32">
        <f t="shared" si="28"/>
        <v>0</v>
      </c>
      <c r="GN32">
        <f t="shared" si="29"/>
        <v>0</v>
      </c>
      <c r="GO32">
        <f t="shared" si="30"/>
        <v>0</v>
      </c>
      <c r="GP32">
        <f t="shared" si="31"/>
        <v>0</v>
      </c>
      <c r="GR32">
        <v>0</v>
      </c>
      <c r="GS32">
        <v>3</v>
      </c>
      <c r="GT32">
        <v>0</v>
      </c>
      <c r="GU32" t="s">
        <v>3</v>
      </c>
      <c r="GV32">
        <f t="shared" si="32"/>
        <v>0</v>
      </c>
      <c r="GW32">
        <v>1</v>
      </c>
      <c r="GX32">
        <f t="shared" si="33"/>
        <v>0</v>
      </c>
      <c r="HA32">
        <v>0</v>
      </c>
      <c r="HB32">
        <v>0</v>
      </c>
      <c r="HC32">
        <f t="shared" si="34"/>
        <v>0</v>
      </c>
      <c r="HE32" t="s">
        <v>3</v>
      </c>
      <c r="HF32" t="s">
        <v>3</v>
      </c>
      <c r="HM32" t="s">
        <v>32</v>
      </c>
      <c r="HN32" t="s">
        <v>36</v>
      </c>
      <c r="HO32" t="s">
        <v>37</v>
      </c>
      <c r="HP32" t="s">
        <v>38</v>
      </c>
      <c r="HQ32" t="s">
        <v>38</v>
      </c>
      <c r="HS32">
        <v>0</v>
      </c>
      <c r="IK32">
        <v>0</v>
      </c>
    </row>
    <row r="33" spans="1:245">
      <c r="A33">
        <v>17</v>
      </c>
      <c r="B33">
        <v>1</v>
      </c>
      <c r="C33">
        <f>ROW(SmtRes!A36)</f>
        <v>36</v>
      </c>
      <c r="D33">
        <f>ROW(EtalonRes!A36)</f>
        <v>36</v>
      </c>
      <c r="E33" t="s">
        <v>74</v>
      </c>
      <c r="F33" t="s">
        <v>75</v>
      </c>
      <c r="G33" t="s">
        <v>76</v>
      </c>
      <c r="H33" t="s">
        <v>30</v>
      </c>
      <c r="I33">
        <v>26</v>
      </c>
      <c r="J33">
        <v>0</v>
      </c>
      <c r="K33">
        <v>26</v>
      </c>
      <c r="O33">
        <f t="shared" si="14"/>
        <v>22902.06</v>
      </c>
      <c r="P33">
        <f>SUMIF(SmtRes!AQ32:'SmtRes'!AQ36,"=1",SmtRes!DF32:'SmtRes'!DF36)</f>
        <v>0</v>
      </c>
      <c r="Q33">
        <f>SUMIF(SmtRes!AQ32:'SmtRes'!AQ36,"=1",SmtRes!DG32:'SmtRes'!DG36)</f>
        <v>13800.980000000001</v>
      </c>
      <c r="R33">
        <f>SUMIF(SmtRes!AQ32:'SmtRes'!AQ36,"=1",SmtRes!DH32:'SmtRes'!DH36)</f>
        <v>5428.28</v>
      </c>
      <c r="S33">
        <f>SUMIF(SmtRes!AQ32:'SmtRes'!AQ36,"=1",SmtRes!DI32:'SmtRes'!DI36)</f>
        <v>3672.8</v>
      </c>
      <c r="T33">
        <f t="shared" si="15"/>
        <v>0</v>
      </c>
      <c r="U33">
        <f>SUMIF(SmtRes!AQ32:'SmtRes'!AQ36,"=1",SmtRes!CV32:'SmtRes'!CV36)</f>
        <v>10.66</v>
      </c>
      <c r="V33">
        <f>SUMIF(SmtRes!AQ32:'SmtRes'!AQ36,"=1",SmtRes!CW32:'SmtRes'!CW36)</f>
        <v>11.44</v>
      </c>
      <c r="W33">
        <f t="shared" si="16"/>
        <v>0</v>
      </c>
      <c r="X33">
        <f t="shared" si="17"/>
        <v>9374.11</v>
      </c>
      <c r="Y33">
        <f t="shared" si="18"/>
        <v>5460.65</v>
      </c>
      <c r="AA33">
        <v>50837940</v>
      </c>
      <c r="AB33">
        <f t="shared" si="19"/>
        <v>630.20259999999996</v>
      </c>
      <c r="AC33">
        <f>ROUND((0),6)</f>
        <v>0</v>
      </c>
      <c r="AD33">
        <f>ROUND((((SUM(SmtRes!BR32:'SmtRes'!BR36))-(SUM(SmtRes!BS32:'SmtRes'!BS36)))+AE33),6)</f>
        <v>488.94119999999998</v>
      </c>
      <c r="AE33">
        <f>ROUND((SUM(SmtRes!BS32:'SmtRes'!BS36)),6)</f>
        <v>208.78</v>
      </c>
      <c r="AF33">
        <f>ROUND((SUM(SmtRes!BT32:'SmtRes'!BT36)),6)</f>
        <v>141.26140000000001</v>
      </c>
      <c r="AG33">
        <f t="shared" si="20"/>
        <v>0</v>
      </c>
      <c r="AH33">
        <f>(SUM(SmtRes!BU32:'SmtRes'!BU36))</f>
        <v>0.41</v>
      </c>
      <c r="AI33">
        <f>(SUM(SmtRes!BV32:'SmtRes'!BV36))</f>
        <v>0.44</v>
      </c>
      <c r="AJ33">
        <f t="shared" si="21"/>
        <v>0</v>
      </c>
      <c r="AK33">
        <v>838.98259999999993</v>
      </c>
      <c r="AL33">
        <v>0</v>
      </c>
      <c r="AM33">
        <v>488.94119999999998</v>
      </c>
      <c r="AN33">
        <v>208.78</v>
      </c>
      <c r="AO33">
        <v>141.26140000000001</v>
      </c>
      <c r="AP33">
        <v>0</v>
      </c>
      <c r="AQ33">
        <v>0.41</v>
      </c>
      <c r="AR33">
        <v>0.44</v>
      </c>
      <c r="AS33">
        <v>0</v>
      </c>
      <c r="AT33">
        <v>103</v>
      </c>
      <c r="AU33">
        <v>60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77</v>
      </c>
      <c r="BM33">
        <v>33001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103</v>
      </c>
      <c r="CA33">
        <v>60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22902.06</v>
      </c>
      <c r="CQ33">
        <f>SUMIF(SmtRes!AQ32:'SmtRes'!AQ36,"=1",SmtRes!AA32:'SmtRes'!AA36)</f>
        <v>0</v>
      </c>
      <c r="CR33">
        <f>SUMIF(SmtRes!AQ32:'SmtRes'!AQ36,"=1",SmtRes!AB32:'SmtRes'!AB36)</f>
        <v>2412.7600000000002</v>
      </c>
      <c r="CS33">
        <f>SUMIF(SmtRes!AQ32:'SmtRes'!AQ36,"=1",SmtRes!AC32:'SmtRes'!AC36)</f>
        <v>949</v>
      </c>
      <c r="CT33">
        <f>SUMIF(SmtRes!AQ32:'SmtRes'!AQ36,"=1",SmtRes!AD32:'SmtRes'!AD36)</f>
        <v>344.54</v>
      </c>
      <c r="CU33">
        <f t="shared" si="23"/>
        <v>0</v>
      </c>
      <c r="CV33">
        <f>SUMIF(SmtRes!AQ32:'SmtRes'!AQ36,"=1",SmtRes!BU32:'SmtRes'!BU36)</f>
        <v>0.41</v>
      </c>
      <c r="CW33">
        <f>SUMIF(SmtRes!AQ32:'SmtRes'!AQ36,"=1",SmtRes!BV32:'SmtRes'!BV36)</f>
        <v>0.44</v>
      </c>
      <c r="CX33">
        <f t="shared" si="24"/>
        <v>0</v>
      </c>
      <c r="CY33">
        <f t="shared" si="25"/>
        <v>9374.1124</v>
      </c>
      <c r="CZ33">
        <f t="shared" si="26"/>
        <v>5460.6480000000001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30</v>
      </c>
      <c r="DW33" t="s">
        <v>30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49642237</v>
      </c>
      <c r="EF33">
        <v>2</v>
      </c>
      <c r="EG33" t="s">
        <v>20</v>
      </c>
      <c r="EH33">
        <v>27</v>
      </c>
      <c r="EI33" t="s">
        <v>46</v>
      </c>
      <c r="EJ33">
        <v>1</v>
      </c>
      <c r="EK33">
        <v>33001</v>
      </c>
      <c r="EL33" t="s">
        <v>46</v>
      </c>
      <c r="EM33" t="s">
        <v>47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0.41</v>
      </c>
      <c r="EX33">
        <v>0.44</v>
      </c>
      <c r="EY33">
        <v>0</v>
      </c>
      <c r="FQ33">
        <v>0</v>
      </c>
      <c r="FR33">
        <v>0</v>
      </c>
      <c r="FS33">
        <v>0</v>
      </c>
      <c r="FX33">
        <v>103</v>
      </c>
      <c r="FY33">
        <v>60</v>
      </c>
      <c r="GA33" t="s">
        <v>3</v>
      </c>
      <c r="GD33">
        <v>1</v>
      </c>
      <c r="GF33">
        <v>-2146919751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7"/>
        <v>0</v>
      </c>
      <c r="GM33">
        <f t="shared" si="28"/>
        <v>37736.82</v>
      </c>
      <c r="GN33">
        <f t="shared" si="29"/>
        <v>37736.82</v>
      </c>
      <c r="GO33">
        <f t="shared" si="30"/>
        <v>0</v>
      </c>
      <c r="GP33">
        <f t="shared" si="31"/>
        <v>0</v>
      </c>
      <c r="GR33">
        <v>0</v>
      </c>
      <c r="GS33">
        <v>3</v>
      </c>
      <c r="GT33">
        <v>0</v>
      </c>
      <c r="GU33" t="s">
        <v>3</v>
      </c>
      <c r="GV33">
        <f t="shared" si="32"/>
        <v>0</v>
      </c>
      <c r="GW33">
        <v>1</v>
      </c>
      <c r="GX33">
        <f t="shared" si="33"/>
        <v>0</v>
      </c>
      <c r="HA33">
        <v>0</v>
      </c>
      <c r="HB33">
        <v>0</v>
      </c>
      <c r="HC33">
        <f t="shared" si="34"/>
        <v>0</v>
      </c>
      <c r="HE33" t="s">
        <v>3</v>
      </c>
      <c r="HF33" t="s">
        <v>3</v>
      </c>
      <c r="HM33" t="s">
        <v>3</v>
      </c>
      <c r="HN33" t="s">
        <v>48</v>
      </c>
      <c r="HO33" t="s">
        <v>49</v>
      </c>
      <c r="HP33" t="s">
        <v>46</v>
      </c>
      <c r="HQ33" t="s">
        <v>46</v>
      </c>
      <c r="HS33">
        <v>0</v>
      </c>
      <c r="IK33">
        <v>0</v>
      </c>
    </row>
    <row r="34" spans="1:245">
      <c r="A34">
        <v>17</v>
      </c>
      <c r="B34">
        <v>1</v>
      </c>
      <c r="C34">
        <f>ROW(SmtRes!A44)</f>
        <v>44</v>
      </c>
      <c r="D34">
        <f>ROW(EtalonRes!A44)</f>
        <v>44</v>
      </c>
      <c r="E34" t="s">
        <v>78</v>
      </c>
      <c r="F34" t="s">
        <v>79</v>
      </c>
      <c r="G34" t="s">
        <v>80</v>
      </c>
      <c r="H34" t="s">
        <v>30</v>
      </c>
      <c r="I34">
        <v>40</v>
      </c>
      <c r="J34">
        <v>0</v>
      </c>
      <c r="K34">
        <v>40</v>
      </c>
      <c r="O34">
        <f t="shared" si="14"/>
        <v>19868.98</v>
      </c>
      <c r="P34">
        <f>SUMIF(SmtRes!AQ37:'SmtRes'!AQ44,"=1",SmtRes!DF37:'SmtRes'!DF44)</f>
        <v>0</v>
      </c>
      <c r="Q34">
        <f>SUMIF(SmtRes!AQ37:'SmtRes'!AQ44,"=1",SmtRes!DG37:'SmtRes'!DG44)</f>
        <v>1633.8</v>
      </c>
      <c r="R34">
        <f>SUMIF(SmtRes!AQ37:'SmtRes'!AQ44,"=1",SmtRes!DH37:'SmtRes'!DH44)</f>
        <v>971.98</v>
      </c>
      <c r="S34">
        <f>SUMIF(SmtRes!AQ37:'SmtRes'!AQ44,"=1",SmtRes!DI37:'SmtRes'!DI44)</f>
        <v>17263.2</v>
      </c>
      <c r="T34">
        <f t="shared" si="15"/>
        <v>0</v>
      </c>
      <c r="U34">
        <f>SUMIF(SmtRes!AQ37:'SmtRes'!AQ44,"=1",SmtRes!CV37:'SmtRes'!CV44)</f>
        <v>48</v>
      </c>
      <c r="V34">
        <f>SUMIF(SmtRes!AQ37:'SmtRes'!AQ44,"=1",SmtRes!CW37:'SmtRes'!CW44)</f>
        <v>2.4</v>
      </c>
      <c r="W34">
        <f t="shared" si="16"/>
        <v>0</v>
      </c>
      <c r="X34">
        <f t="shared" si="17"/>
        <v>18782.240000000002</v>
      </c>
      <c r="Y34">
        <f t="shared" si="18"/>
        <v>10941.11</v>
      </c>
      <c r="AA34">
        <v>50837940</v>
      </c>
      <c r="AB34">
        <f t="shared" si="19"/>
        <v>472.42500000000001</v>
      </c>
      <c r="AC34">
        <f>ROUND((0),6)</f>
        <v>0</v>
      </c>
      <c r="AD34">
        <f>ROUND((((SUM(SmtRes!BR37:'SmtRes'!BR44))-(SUM(SmtRes!BS37:'SmtRes'!BS44)))+AE34),6)</f>
        <v>40.844999999999999</v>
      </c>
      <c r="AE34">
        <f>ROUND((SUM(SmtRes!BS37:'SmtRes'!BS44)),6)</f>
        <v>24.299399999999999</v>
      </c>
      <c r="AF34">
        <f>ROUND((SUM(SmtRes!BT37:'SmtRes'!BT44)),6)</f>
        <v>431.58</v>
      </c>
      <c r="AG34">
        <f t="shared" si="20"/>
        <v>0</v>
      </c>
      <c r="AH34">
        <f>(SUM(SmtRes!BU37:'SmtRes'!BU44))</f>
        <v>1.2</v>
      </c>
      <c r="AI34">
        <f>(SUM(SmtRes!BV37:'SmtRes'!BV44))</f>
        <v>0.06</v>
      </c>
      <c r="AJ34">
        <f t="shared" si="21"/>
        <v>0</v>
      </c>
      <c r="AK34">
        <v>500.88092939999996</v>
      </c>
      <c r="AL34">
        <v>4.1565294000000002</v>
      </c>
      <c r="AM34">
        <v>40.844999999999999</v>
      </c>
      <c r="AN34">
        <v>24.299399999999999</v>
      </c>
      <c r="AO34">
        <v>431.58</v>
      </c>
      <c r="AP34">
        <v>0</v>
      </c>
      <c r="AQ34">
        <v>1.2</v>
      </c>
      <c r="AR34">
        <v>0.06</v>
      </c>
      <c r="AS34">
        <v>0</v>
      </c>
      <c r="AT34">
        <v>103</v>
      </c>
      <c r="AU34">
        <v>60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81</v>
      </c>
      <c r="BM34">
        <v>33001</v>
      </c>
      <c r="BN34">
        <v>0</v>
      </c>
      <c r="BO34" t="s">
        <v>3</v>
      </c>
      <c r="BP34">
        <v>0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103</v>
      </c>
      <c r="CA34">
        <v>60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22"/>
        <v>19868.98</v>
      </c>
      <c r="CQ34">
        <f>SUMIF(SmtRes!AQ37:'SmtRes'!AQ44,"=1",SmtRes!AA37:'SmtRes'!AA44)</f>
        <v>108916.33</v>
      </c>
      <c r="CR34">
        <f>SUMIF(SmtRes!AQ37:'SmtRes'!AQ44,"=1",SmtRes!AB37:'SmtRes'!AB44)</f>
        <v>680.75</v>
      </c>
      <c r="CS34">
        <f>SUMIF(SmtRes!AQ37:'SmtRes'!AQ44,"=1",SmtRes!AC37:'SmtRes'!AC44)</f>
        <v>404.99</v>
      </c>
      <c r="CT34">
        <f>SUMIF(SmtRes!AQ37:'SmtRes'!AQ44,"=1",SmtRes!AD37:'SmtRes'!AD44)</f>
        <v>359.65</v>
      </c>
      <c r="CU34">
        <f t="shared" si="23"/>
        <v>0</v>
      </c>
      <c r="CV34">
        <f>SUMIF(SmtRes!AQ37:'SmtRes'!AQ44,"=1",SmtRes!BU37:'SmtRes'!BU44)</f>
        <v>1.2</v>
      </c>
      <c r="CW34">
        <f>SUMIF(SmtRes!AQ37:'SmtRes'!AQ44,"=1",SmtRes!BV37:'SmtRes'!BV44)</f>
        <v>0.06</v>
      </c>
      <c r="CX34">
        <f t="shared" si="24"/>
        <v>0</v>
      </c>
      <c r="CY34">
        <f t="shared" si="25"/>
        <v>18782.235400000001</v>
      </c>
      <c r="CZ34">
        <f t="shared" si="26"/>
        <v>10941.108</v>
      </c>
      <c r="DC34" t="s">
        <v>3</v>
      </c>
      <c r="DD34" t="s">
        <v>32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1013</v>
      </c>
      <c r="DV34" t="s">
        <v>30</v>
      </c>
      <c r="DW34" t="s">
        <v>30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49642237</v>
      </c>
      <c r="EF34">
        <v>2</v>
      </c>
      <c r="EG34" t="s">
        <v>20</v>
      </c>
      <c r="EH34">
        <v>27</v>
      </c>
      <c r="EI34" t="s">
        <v>46</v>
      </c>
      <c r="EJ34">
        <v>1</v>
      </c>
      <c r="EK34">
        <v>33001</v>
      </c>
      <c r="EL34" t="s">
        <v>46</v>
      </c>
      <c r="EM34" t="s">
        <v>47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1.2</v>
      </c>
      <c r="EX34">
        <v>0.06</v>
      </c>
      <c r="EY34">
        <v>0</v>
      </c>
      <c r="FQ34">
        <v>0</v>
      </c>
      <c r="FR34">
        <v>0</v>
      </c>
      <c r="FS34">
        <v>0</v>
      </c>
      <c r="FX34">
        <v>103</v>
      </c>
      <c r="FY34">
        <v>60</v>
      </c>
      <c r="GA34" t="s">
        <v>3</v>
      </c>
      <c r="GD34">
        <v>1</v>
      </c>
      <c r="GF34">
        <v>1737858461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7"/>
        <v>0</v>
      </c>
      <c r="GM34">
        <f t="shared" si="28"/>
        <v>49592.33</v>
      </c>
      <c r="GN34">
        <f t="shared" si="29"/>
        <v>49592.33</v>
      </c>
      <c r="GO34">
        <f t="shared" si="30"/>
        <v>0</v>
      </c>
      <c r="GP34">
        <f t="shared" si="31"/>
        <v>0</v>
      </c>
      <c r="GR34">
        <v>0</v>
      </c>
      <c r="GS34">
        <v>3</v>
      </c>
      <c r="GT34">
        <v>0</v>
      </c>
      <c r="GU34" t="s">
        <v>3</v>
      </c>
      <c r="GV34">
        <f t="shared" si="32"/>
        <v>0</v>
      </c>
      <c r="GW34">
        <v>1</v>
      </c>
      <c r="GX34">
        <f t="shared" si="33"/>
        <v>0</v>
      </c>
      <c r="HA34">
        <v>0</v>
      </c>
      <c r="HB34">
        <v>0</v>
      </c>
      <c r="HC34">
        <f t="shared" si="34"/>
        <v>0</v>
      </c>
      <c r="HE34" t="s">
        <v>3</v>
      </c>
      <c r="HF34" t="s">
        <v>3</v>
      </c>
      <c r="HM34" t="s">
        <v>3</v>
      </c>
      <c r="HN34" t="s">
        <v>48</v>
      </c>
      <c r="HO34" t="s">
        <v>49</v>
      </c>
      <c r="HP34" t="s">
        <v>46</v>
      </c>
      <c r="HQ34" t="s">
        <v>46</v>
      </c>
      <c r="HS34">
        <v>0</v>
      </c>
      <c r="IK34">
        <v>0</v>
      </c>
    </row>
    <row r="35" spans="1:245">
      <c r="A35">
        <v>18</v>
      </c>
      <c r="B35">
        <v>1</v>
      </c>
      <c r="C35">
        <v>41</v>
      </c>
      <c r="E35" t="s">
        <v>82</v>
      </c>
      <c r="F35" t="s">
        <v>83</v>
      </c>
      <c r="G35" t="s">
        <v>84</v>
      </c>
      <c r="H35" t="s">
        <v>85</v>
      </c>
      <c r="I35">
        <f>I34*J35</f>
        <v>0</v>
      </c>
      <c r="J35">
        <v>0</v>
      </c>
      <c r="K35">
        <v>0</v>
      </c>
      <c r="O35">
        <f t="shared" si="14"/>
        <v>0</v>
      </c>
      <c r="P35">
        <f>ROUND(CQ35*I35,2)</f>
        <v>0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5"/>
        <v>0</v>
      </c>
      <c r="U35">
        <f>ROUND(CV35*I35,7)</f>
        <v>0</v>
      </c>
      <c r="V35">
        <f>ROUND(CW35*I35,7)</f>
        <v>0</v>
      </c>
      <c r="W35">
        <f t="shared" si="16"/>
        <v>0</v>
      </c>
      <c r="X35">
        <f t="shared" si="17"/>
        <v>0</v>
      </c>
      <c r="Y35">
        <f t="shared" si="18"/>
        <v>0</v>
      </c>
      <c r="AA35">
        <v>50837940</v>
      </c>
      <c r="AB35">
        <f t="shared" si="19"/>
        <v>174.93</v>
      </c>
      <c r="AC35">
        <f>ROUND((ES35),6)</f>
        <v>174.93</v>
      </c>
      <c r="AD35">
        <f>ROUND((((ET35)-(EU35))+AE35),6)</f>
        <v>0</v>
      </c>
      <c r="AE35">
        <f t="shared" ref="AE35:AF37" si="35">ROUND((EU35),6)</f>
        <v>0</v>
      </c>
      <c r="AF35">
        <f t="shared" si="35"/>
        <v>0</v>
      </c>
      <c r="AG35">
        <f t="shared" si="20"/>
        <v>0</v>
      </c>
      <c r="AH35">
        <f t="shared" ref="AH35:AI37" si="36">(EW35)</f>
        <v>0</v>
      </c>
      <c r="AI35">
        <f t="shared" si="36"/>
        <v>0</v>
      </c>
      <c r="AJ35">
        <f t="shared" si="21"/>
        <v>0</v>
      </c>
      <c r="AK35">
        <v>174.93</v>
      </c>
      <c r="AL35">
        <v>174.93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103</v>
      </c>
      <c r="AU35">
        <v>60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1.1399999999999999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86</v>
      </c>
      <c r="BM35">
        <v>33001</v>
      </c>
      <c r="BN35">
        <v>0</v>
      </c>
      <c r="BO35" t="s">
        <v>83</v>
      </c>
      <c r="BP35">
        <v>1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103</v>
      </c>
      <c r="CA35">
        <v>60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0</v>
      </c>
      <c r="CQ35">
        <f>ROUND(AL35*BC35,2)</f>
        <v>199.42</v>
      </c>
      <c r="CR35">
        <f>ROUND(AM35*BB35,2)</f>
        <v>0</v>
      </c>
      <c r="CS35">
        <f>ROUND(AN35*BS35,2)</f>
        <v>0</v>
      </c>
      <c r="CT35">
        <f>ROUND(AO35*BA35,2)</f>
        <v>0</v>
      </c>
      <c r="CU35">
        <f t="shared" si="23"/>
        <v>0</v>
      </c>
      <c r="CV35">
        <f t="shared" ref="CV35:CW37" si="37">AH35</f>
        <v>0</v>
      </c>
      <c r="CW35">
        <f t="shared" si="37"/>
        <v>0</v>
      </c>
      <c r="CX35">
        <f t="shared" si="24"/>
        <v>0</v>
      </c>
      <c r="CY35">
        <f t="shared" si="25"/>
        <v>0</v>
      </c>
      <c r="CZ35">
        <f t="shared" si="26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85</v>
      </c>
      <c r="DW35" t="s">
        <v>85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49642237</v>
      </c>
      <c r="EF35">
        <v>2</v>
      </c>
      <c r="EG35" t="s">
        <v>20</v>
      </c>
      <c r="EH35">
        <v>27</v>
      </c>
      <c r="EI35" t="s">
        <v>46</v>
      </c>
      <c r="EJ35">
        <v>1</v>
      </c>
      <c r="EK35">
        <v>33001</v>
      </c>
      <c r="EL35" t="s">
        <v>46</v>
      </c>
      <c r="EM35" t="s">
        <v>47</v>
      </c>
      <c r="EO35" t="s">
        <v>3</v>
      </c>
      <c r="EQ35">
        <v>0</v>
      </c>
      <c r="ER35">
        <v>174.93</v>
      </c>
      <c r="ES35">
        <v>174.93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103</v>
      </c>
      <c r="FY35">
        <v>60</v>
      </c>
      <c r="GA35" t="s">
        <v>3</v>
      </c>
      <c r="GD35">
        <v>1</v>
      </c>
      <c r="GF35">
        <v>-1131385474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27"/>
        <v>0</v>
      </c>
      <c r="GM35">
        <f t="shared" si="28"/>
        <v>0</v>
      </c>
      <c r="GN35">
        <f t="shared" si="29"/>
        <v>0</v>
      </c>
      <c r="GO35">
        <f t="shared" si="30"/>
        <v>0</v>
      </c>
      <c r="GP35">
        <f t="shared" si="31"/>
        <v>0</v>
      </c>
      <c r="GR35">
        <v>0</v>
      </c>
      <c r="GS35">
        <v>3</v>
      </c>
      <c r="GT35">
        <v>0</v>
      </c>
      <c r="GU35" t="s">
        <v>3</v>
      </c>
      <c r="GV35">
        <f t="shared" si="32"/>
        <v>0</v>
      </c>
      <c r="GW35">
        <v>1</v>
      </c>
      <c r="GX35">
        <f t="shared" si="33"/>
        <v>0</v>
      </c>
      <c r="HA35">
        <v>0</v>
      </c>
      <c r="HB35">
        <v>0</v>
      </c>
      <c r="HC35">
        <f t="shared" si="34"/>
        <v>0</v>
      </c>
      <c r="HE35" t="s">
        <v>3</v>
      </c>
      <c r="HF35" t="s">
        <v>3</v>
      </c>
      <c r="HM35" t="s">
        <v>32</v>
      </c>
      <c r="HN35" t="s">
        <v>48</v>
      </c>
      <c r="HO35" t="s">
        <v>49</v>
      </c>
      <c r="HP35" t="s">
        <v>46</v>
      </c>
      <c r="HQ35" t="s">
        <v>46</v>
      </c>
      <c r="HS35">
        <v>0</v>
      </c>
      <c r="IK35">
        <v>0</v>
      </c>
    </row>
    <row r="36" spans="1:245">
      <c r="A36">
        <v>18</v>
      </c>
      <c r="B36">
        <v>1</v>
      </c>
      <c r="C36">
        <v>42</v>
      </c>
      <c r="E36" t="s">
        <v>87</v>
      </c>
      <c r="F36" t="s">
        <v>88</v>
      </c>
      <c r="G36" t="s">
        <v>89</v>
      </c>
      <c r="H36" t="s">
        <v>90</v>
      </c>
      <c r="I36">
        <f>I34*J36</f>
        <v>0</v>
      </c>
      <c r="J36">
        <v>0</v>
      </c>
      <c r="K36">
        <v>0</v>
      </c>
      <c r="O36">
        <f t="shared" si="14"/>
        <v>0</v>
      </c>
      <c r="P36">
        <f>ROUND(CQ36*I36,2)</f>
        <v>0</v>
      </c>
      <c r="Q36">
        <f>ROUND(CR36*I36,2)</f>
        <v>0</v>
      </c>
      <c r="R36">
        <f>ROUND(CS36*I36,2)</f>
        <v>0</v>
      </c>
      <c r="S36">
        <f>ROUND(CT36*I36,2)</f>
        <v>0</v>
      </c>
      <c r="T36">
        <f t="shared" si="15"/>
        <v>0</v>
      </c>
      <c r="U36">
        <f>ROUND(CV36*I36,7)</f>
        <v>0</v>
      </c>
      <c r="V36">
        <f>ROUND(CW36*I36,7)</f>
        <v>0</v>
      </c>
      <c r="W36">
        <f t="shared" si="16"/>
        <v>0</v>
      </c>
      <c r="X36">
        <f t="shared" si="17"/>
        <v>0</v>
      </c>
      <c r="Y36">
        <f t="shared" si="18"/>
        <v>0</v>
      </c>
      <c r="AA36">
        <v>50837940</v>
      </c>
      <c r="AB36">
        <f t="shared" si="19"/>
        <v>0</v>
      </c>
      <c r="AC36">
        <f>ROUND((ES36),6)</f>
        <v>0</v>
      </c>
      <c r="AD36">
        <f>ROUND((((ET36)-(EU36))+AE36),6)</f>
        <v>0</v>
      </c>
      <c r="AE36">
        <f t="shared" si="35"/>
        <v>0</v>
      </c>
      <c r="AF36">
        <f t="shared" si="35"/>
        <v>0</v>
      </c>
      <c r="AG36">
        <f t="shared" si="20"/>
        <v>0</v>
      </c>
      <c r="AH36">
        <f t="shared" si="36"/>
        <v>0</v>
      </c>
      <c r="AI36">
        <f t="shared" si="36"/>
        <v>0</v>
      </c>
      <c r="AJ36">
        <f t="shared" si="21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103</v>
      </c>
      <c r="AU36">
        <v>60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3</v>
      </c>
      <c r="BM36">
        <v>33001</v>
      </c>
      <c r="BN36">
        <v>0</v>
      </c>
      <c r="BO36" t="s">
        <v>3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103</v>
      </c>
      <c r="CA36">
        <v>60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22"/>
        <v>0</v>
      </c>
      <c r="CQ36">
        <f>ROUND(AL36*BC36,2)</f>
        <v>0</v>
      </c>
      <c r="CR36">
        <f>ROUND(AM36*BB36,2)</f>
        <v>0</v>
      </c>
      <c r="CS36">
        <f>ROUND(AN36*BS36,2)</f>
        <v>0</v>
      </c>
      <c r="CT36">
        <f>ROUND(AO36*BA36,2)</f>
        <v>0</v>
      </c>
      <c r="CU36">
        <f t="shared" si="23"/>
        <v>0</v>
      </c>
      <c r="CV36">
        <f t="shared" si="37"/>
        <v>0</v>
      </c>
      <c r="CW36">
        <f t="shared" si="37"/>
        <v>0</v>
      </c>
      <c r="CX36">
        <f t="shared" si="24"/>
        <v>0</v>
      </c>
      <c r="CY36">
        <f t="shared" si="25"/>
        <v>0</v>
      </c>
      <c r="CZ36">
        <f t="shared" si="26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1013</v>
      </c>
      <c r="DV36" t="s">
        <v>90</v>
      </c>
      <c r="DW36" t="s">
        <v>90</v>
      </c>
      <c r="DX36">
        <v>1</v>
      </c>
      <c r="DZ36" t="s">
        <v>3</v>
      </c>
      <c r="EA36" t="s">
        <v>3</v>
      </c>
      <c r="EB36" t="s">
        <v>3</v>
      </c>
      <c r="EC36" t="s">
        <v>3</v>
      </c>
      <c r="EE36">
        <v>49642237</v>
      </c>
      <c r="EF36">
        <v>2</v>
      </c>
      <c r="EG36" t="s">
        <v>20</v>
      </c>
      <c r="EH36">
        <v>27</v>
      </c>
      <c r="EI36" t="s">
        <v>46</v>
      </c>
      <c r="EJ36">
        <v>1</v>
      </c>
      <c r="EK36">
        <v>33001</v>
      </c>
      <c r="EL36" t="s">
        <v>46</v>
      </c>
      <c r="EM36" t="s">
        <v>47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v>0</v>
      </c>
      <c r="FS36">
        <v>0</v>
      </c>
      <c r="FX36">
        <v>103</v>
      </c>
      <c r="FY36">
        <v>60</v>
      </c>
      <c r="GA36" t="s">
        <v>3</v>
      </c>
      <c r="GD36">
        <v>1</v>
      </c>
      <c r="GF36">
        <v>-1353265548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27"/>
        <v>0</v>
      </c>
      <c r="GM36">
        <f t="shared" si="28"/>
        <v>0</v>
      </c>
      <c r="GN36">
        <f t="shared" si="29"/>
        <v>0</v>
      </c>
      <c r="GO36">
        <f t="shared" si="30"/>
        <v>0</v>
      </c>
      <c r="GP36">
        <f t="shared" si="31"/>
        <v>0</v>
      </c>
      <c r="GR36">
        <v>0</v>
      </c>
      <c r="GS36">
        <v>3</v>
      </c>
      <c r="GT36">
        <v>0</v>
      </c>
      <c r="GU36" t="s">
        <v>3</v>
      </c>
      <c r="GV36">
        <f t="shared" si="32"/>
        <v>0</v>
      </c>
      <c r="GW36">
        <v>1</v>
      </c>
      <c r="GX36">
        <f t="shared" si="33"/>
        <v>0</v>
      </c>
      <c r="HA36">
        <v>0</v>
      </c>
      <c r="HB36">
        <v>0</v>
      </c>
      <c r="HC36">
        <f t="shared" si="34"/>
        <v>0</v>
      </c>
      <c r="HE36" t="s">
        <v>3</v>
      </c>
      <c r="HF36" t="s">
        <v>3</v>
      </c>
      <c r="HM36" t="s">
        <v>32</v>
      </c>
      <c r="HN36" t="s">
        <v>48</v>
      </c>
      <c r="HO36" t="s">
        <v>49</v>
      </c>
      <c r="HP36" t="s">
        <v>46</v>
      </c>
      <c r="HQ36" t="s">
        <v>46</v>
      </c>
      <c r="HS36">
        <v>0</v>
      </c>
      <c r="IK36">
        <v>0</v>
      </c>
    </row>
    <row r="37" spans="1:245">
      <c r="A37">
        <v>18</v>
      </c>
      <c r="B37">
        <v>1</v>
      </c>
      <c r="C37">
        <v>44</v>
      </c>
      <c r="E37" t="s">
        <v>91</v>
      </c>
      <c r="F37" t="s">
        <v>92</v>
      </c>
      <c r="G37" t="s">
        <v>93</v>
      </c>
      <c r="H37" t="s">
        <v>85</v>
      </c>
      <c r="I37">
        <f>I34*J37</f>
        <v>0</v>
      </c>
      <c r="J37">
        <v>0</v>
      </c>
      <c r="K37">
        <v>0</v>
      </c>
      <c r="O37">
        <f t="shared" si="14"/>
        <v>0</v>
      </c>
      <c r="P37">
        <f>ROUND(CQ37*I37,2)</f>
        <v>0</v>
      </c>
      <c r="Q37">
        <f>ROUND(CR37*I37,2)</f>
        <v>0</v>
      </c>
      <c r="R37">
        <f>ROUND(CS37*I37,2)</f>
        <v>0</v>
      </c>
      <c r="S37">
        <f>ROUND(CT37*I37,2)</f>
        <v>0</v>
      </c>
      <c r="T37">
        <f t="shared" si="15"/>
        <v>0</v>
      </c>
      <c r="U37">
        <f>ROUND(CV37*I37,7)</f>
        <v>0</v>
      </c>
      <c r="V37">
        <f>ROUND(CW37*I37,7)</f>
        <v>0</v>
      </c>
      <c r="W37">
        <f t="shared" si="16"/>
        <v>0</v>
      </c>
      <c r="X37">
        <f t="shared" si="17"/>
        <v>0</v>
      </c>
      <c r="Y37">
        <f t="shared" si="18"/>
        <v>0</v>
      </c>
      <c r="AA37">
        <v>50837940</v>
      </c>
      <c r="AB37">
        <f t="shared" si="19"/>
        <v>0</v>
      </c>
      <c r="AC37">
        <f>ROUND((ES37),6)</f>
        <v>0</v>
      </c>
      <c r="AD37">
        <f>ROUND((((ET37)-(EU37))+AE37),6)</f>
        <v>0</v>
      </c>
      <c r="AE37">
        <f t="shared" si="35"/>
        <v>0</v>
      </c>
      <c r="AF37">
        <f t="shared" si="35"/>
        <v>0</v>
      </c>
      <c r="AG37">
        <f t="shared" si="20"/>
        <v>0</v>
      </c>
      <c r="AH37">
        <f t="shared" si="36"/>
        <v>0</v>
      </c>
      <c r="AI37">
        <f t="shared" si="36"/>
        <v>0</v>
      </c>
      <c r="AJ37">
        <f t="shared" si="21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103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33001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103</v>
      </c>
      <c r="CA37">
        <v>60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0</v>
      </c>
      <c r="CQ37">
        <f>ROUND(AL37*BC37,2)</f>
        <v>0</v>
      </c>
      <c r="CR37">
        <f>ROUND(AM37*BB37,2)</f>
        <v>0</v>
      </c>
      <c r="CS37">
        <f>ROUND(AN37*BS37,2)</f>
        <v>0</v>
      </c>
      <c r="CT37">
        <f>ROUND(AO37*BA37,2)</f>
        <v>0</v>
      </c>
      <c r="CU37">
        <f t="shared" si="23"/>
        <v>0</v>
      </c>
      <c r="CV37">
        <f t="shared" si="37"/>
        <v>0</v>
      </c>
      <c r="CW37">
        <f t="shared" si="37"/>
        <v>0</v>
      </c>
      <c r="CX37">
        <f t="shared" si="24"/>
        <v>0</v>
      </c>
      <c r="CY37">
        <f t="shared" si="25"/>
        <v>0</v>
      </c>
      <c r="CZ37">
        <f t="shared" si="26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85</v>
      </c>
      <c r="DW37" t="s">
        <v>85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49642237</v>
      </c>
      <c r="EF37">
        <v>2</v>
      </c>
      <c r="EG37" t="s">
        <v>20</v>
      </c>
      <c r="EH37">
        <v>27</v>
      </c>
      <c r="EI37" t="s">
        <v>46</v>
      </c>
      <c r="EJ37">
        <v>1</v>
      </c>
      <c r="EK37">
        <v>33001</v>
      </c>
      <c r="EL37" t="s">
        <v>46</v>
      </c>
      <c r="EM37" t="s">
        <v>47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v>0</v>
      </c>
      <c r="FS37">
        <v>0</v>
      </c>
      <c r="FX37">
        <v>103</v>
      </c>
      <c r="FY37">
        <v>60</v>
      </c>
      <c r="GA37" t="s">
        <v>3</v>
      </c>
      <c r="GD37">
        <v>1</v>
      </c>
      <c r="GF37">
        <v>1533393836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7"/>
        <v>0</v>
      </c>
      <c r="GM37">
        <f t="shared" si="28"/>
        <v>0</v>
      </c>
      <c r="GN37">
        <f t="shared" si="29"/>
        <v>0</v>
      </c>
      <c r="GO37">
        <f t="shared" si="30"/>
        <v>0</v>
      </c>
      <c r="GP37">
        <f t="shared" si="31"/>
        <v>0</v>
      </c>
      <c r="GR37">
        <v>0</v>
      </c>
      <c r="GS37">
        <v>3</v>
      </c>
      <c r="GT37">
        <v>0</v>
      </c>
      <c r="GU37" t="s">
        <v>3</v>
      </c>
      <c r="GV37">
        <f t="shared" si="32"/>
        <v>0</v>
      </c>
      <c r="GW37">
        <v>1</v>
      </c>
      <c r="GX37">
        <f t="shared" si="33"/>
        <v>0</v>
      </c>
      <c r="HA37">
        <v>0</v>
      </c>
      <c r="HB37">
        <v>0</v>
      </c>
      <c r="HC37">
        <f t="shared" si="34"/>
        <v>0</v>
      </c>
      <c r="HE37" t="s">
        <v>3</v>
      </c>
      <c r="HF37" t="s">
        <v>3</v>
      </c>
      <c r="HM37" t="s">
        <v>32</v>
      </c>
      <c r="HN37" t="s">
        <v>48</v>
      </c>
      <c r="HO37" t="s">
        <v>49</v>
      </c>
      <c r="HP37" t="s">
        <v>46</v>
      </c>
      <c r="HQ37" t="s">
        <v>46</v>
      </c>
      <c r="HS37">
        <v>0</v>
      </c>
      <c r="IK37">
        <v>0</v>
      </c>
    </row>
    <row r="38" spans="1:245">
      <c r="A38">
        <v>17</v>
      </c>
      <c r="B38">
        <v>1</v>
      </c>
      <c r="C38">
        <f>ROW(SmtRes!A48)</f>
        <v>48</v>
      </c>
      <c r="D38">
        <f>ROW(EtalonRes!A48)</f>
        <v>48</v>
      </c>
      <c r="E38" t="s">
        <v>94</v>
      </c>
      <c r="F38" t="s">
        <v>95</v>
      </c>
      <c r="G38" t="s">
        <v>96</v>
      </c>
      <c r="H38" t="s">
        <v>30</v>
      </c>
      <c r="I38">
        <v>56</v>
      </c>
      <c r="J38">
        <v>0</v>
      </c>
      <c r="K38">
        <v>56</v>
      </c>
      <c r="O38">
        <f t="shared" si="14"/>
        <v>38780.129999999997</v>
      </c>
      <c r="P38">
        <f>SUMIF(SmtRes!AQ45:'SmtRes'!AQ48,"=1",SmtRes!DF45:'SmtRes'!DF48)</f>
        <v>0</v>
      </c>
      <c r="Q38">
        <f>SUMIF(SmtRes!AQ45:'SmtRes'!AQ48,"=1",SmtRes!DG45:'SmtRes'!DG48)</f>
        <v>26005.34</v>
      </c>
      <c r="R38">
        <f>SUMIF(SmtRes!AQ45:'SmtRes'!AQ48,"=1",SmtRes!DH45:'SmtRes'!DH48)</f>
        <v>8225.43</v>
      </c>
      <c r="S38">
        <f>SUMIF(SmtRes!AQ45:'SmtRes'!AQ48,"=1",SmtRes!DI45:'SmtRes'!DI48)</f>
        <v>4549.3599999999997</v>
      </c>
      <c r="T38">
        <f t="shared" si="15"/>
        <v>0</v>
      </c>
      <c r="U38">
        <f>SUMIF(SmtRes!AQ45:'SmtRes'!AQ48,"=1",SmtRes!CV45:'SmtRes'!CV48)</f>
        <v>11.76</v>
      </c>
      <c r="V38">
        <f>SUMIF(SmtRes!AQ45:'SmtRes'!AQ48,"=1",SmtRes!CW45:'SmtRes'!CW48)</f>
        <v>15.12</v>
      </c>
      <c r="W38">
        <f t="shared" si="16"/>
        <v>0</v>
      </c>
      <c r="X38">
        <f t="shared" si="17"/>
        <v>12391.55</v>
      </c>
      <c r="Y38">
        <f t="shared" si="18"/>
        <v>6515.14</v>
      </c>
      <c r="AA38">
        <v>50837940</v>
      </c>
      <c r="AB38">
        <f t="shared" si="19"/>
        <v>545.61959999999999</v>
      </c>
      <c r="AC38">
        <f>ROUND((0),6)</f>
        <v>0</v>
      </c>
      <c r="AD38">
        <f>ROUND((((SUM(SmtRes!BR45:'SmtRes'!BR48))-(SUM(SmtRes!BS45:'SmtRes'!BS48)))+AE38),6)</f>
        <v>464.3811</v>
      </c>
      <c r="AE38">
        <f>ROUND((SUM(SmtRes!BS45:'SmtRes'!BS48)),6)</f>
        <v>146.8827</v>
      </c>
      <c r="AF38">
        <f>ROUND((SUM(SmtRes!BT45:'SmtRes'!BT48)),6)</f>
        <v>81.238500000000002</v>
      </c>
      <c r="AG38">
        <f t="shared" si="20"/>
        <v>0</v>
      </c>
      <c r="AH38">
        <f>(SUM(SmtRes!BU45:'SmtRes'!BU48))</f>
        <v>0.21</v>
      </c>
      <c r="AI38">
        <f>(SUM(SmtRes!BV45:'SmtRes'!BV48))</f>
        <v>0.27</v>
      </c>
      <c r="AJ38">
        <f t="shared" si="21"/>
        <v>0</v>
      </c>
      <c r="AK38">
        <v>692.5023000000001</v>
      </c>
      <c r="AL38">
        <v>0</v>
      </c>
      <c r="AM38">
        <v>464.38110000000006</v>
      </c>
      <c r="AN38">
        <v>146.8827</v>
      </c>
      <c r="AO38">
        <v>81.238500000000002</v>
      </c>
      <c r="AP38">
        <v>0</v>
      </c>
      <c r="AQ38">
        <v>0.21</v>
      </c>
      <c r="AR38">
        <v>0.27</v>
      </c>
      <c r="AS38">
        <v>0</v>
      </c>
      <c r="AT38">
        <v>97</v>
      </c>
      <c r="AU38">
        <v>51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2</v>
      </c>
      <c r="BJ38" t="s">
        <v>97</v>
      </c>
      <c r="BM38">
        <v>108001</v>
      </c>
      <c r="BN38">
        <v>0</v>
      </c>
      <c r="BO38" t="s">
        <v>3</v>
      </c>
      <c r="BP38">
        <v>0</v>
      </c>
      <c r="BQ38">
        <v>3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97</v>
      </c>
      <c r="CA38">
        <v>51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38780.130000000005</v>
      </c>
      <c r="CQ38">
        <f>SUMIF(SmtRes!AQ45:'SmtRes'!AQ48,"=1",SmtRes!AA45:'SmtRes'!AA48)</f>
        <v>0</v>
      </c>
      <c r="CR38">
        <f>SUMIF(SmtRes!AQ45:'SmtRes'!AQ48,"=1",SmtRes!AB45:'SmtRes'!AB48)</f>
        <v>1719.93</v>
      </c>
      <c r="CS38">
        <f>SUMIF(SmtRes!AQ45:'SmtRes'!AQ48,"=1",SmtRes!AC45:'SmtRes'!AC48)</f>
        <v>544.01</v>
      </c>
      <c r="CT38">
        <f>SUMIF(SmtRes!AQ45:'SmtRes'!AQ48,"=1",SmtRes!AD45:'SmtRes'!AD48)</f>
        <v>386.85</v>
      </c>
      <c r="CU38">
        <f t="shared" si="23"/>
        <v>0</v>
      </c>
      <c r="CV38">
        <f>SUMIF(SmtRes!AQ45:'SmtRes'!AQ48,"=1",SmtRes!BU45:'SmtRes'!BU48)</f>
        <v>0.21</v>
      </c>
      <c r="CW38">
        <f>SUMIF(SmtRes!AQ45:'SmtRes'!AQ48,"=1",SmtRes!BV45:'SmtRes'!BV48)</f>
        <v>0.27</v>
      </c>
      <c r="CX38">
        <f t="shared" si="24"/>
        <v>0</v>
      </c>
      <c r="CY38">
        <f t="shared" si="25"/>
        <v>12391.546300000002</v>
      </c>
      <c r="CZ38">
        <f t="shared" si="26"/>
        <v>6515.1429000000007</v>
      </c>
      <c r="DC38" t="s">
        <v>3</v>
      </c>
      <c r="DD38" t="s">
        <v>32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30</v>
      </c>
      <c r="DW38" t="s">
        <v>30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49642060</v>
      </c>
      <c r="EF38">
        <v>3</v>
      </c>
      <c r="EG38" t="s">
        <v>98</v>
      </c>
      <c r="EH38">
        <v>0</v>
      </c>
      <c r="EI38" t="s">
        <v>3</v>
      </c>
      <c r="EJ38">
        <v>2</v>
      </c>
      <c r="EK38">
        <v>108001</v>
      </c>
      <c r="EL38" t="s">
        <v>99</v>
      </c>
      <c r="EM38" t="s">
        <v>100</v>
      </c>
      <c r="EO38" t="s">
        <v>3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0.21</v>
      </c>
      <c r="EX38">
        <v>0.27</v>
      </c>
      <c r="EY38">
        <v>0</v>
      </c>
      <c r="FQ38">
        <v>0</v>
      </c>
      <c r="FR38">
        <v>0</v>
      </c>
      <c r="FS38">
        <v>0</v>
      </c>
      <c r="FX38">
        <v>97</v>
      </c>
      <c r="FY38">
        <v>51</v>
      </c>
      <c r="GA38" t="s">
        <v>3</v>
      </c>
      <c r="GD38">
        <v>1</v>
      </c>
      <c r="GF38">
        <v>966095777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27"/>
        <v>0</v>
      </c>
      <c r="GM38">
        <f t="shared" si="28"/>
        <v>57686.82</v>
      </c>
      <c r="GN38">
        <f t="shared" si="29"/>
        <v>0</v>
      </c>
      <c r="GO38">
        <f t="shared" si="30"/>
        <v>57686.82</v>
      </c>
      <c r="GP38">
        <f t="shared" si="31"/>
        <v>0</v>
      </c>
      <c r="GR38">
        <v>0</v>
      </c>
      <c r="GS38">
        <v>3</v>
      </c>
      <c r="GT38">
        <v>0</v>
      </c>
      <c r="GU38" t="s">
        <v>3</v>
      </c>
      <c r="GV38">
        <f t="shared" si="32"/>
        <v>0</v>
      </c>
      <c r="GW38">
        <v>1</v>
      </c>
      <c r="GX38">
        <f t="shared" si="33"/>
        <v>0</v>
      </c>
      <c r="HA38">
        <v>0</v>
      </c>
      <c r="HB38">
        <v>0</v>
      </c>
      <c r="HC38">
        <f t="shared" si="34"/>
        <v>0</v>
      </c>
      <c r="HE38" t="s">
        <v>3</v>
      </c>
      <c r="HF38" t="s">
        <v>3</v>
      </c>
      <c r="HM38" t="s">
        <v>3</v>
      </c>
      <c r="HN38" t="s">
        <v>101</v>
      </c>
      <c r="HO38" t="s">
        <v>102</v>
      </c>
      <c r="HP38" t="s">
        <v>99</v>
      </c>
      <c r="HQ38" t="s">
        <v>99</v>
      </c>
      <c r="HS38">
        <v>0</v>
      </c>
      <c r="IK38">
        <v>0</v>
      </c>
    </row>
    <row r="39" spans="1:245">
      <c r="A39">
        <v>18</v>
      </c>
      <c r="B39">
        <v>1</v>
      </c>
      <c r="C39">
        <v>48</v>
      </c>
      <c r="E39" t="s">
        <v>103</v>
      </c>
      <c r="F39" t="s">
        <v>104</v>
      </c>
      <c r="G39" t="s">
        <v>105</v>
      </c>
      <c r="H39" t="s">
        <v>106</v>
      </c>
      <c r="I39">
        <f>J39</f>
        <v>2</v>
      </c>
      <c r="J39">
        <v>2</v>
      </c>
      <c r="K39">
        <v>2</v>
      </c>
      <c r="O39">
        <f>ROUND(P39,2)</f>
        <v>90.99</v>
      </c>
      <c r="P39">
        <f>ROUND(ROUND(ROUND(SUMIF(SmtRes!AQ45:'SmtRes'!AQ48,"=1",SmtRes!CU45:'SmtRes'!CU48),2),2)*I39/100,2)</f>
        <v>90.99</v>
      </c>
      <c r="Q39">
        <f>ROUND(CR39*I39,2)</f>
        <v>0</v>
      </c>
      <c r="R39">
        <f>ROUND(CS39*I39,2)</f>
        <v>0</v>
      </c>
      <c r="S39">
        <f>ROUND(CT39*I39,2)</f>
        <v>0</v>
      </c>
      <c r="T39">
        <f t="shared" si="15"/>
        <v>0</v>
      </c>
      <c r="U39">
        <f>ROUND(CV39*I39,7)</f>
        <v>0</v>
      </c>
      <c r="V39">
        <f>ROUND(CW39*I39,7)</f>
        <v>0</v>
      </c>
      <c r="W39">
        <f t="shared" si="16"/>
        <v>0</v>
      </c>
      <c r="X39">
        <f t="shared" si="17"/>
        <v>0</v>
      </c>
      <c r="Y39">
        <f t="shared" si="18"/>
        <v>0</v>
      </c>
      <c r="AA39">
        <v>50837940</v>
      </c>
      <c r="AB39">
        <f t="shared" si="19"/>
        <v>0</v>
      </c>
      <c r="AC39">
        <f>ROUND((ES39),6)</f>
        <v>0</v>
      </c>
      <c r="AD39">
        <f>ROUND((((ET39)-(EU39))+AE39),6)</f>
        <v>0</v>
      </c>
      <c r="AE39">
        <f>ROUND((EU39),6)</f>
        <v>0</v>
      </c>
      <c r="AF39">
        <f>ROUND((EV39),6)</f>
        <v>0</v>
      </c>
      <c r="AG39">
        <f t="shared" si="20"/>
        <v>0</v>
      </c>
      <c r="AH39">
        <f>(EW39)</f>
        <v>0</v>
      </c>
      <c r="AI39">
        <f>(EX39)</f>
        <v>0</v>
      </c>
      <c r="AJ39">
        <f t="shared" si="21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97</v>
      </c>
      <c r="AU39">
        <v>51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2</v>
      </c>
      <c r="BJ39" t="s">
        <v>3</v>
      </c>
      <c r="BM39">
        <v>108001</v>
      </c>
      <c r="BN39">
        <v>0</v>
      </c>
      <c r="BO39" t="s">
        <v>3</v>
      </c>
      <c r="BP39">
        <v>0</v>
      </c>
      <c r="BQ39">
        <v>3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97</v>
      </c>
      <c r="CA39">
        <v>51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>0</f>
        <v>0</v>
      </c>
      <c r="CQ39">
        <f>0</f>
        <v>0</v>
      </c>
      <c r="CR39">
        <f>0</f>
        <v>0</v>
      </c>
      <c r="CS39">
        <f>0</f>
        <v>0</v>
      </c>
      <c r="CT39">
        <f>0</f>
        <v>0</v>
      </c>
      <c r="CU39">
        <f>0</f>
        <v>0</v>
      </c>
      <c r="CV39">
        <f>0</f>
        <v>0</v>
      </c>
      <c r="CW39">
        <f>0</f>
        <v>0</v>
      </c>
      <c r="CX39">
        <f>0</f>
        <v>0</v>
      </c>
      <c r="CY39">
        <f>0</f>
        <v>0</v>
      </c>
      <c r="CZ39">
        <f>0</f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106</v>
      </c>
      <c r="DW39" t="s">
        <v>106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49642060</v>
      </c>
      <c r="EF39">
        <v>3</v>
      </c>
      <c r="EG39" t="s">
        <v>98</v>
      </c>
      <c r="EH39">
        <v>0</v>
      </c>
      <c r="EI39" t="s">
        <v>3</v>
      </c>
      <c r="EJ39">
        <v>2</v>
      </c>
      <c r="EK39">
        <v>108001</v>
      </c>
      <c r="EL39" t="s">
        <v>99</v>
      </c>
      <c r="EM39" t="s">
        <v>100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v>0</v>
      </c>
      <c r="FS39">
        <v>0</v>
      </c>
      <c r="FX39">
        <v>97</v>
      </c>
      <c r="FY39">
        <v>51</v>
      </c>
      <c r="GA39" t="s">
        <v>3</v>
      </c>
      <c r="GD39">
        <v>1</v>
      </c>
      <c r="GF39">
        <v>274903907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27"/>
        <v>0</v>
      </c>
      <c r="GM39">
        <f t="shared" si="28"/>
        <v>90.99</v>
      </c>
      <c r="GN39">
        <f t="shared" si="29"/>
        <v>0</v>
      </c>
      <c r="GO39">
        <f t="shared" si="30"/>
        <v>90.99</v>
      </c>
      <c r="GP39">
        <f t="shared" si="31"/>
        <v>0</v>
      </c>
      <c r="GR39">
        <v>0</v>
      </c>
      <c r="GS39">
        <v>3</v>
      </c>
      <c r="GT39">
        <v>0</v>
      </c>
      <c r="GU39" t="s">
        <v>3</v>
      </c>
      <c r="GV39">
        <f t="shared" si="32"/>
        <v>0</v>
      </c>
      <c r="GW39">
        <v>1</v>
      </c>
      <c r="GX39">
        <f t="shared" si="33"/>
        <v>0</v>
      </c>
      <c r="HA39">
        <v>0</v>
      </c>
      <c r="HB39">
        <v>0</v>
      </c>
      <c r="HC39">
        <f>0</f>
        <v>0</v>
      </c>
      <c r="HE39" t="s">
        <v>3</v>
      </c>
      <c r="HF39" t="s">
        <v>3</v>
      </c>
      <c r="HM39" t="s">
        <v>3</v>
      </c>
      <c r="HN39" t="s">
        <v>101</v>
      </c>
      <c r="HO39" t="s">
        <v>102</v>
      </c>
      <c r="HP39" t="s">
        <v>99</v>
      </c>
      <c r="HQ39" t="s">
        <v>99</v>
      </c>
      <c r="HS39">
        <v>0</v>
      </c>
      <c r="IK39">
        <v>0</v>
      </c>
    </row>
    <row r="40" spans="1:245">
      <c r="A40">
        <v>17</v>
      </c>
      <c r="B40">
        <v>1</v>
      </c>
      <c r="C40">
        <f>ROW(SmtRes!A54)</f>
        <v>54</v>
      </c>
      <c r="D40">
        <f>ROW(EtalonRes!A54)</f>
        <v>54</v>
      </c>
      <c r="E40" t="s">
        <v>107</v>
      </c>
      <c r="F40" t="s">
        <v>108</v>
      </c>
      <c r="G40" t="s">
        <v>109</v>
      </c>
      <c r="H40" t="s">
        <v>110</v>
      </c>
      <c r="I40">
        <v>1.0474859999999999</v>
      </c>
      <c r="J40">
        <v>0</v>
      </c>
      <c r="K40">
        <v>1.0474859999999999</v>
      </c>
      <c r="O40">
        <f>ROUND(CP40,2)</f>
        <v>17672.12</v>
      </c>
      <c r="P40">
        <f>SUMIF(SmtRes!AQ49:'SmtRes'!AQ54,"=1",SmtRes!DF49:'SmtRes'!DF54)</f>
        <v>0</v>
      </c>
      <c r="Q40">
        <f>SUMIF(SmtRes!AQ49:'SmtRes'!AQ54,"=1",SmtRes!DG49:'SmtRes'!DG54)</f>
        <v>4276.7699999999995</v>
      </c>
      <c r="R40">
        <f>SUMIF(SmtRes!AQ49:'SmtRes'!AQ54,"=1",SmtRes!DH49:'SmtRes'!DH54)</f>
        <v>1137.08</v>
      </c>
      <c r="S40">
        <f>SUMIF(SmtRes!AQ49:'SmtRes'!AQ54,"=1",SmtRes!DI49:'SmtRes'!DI54)</f>
        <v>12258.27</v>
      </c>
      <c r="T40">
        <f t="shared" si="15"/>
        <v>0</v>
      </c>
      <c r="U40">
        <f>SUMIF(SmtRes!AQ49:'SmtRes'!AQ54,"=1",SmtRes!CV49:'SmtRes'!CV54)</f>
        <v>31.319831400000002</v>
      </c>
      <c r="V40">
        <f>SUMIF(SmtRes!AQ49:'SmtRes'!AQ54,"=1",SmtRes!CW49:'SmtRes'!CW54)</f>
        <v>2.166201</v>
      </c>
      <c r="W40">
        <f t="shared" si="16"/>
        <v>0</v>
      </c>
      <c r="X40">
        <f t="shared" si="17"/>
        <v>12993.49</v>
      </c>
      <c r="Y40">
        <f t="shared" si="18"/>
        <v>6831.63</v>
      </c>
      <c r="AA40">
        <v>50837940</v>
      </c>
      <c r="AB40">
        <f t="shared" si="19"/>
        <v>14592.86412</v>
      </c>
      <c r="AC40">
        <f>ROUND((0),6)</f>
        <v>0</v>
      </c>
      <c r="AD40">
        <f>ROUND((((SUM(SmtRes!BR49:'SmtRes'!BR54))-(SUM(SmtRes!BS49:'SmtRes'!BS54)))+AE40),6)</f>
        <v>2890.30312</v>
      </c>
      <c r="AE40">
        <f>ROUND((SUM(SmtRes!BS49:'SmtRes'!BS54)),6)</f>
        <v>1085.5309999999999</v>
      </c>
      <c r="AF40">
        <f>ROUND((SUM(SmtRes!BT49:'SmtRes'!BT54)),6)</f>
        <v>11702.561</v>
      </c>
      <c r="AG40">
        <f t="shared" si="20"/>
        <v>0</v>
      </c>
      <c r="AH40">
        <f>(SUM(SmtRes!BU49:'SmtRes'!BU54))</f>
        <v>29.9</v>
      </c>
      <c r="AI40">
        <f>(SUM(SmtRes!BV49:'SmtRes'!BV54))</f>
        <v>2.0680000000000001</v>
      </c>
      <c r="AJ40">
        <f t="shared" si="21"/>
        <v>0</v>
      </c>
      <c r="AK40">
        <v>15678.395120000001</v>
      </c>
      <c r="AL40">
        <v>0</v>
      </c>
      <c r="AM40">
        <v>2890.30312</v>
      </c>
      <c r="AN40">
        <v>1085.5309999999999</v>
      </c>
      <c r="AO40">
        <v>11702.561</v>
      </c>
      <c r="AP40">
        <v>0</v>
      </c>
      <c r="AQ40">
        <v>29.9</v>
      </c>
      <c r="AR40">
        <v>2.0680000000000001</v>
      </c>
      <c r="AS40">
        <v>0</v>
      </c>
      <c r="AT40">
        <v>97</v>
      </c>
      <c r="AU40">
        <v>51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</v>
      </c>
      <c r="BD40" t="s">
        <v>3</v>
      </c>
      <c r="BE40" t="s">
        <v>3</v>
      </c>
      <c r="BF40" t="s">
        <v>3</v>
      </c>
      <c r="BG40" t="s">
        <v>3</v>
      </c>
      <c r="BH40">
        <v>0</v>
      </c>
      <c r="BI40">
        <v>2</v>
      </c>
      <c r="BJ40" t="s">
        <v>111</v>
      </c>
      <c r="BM40">
        <v>108001</v>
      </c>
      <c r="BN40">
        <v>0</v>
      </c>
      <c r="BO40" t="s">
        <v>3</v>
      </c>
      <c r="BP40">
        <v>0</v>
      </c>
      <c r="BQ40">
        <v>3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97</v>
      </c>
      <c r="CA40">
        <v>51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>(P40+Q40+S40+R40)</f>
        <v>17672.120000000003</v>
      </c>
      <c r="CQ40">
        <f>SUMIF(SmtRes!AQ49:'SmtRes'!AQ54,"=1",SmtRes!AA49:'SmtRes'!AA54)</f>
        <v>0</v>
      </c>
      <c r="CR40">
        <f>SUMIF(SmtRes!AQ49:'SmtRes'!AQ54,"=1",SmtRes!AB49:'SmtRes'!AB54)</f>
        <v>4668.08</v>
      </c>
      <c r="CS40">
        <f>SUMIF(SmtRes!AQ49:'SmtRes'!AQ54,"=1",SmtRes!AC49:'SmtRes'!AC54)</f>
        <v>1493.01</v>
      </c>
      <c r="CT40">
        <f>SUMIF(SmtRes!AQ49:'SmtRes'!AQ54,"=1",SmtRes!AD49:'SmtRes'!AD54)</f>
        <v>391.39</v>
      </c>
      <c r="CU40">
        <f>AG40</f>
        <v>0</v>
      </c>
      <c r="CV40">
        <f>SUMIF(SmtRes!AQ49:'SmtRes'!AQ54,"=1",SmtRes!BU49:'SmtRes'!BU54)</f>
        <v>29.9</v>
      </c>
      <c r="CW40">
        <f>SUMIF(SmtRes!AQ49:'SmtRes'!AQ54,"=1",SmtRes!BV49:'SmtRes'!BV54)</f>
        <v>2.0680000000000001</v>
      </c>
      <c r="CX40">
        <f>AJ40</f>
        <v>0</v>
      </c>
      <c r="CY40">
        <f>(((S40+R40)*AT40)/100)</f>
        <v>12993.4895</v>
      </c>
      <c r="CZ40">
        <f>(((S40+R40)*AU40)/100)</f>
        <v>6831.6284999999998</v>
      </c>
      <c r="DC40" t="s">
        <v>3</v>
      </c>
      <c r="DD40" t="s">
        <v>32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1003</v>
      </c>
      <c r="DV40" t="s">
        <v>110</v>
      </c>
      <c r="DW40" t="s">
        <v>110</v>
      </c>
      <c r="DX40">
        <v>1000</v>
      </c>
      <c r="DZ40" t="s">
        <v>3</v>
      </c>
      <c r="EA40" t="s">
        <v>3</v>
      </c>
      <c r="EB40" t="s">
        <v>3</v>
      </c>
      <c r="EC40" t="s">
        <v>3</v>
      </c>
      <c r="EE40">
        <v>49642060</v>
      </c>
      <c r="EF40">
        <v>3</v>
      </c>
      <c r="EG40" t="s">
        <v>98</v>
      </c>
      <c r="EH40">
        <v>0</v>
      </c>
      <c r="EI40" t="s">
        <v>3</v>
      </c>
      <c r="EJ40">
        <v>2</v>
      </c>
      <c r="EK40">
        <v>108001</v>
      </c>
      <c r="EL40" t="s">
        <v>99</v>
      </c>
      <c r="EM40" t="s">
        <v>100</v>
      </c>
      <c r="EO40" t="s">
        <v>3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29.9</v>
      </c>
      <c r="EX40">
        <v>2.0699999999999998</v>
      </c>
      <c r="EY40">
        <v>0</v>
      </c>
      <c r="FQ40">
        <v>0</v>
      </c>
      <c r="FR40">
        <v>0</v>
      </c>
      <c r="FS40">
        <v>0</v>
      </c>
      <c r="FX40">
        <v>97</v>
      </c>
      <c r="FY40">
        <v>51</v>
      </c>
      <c r="GA40" t="s">
        <v>3</v>
      </c>
      <c r="GD40">
        <v>1</v>
      </c>
      <c r="GF40">
        <v>1533447272</v>
      </c>
      <c r="GG40">
        <v>2</v>
      </c>
      <c r="GH40">
        <v>1</v>
      </c>
      <c r="GI40">
        <v>-2</v>
      </c>
      <c r="GJ40">
        <v>0</v>
      </c>
      <c r="GK40">
        <v>0</v>
      </c>
      <c r="GL40">
        <f t="shared" si="27"/>
        <v>0</v>
      </c>
      <c r="GM40">
        <f t="shared" si="28"/>
        <v>37497.24</v>
      </c>
      <c r="GN40">
        <f t="shared" si="29"/>
        <v>0</v>
      </c>
      <c r="GO40">
        <f t="shared" si="30"/>
        <v>37497.24</v>
      </c>
      <c r="GP40">
        <f t="shared" si="31"/>
        <v>0</v>
      </c>
      <c r="GR40">
        <v>0</v>
      </c>
      <c r="GS40">
        <v>3</v>
      </c>
      <c r="GT40">
        <v>0</v>
      </c>
      <c r="GU40" t="s">
        <v>3</v>
      </c>
      <c r="GV40">
        <f t="shared" si="32"/>
        <v>0</v>
      </c>
      <c r="GW40">
        <v>1</v>
      </c>
      <c r="GX40">
        <f t="shared" si="33"/>
        <v>0</v>
      </c>
      <c r="HA40">
        <v>0</v>
      </c>
      <c r="HB40">
        <v>0</v>
      </c>
      <c r="HC40">
        <f>GV40*GW40</f>
        <v>0</v>
      </c>
      <c r="HE40" t="s">
        <v>3</v>
      </c>
      <c r="HF40" t="s">
        <v>3</v>
      </c>
      <c r="HM40" t="s">
        <v>3</v>
      </c>
      <c r="HN40" t="s">
        <v>101</v>
      </c>
      <c r="HO40" t="s">
        <v>102</v>
      </c>
      <c r="HP40" t="s">
        <v>99</v>
      </c>
      <c r="HQ40" t="s">
        <v>99</v>
      </c>
      <c r="HS40">
        <v>0</v>
      </c>
      <c r="IK40">
        <v>0</v>
      </c>
    </row>
    <row r="41" spans="1:245">
      <c r="A41">
        <v>18</v>
      </c>
      <c r="B41">
        <v>1</v>
      </c>
      <c r="C41">
        <v>54</v>
      </c>
      <c r="E41" t="s">
        <v>112</v>
      </c>
      <c r="F41" t="s">
        <v>104</v>
      </c>
      <c r="G41" t="s">
        <v>105</v>
      </c>
      <c r="H41" t="s">
        <v>106</v>
      </c>
      <c r="I41">
        <f>J41</f>
        <v>2</v>
      </c>
      <c r="J41">
        <v>2</v>
      </c>
      <c r="K41">
        <v>2</v>
      </c>
      <c r="O41">
        <f>ROUND(P41,2)</f>
        <v>245.17</v>
      </c>
      <c r="P41">
        <f>ROUND(ROUND(ROUND(SUMIF(SmtRes!AQ49:'SmtRes'!AQ54,"=1",SmtRes!CU49:'SmtRes'!CU54),2),2)*I41/100,2)</f>
        <v>245.17</v>
      </c>
      <c r="Q41">
        <f>ROUND(CR41*I41,2)</f>
        <v>0</v>
      </c>
      <c r="R41">
        <f>ROUND(CS41*I41,2)</f>
        <v>0</v>
      </c>
      <c r="S41">
        <f>ROUND(CT41*I41,2)</f>
        <v>0</v>
      </c>
      <c r="T41">
        <f t="shared" si="15"/>
        <v>0</v>
      </c>
      <c r="U41">
        <f>ROUND(CV41*I41,7)</f>
        <v>0</v>
      </c>
      <c r="V41">
        <f>ROUND(CW41*I41,7)</f>
        <v>0</v>
      </c>
      <c r="W41">
        <f t="shared" si="16"/>
        <v>0</v>
      </c>
      <c r="X41">
        <f t="shared" si="17"/>
        <v>0</v>
      </c>
      <c r="Y41">
        <f t="shared" si="18"/>
        <v>0</v>
      </c>
      <c r="AA41">
        <v>50837940</v>
      </c>
      <c r="AB41">
        <f t="shared" si="19"/>
        <v>0</v>
      </c>
      <c r="AC41">
        <f>ROUND((ES41),6)</f>
        <v>0</v>
      </c>
      <c r="AD41">
        <f>ROUND((((ET41)-(EU41))+AE41),6)</f>
        <v>0</v>
      </c>
      <c r="AE41">
        <f>ROUND((EU41),6)</f>
        <v>0</v>
      </c>
      <c r="AF41">
        <f>ROUND((EV41),6)</f>
        <v>0</v>
      </c>
      <c r="AG41">
        <f t="shared" si="20"/>
        <v>0</v>
      </c>
      <c r="AH41">
        <f>(EW41)</f>
        <v>0</v>
      </c>
      <c r="AI41">
        <f>(EX41)</f>
        <v>0</v>
      </c>
      <c r="AJ41">
        <f t="shared" si="21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97</v>
      </c>
      <c r="AU41">
        <v>51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2</v>
      </c>
      <c r="BJ41" t="s">
        <v>3</v>
      </c>
      <c r="BM41">
        <v>108001</v>
      </c>
      <c r="BN41">
        <v>0</v>
      </c>
      <c r="BO41" t="s">
        <v>3</v>
      </c>
      <c r="BP41">
        <v>0</v>
      </c>
      <c r="BQ41">
        <v>3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97</v>
      </c>
      <c r="CA41">
        <v>51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>0</f>
        <v>0</v>
      </c>
      <c r="CQ41">
        <f>0</f>
        <v>0</v>
      </c>
      <c r="CR41">
        <f>0</f>
        <v>0</v>
      </c>
      <c r="CS41">
        <f>0</f>
        <v>0</v>
      </c>
      <c r="CT41">
        <f>0</f>
        <v>0</v>
      </c>
      <c r="CU41">
        <f>0</f>
        <v>0</v>
      </c>
      <c r="CV41">
        <f>0</f>
        <v>0</v>
      </c>
      <c r="CW41">
        <f>0</f>
        <v>0</v>
      </c>
      <c r="CX41">
        <f>0</f>
        <v>0</v>
      </c>
      <c r="CY41">
        <f>0</f>
        <v>0</v>
      </c>
      <c r="CZ41">
        <f>0</f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1013</v>
      </c>
      <c r="DV41" t="s">
        <v>106</v>
      </c>
      <c r="DW41" t="s">
        <v>106</v>
      </c>
      <c r="DX41">
        <v>1</v>
      </c>
      <c r="DZ41" t="s">
        <v>3</v>
      </c>
      <c r="EA41" t="s">
        <v>3</v>
      </c>
      <c r="EB41" t="s">
        <v>3</v>
      </c>
      <c r="EC41" t="s">
        <v>3</v>
      </c>
      <c r="EE41">
        <v>49642060</v>
      </c>
      <c r="EF41">
        <v>3</v>
      </c>
      <c r="EG41" t="s">
        <v>98</v>
      </c>
      <c r="EH41">
        <v>0</v>
      </c>
      <c r="EI41" t="s">
        <v>3</v>
      </c>
      <c r="EJ41">
        <v>2</v>
      </c>
      <c r="EK41">
        <v>108001</v>
      </c>
      <c r="EL41" t="s">
        <v>99</v>
      </c>
      <c r="EM41" t="s">
        <v>100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v>0</v>
      </c>
      <c r="FS41">
        <v>0</v>
      </c>
      <c r="FX41">
        <v>97</v>
      </c>
      <c r="FY41">
        <v>51</v>
      </c>
      <c r="GA41" t="s">
        <v>3</v>
      </c>
      <c r="GD41">
        <v>1</v>
      </c>
      <c r="GF41">
        <v>274903907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7"/>
        <v>0</v>
      </c>
      <c r="GM41">
        <f t="shared" si="28"/>
        <v>245.17</v>
      </c>
      <c r="GN41">
        <f t="shared" si="29"/>
        <v>0</v>
      </c>
      <c r="GO41">
        <f t="shared" si="30"/>
        <v>245.17</v>
      </c>
      <c r="GP41">
        <f t="shared" si="31"/>
        <v>0</v>
      </c>
      <c r="GR41">
        <v>0</v>
      </c>
      <c r="GS41">
        <v>3</v>
      </c>
      <c r="GT41">
        <v>0</v>
      </c>
      <c r="GU41" t="s">
        <v>3</v>
      </c>
      <c r="GV41">
        <f t="shared" si="32"/>
        <v>0</v>
      </c>
      <c r="GW41">
        <v>1</v>
      </c>
      <c r="GX41">
        <f t="shared" si="33"/>
        <v>0</v>
      </c>
      <c r="HA41">
        <v>0</v>
      </c>
      <c r="HB41">
        <v>0</v>
      </c>
      <c r="HC41">
        <f>0</f>
        <v>0</v>
      </c>
      <c r="HE41" t="s">
        <v>3</v>
      </c>
      <c r="HF41" t="s">
        <v>3</v>
      </c>
      <c r="HM41" t="s">
        <v>3</v>
      </c>
      <c r="HN41" t="s">
        <v>101</v>
      </c>
      <c r="HO41" t="s">
        <v>102</v>
      </c>
      <c r="HP41" t="s">
        <v>99</v>
      </c>
      <c r="HQ41" t="s">
        <v>99</v>
      </c>
      <c r="HS41">
        <v>0</v>
      </c>
      <c r="IK41">
        <v>0</v>
      </c>
    </row>
    <row r="42" spans="1:245">
      <c r="A42">
        <v>17</v>
      </c>
      <c r="B42">
        <v>1</v>
      </c>
      <c r="C42">
        <f>ROW(SmtRes!A60)</f>
        <v>60</v>
      </c>
      <c r="D42">
        <f>ROW(EtalonRes!A60)</f>
        <v>60</v>
      </c>
      <c r="E42" t="s">
        <v>113</v>
      </c>
      <c r="F42" t="s">
        <v>108</v>
      </c>
      <c r="G42" t="s">
        <v>114</v>
      </c>
      <c r="H42" t="s">
        <v>110</v>
      </c>
      <c r="I42">
        <v>1.286</v>
      </c>
      <c r="J42">
        <v>0</v>
      </c>
      <c r="K42">
        <v>1.286</v>
      </c>
      <c r="O42">
        <f>ROUND(CP42,2)</f>
        <v>21696.09</v>
      </c>
      <c r="P42">
        <f>SUMIF(SmtRes!AQ55:'SmtRes'!AQ60,"=1",SmtRes!DF55:'SmtRes'!DF60)</f>
        <v>0</v>
      </c>
      <c r="Q42">
        <f>SUMIF(SmtRes!AQ55:'SmtRes'!AQ60,"=1",SmtRes!DG55:'SmtRes'!DG60)</f>
        <v>5250.6</v>
      </c>
      <c r="R42">
        <f>SUMIF(SmtRes!AQ55:'SmtRes'!AQ60,"=1",SmtRes!DH55:'SmtRes'!DH60)</f>
        <v>1396.0000000000002</v>
      </c>
      <c r="S42">
        <f>SUMIF(SmtRes!AQ55:'SmtRes'!AQ60,"=1",SmtRes!DI55:'SmtRes'!DI60)</f>
        <v>15049.49</v>
      </c>
      <c r="T42">
        <f t="shared" si="15"/>
        <v>0</v>
      </c>
      <c r="U42">
        <f>SUMIF(SmtRes!AQ55:'SmtRes'!AQ60,"=1",SmtRes!CV55:'SmtRes'!CV60)</f>
        <v>38.4514</v>
      </c>
      <c r="V42">
        <f>SUMIF(SmtRes!AQ55:'SmtRes'!AQ60,"=1",SmtRes!CW55:'SmtRes'!CW60)</f>
        <v>2.6594479999999998</v>
      </c>
      <c r="W42">
        <f t="shared" si="16"/>
        <v>0</v>
      </c>
      <c r="X42">
        <f t="shared" si="17"/>
        <v>15952.13</v>
      </c>
      <c r="Y42">
        <f t="shared" si="18"/>
        <v>8387.2000000000007</v>
      </c>
      <c r="AA42">
        <v>50837940</v>
      </c>
      <c r="AB42">
        <f t="shared" si="19"/>
        <v>14592.86412</v>
      </c>
      <c r="AC42">
        <f>ROUND((0),6)</f>
        <v>0</v>
      </c>
      <c r="AD42">
        <f>ROUND((((SUM(SmtRes!BR55:'SmtRes'!BR60))-(SUM(SmtRes!BS55:'SmtRes'!BS60)))+AE42),6)</f>
        <v>2890.30312</v>
      </c>
      <c r="AE42">
        <f>ROUND((SUM(SmtRes!BS55:'SmtRes'!BS60)),6)</f>
        <v>1085.5309999999999</v>
      </c>
      <c r="AF42">
        <f>ROUND((SUM(SmtRes!BT55:'SmtRes'!BT60)),6)</f>
        <v>11702.561</v>
      </c>
      <c r="AG42">
        <f t="shared" si="20"/>
        <v>0</v>
      </c>
      <c r="AH42">
        <f>(SUM(SmtRes!BU55:'SmtRes'!BU60))</f>
        <v>29.9</v>
      </c>
      <c r="AI42">
        <f>(SUM(SmtRes!BV55:'SmtRes'!BV60))</f>
        <v>2.0680000000000001</v>
      </c>
      <c r="AJ42">
        <f t="shared" si="21"/>
        <v>0</v>
      </c>
      <c r="AK42">
        <v>15678.395120000001</v>
      </c>
      <c r="AL42">
        <v>0</v>
      </c>
      <c r="AM42">
        <v>2890.30312</v>
      </c>
      <c r="AN42">
        <v>1085.5309999999999</v>
      </c>
      <c r="AO42">
        <v>11702.561</v>
      </c>
      <c r="AP42">
        <v>0</v>
      </c>
      <c r="AQ42">
        <v>29.9</v>
      </c>
      <c r="AR42">
        <v>2.0680000000000001</v>
      </c>
      <c r="AS42">
        <v>0</v>
      </c>
      <c r="AT42">
        <v>97</v>
      </c>
      <c r="AU42">
        <v>51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0</v>
      </c>
      <c r="BI42">
        <v>2</v>
      </c>
      <c r="BJ42" t="s">
        <v>111</v>
      </c>
      <c r="BM42">
        <v>108001</v>
      </c>
      <c r="BN42">
        <v>0</v>
      </c>
      <c r="BO42" t="s">
        <v>3</v>
      </c>
      <c r="BP42">
        <v>0</v>
      </c>
      <c r="BQ42">
        <v>3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97</v>
      </c>
      <c r="CA42">
        <v>51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>(P42+Q42+S42+R42)</f>
        <v>21696.09</v>
      </c>
      <c r="CQ42">
        <f>SUMIF(SmtRes!AQ55:'SmtRes'!AQ60,"=1",SmtRes!AA55:'SmtRes'!AA60)</f>
        <v>0</v>
      </c>
      <c r="CR42">
        <f>SUMIF(SmtRes!AQ55:'SmtRes'!AQ60,"=1",SmtRes!AB55:'SmtRes'!AB60)</f>
        <v>4668.08</v>
      </c>
      <c r="CS42">
        <f>SUMIF(SmtRes!AQ55:'SmtRes'!AQ60,"=1",SmtRes!AC55:'SmtRes'!AC60)</f>
        <v>1493.01</v>
      </c>
      <c r="CT42">
        <f>SUMIF(SmtRes!AQ55:'SmtRes'!AQ60,"=1",SmtRes!AD55:'SmtRes'!AD60)</f>
        <v>391.39</v>
      </c>
      <c r="CU42">
        <f>AG42</f>
        <v>0</v>
      </c>
      <c r="CV42">
        <f>SUMIF(SmtRes!AQ55:'SmtRes'!AQ60,"=1",SmtRes!BU55:'SmtRes'!BU60)</f>
        <v>29.9</v>
      </c>
      <c r="CW42">
        <f>SUMIF(SmtRes!AQ55:'SmtRes'!AQ60,"=1",SmtRes!BV55:'SmtRes'!BV60)</f>
        <v>2.0680000000000001</v>
      </c>
      <c r="CX42">
        <f>AJ42</f>
        <v>0</v>
      </c>
      <c r="CY42">
        <f>(((S42+R42)*AT42)/100)</f>
        <v>15952.125300000003</v>
      </c>
      <c r="CZ42">
        <f>(((S42+R42)*AU42)/100)</f>
        <v>8387.1999000000014</v>
      </c>
      <c r="DC42" t="s">
        <v>3</v>
      </c>
      <c r="DD42" t="s">
        <v>32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1003</v>
      </c>
      <c r="DV42" t="s">
        <v>110</v>
      </c>
      <c r="DW42" t="s">
        <v>110</v>
      </c>
      <c r="DX42">
        <v>1000</v>
      </c>
      <c r="DZ42" t="s">
        <v>3</v>
      </c>
      <c r="EA42" t="s">
        <v>3</v>
      </c>
      <c r="EB42" t="s">
        <v>3</v>
      </c>
      <c r="EC42" t="s">
        <v>3</v>
      </c>
      <c r="EE42">
        <v>49642060</v>
      </c>
      <c r="EF42">
        <v>3</v>
      </c>
      <c r="EG42" t="s">
        <v>98</v>
      </c>
      <c r="EH42">
        <v>0</v>
      </c>
      <c r="EI42" t="s">
        <v>3</v>
      </c>
      <c r="EJ42">
        <v>2</v>
      </c>
      <c r="EK42">
        <v>108001</v>
      </c>
      <c r="EL42" t="s">
        <v>99</v>
      </c>
      <c r="EM42" t="s">
        <v>100</v>
      </c>
      <c r="EO42" t="s">
        <v>3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29.9</v>
      </c>
      <c r="EX42">
        <v>2.0699999999999998</v>
      </c>
      <c r="EY42">
        <v>0</v>
      </c>
      <c r="FQ42">
        <v>0</v>
      </c>
      <c r="FR42">
        <v>0</v>
      </c>
      <c r="FS42">
        <v>0</v>
      </c>
      <c r="FX42">
        <v>97</v>
      </c>
      <c r="FY42">
        <v>51</v>
      </c>
      <c r="GA42" t="s">
        <v>3</v>
      </c>
      <c r="GD42">
        <v>1</v>
      </c>
      <c r="GF42">
        <v>-1838511200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27"/>
        <v>0</v>
      </c>
      <c r="GM42">
        <f t="shared" si="28"/>
        <v>46035.42</v>
      </c>
      <c r="GN42">
        <f t="shared" si="29"/>
        <v>0</v>
      </c>
      <c r="GO42">
        <f t="shared" si="30"/>
        <v>46035.42</v>
      </c>
      <c r="GP42">
        <f t="shared" si="31"/>
        <v>0</v>
      </c>
      <c r="GR42">
        <v>0</v>
      </c>
      <c r="GS42">
        <v>3</v>
      </c>
      <c r="GT42">
        <v>0</v>
      </c>
      <c r="GU42" t="s">
        <v>3</v>
      </c>
      <c r="GV42">
        <f t="shared" si="32"/>
        <v>0</v>
      </c>
      <c r="GW42">
        <v>1</v>
      </c>
      <c r="GX42">
        <f t="shared" si="33"/>
        <v>0</v>
      </c>
      <c r="HA42">
        <v>0</v>
      </c>
      <c r="HB42">
        <v>0</v>
      </c>
      <c r="HC42">
        <f>GV42*GW42</f>
        <v>0</v>
      </c>
      <c r="HE42" t="s">
        <v>3</v>
      </c>
      <c r="HF42" t="s">
        <v>3</v>
      </c>
      <c r="HM42" t="s">
        <v>3</v>
      </c>
      <c r="HN42" t="s">
        <v>101</v>
      </c>
      <c r="HO42" t="s">
        <v>102</v>
      </c>
      <c r="HP42" t="s">
        <v>99</v>
      </c>
      <c r="HQ42" t="s">
        <v>99</v>
      </c>
      <c r="HS42">
        <v>0</v>
      </c>
      <c r="IK42">
        <v>0</v>
      </c>
    </row>
    <row r="43" spans="1:245">
      <c r="A43">
        <v>18</v>
      </c>
      <c r="B43">
        <v>1</v>
      </c>
      <c r="C43">
        <v>60</v>
      </c>
      <c r="E43" t="s">
        <v>115</v>
      </c>
      <c r="F43" t="s">
        <v>104</v>
      </c>
      <c r="G43" t="s">
        <v>105</v>
      </c>
      <c r="H43" t="s">
        <v>106</v>
      </c>
      <c r="I43">
        <f>J43</f>
        <v>2</v>
      </c>
      <c r="J43">
        <v>2</v>
      </c>
      <c r="K43">
        <v>2</v>
      </c>
      <c r="O43">
        <f>ROUND(P43,2)</f>
        <v>300.99</v>
      </c>
      <c r="P43">
        <f>ROUND(ROUND(ROUND(SUMIF(SmtRes!AQ55:'SmtRes'!AQ60,"=1",SmtRes!CU55:'SmtRes'!CU60),2),2)*I43/100,2)</f>
        <v>300.99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15"/>
        <v>0</v>
      </c>
      <c r="U43">
        <f>ROUND(CV43*I43,7)</f>
        <v>0</v>
      </c>
      <c r="V43">
        <f>ROUND(CW43*I43,7)</f>
        <v>0</v>
      </c>
      <c r="W43">
        <f t="shared" si="16"/>
        <v>0</v>
      </c>
      <c r="X43">
        <f t="shared" si="17"/>
        <v>0</v>
      </c>
      <c r="Y43">
        <f t="shared" si="18"/>
        <v>0</v>
      </c>
      <c r="AA43">
        <v>50837940</v>
      </c>
      <c r="AB43">
        <f t="shared" si="19"/>
        <v>0</v>
      </c>
      <c r="AC43">
        <f>ROUND((ES43),6)</f>
        <v>0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20"/>
        <v>0</v>
      </c>
      <c r="AH43">
        <f>(EW43)</f>
        <v>0</v>
      </c>
      <c r="AI43">
        <f>(EX43)</f>
        <v>0</v>
      </c>
      <c r="AJ43">
        <f t="shared" si="21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97</v>
      </c>
      <c r="AU43">
        <v>51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2</v>
      </c>
      <c r="BJ43" t="s">
        <v>3</v>
      </c>
      <c r="BM43">
        <v>108001</v>
      </c>
      <c r="BN43">
        <v>0</v>
      </c>
      <c r="BO43" t="s">
        <v>3</v>
      </c>
      <c r="BP43">
        <v>0</v>
      </c>
      <c r="BQ43">
        <v>3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97</v>
      </c>
      <c r="CA43">
        <v>51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>0</f>
        <v>0</v>
      </c>
      <c r="CQ43">
        <f>0</f>
        <v>0</v>
      </c>
      <c r="CR43">
        <f>0</f>
        <v>0</v>
      </c>
      <c r="CS43">
        <f>0</f>
        <v>0</v>
      </c>
      <c r="CT43">
        <f>0</f>
        <v>0</v>
      </c>
      <c r="CU43">
        <f>0</f>
        <v>0</v>
      </c>
      <c r="CV43">
        <f>0</f>
        <v>0</v>
      </c>
      <c r="CW43">
        <f>0</f>
        <v>0</v>
      </c>
      <c r="CX43">
        <f>0</f>
        <v>0</v>
      </c>
      <c r="CY43">
        <f>0</f>
        <v>0</v>
      </c>
      <c r="CZ43">
        <f>0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106</v>
      </c>
      <c r="DW43" t="s">
        <v>106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49642060</v>
      </c>
      <c r="EF43">
        <v>3</v>
      </c>
      <c r="EG43" t="s">
        <v>98</v>
      </c>
      <c r="EH43">
        <v>0</v>
      </c>
      <c r="EI43" t="s">
        <v>3</v>
      </c>
      <c r="EJ43">
        <v>2</v>
      </c>
      <c r="EK43">
        <v>108001</v>
      </c>
      <c r="EL43" t="s">
        <v>99</v>
      </c>
      <c r="EM43" t="s">
        <v>100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v>0</v>
      </c>
      <c r="FS43">
        <v>0</v>
      </c>
      <c r="FX43">
        <v>97</v>
      </c>
      <c r="FY43">
        <v>51</v>
      </c>
      <c r="GA43" t="s">
        <v>3</v>
      </c>
      <c r="GD43">
        <v>1</v>
      </c>
      <c r="GF43">
        <v>274903907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27"/>
        <v>0</v>
      </c>
      <c r="GM43">
        <f t="shared" si="28"/>
        <v>300.99</v>
      </c>
      <c r="GN43">
        <f t="shared" si="29"/>
        <v>0</v>
      </c>
      <c r="GO43">
        <f t="shared" si="30"/>
        <v>300.99</v>
      </c>
      <c r="GP43">
        <f t="shared" si="31"/>
        <v>0</v>
      </c>
      <c r="GR43">
        <v>0</v>
      </c>
      <c r="GS43">
        <v>3</v>
      </c>
      <c r="GT43">
        <v>0</v>
      </c>
      <c r="GU43" t="s">
        <v>3</v>
      </c>
      <c r="GV43">
        <f t="shared" si="32"/>
        <v>0</v>
      </c>
      <c r="GW43">
        <v>1</v>
      </c>
      <c r="GX43">
        <f t="shared" si="33"/>
        <v>0</v>
      </c>
      <c r="HA43">
        <v>0</v>
      </c>
      <c r="HB43">
        <v>0</v>
      </c>
      <c r="HC43">
        <f>0</f>
        <v>0</v>
      </c>
      <c r="HE43" t="s">
        <v>3</v>
      </c>
      <c r="HF43" t="s">
        <v>3</v>
      </c>
      <c r="HM43" t="s">
        <v>3</v>
      </c>
      <c r="HN43" t="s">
        <v>101</v>
      </c>
      <c r="HO43" t="s">
        <v>102</v>
      </c>
      <c r="HP43" t="s">
        <v>99</v>
      </c>
      <c r="HQ43" t="s">
        <v>99</v>
      </c>
      <c r="HS43">
        <v>0</v>
      </c>
      <c r="IK43">
        <v>0</v>
      </c>
    </row>
    <row r="45" spans="1:245">
      <c r="A45" s="2">
        <v>51</v>
      </c>
      <c r="B45" s="2">
        <f>B20</f>
        <v>1</v>
      </c>
      <c r="C45" s="2">
        <f>A20</f>
        <v>3</v>
      </c>
      <c r="D45" s="2">
        <f>ROW(A20)</f>
        <v>20</v>
      </c>
      <c r="E45" s="2"/>
      <c r="F45" s="2" t="str">
        <f>IF(F20&lt;&gt;"",F20,"")</f>
        <v>Новая локальная смета</v>
      </c>
      <c r="G45" s="2" t="str">
        <f>IF(G20&lt;&gt;"",G20,"")</f>
        <v>Новая локальная смета</v>
      </c>
      <c r="H45" s="2">
        <v>0</v>
      </c>
      <c r="I45" s="2"/>
      <c r="J45" s="2"/>
      <c r="K45" s="2"/>
      <c r="L45" s="2"/>
      <c r="M45" s="2"/>
      <c r="N45" s="2"/>
      <c r="O45" s="2">
        <f t="shared" ref="O45:T45" si="38">ROUND(AB45,2)</f>
        <v>233365.4</v>
      </c>
      <c r="P45" s="2">
        <f t="shared" si="38"/>
        <v>637.15</v>
      </c>
      <c r="Q45" s="2">
        <f t="shared" si="38"/>
        <v>94306.2</v>
      </c>
      <c r="R45" s="2">
        <f t="shared" si="38"/>
        <v>33117.519999999997</v>
      </c>
      <c r="S45" s="2">
        <f t="shared" si="38"/>
        <v>105304.53</v>
      </c>
      <c r="T45" s="2">
        <f t="shared" si="38"/>
        <v>0</v>
      </c>
      <c r="U45" s="2">
        <f>AH45</f>
        <v>282.28830540000001</v>
      </c>
      <c r="V45" s="2">
        <f>AI45</f>
        <v>68.982838999999998</v>
      </c>
      <c r="W45" s="2">
        <f>ROUND(AJ45,2)</f>
        <v>0</v>
      </c>
      <c r="X45" s="2">
        <f>ROUND(AK45,2)</f>
        <v>136503.56</v>
      </c>
      <c r="Y45" s="2">
        <f>ROUND(AL45,2)</f>
        <v>77123.62</v>
      </c>
      <c r="Z45" s="2"/>
      <c r="AA45" s="2"/>
      <c r="AB45" s="2">
        <f>ROUND(SUMIF(AA24:AA43,"=50837940",O24:O43),2)</f>
        <v>233365.4</v>
      </c>
      <c r="AC45" s="2">
        <f>ROUND(SUMIF(AA24:AA43,"=50837940",P24:P43),2)</f>
        <v>637.15</v>
      </c>
      <c r="AD45" s="2">
        <f>ROUND(SUMIF(AA24:AA43,"=50837940",Q24:Q43),2)</f>
        <v>94306.2</v>
      </c>
      <c r="AE45" s="2">
        <f>ROUND(SUMIF(AA24:AA43,"=50837940",R24:R43),2)</f>
        <v>33117.519999999997</v>
      </c>
      <c r="AF45" s="2">
        <f>ROUND(SUMIF(AA24:AA43,"=50837940",S24:S43),2)</f>
        <v>105304.53</v>
      </c>
      <c r="AG45" s="2">
        <f>ROUND(SUMIF(AA24:AA43,"=50837940",T24:T43),2)</f>
        <v>0</v>
      </c>
      <c r="AH45" s="2">
        <f>SUMIF(AA24:AA43,"=50837940",U24:U43)</f>
        <v>282.28830540000001</v>
      </c>
      <c r="AI45" s="2">
        <f>SUMIF(AA24:AA43,"=50837940",V24:V43)</f>
        <v>68.982838999999998</v>
      </c>
      <c r="AJ45" s="2">
        <f>ROUND(SUMIF(AA24:AA43,"=50837940",W24:W43),2)</f>
        <v>0</v>
      </c>
      <c r="AK45" s="2">
        <f>ROUND(SUMIF(AA24:AA43,"=50837940",X24:X43),2)</f>
        <v>136503.56</v>
      </c>
      <c r="AL45" s="2">
        <f>ROUND(SUMIF(AA24:AA43,"=50837940",Y24:Y43),2)</f>
        <v>77123.62</v>
      </c>
      <c r="AM45" s="2"/>
      <c r="AN45" s="2"/>
      <c r="AO45" s="2">
        <f t="shared" ref="AO45:BD45" si="39">ROUND(BX45,2)</f>
        <v>0</v>
      </c>
      <c r="AP45" s="2">
        <f t="shared" si="39"/>
        <v>0</v>
      </c>
      <c r="AQ45" s="2">
        <f t="shared" si="39"/>
        <v>0</v>
      </c>
      <c r="AR45" s="2">
        <f t="shared" si="39"/>
        <v>446992.58</v>
      </c>
      <c r="AS45" s="2">
        <f t="shared" si="39"/>
        <v>305135.95</v>
      </c>
      <c r="AT45" s="2">
        <f t="shared" si="39"/>
        <v>141856.63</v>
      </c>
      <c r="AU45" s="2">
        <f t="shared" si="39"/>
        <v>0</v>
      </c>
      <c r="AV45" s="2">
        <f t="shared" si="39"/>
        <v>637.15</v>
      </c>
      <c r="AW45" s="2">
        <f t="shared" si="39"/>
        <v>637.15</v>
      </c>
      <c r="AX45" s="2">
        <f t="shared" si="39"/>
        <v>0</v>
      </c>
      <c r="AY45" s="2">
        <f t="shared" si="39"/>
        <v>637.15</v>
      </c>
      <c r="AZ45" s="2">
        <f t="shared" si="39"/>
        <v>0</v>
      </c>
      <c r="BA45" s="2">
        <f t="shared" si="39"/>
        <v>0</v>
      </c>
      <c r="BB45" s="2">
        <f t="shared" si="39"/>
        <v>0</v>
      </c>
      <c r="BC45" s="2">
        <f t="shared" si="39"/>
        <v>0</v>
      </c>
      <c r="BD45" s="2">
        <f t="shared" si="39"/>
        <v>0</v>
      </c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>
        <f>ROUND(SUMIF(AA24:AA43,"=50837940",FQ24:FQ43),2)</f>
        <v>0</v>
      </c>
      <c r="BY45" s="2">
        <f>ROUND(SUMIF(AA24:AA43,"=50837940",FR24:FR43),2)</f>
        <v>0</v>
      </c>
      <c r="BZ45" s="2">
        <f>ROUND(SUMIF(AA24:AA43,"=50837940",GL24:GL43),2)</f>
        <v>0</v>
      </c>
      <c r="CA45" s="2">
        <f>ROUND(SUMIF(AA24:AA43,"=50837940",GM24:GM43),2)</f>
        <v>446992.58</v>
      </c>
      <c r="CB45" s="2">
        <f>ROUND(SUMIF(AA24:AA43,"=50837940",GN24:GN43),2)</f>
        <v>305135.95</v>
      </c>
      <c r="CC45" s="2">
        <f>ROUND(SUMIF(AA24:AA43,"=50837940",GO24:GO43),2)</f>
        <v>141856.63</v>
      </c>
      <c r="CD45" s="2">
        <f>ROUND(SUMIF(AA24:AA43,"=50837940",GP24:GP43),2)</f>
        <v>0</v>
      </c>
      <c r="CE45" s="2">
        <f>AC45-BX45</f>
        <v>637.15</v>
      </c>
      <c r="CF45" s="2">
        <f>AC45-BY45</f>
        <v>637.15</v>
      </c>
      <c r="CG45" s="2">
        <f>BX45-BZ45</f>
        <v>0</v>
      </c>
      <c r="CH45" s="2">
        <f>AC45-BX45-BY45+BZ45</f>
        <v>637.15</v>
      </c>
      <c r="CI45" s="2">
        <f>BY45-BZ45</f>
        <v>0</v>
      </c>
      <c r="CJ45" s="2">
        <f>ROUND(SUMIF(AA24:AA43,"=50837940",GX24:GX43),2)</f>
        <v>0</v>
      </c>
      <c r="CK45" s="2">
        <f>ROUND(SUMIF(AA24:AA43,"=50837940",GY24:GY43),2)</f>
        <v>0</v>
      </c>
      <c r="CL45" s="2">
        <f>ROUND(SUMIF(AA24:AA43,"=50837940",GZ24:GZ43),2)</f>
        <v>0</v>
      </c>
      <c r="CM45" s="2">
        <f>ROUND(SUMIF(AA24:AA43,"=50837940",HD24:HD43),2)</f>
        <v>0</v>
      </c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>
        <v>0</v>
      </c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201</v>
      </c>
      <c r="F47" s="4">
        <f>ROUND(Source!O45,O47)</f>
        <v>233365.4</v>
      </c>
      <c r="G47" s="4" t="s">
        <v>116</v>
      </c>
      <c r="H47" s="4" t="s">
        <v>117</v>
      </c>
      <c r="I47" s="4"/>
      <c r="J47" s="4"/>
      <c r="K47" s="4">
        <v>201</v>
      </c>
      <c r="L47" s="4">
        <v>1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233365.40000000002</v>
      </c>
      <c r="X47" s="4">
        <v>1</v>
      </c>
      <c r="Y47" s="4">
        <v>233365.40000000002</v>
      </c>
      <c r="Z47" s="4"/>
      <c r="AA47" s="4"/>
      <c r="AB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202</v>
      </c>
      <c r="F48" s="4">
        <f>ROUND(Source!P45,O48)</f>
        <v>637.15</v>
      </c>
      <c r="G48" s="4" t="s">
        <v>118</v>
      </c>
      <c r="H48" s="4" t="s">
        <v>119</v>
      </c>
      <c r="I48" s="4"/>
      <c r="J48" s="4"/>
      <c r="K48" s="4">
        <v>202</v>
      </c>
      <c r="L48" s="4">
        <v>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637.15</v>
      </c>
      <c r="X48" s="4">
        <v>1</v>
      </c>
      <c r="Y48" s="4">
        <v>637.15</v>
      </c>
      <c r="Z48" s="4"/>
      <c r="AA48" s="4"/>
      <c r="AB48" s="4"/>
    </row>
    <row r="49" spans="1:28">
      <c r="A49" s="4">
        <v>50</v>
      </c>
      <c r="B49" s="4">
        <v>0</v>
      </c>
      <c r="C49" s="4">
        <v>0</v>
      </c>
      <c r="D49" s="4">
        <v>1</v>
      </c>
      <c r="E49" s="4">
        <v>222</v>
      </c>
      <c r="F49" s="4">
        <f>ROUND(Source!AO45,O49)</f>
        <v>0</v>
      </c>
      <c r="G49" s="4" t="s">
        <v>120</v>
      </c>
      <c r="H49" s="4" t="s">
        <v>121</v>
      </c>
      <c r="I49" s="4"/>
      <c r="J49" s="4"/>
      <c r="K49" s="4">
        <v>222</v>
      </c>
      <c r="L49" s="4">
        <v>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0</v>
      </c>
      <c r="X49" s="4">
        <v>1</v>
      </c>
      <c r="Y49" s="4">
        <v>0</v>
      </c>
      <c r="Z49" s="4"/>
      <c r="AA49" s="4"/>
      <c r="AB49" s="4"/>
    </row>
    <row r="50" spans="1:28">
      <c r="A50" s="4">
        <v>50</v>
      </c>
      <c r="B50" s="4">
        <v>0</v>
      </c>
      <c r="C50" s="4">
        <v>0</v>
      </c>
      <c r="D50" s="4">
        <v>1</v>
      </c>
      <c r="E50" s="4">
        <v>225</v>
      </c>
      <c r="F50" s="4">
        <f>ROUND(Source!AV45,O50)</f>
        <v>637.15</v>
      </c>
      <c r="G50" s="4" t="s">
        <v>122</v>
      </c>
      <c r="H50" s="4" t="s">
        <v>123</v>
      </c>
      <c r="I50" s="4"/>
      <c r="J50" s="4"/>
      <c r="K50" s="4">
        <v>225</v>
      </c>
      <c r="L50" s="4">
        <v>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637.15</v>
      </c>
      <c r="X50" s="4">
        <v>1</v>
      </c>
      <c r="Y50" s="4">
        <v>637.15</v>
      </c>
      <c r="Z50" s="4"/>
      <c r="AA50" s="4"/>
      <c r="AB50" s="4"/>
    </row>
    <row r="51" spans="1:28">
      <c r="A51" s="4">
        <v>50</v>
      </c>
      <c r="B51" s="4">
        <v>0</v>
      </c>
      <c r="C51" s="4">
        <v>0</v>
      </c>
      <c r="D51" s="4">
        <v>1</v>
      </c>
      <c r="E51" s="4">
        <v>226</v>
      </c>
      <c r="F51" s="4">
        <f>ROUND(Source!AW45,O51)</f>
        <v>637.15</v>
      </c>
      <c r="G51" s="4" t="s">
        <v>124</v>
      </c>
      <c r="H51" s="4" t="s">
        <v>125</v>
      </c>
      <c r="I51" s="4"/>
      <c r="J51" s="4"/>
      <c r="K51" s="4">
        <v>226</v>
      </c>
      <c r="L51" s="4">
        <v>5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637.15</v>
      </c>
      <c r="X51" s="4">
        <v>1</v>
      </c>
      <c r="Y51" s="4">
        <v>637.15</v>
      </c>
      <c r="Z51" s="4"/>
      <c r="AA51" s="4"/>
      <c r="AB51" s="4"/>
    </row>
    <row r="52" spans="1:28">
      <c r="A52" s="4">
        <v>50</v>
      </c>
      <c r="B52" s="4">
        <v>0</v>
      </c>
      <c r="C52" s="4">
        <v>0</v>
      </c>
      <c r="D52" s="4">
        <v>1</v>
      </c>
      <c r="E52" s="4">
        <v>227</v>
      </c>
      <c r="F52" s="4">
        <f>ROUND(Source!AX45,O52)</f>
        <v>0</v>
      </c>
      <c r="G52" s="4" t="s">
        <v>126</v>
      </c>
      <c r="H52" s="4" t="s">
        <v>127</v>
      </c>
      <c r="I52" s="4"/>
      <c r="J52" s="4"/>
      <c r="K52" s="4">
        <v>227</v>
      </c>
      <c r="L52" s="4">
        <v>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28">
      <c r="A53" s="4">
        <v>50</v>
      </c>
      <c r="B53" s="4">
        <v>0</v>
      </c>
      <c r="C53" s="4">
        <v>0</v>
      </c>
      <c r="D53" s="4">
        <v>1</v>
      </c>
      <c r="E53" s="4">
        <v>228</v>
      </c>
      <c r="F53" s="4">
        <f>ROUND(Source!AY45,O53)</f>
        <v>637.15</v>
      </c>
      <c r="G53" s="4" t="s">
        <v>128</v>
      </c>
      <c r="H53" s="4" t="s">
        <v>129</v>
      </c>
      <c r="I53" s="4"/>
      <c r="J53" s="4"/>
      <c r="K53" s="4">
        <v>228</v>
      </c>
      <c r="L53" s="4">
        <v>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637.15</v>
      </c>
      <c r="X53" s="4">
        <v>1</v>
      </c>
      <c r="Y53" s="4">
        <v>637.15</v>
      </c>
      <c r="Z53" s="4"/>
      <c r="AA53" s="4"/>
      <c r="AB53" s="4"/>
    </row>
    <row r="54" spans="1:28">
      <c r="A54" s="4">
        <v>50</v>
      </c>
      <c r="B54" s="4">
        <v>0</v>
      </c>
      <c r="C54" s="4">
        <v>0</v>
      </c>
      <c r="D54" s="4">
        <v>1</v>
      </c>
      <c r="E54" s="4">
        <v>216</v>
      </c>
      <c r="F54" s="4">
        <f>ROUND(Source!AP45,O54)</f>
        <v>0</v>
      </c>
      <c r="G54" s="4" t="s">
        <v>130</v>
      </c>
      <c r="H54" s="4" t="s">
        <v>131</v>
      </c>
      <c r="I54" s="4"/>
      <c r="J54" s="4"/>
      <c r="K54" s="4">
        <v>216</v>
      </c>
      <c r="L54" s="4">
        <v>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</row>
    <row r="55" spans="1:28">
      <c r="A55" s="4">
        <v>50</v>
      </c>
      <c r="B55" s="4">
        <v>0</v>
      </c>
      <c r="C55" s="4">
        <v>0</v>
      </c>
      <c r="D55" s="4">
        <v>1</v>
      </c>
      <c r="E55" s="4">
        <v>223</v>
      </c>
      <c r="F55" s="4">
        <f>ROUND(Source!AQ45,O55)</f>
        <v>0</v>
      </c>
      <c r="G55" s="4" t="s">
        <v>132</v>
      </c>
      <c r="H55" s="4" t="s">
        <v>133</v>
      </c>
      <c r="I55" s="4"/>
      <c r="J55" s="4"/>
      <c r="K55" s="4">
        <v>223</v>
      </c>
      <c r="L55" s="4">
        <v>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28">
      <c r="A56" s="4">
        <v>50</v>
      </c>
      <c r="B56" s="4">
        <v>0</v>
      </c>
      <c r="C56" s="4">
        <v>0</v>
      </c>
      <c r="D56" s="4">
        <v>1</v>
      </c>
      <c r="E56" s="4">
        <v>229</v>
      </c>
      <c r="F56" s="4">
        <f>ROUND(Source!AZ45,O56)</f>
        <v>0</v>
      </c>
      <c r="G56" s="4" t="s">
        <v>134</v>
      </c>
      <c r="H56" s="4" t="s">
        <v>135</v>
      </c>
      <c r="I56" s="4"/>
      <c r="J56" s="4"/>
      <c r="K56" s="4">
        <v>229</v>
      </c>
      <c r="L56" s="4">
        <v>10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8">
      <c r="A57" s="4">
        <v>50</v>
      </c>
      <c r="B57" s="4">
        <v>0</v>
      </c>
      <c r="C57" s="4">
        <v>0</v>
      </c>
      <c r="D57" s="4">
        <v>1</v>
      </c>
      <c r="E57" s="4">
        <v>203</v>
      </c>
      <c r="F57" s="4">
        <f>ROUND(Source!Q45,O57)</f>
        <v>94306.2</v>
      </c>
      <c r="G57" s="4" t="s">
        <v>136</v>
      </c>
      <c r="H57" s="4" t="s">
        <v>137</v>
      </c>
      <c r="I57" s="4"/>
      <c r="J57" s="4"/>
      <c r="K57" s="4">
        <v>203</v>
      </c>
      <c r="L57" s="4">
        <v>11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>
        <v>94306.200000000012</v>
      </c>
      <c r="X57" s="4">
        <v>1</v>
      </c>
      <c r="Y57" s="4">
        <v>94306.200000000012</v>
      </c>
      <c r="Z57" s="4"/>
      <c r="AA57" s="4"/>
      <c r="AB57" s="4"/>
    </row>
    <row r="58" spans="1:28">
      <c r="A58" s="4">
        <v>50</v>
      </c>
      <c r="B58" s="4">
        <v>0</v>
      </c>
      <c r="C58" s="4">
        <v>0</v>
      </c>
      <c r="D58" s="4">
        <v>1</v>
      </c>
      <c r="E58" s="4">
        <v>231</v>
      </c>
      <c r="F58" s="4">
        <f>ROUND(Source!BB45,O58)</f>
        <v>0</v>
      </c>
      <c r="G58" s="4" t="s">
        <v>138</v>
      </c>
      <c r="H58" s="4" t="s">
        <v>139</v>
      </c>
      <c r="I58" s="4"/>
      <c r="J58" s="4"/>
      <c r="K58" s="4">
        <v>231</v>
      </c>
      <c r="L58" s="4">
        <v>12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</row>
    <row r="59" spans="1:28">
      <c r="A59" s="4">
        <v>50</v>
      </c>
      <c r="B59" s="4">
        <v>0</v>
      </c>
      <c r="C59" s="4">
        <v>0</v>
      </c>
      <c r="D59" s="4">
        <v>1</v>
      </c>
      <c r="E59" s="4">
        <v>204</v>
      </c>
      <c r="F59" s="4">
        <f>ROUND(Source!R45,O59)</f>
        <v>33117.519999999997</v>
      </c>
      <c r="G59" s="4" t="s">
        <v>140</v>
      </c>
      <c r="H59" s="4" t="s">
        <v>141</v>
      </c>
      <c r="I59" s="4"/>
      <c r="J59" s="4"/>
      <c r="K59" s="4">
        <v>204</v>
      </c>
      <c r="L59" s="4">
        <v>13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33117.519999999997</v>
      </c>
      <c r="X59" s="4">
        <v>1</v>
      </c>
      <c r="Y59" s="4">
        <v>33117.519999999997</v>
      </c>
      <c r="Z59" s="4"/>
      <c r="AA59" s="4"/>
      <c r="AB59" s="4"/>
    </row>
    <row r="60" spans="1:28">
      <c r="A60" s="4">
        <v>50</v>
      </c>
      <c r="B60" s="4">
        <v>0</v>
      </c>
      <c r="C60" s="4">
        <v>0</v>
      </c>
      <c r="D60" s="4">
        <v>1</v>
      </c>
      <c r="E60" s="4">
        <v>205</v>
      </c>
      <c r="F60" s="4">
        <f>ROUND(Source!S45,O60)</f>
        <v>105304.53</v>
      </c>
      <c r="G60" s="4" t="s">
        <v>142</v>
      </c>
      <c r="H60" s="4" t="s">
        <v>143</v>
      </c>
      <c r="I60" s="4"/>
      <c r="J60" s="4"/>
      <c r="K60" s="4">
        <v>205</v>
      </c>
      <c r="L60" s="4">
        <v>14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105304.53000000001</v>
      </c>
      <c r="X60" s="4">
        <v>1</v>
      </c>
      <c r="Y60" s="4">
        <v>105304.53000000001</v>
      </c>
      <c r="Z60" s="4"/>
      <c r="AA60" s="4"/>
      <c r="AB60" s="4"/>
    </row>
    <row r="61" spans="1:28">
      <c r="A61" s="4">
        <v>50</v>
      </c>
      <c r="B61" s="4">
        <v>0</v>
      </c>
      <c r="C61" s="4">
        <v>0</v>
      </c>
      <c r="D61" s="4">
        <v>1</v>
      </c>
      <c r="E61" s="4">
        <v>232</v>
      </c>
      <c r="F61" s="4">
        <f>ROUND(Source!BC45,O61)</f>
        <v>0</v>
      </c>
      <c r="G61" s="4" t="s">
        <v>144</v>
      </c>
      <c r="H61" s="4" t="s">
        <v>145</v>
      </c>
      <c r="I61" s="4"/>
      <c r="J61" s="4"/>
      <c r="K61" s="4">
        <v>232</v>
      </c>
      <c r="L61" s="4">
        <v>15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8">
      <c r="A62" s="4">
        <v>50</v>
      </c>
      <c r="B62" s="4">
        <v>0</v>
      </c>
      <c r="C62" s="4">
        <v>0</v>
      </c>
      <c r="D62" s="4">
        <v>1</v>
      </c>
      <c r="E62" s="4">
        <v>214</v>
      </c>
      <c r="F62" s="4">
        <f>ROUND(Source!AS45,O62)</f>
        <v>305135.95</v>
      </c>
      <c r="G62" s="4" t="s">
        <v>146</v>
      </c>
      <c r="H62" s="4" t="s">
        <v>147</v>
      </c>
      <c r="I62" s="4"/>
      <c r="J62" s="4"/>
      <c r="K62" s="4">
        <v>214</v>
      </c>
      <c r="L62" s="4">
        <v>16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305135.95</v>
      </c>
      <c r="X62" s="4">
        <v>1</v>
      </c>
      <c r="Y62" s="4">
        <v>305135.95</v>
      </c>
      <c r="Z62" s="4"/>
      <c r="AA62" s="4"/>
      <c r="AB62" s="4"/>
    </row>
    <row r="63" spans="1:28">
      <c r="A63" s="4">
        <v>50</v>
      </c>
      <c r="B63" s="4">
        <v>0</v>
      </c>
      <c r="C63" s="4">
        <v>0</v>
      </c>
      <c r="D63" s="4">
        <v>1</v>
      </c>
      <c r="E63" s="4">
        <v>215</v>
      </c>
      <c r="F63" s="4">
        <f>ROUND(Source!AT45,O63)</f>
        <v>141856.63</v>
      </c>
      <c r="G63" s="4" t="s">
        <v>148</v>
      </c>
      <c r="H63" s="4" t="s">
        <v>149</v>
      </c>
      <c r="I63" s="4"/>
      <c r="J63" s="4"/>
      <c r="K63" s="4">
        <v>215</v>
      </c>
      <c r="L63" s="4">
        <v>17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141856.63</v>
      </c>
      <c r="X63" s="4">
        <v>1</v>
      </c>
      <c r="Y63" s="4">
        <v>141856.63</v>
      </c>
      <c r="Z63" s="4"/>
      <c r="AA63" s="4"/>
      <c r="AB63" s="4"/>
    </row>
    <row r="64" spans="1:28">
      <c r="A64" s="4">
        <v>50</v>
      </c>
      <c r="B64" s="4">
        <v>0</v>
      </c>
      <c r="C64" s="4">
        <v>0</v>
      </c>
      <c r="D64" s="4">
        <v>1</v>
      </c>
      <c r="E64" s="4">
        <v>217</v>
      </c>
      <c r="F64" s="4">
        <f>ROUND(Source!AU45,O64)</f>
        <v>0</v>
      </c>
      <c r="G64" s="4" t="s">
        <v>150</v>
      </c>
      <c r="H64" s="4" t="s">
        <v>151</v>
      </c>
      <c r="I64" s="4"/>
      <c r="J64" s="4"/>
      <c r="K64" s="4">
        <v>217</v>
      </c>
      <c r="L64" s="4">
        <v>18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230</v>
      </c>
      <c r="F65" s="4">
        <f>ROUND(Source!BA45,O65)</f>
        <v>0</v>
      </c>
      <c r="G65" s="4" t="s">
        <v>152</v>
      </c>
      <c r="H65" s="4" t="s">
        <v>153</v>
      </c>
      <c r="I65" s="4"/>
      <c r="J65" s="4"/>
      <c r="K65" s="4">
        <v>230</v>
      </c>
      <c r="L65" s="4">
        <v>19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206</v>
      </c>
      <c r="F66" s="4">
        <f>ROUND(Source!T45,O66)</f>
        <v>0</v>
      </c>
      <c r="G66" s="4" t="s">
        <v>154</v>
      </c>
      <c r="H66" s="4" t="s">
        <v>155</v>
      </c>
      <c r="I66" s="4"/>
      <c r="J66" s="4"/>
      <c r="K66" s="4">
        <v>206</v>
      </c>
      <c r="L66" s="4">
        <v>20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207</v>
      </c>
      <c r="F67" s="4">
        <f>ROUND(Source!U45,O67)</f>
        <v>282.28830540000001</v>
      </c>
      <c r="G67" s="4" t="s">
        <v>156</v>
      </c>
      <c r="H67" s="4" t="s">
        <v>157</v>
      </c>
      <c r="I67" s="4"/>
      <c r="J67" s="4"/>
      <c r="K67" s="4">
        <v>207</v>
      </c>
      <c r="L67" s="4">
        <v>21</v>
      </c>
      <c r="M67" s="4">
        <v>3</v>
      </c>
      <c r="N67" s="4" t="s">
        <v>3</v>
      </c>
      <c r="O67" s="4">
        <v>7</v>
      </c>
      <c r="P67" s="4"/>
      <c r="Q67" s="4"/>
      <c r="R67" s="4"/>
      <c r="S67" s="4"/>
      <c r="T67" s="4"/>
      <c r="U67" s="4"/>
      <c r="V67" s="4"/>
      <c r="W67" s="4">
        <v>282.28830540000001</v>
      </c>
      <c r="X67" s="4">
        <v>1</v>
      </c>
      <c r="Y67" s="4">
        <v>282.28830540000001</v>
      </c>
      <c r="Z67" s="4"/>
      <c r="AA67" s="4"/>
      <c r="AB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208</v>
      </c>
      <c r="F68" s="4">
        <f>ROUND(Source!V45,O68)</f>
        <v>68.982838999999998</v>
      </c>
      <c r="G68" s="4" t="s">
        <v>158</v>
      </c>
      <c r="H68" s="4" t="s">
        <v>159</v>
      </c>
      <c r="I68" s="4"/>
      <c r="J68" s="4"/>
      <c r="K68" s="4">
        <v>208</v>
      </c>
      <c r="L68" s="4">
        <v>22</v>
      </c>
      <c r="M68" s="4">
        <v>3</v>
      </c>
      <c r="N68" s="4" t="s">
        <v>3</v>
      </c>
      <c r="O68" s="4">
        <v>7</v>
      </c>
      <c r="P68" s="4"/>
      <c r="Q68" s="4"/>
      <c r="R68" s="4"/>
      <c r="S68" s="4"/>
      <c r="T68" s="4"/>
      <c r="U68" s="4"/>
      <c r="V68" s="4"/>
      <c r="W68" s="4">
        <v>68.982838999999998</v>
      </c>
      <c r="X68" s="4">
        <v>1</v>
      </c>
      <c r="Y68" s="4">
        <v>68.982838999999998</v>
      </c>
      <c r="Z68" s="4"/>
      <c r="AA68" s="4"/>
      <c r="AB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209</v>
      </c>
      <c r="F69" s="4">
        <f>ROUND(Source!W45,O69)</f>
        <v>0</v>
      </c>
      <c r="G69" s="4" t="s">
        <v>160</v>
      </c>
      <c r="H69" s="4" t="s">
        <v>161</v>
      </c>
      <c r="I69" s="4"/>
      <c r="J69" s="4"/>
      <c r="K69" s="4">
        <v>209</v>
      </c>
      <c r="L69" s="4">
        <v>23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233</v>
      </c>
      <c r="F70" s="4">
        <f>ROUND(Source!BD45,O70)</f>
        <v>0</v>
      </c>
      <c r="G70" s="4" t="s">
        <v>162</v>
      </c>
      <c r="H70" s="4" t="s">
        <v>163</v>
      </c>
      <c r="I70" s="4"/>
      <c r="J70" s="4"/>
      <c r="K70" s="4">
        <v>233</v>
      </c>
      <c r="L70" s="4">
        <v>24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210</v>
      </c>
      <c r="F71" s="4">
        <f>ROUND(Source!X45,O71)</f>
        <v>136503.56</v>
      </c>
      <c r="G71" s="4" t="s">
        <v>164</v>
      </c>
      <c r="H71" s="4" t="s">
        <v>165</v>
      </c>
      <c r="I71" s="4"/>
      <c r="J71" s="4"/>
      <c r="K71" s="4">
        <v>210</v>
      </c>
      <c r="L71" s="4">
        <v>25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136503.56</v>
      </c>
      <c r="X71" s="4">
        <v>1</v>
      </c>
      <c r="Y71" s="4">
        <v>136503.56</v>
      </c>
      <c r="Z71" s="4"/>
      <c r="AA71" s="4"/>
      <c r="AB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211</v>
      </c>
      <c r="F72" s="4">
        <f>ROUND(Source!Y45,O72)</f>
        <v>77123.62</v>
      </c>
      <c r="G72" s="4" t="s">
        <v>166</v>
      </c>
      <c r="H72" s="4" t="s">
        <v>167</v>
      </c>
      <c r="I72" s="4"/>
      <c r="J72" s="4"/>
      <c r="K72" s="4">
        <v>211</v>
      </c>
      <c r="L72" s="4">
        <v>26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>
        <v>77123.62</v>
      </c>
      <c r="X72" s="4">
        <v>1</v>
      </c>
      <c r="Y72" s="4">
        <v>77123.62</v>
      </c>
      <c r="Z72" s="4"/>
      <c r="AA72" s="4"/>
      <c r="AB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224</v>
      </c>
      <c r="F73" s="4">
        <f>ROUND(Source!AR45,O73)</f>
        <v>446992.58</v>
      </c>
      <c r="G73" s="4" t="s">
        <v>168</v>
      </c>
      <c r="H73" s="4" t="s">
        <v>169</v>
      </c>
      <c r="I73" s="4"/>
      <c r="J73" s="4"/>
      <c r="K73" s="4">
        <v>224</v>
      </c>
      <c r="L73" s="4">
        <v>27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446992.58</v>
      </c>
      <c r="X73" s="4">
        <v>1</v>
      </c>
      <c r="Y73" s="4">
        <v>446992.58</v>
      </c>
      <c r="Z73" s="4"/>
      <c r="AA73" s="4"/>
      <c r="AB73" s="4"/>
    </row>
    <row r="74" spans="1:206">
      <c r="A74" s="4">
        <v>50</v>
      </c>
      <c r="B74" s="4">
        <v>1</v>
      </c>
      <c r="C74" s="4">
        <v>0</v>
      </c>
      <c r="D74" s="4">
        <v>2</v>
      </c>
      <c r="E74" s="4">
        <v>0</v>
      </c>
      <c r="F74" s="4">
        <f>ROUND(F73,O74)</f>
        <v>446992.58</v>
      </c>
      <c r="G74" s="4" t="s">
        <v>170</v>
      </c>
      <c r="H74" s="4" t="s">
        <v>171</v>
      </c>
      <c r="I74" s="4"/>
      <c r="J74" s="4"/>
      <c r="K74" s="4">
        <v>212</v>
      </c>
      <c r="L74" s="4">
        <v>28</v>
      </c>
      <c r="M74" s="4">
        <v>0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>
        <v>446992.58</v>
      </c>
      <c r="X74" s="4">
        <v>1</v>
      </c>
      <c r="Y74" s="4">
        <v>446992.58</v>
      </c>
      <c r="Z74" s="4"/>
      <c r="AA74" s="4"/>
      <c r="AB74" s="4"/>
    </row>
    <row r="75" spans="1:206">
      <c r="A75" s="4">
        <v>50</v>
      </c>
      <c r="B75" s="4">
        <v>1</v>
      </c>
      <c r="C75" s="4">
        <v>0</v>
      </c>
      <c r="D75" s="4">
        <v>2</v>
      </c>
      <c r="E75" s="4">
        <v>0</v>
      </c>
      <c r="F75" s="4">
        <f>ROUND(F73*0.22,O75)</f>
        <v>98338.37</v>
      </c>
      <c r="G75" s="4" t="s">
        <v>172</v>
      </c>
      <c r="H75" s="4" t="s">
        <v>173</v>
      </c>
      <c r="I75" s="4"/>
      <c r="J75" s="4"/>
      <c r="K75" s="4">
        <v>212</v>
      </c>
      <c r="L75" s="4">
        <v>29</v>
      </c>
      <c r="M75" s="4">
        <v>0</v>
      </c>
      <c r="N75" s="4" t="s">
        <v>174</v>
      </c>
      <c r="O75" s="4">
        <v>2</v>
      </c>
      <c r="P75" s="4"/>
      <c r="Q75" s="4"/>
      <c r="R75" s="4"/>
      <c r="S75" s="4"/>
      <c r="T75" s="4"/>
      <c r="U75" s="4"/>
      <c r="V75" s="4"/>
      <c r="W75" s="4">
        <v>98338.37</v>
      </c>
      <c r="X75" s="4">
        <v>1</v>
      </c>
      <c r="Y75" s="4">
        <v>98338.37</v>
      </c>
      <c r="Z75" s="4"/>
      <c r="AA75" s="4"/>
      <c r="AB75" s="4"/>
    </row>
    <row r="76" spans="1:206">
      <c r="A76" s="4">
        <v>50</v>
      </c>
      <c r="B76" s="4">
        <v>1</v>
      </c>
      <c r="C76" s="4">
        <v>0</v>
      </c>
      <c r="D76" s="4">
        <v>2</v>
      </c>
      <c r="E76" s="4">
        <v>213</v>
      </c>
      <c r="F76" s="4">
        <f>ROUND(F73+F75,O76)</f>
        <v>545330.94999999995</v>
      </c>
      <c r="G76" s="4" t="s">
        <v>175</v>
      </c>
      <c r="H76" s="4" t="s">
        <v>176</v>
      </c>
      <c r="I76" s="4"/>
      <c r="J76" s="4"/>
      <c r="K76" s="4">
        <v>212</v>
      </c>
      <c r="L76" s="4">
        <v>30</v>
      </c>
      <c r="M76" s="4">
        <v>0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545330.94999999995</v>
      </c>
      <c r="X76" s="4">
        <v>1</v>
      </c>
      <c r="Y76" s="4">
        <v>545330.94999999995</v>
      </c>
      <c r="Z76" s="4"/>
      <c r="AA76" s="4"/>
      <c r="AB76" s="4"/>
    </row>
    <row r="78" spans="1:206">
      <c r="A78" s="2">
        <v>51</v>
      </c>
      <c r="B78" s="2">
        <f>B12</f>
        <v>138</v>
      </c>
      <c r="C78" s="2">
        <f>A12</f>
        <v>1</v>
      </c>
      <c r="D78" s="2">
        <f>ROW(A12)</f>
        <v>12</v>
      </c>
      <c r="E78" s="2"/>
      <c r="F78" s="2" t="str">
        <f>IF(F12&lt;&gt;"",F12,"")</f>
        <v>Новый объект</v>
      </c>
      <c r="G78" s="2" t="str">
        <f>IF(G12&lt;&gt;"",G12,"")</f>
        <v>Строительство хмелевой плантации</v>
      </c>
      <c r="H78" s="2">
        <v>0</v>
      </c>
      <c r="I78" s="2"/>
      <c r="J78" s="2"/>
      <c r="K78" s="2"/>
      <c r="L78" s="2"/>
      <c r="M78" s="2"/>
      <c r="N78" s="2"/>
      <c r="O78" s="2">
        <f t="shared" ref="O78:T78" si="40">ROUND(O45,2)</f>
        <v>233365.4</v>
      </c>
      <c r="P78" s="2">
        <f t="shared" si="40"/>
        <v>637.15</v>
      </c>
      <c r="Q78" s="2">
        <f t="shared" si="40"/>
        <v>94306.2</v>
      </c>
      <c r="R78" s="2">
        <f t="shared" si="40"/>
        <v>33117.519999999997</v>
      </c>
      <c r="S78" s="2">
        <f t="shared" si="40"/>
        <v>105304.53</v>
      </c>
      <c r="T78" s="2">
        <f t="shared" si="40"/>
        <v>0</v>
      </c>
      <c r="U78" s="2">
        <f>U45</f>
        <v>282.28830540000001</v>
      </c>
      <c r="V78" s="2">
        <f>V45</f>
        <v>68.982838999999998</v>
      </c>
      <c r="W78" s="2">
        <f>ROUND(W45,2)</f>
        <v>0</v>
      </c>
      <c r="X78" s="2">
        <f>ROUND(X45,2)</f>
        <v>136503.56</v>
      </c>
      <c r="Y78" s="2">
        <f>ROUND(Y45,2)</f>
        <v>77123.62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>
        <f t="shared" ref="AO78:BD78" si="41">ROUND(AO45,2)</f>
        <v>0</v>
      </c>
      <c r="AP78" s="2">
        <f t="shared" si="41"/>
        <v>0</v>
      </c>
      <c r="AQ78" s="2">
        <f t="shared" si="41"/>
        <v>0</v>
      </c>
      <c r="AR78" s="2">
        <f t="shared" si="41"/>
        <v>446992.58</v>
      </c>
      <c r="AS78" s="2">
        <f t="shared" si="41"/>
        <v>305135.95</v>
      </c>
      <c r="AT78" s="2">
        <f t="shared" si="41"/>
        <v>141856.63</v>
      </c>
      <c r="AU78" s="2">
        <f t="shared" si="41"/>
        <v>0</v>
      </c>
      <c r="AV78" s="2">
        <f t="shared" si="41"/>
        <v>637.15</v>
      </c>
      <c r="AW78" s="2">
        <f t="shared" si="41"/>
        <v>637.15</v>
      </c>
      <c r="AX78" s="2">
        <f t="shared" si="41"/>
        <v>0</v>
      </c>
      <c r="AY78" s="2">
        <f t="shared" si="41"/>
        <v>637.15</v>
      </c>
      <c r="AZ78" s="2">
        <f t="shared" si="41"/>
        <v>0</v>
      </c>
      <c r="BA78" s="2">
        <f t="shared" si="41"/>
        <v>0</v>
      </c>
      <c r="BB78" s="2">
        <f t="shared" si="41"/>
        <v>0</v>
      </c>
      <c r="BC78" s="2">
        <f t="shared" si="41"/>
        <v>0</v>
      </c>
      <c r="BD78" s="2">
        <f t="shared" si="41"/>
        <v>0</v>
      </c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>
        <v>0</v>
      </c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201</v>
      </c>
      <c r="F80" s="4">
        <f>ROUND(Source!O78,O80)</f>
        <v>233365.4</v>
      </c>
      <c r="G80" s="4" t="s">
        <v>116</v>
      </c>
      <c r="H80" s="4" t="s">
        <v>117</v>
      </c>
      <c r="I80" s="4"/>
      <c r="J80" s="4"/>
      <c r="K80" s="4">
        <v>201</v>
      </c>
      <c r="L80" s="4">
        <v>1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233365.40000000002</v>
      </c>
      <c r="X80" s="4">
        <v>1</v>
      </c>
      <c r="Y80" s="4">
        <v>233365.40000000002</v>
      </c>
      <c r="Z80" s="4"/>
      <c r="AA80" s="4"/>
      <c r="AB80" s="4"/>
    </row>
    <row r="81" spans="1:28">
      <c r="A81" s="4">
        <v>50</v>
      </c>
      <c r="B81" s="4">
        <v>0</v>
      </c>
      <c r="C81" s="4">
        <v>0</v>
      </c>
      <c r="D81" s="4">
        <v>1</v>
      </c>
      <c r="E81" s="4">
        <v>202</v>
      </c>
      <c r="F81" s="4">
        <f>ROUND(Source!P78,O81)</f>
        <v>637.15</v>
      </c>
      <c r="G81" s="4" t="s">
        <v>118</v>
      </c>
      <c r="H81" s="4" t="s">
        <v>119</v>
      </c>
      <c r="I81" s="4"/>
      <c r="J81" s="4"/>
      <c r="K81" s="4">
        <v>202</v>
      </c>
      <c r="L81" s="4">
        <v>2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637.15</v>
      </c>
      <c r="X81" s="4">
        <v>1</v>
      </c>
      <c r="Y81" s="4">
        <v>637.15</v>
      </c>
      <c r="Z81" s="4"/>
      <c r="AA81" s="4"/>
      <c r="AB81" s="4"/>
    </row>
    <row r="82" spans="1:28">
      <c r="A82" s="4">
        <v>50</v>
      </c>
      <c r="B82" s="4">
        <v>0</v>
      </c>
      <c r="C82" s="4">
        <v>0</v>
      </c>
      <c r="D82" s="4">
        <v>1</v>
      </c>
      <c r="E82" s="4">
        <v>222</v>
      </c>
      <c r="F82" s="4">
        <f>ROUND(Source!AO78,O82)</f>
        <v>0</v>
      </c>
      <c r="G82" s="4" t="s">
        <v>120</v>
      </c>
      <c r="H82" s="4" t="s">
        <v>121</v>
      </c>
      <c r="I82" s="4"/>
      <c r="J82" s="4"/>
      <c r="K82" s="4">
        <v>222</v>
      </c>
      <c r="L82" s="4">
        <v>3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>
      <c r="A83" s="4">
        <v>50</v>
      </c>
      <c r="B83" s="4">
        <v>0</v>
      </c>
      <c r="C83" s="4">
        <v>0</v>
      </c>
      <c r="D83" s="4">
        <v>1</v>
      </c>
      <c r="E83" s="4">
        <v>225</v>
      </c>
      <c r="F83" s="4">
        <f>ROUND(Source!AV78,O83)</f>
        <v>637.15</v>
      </c>
      <c r="G83" s="4" t="s">
        <v>122</v>
      </c>
      <c r="H83" s="4" t="s">
        <v>123</v>
      </c>
      <c r="I83" s="4"/>
      <c r="J83" s="4"/>
      <c r="K83" s="4">
        <v>225</v>
      </c>
      <c r="L83" s="4">
        <v>4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637.15</v>
      </c>
      <c r="X83" s="4">
        <v>1</v>
      </c>
      <c r="Y83" s="4">
        <v>637.15</v>
      </c>
      <c r="Z83" s="4"/>
      <c r="AA83" s="4"/>
      <c r="AB83" s="4"/>
    </row>
    <row r="84" spans="1:28">
      <c r="A84" s="4">
        <v>50</v>
      </c>
      <c r="B84" s="4">
        <v>0</v>
      </c>
      <c r="C84" s="4">
        <v>0</v>
      </c>
      <c r="D84" s="4">
        <v>1</v>
      </c>
      <c r="E84" s="4">
        <v>226</v>
      </c>
      <c r="F84" s="4">
        <f>ROUND(Source!AW78,O84)</f>
        <v>637.15</v>
      </c>
      <c r="G84" s="4" t="s">
        <v>124</v>
      </c>
      <c r="H84" s="4" t="s">
        <v>125</v>
      </c>
      <c r="I84" s="4"/>
      <c r="J84" s="4"/>
      <c r="K84" s="4">
        <v>226</v>
      </c>
      <c r="L84" s="4">
        <v>5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637.15</v>
      </c>
      <c r="X84" s="4">
        <v>1</v>
      </c>
      <c r="Y84" s="4">
        <v>637.15</v>
      </c>
      <c r="Z84" s="4"/>
      <c r="AA84" s="4"/>
      <c r="AB84" s="4"/>
    </row>
    <row r="85" spans="1:28">
      <c r="A85" s="4">
        <v>50</v>
      </c>
      <c r="B85" s="4">
        <v>0</v>
      </c>
      <c r="C85" s="4">
        <v>0</v>
      </c>
      <c r="D85" s="4">
        <v>1</v>
      </c>
      <c r="E85" s="4">
        <v>227</v>
      </c>
      <c r="F85" s="4">
        <f>ROUND(Source!AX78,O85)</f>
        <v>0</v>
      </c>
      <c r="G85" s="4" t="s">
        <v>126</v>
      </c>
      <c r="H85" s="4" t="s">
        <v>127</v>
      </c>
      <c r="I85" s="4"/>
      <c r="J85" s="4"/>
      <c r="K85" s="4">
        <v>227</v>
      </c>
      <c r="L85" s="4">
        <v>6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8">
      <c r="A86" s="4">
        <v>50</v>
      </c>
      <c r="B86" s="4">
        <v>0</v>
      </c>
      <c r="C86" s="4">
        <v>0</v>
      </c>
      <c r="D86" s="4">
        <v>1</v>
      </c>
      <c r="E86" s="4">
        <v>228</v>
      </c>
      <c r="F86" s="4">
        <f>ROUND(Source!AY78,O86)</f>
        <v>637.15</v>
      </c>
      <c r="G86" s="4" t="s">
        <v>128</v>
      </c>
      <c r="H86" s="4" t="s">
        <v>129</v>
      </c>
      <c r="I86" s="4"/>
      <c r="J86" s="4"/>
      <c r="K86" s="4">
        <v>228</v>
      </c>
      <c r="L86" s="4">
        <v>7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637.15</v>
      </c>
      <c r="X86" s="4">
        <v>1</v>
      </c>
      <c r="Y86" s="4">
        <v>637.15</v>
      </c>
      <c r="Z86" s="4"/>
      <c r="AA86" s="4"/>
      <c r="AB86" s="4"/>
    </row>
    <row r="87" spans="1:28">
      <c r="A87" s="4">
        <v>50</v>
      </c>
      <c r="B87" s="4">
        <v>0</v>
      </c>
      <c r="C87" s="4">
        <v>0</v>
      </c>
      <c r="D87" s="4">
        <v>1</v>
      </c>
      <c r="E87" s="4">
        <v>216</v>
      </c>
      <c r="F87" s="4">
        <f>ROUND(Source!AP78,O87)</f>
        <v>0</v>
      </c>
      <c r="G87" s="4" t="s">
        <v>130</v>
      </c>
      <c r="H87" s="4" t="s">
        <v>131</v>
      </c>
      <c r="I87" s="4"/>
      <c r="J87" s="4"/>
      <c r="K87" s="4">
        <v>216</v>
      </c>
      <c r="L87" s="4">
        <v>8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0</v>
      </c>
      <c r="X87" s="4">
        <v>1</v>
      </c>
      <c r="Y87" s="4">
        <v>0</v>
      </c>
      <c r="Z87" s="4"/>
      <c r="AA87" s="4"/>
      <c r="AB87" s="4"/>
    </row>
    <row r="88" spans="1:28">
      <c r="A88" s="4">
        <v>50</v>
      </c>
      <c r="B88" s="4">
        <v>0</v>
      </c>
      <c r="C88" s="4">
        <v>0</v>
      </c>
      <c r="D88" s="4">
        <v>1</v>
      </c>
      <c r="E88" s="4">
        <v>223</v>
      </c>
      <c r="F88" s="4">
        <f>ROUND(Source!AQ78,O88)</f>
        <v>0</v>
      </c>
      <c r="G88" s="4" t="s">
        <v>132</v>
      </c>
      <c r="H88" s="4" t="s">
        <v>133</v>
      </c>
      <c r="I88" s="4"/>
      <c r="J88" s="4"/>
      <c r="K88" s="4">
        <v>223</v>
      </c>
      <c r="L88" s="4">
        <v>9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</row>
    <row r="89" spans="1:28">
      <c r="A89" s="4">
        <v>50</v>
      </c>
      <c r="B89" s="4">
        <v>0</v>
      </c>
      <c r="C89" s="4">
        <v>0</v>
      </c>
      <c r="D89" s="4">
        <v>1</v>
      </c>
      <c r="E89" s="4">
        <v>229</v>
      </c>
      <c r="F89" s="4">
        <f>ROUND(Source!AZ78,O89)</f>
        <v>0</v>
      </c>
      <c r="G89" s="4" t="s">
        <v>134</v>
      </c>
      <c r="H89" s="4" t="s">
        <v>135</v>
      </c>
      <c r="I89" s="4"/>
      <c r="J89" s="4"/>
      <c r="K89" s="4">
        <v>229</v>
      </c>
      <c r="L89" s="4">
        <v>10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0</v>
      </c>
      <c r="X89" s="4">
        <v>1</v>
      </c>
      <c r="Y89" s="4">
        <v>0</v>
      </c>
      <c r="Z89" s="4"/>
      <c r="AA89" s="4"/>
      <c r="AB89" s="4"/>
    </row>
    <row r="90" spans="1:28">
      <c r="A90" s="4">
        <v>50</v>
      </c>
      <c r="B90" s="4">
        <v>0</v>
      </c>
      <c r="C90" s="4">
        <v>0</v>
      </c>
      <c r="D90" s="4">
        <v>1</v>
      </c>
      <c r="E90" s="4">
        <v>203</v>
      </c>
      <c r="F90" s="4">
        <f>ROUND(Source!Q78,O90)</f>
        <v>94306.2</v>
      </c>
      <c r="G90" s="4" t="s">
        <v>136</v>
      </c>
      <c r="H90" s="4" t="s">
        <v>137</v>
      </c>
      <c r="I90" s="4"/>
      <c r="J90" s="4"/>
      <c r="K90" s="4">
        <v>203</v>
      </c>
      <c r="L90" s="4">
        <v>11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94306.200000000012</v>
      </c>
      <c r="X90" s="4">
        <v>1</v>
      </c>
      <c r="Y90" s="4">
        <v>94306.200000000012</v>
      </c>
      <c r="Z90" s="4"/>
      <c r="AA90" s="4"/>
      <c r="AB90" s="4"/>
    </row>
    <row r="91" spans="1:28">
      <c r="A91" s="4">
        <v>50</v>
      </c>
      <c r="B91" s="4">
        <v>0</v>
      </c>
      <c r="C91" s="4">
        <v>0</v>
      </c>
      <c r="D91" s="4">
        <v>1</v>
      </c>
      <c r="E91" s="4">
        <v>231</v>
      </c>
      <c r="F91" s="4">
        <f>ROUND(Source!BB78,O91)</f>
        <v>0</v>
      </c>
      <c r="G91" s="4" t="s">
        <v>138</v>
      </c>
      <c r="H91" s="4" t="s">
        <v>139</v>
      </c>
      <c r="I91" s="4"/>
      <c r="J91" s="4"/>
      <c r="K91" s="4">
        <v>231</v>
      </c>
      <c r="L91" s="4">
        <v>12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</row>
    <row r="92" spans="1:28">
      <c r="A92" s="4">
        <v>50</v>
      </c>
      <c r="B92" s="4">
        <v>0</v>
      </c>
      <c r="C92" s="4">
        <v>0</v>
      </c>
      <c r="D92" s="4">
        <v>1</v>
      </c>
      <c r="E92" s="4">
        <v>204</v>
      </c>
      <c r="F92" s="4">
        <f>ROUND(Source!R78,O92)</f>
        <v>33117.519999999997</v>
      </c>
      <c r="G92" s="4" t="s">
        <v>140</v>
      </c>
      <c r="H92" s="4" t="s">
        <v>141</v>
      </c>
      <c r="I92" s="4"/>
      <c r="J92" s="4"/>
      <c r="K92" s="4">
        <v>204</v>
      </c>
      <c r="L92" s="4">
        <v>13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33117.519999999997</v>
      </c>
      <c r="X92" s="4">
        <v>1</v>
      </c>
      <c r="Y92" s="4">
        <v>33117.519999999997</v>
      </c>
      <c r="Z92" s="4"/>
      <c r="AA92" s="4"/>
      <c r="AB92" s="4"/>
    </row>
    <row r="93" spans="1:28">
      <c r="A93" s="4">
        <v>50</v>
      </c>
      <c r="B93" s="4">
        <v>0</v>
      </c>
      <c r="C93" s="4">
        <v>0</v>
      </c>
      <c r="D93" s="4">
        <v>1</v>
      </c>
      <c r="E93" s="4">
        <v>205</v>
      </c>
      <c r="F93" s="4">
        <f>ROUND(Source!S78,O93)</f>
        <v>105304.53</v>
      </c>
      <c r="G93" s="4" t="s">
        <v>142</v>
      </c>
      <c r="H93" s="4" t="s">
        <v>143</v>
      </c>
      <c r="I93" s="4"/>
      <c r="J93" s="4"/>
      <c r="K93" s="4">
        <v>205</v>
      </c>
      <c r="L93" s="4">
        <v>14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105304.53000000001</v>
      </c>
      <c r="X93" s="4">
        <v>1</v>
      </c>
      <c r="Y93" s="4">
        <v>105304.53000000001</v>
      </c>
      <c r="Z93" s="4"/>
      <c r="AA93" s="4"/>
      <c r="AB93" s="4"/>
    </row>
    <row r="94" spans="1:28">
      <c r="A94" s="4">
        <v>50</v>
      </c>
      <c r="B94" s="4">
        <v>0</v>
      </c>
      <c r="C94" s="4">
        <v>0</v>
      </c>
      <c r="D94" s="4">
        <v>1</v>
      </c>
      <c r="E94" s="4">
        <v>232</v>
      </c>
      <c r="F94" s="4">
        <f>ROUND(Source!BC78,O94)</f>
        <v>0</v>
      </c>
      <c r="G94" s="4" t="s">
        <v>144</v>
      </c>
      <c r="H94" s="4" t="s">
        <v>145</v>
      </c>
      <c r="I94" s="4"/>
      <c r="J94" s="4"/>
      <c r="K94" s="4">
        <v>232</v>
      </c>
      <c r="L94" s="4">
        <v>15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</row>
    <row r="95" spans="1:28">
      <c r="A95" s="4">
        <v>50</v>
      </c>
      <c r="B95" s="4">
        <v>0</v>
      </c>
      <c r="C95" s="4">
        <v>0</v>
      </c>
      <c r="D95" s="4">
        <v>1</v>
      </c>
      <c r="E95" s="4">
        <v>214</v>
      </c>
      <c r="F95" s="4">
        <f>ROUND(Source!AS78,O95)</f>
        <v>305135.95</v>
      </c>
      <c r="G95" s="4" t="s">
        <v>146</v>
      </c>
      <c r="H95" s="4" t="s">
        <v>147</v>
      </c>
      <c r="I95" s="4"/>
      <c r="J95" s="4"/>
      <c r="K95" s="4">
        <v>214</v>
      </c>
      <c r="L95" s="4">
        <v>16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305135.95</v>
      </c>
      <c r="X95" s="4">
        <v>1</v>
      </c>
      <c r="Y95" s="4">
        <v>305135.95</v>
      </c>
      <c r="Z95" s="4"/>
      <c r="AA95" s="4"/>
      <c r="AB95" s="4"/>
    </row>
    <row r="96" spans="1:28">
      <c r="A96" s="4">
        <v>50</v>
      </c>
      <c r="B96" s="4">
        <v>0</v>
      </c>
      <c r="C96" s="4">
        <v>0</v>
      </c>
      <c r="D96" s="4">
        <v>1</v>
      </c>
      <c r="E96" s="4">
        <v>215</v>
      </c>
      <c r="F96" s="4">
        <f>ROUND(Source!AT78,O96)</f>
        <v>141856.63</v>
      </c>
      <c r="G96" s="4" t="s">
        <v>148</v>
      </c>
      <c r="H96" s="4" t="s">
        <v>149</v>
      </c>
      <c r="I96" s="4"/>
      <c r="J96" s="4"/>
      <c r="K96" s="4">
        <v>215</v>
      </c>
      <c r="L96" s="4">
        <v>17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141856.63</v>
      </c>
      <c r="X96" s="4">
        <v>1</v>
      </c>
      <c r="Y96" s="4">
        <v>141856.63</v>
      </c>
      <c r="Z96" s="4"/>
      <c r="AA96" s="4"/>
      <c r="AB96" s="4"/>
    </row>
    <row r="97" spans="1:28">
      <c r="A97" s="4">
        <v>50</v>
      </c>
      <c r="B97" s="4">
        <v>0</v>
      </c>
      <c r="C97" s="4">
        <v>0</v>
      </c>
      <c r="D97" s="4">
        <v>1</v>
      </c>
      <c r="E97" s="4">
        <v>217</v>
      </c>
      <c r="F97" s="4">
        <f>ROUND(Source!AU78,O97)</f>
        <v>0</v>
      </c>
      <c r="G97" s="4" t="s">
        <v>150</v>
      </c>
      <c r="H97" s="4" t="s">
        <v>151</v>
      </c>
      <c r="I97" s="4"/>
      <c r="J97" s="4"/>
      <c r="K97" s="4">
        <v>217</v>
      </c>
      <c r="L97" s="4">
        <v>18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</row>
    <row r="98" spans="1:28">
      <c r="A98" s="4">
        <v>50</v>
      </c>
      <c r="B98" s="4">
        <v>0</v>
      </c>
      <c r="C98" s="4">
        <v>0</v>
      </c>
      <c r="D98" s="4">
        <v>1</v>
      </c>
      <c r="E98" s="4">
        <v>230</v>
      </c>
      <c r="F98" s="4">
        <f>ROUND(Source!BA78,O98)</f>
        <v>0</v>
      </c>
      <c r="G98" s="4" t="s">
        <v>152</v>
      </c>
      <c r="H98" s="4" t="s">
        <v>153</v>
      </c>
      <c r="I98" s="4"/>
      <c r="J98" s="4"/>
      <c r="K98" s="4">
        <v>230</v>
      </c>
      <c r="L98" s="4">
        <v>19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8">
      <c r="A99" s="4">
        <v>50</v>
      </c>
      <c r="B99" s="4">
        <v>0</v>
      </c>
      <c r="C99" s="4">
        <v>0</v>
      </c>
      <c r="D99" s="4">
        <v>1</v>
      </c>
      <c r="E99" s="4">
        <v>206</v>
      </c>
      <c r="F99" s="4">
        <f>ROUND(Source!T78,O99)</f>
        <v>0</v>
      </c>
      <c r="G99" s="4" t="s">
        <v>154</v>
      </c>
      <c r="H99" s="4" t="s">
        <v>155</v>
      </c>
      <c r="I99" s="4"/>
      <c r="J99" s="4"/>
      <c r="K99" s="4">
        <v>206</v>
      </c>
      <c r="L99" s="4">
        <v>20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8">
      <c r="A100" s="4">
        <v>50</v>
      </c>
      <c r="B100" s="4">
        <v>0</v>
      </c>
      <c r="C100" s="4">
        <v>0</v>
      </c>
      <c r="D100" s="4">
        <v>1</v>
      </c>
      <c r="E100" s="4">
        <v>207</v>
      </c>
      <c r="F100" s="4">
        <f>ROUND(Source!U78,O100)</f>
        <v>282.28830540000001</v>
      </c>
      <c r="G100" s="4" t="s">
        <v>156</v>
      </c>
      <c r="H100" s="4" t="s">
        <v>157</v>
      </c>
      <c r="I100" s="4"/>
      <c r="J100" s="4"/>
      <c r="K100" s="4">
        <v>207</v>
      </c>
      <c r="L100" s="4">
        <v>21</v>
      </c>
      <c r="M100" s="4">
        <v>3</v>
      </c>
      <c r="N100" s="4" t="s">
        <v>3</v>
      </c>
      <c r="O100" s="4">
        <v>7</v>
      </c>
      <c r="P100" s="4"/>
      <c r="Q100" s="4"/>
      <c r="R100" s="4"/>
      <c r="S100" s="4"/>
      <c r="T100" s="4"/>
      <c r="U100" s="4"/>
      <c r="V100" s="4"/>
      <c r="W100" s="4">
        <v>282.28830540000001</v>
      </c>
      <c r="X100" s="4">
        <v>1</v>
      </c>
      <c r="Y100" s="4">
        <v>282.28830540000001</v>
      </c>
      <c r="Z100" s="4"/>
      <c r="AA100" s="4"/>
      <c r="AB100" s="4"/>
    </row>
    <row r="101" spans="1:28">
      <c r="A101" s="4">
        <v>50</v>
      </c>
      <c r="B101" s="4">
        <v>0</v>
      </c>
      <c r="C101" s="4">
        <v>0</v>
      </c>
      <c r="D101" s="4">
        <v>1</v>
      </c>
      <c r="E101" s="4">
        <v>208</v>
      </c>
      <c r="F101" s="4">
        <f>ROUND(Source!V78,O101)</f>
        <v>68.982838999999998</v>
      </c>
      <c r="G101" s="4" t="s">
        <v>158</v>
      </c>
      <c r="H101" s="4" t="s">
        <v>159</v>
      </c>
      <c r="I101" s="4"/>
      <c r="J101" s="4"/>
      <c r="K101" s="4">
        <v>208</v>
      </c>
      <c r="L101" s="4">
        <v>22</v>
      </c>
      <c r="M101" s="4">
        <v>3</v>
      </c>
      <c r="N101" s="4" t="s">
        <v>3</v>
      </c>
      <c r="O101" s="4">
        <v>7</v>
      </c>
      <c r="P101" s="4"/>
      <c r="Q101" s="4"/>
      <c r="R101" s="4"/>
      <c r="S101" s="4"/>
      <c r="T101" s="4"/>
      <c r="U101" s="4"/>
      <c r="V101" s="4"/>
      <c r="W101" s="4">
        <v>68.982838999999998</v>
      </c>
      <c r="X101" s="4">
        <v>1</v>
      </c>
      <c r="Y101" s="4">
        <v>68.982838999999998</v>
      </c>
      <c r="Z101" s="4"/>
      <c r="AA101" s="4"/>
      <c r="AB101" s="4"/>
    </row>
    <row r="102" spans="1:28">
      <c r="A102" s="4">
        <v>50</v>
      </c>
      <c r="B102" s="4">
        <v>0</v>
      </c>
      <c r="C102" s="4">
        <v>0</v>
      </c>
      <c r="D102" s="4">
        <v>1</v>
      </c>
      <c r="E102" s="4">
        <v>209</v>
      </c>
      <c r="F102" s="4">
        <f>ROUND(Source!W78,O102)</f>
        <v>0</v>
      </c>
      <c r="G102" s="4" t="s">
        <v>160</v>
      </c>
      <c r="H102" s="4" t="s">
        <v>161</v>
      </c>
      <c r="I102" s="4"/>
      <c r="J102" s="4"/>
      <c r="K102" s="4">
        <v>209</v>
      </c>
      <c r="L102" s="4">
        <v>23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3" spans="1:28">
      <c r="A103" s="4">
        <v>50</v>
      </c>
      <c r="B103" s="4">
        <v>0</v>
      </c>
      <c r="C103" s="4">
        <v>0</v>
      </c>
      <c r="D103" s="4">
        <v>1</v>
      </c>
      <c r="E103" s="4">
        <v>233</v>
      </c>
      <c r="F103" s="4">
        <f>ROUND(Source!BD78,O103)</f>
        <v>0</v>
      </c>
      <c r="G103" s="4" t="s">
        <v>162</v>
      </c>
      <c r="H103" s="4" t="s">
        <v>163</v>
      </c>
      <c r="I103" s="4"/>
      <c r="J103" s="4"/>
      <c r="K103" s="4">
        <v>233</v>
      </c>
      <c r="L103" s="4">
        <v>24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0</v>
      </c>
      <c r="X103" s="4">
        <v>1</v>
      </c>
      <c r="Y103" s="4">
        <v>0</v>
      </c>
      <c r="Z103" s="4"/>
      <c r="AA103" s="4"/>
      <c r="AB103" s="4"/>
    </row>
    <row r="104" spans="1:28">
      <c r="A104" s="4">
        <v>50</v>
      </c>
      <c r="B104" s="4">
        <v>0</v>
      </c>
      <c r="C104" s="4">
        <v>0</v>
      </c>
      <c r="D104" s="4">
        <v>1</v>
      </c>
      <c r="E104" s="4">
        <v>210</v>
      </c>
      <c r="F104" s="4">
        <f>ROUND(Source!X78,O104)</f>
        <v>136503.56</v>
      </c>
      <c r="G104" s="4" t="s">
        <v>164</v>
      </c>
      <c r="H104" s="4" t="s">
        <v>165</v>
      </c>
      <c r="I104" s="4"/>
      <c r="J104" s="4"/>
      <c r="K104" s="4">
        <v>210</v>
      </c>
      <c r="L104" s="4">
        <v>25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136503.56</v>
      </c>
      <c r="X104" s="4">
        <v>1</v>
      </c>
      <c r="Y104" s="4">
        <v>136503.56</v>
      </c>
      <c r="Z104" s="4"/>
      <c r="AA104" s="4"/>
      <c r="AB104" s="4"/>
    </row>
    <row r="105" spans="1:28">
      <c r="A105" s="4">
        <v>50</v>
      </c>
      <c r="B105" s="4">
        <v>0</v>
      </c>
      <c r="C105" s="4">
        <v>0</v>
      </c>
      <c r="D105" s="4">
        <v>1</v>
      </c>
      <c r="E105" s="4">
        <v>211</v>
      </c>
      <c r="F105" s="4">
        <f>ROUND(Source!Y78,O105)</f>
        <v>77123.62</v>
      </c>
      <c r="G105" s="4" t="s">
        <v>166</v>
      </c>
      <c r="H105" s="4" t="s">
        <v>167</v>
      </c>
      <c r="I105" s="4"/>
      <c r="J105" s="4"/>
      <c r="K105" s="4">
        <v>211</v>
      </c>
      <c r="L105" s="4">
        <v>26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77123.62</v>
      </c>
      <c r="X105" s="4">
        <v>1</v>
      </c>
      <c r="Y105" s="4">
        <v>77123.62</v>
      </c>
      <c r="Z105" s="4"/>
      <c r="AA105" s="4"/>
      <c r="AB105" s="4"/>
    </row>
    <row r="106" spans="1:28">
      <c r="A106" s="4">
        <v>50</v>
      </c>
      <c r="B106" s="4">
        <v>0</v>
      </c>
      <c r="C106" s="4">
        <v>0</v>
      </c>
      <c r="D106" s="4">
        <v>1</v>
      </c>
      <c r="E106" s="4">
        <v>224</v>
      </c>
      <c r="F106" s="4">
        <f>ROUND(Source!AR78,O106)</f>
        <v>446992.58</v>
      </c>
      <c r="G106" s="4" t="s">
        <v>168</v>
      </c>
      <c r="H106" s="4" t="s">
        <v>169</v>
      </c>
      <c r="I106" s="4"/>
      <c r="J106" s="4"/>
      <c r="K106" s="4">
        <v>224</v>
      </c>
      <c r="L106" s="4">
        <v>27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446992.58</v>
      </c>
      <c r="X106" s="4">
        <v>1</v>
      </c>
      <c r="Y106" s="4">
        <v>446992.58</v>
      </c>
      <c r="Z106" s="4"/>
      <c r="AA106" s="4"/>
      <c r="AB106" s="4"/>
    </row>
    <row r="107" spans="1:28">
      <c r="A107" s="4">
        <v>50</v>
      </c>
      <c r="B107" s="4">
        <v>1</v>
      </c>
      <c r="C107" s="4">
        <v>0</v>
      </c>
      <c r="D107" s="4">
        <v>2</v>
      </c>
      <c r="E107" s="4">
        <v>0</v>
      </c>
      <c r="F107" s="4">
        <f>ROUND(F106,O107)</f>
        <v>446992.58</v>
      </c>
      <c r="G107" s="4" t="s">
        <v>170</v>
      </c>
      <c r="H107" s="4" t="s">
        <v>171</v>
      </c>
      <c r="I107" s="4"/>
      <c r="J107" s="4"/>
      <c r="K107" s="4">
        <v>212</v>
      </c>
      <c r="L107" s="4">
        <v>28</v>
      </c>
      <c r="M107" s="4">
        <v>0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446992.58</v>
      </c>
      <c r="X107" s="4">
        <v>1</v>
      </c>
      <c r="Y107" s="4">
        <v>446992.58</v>
      </c>
      <c r="Z107" s="4"/>
      <c r="AA107" s="4"/>
      <c r="AB107" s="4"/>
    </row>
    <row r="108" spans="1:28">
      <c r="A108" s="4">
        <v>50</v>
      </c>
      <c r="B108" s="4">
        <v>1</v>
      </c>
      <c r="C108" s="4">
        <v>0</v>
      </c>
      <c r="D108" s="4">
        <v>2</v>
      </c>
      <c r="E108" s="4">
        <v>0</v>
      </c>
      <c r="F108" s="4">
        <f>ROUND(F106*0.22,O108)</f>
        <v>98338.37</v>
      </c>
      <c r="G108" s="4" t="s">
        <v>172</v>
      </c>
      <c r="H108" s="4" t="s">
        <v>173</v>
      </c>
      <c r="I108" s="4"/>
      <c r="J108" s="4"/>
      <c r="K108" s="4">
        <v>212</v>
      </c>
      <c r="L108" s="4">
        <v>29</v>
      </c>
      <c r="M108" s="4">
        <v>0</v>
      </c>
      <c r="N108" s="4" t="s">
        <v>174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98338.37</v>
      </c>
      <c r="X108" s="4">
        <v>1</v>
      </c>
      <c r="Y108" s="4">
        <v>98338.37</v>
      </c>
      <c r="Z108" s="4"/>
      <c r="AA108" s="4"/>
      <c r="AB108" s="4"/>
    </row>
    <row r="109" spans="1:28">
      <c r="A109" s="4">
        <v>50</v>
      </c>
      <c r="B109" s="4">
        <v>1</v>
      </c>
      <c r="C109" s="4">
        <v>0</v>
      </c>
      <c r="D109" s="4">
        <v>2</v>
      </c>
      <c r="E109" s="4">
        <v>213</v>
      </c>
      <c r="F109" s="4">
        <f>ROUND(F106+F108,O109)</f>
        <v>545330.94999999995</v>
      </c>
      <c r="G109" s="4" t="s">
        <v>175</v>
      </c>
      <c r="H109" s="4" t="s">
        <v>176</v>
      </c>
      <c r="I109" s="4"/>
      <c r="J109" s="4"/>
      <c r="K109" s="4">
        <v>212</v>
      </c>
      <c r="L109" s="4">
        <v>30</v>
      </c>
      <c r="M109" s="4">
        <v>0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545330.94999999995</v>
      </c>
      <c r="X109" s="4">
        <v>1</v>
      </c>
      <c r="Y109" s="4">
        <v>545330.94999999995</v>
      </c>
      <c r="Z109" s="4"/>
      <c r="AA109" s="4"/>
      <c r="AB109" s="4"/>
    </row>
    <row r="112" spans="1:28">
      <c r="A112">
        <v>70</v>
      </c>
      <c r="B112">
        <v>1</v>
      </c>
      <c r="D112">
        <v>1</v>
      </c>
      <c r="E112" t="s">
        <v>177</v>
      </c>
      <c r="F112" t="s">
        <v>178</v>
      </c>
      <c r="G112">
        <v>1</v>
      </c>
      <c r="H112">
        <v>0</v>
      </c>
      <c r="I112" t="s">
        <v>3</v>
      </c>
      <c r="J112">
        <v>1</v>
      </c>
      <c r="K112">
        <v>0</v>
      </c>
      <c r="L112" t="s">
        <v>3</v>
      </c>
      <c r="M112" t="s">
        <v>3</v>
      </c>
      <c r="N112">
        <v>0</v>
      </c>
      <c r="P112" t="s">
        <v>179</v>
      </c>
    </row>
    <row r="113" spans="1:16">
      <c r="A113">
        <v>70</v>
      </c>
      <c r="B113">
        <v>1</v>
      </c>
      <c r="D113">
        <v>2</v>
      </c>
      <c r="E113" t="s">
        <v>180</v>
      </c>
      <c r="F113" t="s">
        <v>181</v>
      </c>
      <c r="G113">
        <v>0</v>
      </c>
      <c r="H113">
        <v>0</v>
      </c>
      <c r="I113" t="s">
        <v>3</v>
      </c>
      <c r="J113">
        <v>1</v>
      </c>
      <c r="K113">
        <v>0</v>
      </c>
      <c r="L113" t="s">
        <v>3</v>
      </c>
      <c r="M113" t="s">
        <v>3</v>
      </c>
      <c r="N113">
        <v>0</v>
      </c>
      <c r="P113" t="s">
        <v>182</v>
      </c>
    </row>
    <row r="114" spans="1:16">
      <c r="A114">
        <v>70</v>
      </c>
      <c r="B114">
        <v>1</v>
      </c>
      <c r="D114">
        <v>3</v>
      </c>
      <c r="E114" t="s">
        <v>183</v>
      </c>
      <c r="F114" t="s">
        <v>184</v>
      </c>
      <c r="G114">
        <v>0</v>
      </c>
      <c r="H114">
        <v>0</v>
      </c>
      <c r="I114" t="s">
        <v>3</v>
      </c>
      <c r="J114">
        <v>1</v>
      </c>
      <c r="K114">
        <v>0</v>
      </c>
      <c r="L114" t="s">
        <v>3</v>
      </c>
      <c r="M114" t="s">
        <v>3</v>
      </c>
      <c r="N114">
        <v>0</v>
      </c>
      <c r="P114" t="s">
        <v>185</v>
      </c>
    </row>
    <row r="115" spans="1:16">
      <c r="A115">
        <v>70</v>
      </c>
      <c r="B115">
        <v>1</v>
      </c>
      <c r="D115">
        <v>4</v>
      </c>
      <c r="E115" t="s">
        <v>186</v>
      </c>
      <c r="F115" t="s">
        <v>187</v>
      </c>
      <c r="G115">
        <v>1</v>
      </c>
      <c r="H115">
        <v>0</v>
      </c>
      <c r="I115" t="s">
        <v>3</v>
      </c>
      <c r="J115">
        <v>2</v>
      </c>
      <c r="K115">
        <v>0</v>
      </c>
      <c r="L115" t="s">
        <v>3</v>
      </c>
      <c r="M115" t="s">
        <v>3</v>
      </c>
      <c r="N115">
        <v>0</v>
      </c>
      <c r="P115" t="s">
        <v>3</v>
      </c>
    </row>
    <row r="116" spans="1:16">
      <c r="A116">
        <v>70</v>
      </c>
      <c r="B116">
        <v>1</v>
      </c>
      <c r="D116">
        <v>5</v>
      </c>
      <c r="E116" t="s">
        <v>188</v>
      </c>
      <c r="F116" t="s">
        <v>189</v>
      </c>
      <c r="G116">
        <v>0</v>
      </c>
      <c r="H116">
        <v>0</v>
      </c>
      <c r="I116" t="s">
        <v>3</v>
      </c>
      <c r="J116">
        <v>2</v>
      </c>
      <c r="K116">
        <v>0</v>
      </c>
      <c r="L116" t="s">
        <v>3</v>
      </c>
      <c r="M116" t="s">
        <v>3</v>
      </c>
      <c r="N116">
        <v>0</v>
      </c>
      <c r="P116" t="s">
        <v>3</v>
      </c>
    </row>
    <row r="117" spans="1:16">
      <c r="A117">
        <v>70</v>
      </c>
      <c r="B117">
        <v>1</v>
      </c>
      <c r="D117">
        <v>6</v>
      </c>
      <c r="E117" t="s">
        <v>190</v>
      </c>
      <c r="F117" t="s">
        <v>191</v>
      </c>
      <c r="G117">
        <v>0</v>
      </c>
      <c r="H117">
        <v>0</v>
      </c>
      <c r="I117" t="s">
        <v>3</v>
      </c>
      <c r="J117">
        <v>2</v>
      </c>
      <c r="K117">
        <v>0</v>
      </c>
      <c r="L117" t="s">
        <v>3</v>
      </c>
      <c r="M117" t="s">
        <v>3</v>
      </c>
      <c r="N117">
        <v>0</v>
      </c>
      <c r="P117" t="s">
        <v>3</v>
      </c>
    </row>
    <row r="118" spans="1:16">
      <c r="A118">
        <v>70</v>
      </c>
      <c r="B118">
        <v>1</v>
      </c>
      <c r="D118">
        <v>7</v>
      </c>
      <c r="E118" t="s">
        <v>192</v>
      </c>
      <c r="F118" t="s">
        <v>193</v>
      </c>
      <c r="G118">
        <v>0</v>
      </c>
      <c r="H118">
        <v>0</v>
      </c>
      <c r="I118" t="s">
        <v>194</v>
      </c>
      <c r="J118">
        <v>0</v>
      </c>
      <c r="K118">
        <v>0</v>
      </c>
      <c r="L118" t="s">
        <v>3</v>
      </c>
      <c r="M118" t="s">
        <v>3</v>
      </c>
      <c r="N118">
        <v>0</v>
      </c>
      <c r="P118" t="s">
        <v>195</v>
      </c>
    </row>
    <row r="119" spans="1:16">
      <c r="A119">
        <v>70</v>
      </c>
      <c r="B119">
        <v>1</v>
      </c>
      <c r="D119">
        <v>8</v>
      </c>
      <c r="E119" t="s">
        <v>196</v>
      </c>
      <c r="F119" t="s">
        <v>197</v>
      </c>
      <c r="G119">
        <v>1</v>
      </c>
      <c r="H119">
        <v>0</v>
      </c>
      <c r="I119" t="s">
        <v>3</v>
      </c>
      <c r="J119">
        <v>5</v>
      </c>
      <c r="K119">
        <v>0</v>
      </c>
      <c r="L119" t="s">
        <v>3</v>
      </c>
      <c r="M119" t="s">
        <v>3</v>
      </c>
      <c r="N119">
        <v>0</v>
      </c>
      <c r="P119" t="s">
        <v>3</v>
      </c>
    </row>
    <row r="120" spans="1:16">
      <c r="A120">
        <v>70</v>
      </c>
      <c r="B120">
        <v>1</v>
      </c>
      <c r="D120">
        <v>9</v>
      </c>
      <c r="E120" t="s">
        <v>198</v>
      </c>
      <c r="F120" t="s">
        <v>199</v>
      </c>
      <c r="G120">
        <v>0</v>
      </c>
      <c r="H120">
        <v>0</v>
      </c>
      <c r="I120" t="s">
        <v>3</v>
      </c>
      <c r="J120">
        <v>5</v>
      </c>
      <c r="K120">
        <v>0</v>
      </c>
      <c r="L120" t="s">
        <v>3</v>
      </c>
      <c r="M120" t="s">
        <v>3</v>
      </c>
      <c r="N120">
        <v>0</v>
      </c>
      <c r="P120" t="s">
        <v>200</v>
      </c>
    </row>
    <row r="121" spans="1:16">
      <c r="A121">
        <v>70</v>
      </c>
      <c r="B121">
        <v>1</v>
      </c>
      <c r="D121">
        <v>10</v>
      </c>
      <c r="E121" t="s">
        <v>201</v>
      </c>
      <c r="F121" t="s">
        <v>202</v>
      </c>
      <c r="G121">
        <v>0</v>
      </c>
      <c r="H121">
        <v>0</v>
      </c>
      <c r="I121" t="s">
        <v>203</v>
      </c>
      <c r="J121">
        <v>5</v>
      </c>
      <c r="K121">
        <v>0</v>
      </c>
      <c r="L121" t="s">
        <v>3</v>
      </c>
      <c r="M121" t="s">
        <v>3</v>
      </c>
      <c r="N121">
        <v>0</v>
      </c>
      <c r="P121" t="s">
        <v>204</v>
      </c>
    </row>
    <row r="122" spans="1:16">
      <c r="A122">
        <v>70</v>
      </c>
      <c r="B122">
        <v>1</v>
      </c>
      <c r="D122">
        <v>11</v>
      </c>
      <c r="E122" t="s">
        <v>205</v>
      </c>
      <c r="F122" t="s">
        <v>206</v>
      </c>
      <c r="G122">
        <v>0</v>
      </c>
      <c r="H122">
        <v>0</v>
      </c>
      <c r="I122" t="s">
        <v>207</v>
      </c>
      <c r="J122">
        <v>0</v>
      </c>
      <c r="K122">
        <v>0</v>
      </c>
      <c r="L122" t="s">
        <v>3</v>
      </c>
      <c r="M122" t="s">
        <v>3</v>
      </c>
      <c r="N122">
        <v>0</v>
      </c>
      <c r="P122" t="s">
        <v>208</v>
      </c>
    </row>
    <row r="123" spans="1:16">
      <c r="A123">
        <v>70</v>
      </c>
      <c r="B123">
        <v>1</v>
      </c>
      <c r="D123">
        <v>12</v>
      </c>
      <c r="E123" t="s">
        <v>209</v>
      </c>
      <c r="F123" t="s">
        <v>210</v>
      </c>
      <c r="G123">
        <v>0</v>
      </c>
      <c r="H123">
        <v>0</v>
      </c>
      <c r="I123" t="s">
        <v>211</v>
      </c>
      <c r="J123">
        <v>0</v>
      </c>
      <c r="K123">
        <v>0</v>
      </c>
      <c r="L123" t="s">
        <v>3</v>
      </c>
      <c r="M123" t="s">
        <v>3</v>
      </c>
      <c r="N123">
        <v>0</v>
      </c>
      <c r="P123" t="s">
        <v>212</v>
      </c>
    </row>
    <row r="124" spans="1:16">
      <c r="A124">
        <v>70</v>
      </c>
      <c r="B124">
        <v>1</v>
      </c>
      <c r="D124">
        <v>13</v>
      </c>
      <c r="E124" t="s">
        <v>213</v>
      </c>
      <c r="F124" t="s">
        <v>214</v>
      </c>
      <c r="G124">
        <v>0</v>
      </c>
      <c r="H124">
        <v>0</v>
      </c>
      <c r="I124" t="s">
        <v>215</v>
      </c>
      <c r="J124">
        <v>0</v>
      </c>
      <c r="K124">
        <v>0</v>
      </c>
      <c r="L124" t="s">
        <v>3</v>
      </c>
      <c r="M124" t="s">
        <v>3</v>
      </c>
      <c r="N124">
        <v>0</v>
      </c>
      <c r="P124" t="s">
        <v>216</v>
      </c>
    </row>
    <row r="125" spans="1:16">
      <c r="A125">
        <v>70</v>
      </c>
      <c r="B125">
        <v>1</v>
      </c>
      <c r="D125">
        <v>14</v>
      </c>
      <c r="E125" t="s">
        <v>217</v>
      </c>
      <c r="F125" t="s">
        <v>218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  <c r="P125" t="s">
        <v>3</v>
      </c>
    </row>
    <row r="126" spans="1:16">
      <c r="A126">
        <v>70</v>
      </c>
      <c r="B126">
        <v>1</v>
      </c>
      <c r="D126">
        <v>15</v>
      </c>
      <c r="E126" t="s">
        <v>219</v>
      </c>
      <c r="F126" t="s">
        <v>220</v>
      </c>
      <c r="G126">
        <v>0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  <c r="P126" t="s">
        <v>221</v>
      </c>
    </row>
    <row r="127" spans="1:16">
      <c r="A127">
        <v>70</v>
      </c>
      <c r="B127">
        <v>1</v>
      </c>
      <c r="D127">
        <v>16</v>
      </c>
      <c r="E127" t="s">
        <v>222</v>
      </c>
      <c r="F127" t="s">
        <v>223</v>
      </c>
      <c r="G127">
        <v>0</v>
      </c>
      <c r="H127">
        <v>0</v>
      </c>
      <c r="I127" t="s">
        <v>3</v>
      </c>
      <c r="J127">
        <v>3</v>
      </c>
      <c r="K127">
        <v>0</v>
      </c>
      <c r="L127" t="s">
        <v>3</v>
      </c>
      <c r="M127" t="s">
        <v>3</v>
      </c>
      <c r="N127">
        <v>0</v>
      </c>
      <c r="P127" t="s">
        <v>3</v>
      </c>
    </row>
    <row r="128" spans="1:16">
      <c r="A128">
        <v>70</v>
      </c>
      <c r="B128">
        <v>1</v>
      </c>
      <c r="D128">
        <v>17</v>
      </c>
      <c r="E128" t="s">
        <v>224</v>
      </c>
      <c r="F128" t="s">
        <v>225</v>
      </c>
      <c r="G128">
        <v>1</v>
      </c>
      <c r="H128">
        <v>0</v>
      </c>
      <c r="I128" t="s">
        <v>3</v>
      </c>
      <c r="J128">
        <v>3</v>
      </c>
      <c r="K128">
        <v>0</v>
      </c>
      <c r="L128" t="s">
        <v>3</v>
      </c>
      <c r="M128" t="s">
        <v>3</v>
      </c>
      <c r="N128">
        <v>0</v>
      </c>
      <c r="P128" t="s">
        <v>3</v>
      </c>
    </row>
    <row r="129" spans="1:50">
      <c r="A129">
        <v>70</v>
      </c>
      <c r="B129">
        <v>1</v>
      </c>
      <c r="D129">
        <v>1</v>
      </c>
      <c r="E129" t="s">
        <v>226</v>
      </c>
      <c r="F129" t="s">
        <v>227</v>
      </c>
      <c r="G129">
        <v>0.9</v>
      </c>
      <c r="H129">
        <v>1</v>
      </c>
      <c r="I129" t="s">
        <v>228</v>
      </c>
      <c r="J129">
        <v>0</v>
      </c>
      <c r="K129">
        <v>0</v>
      </c>
      <c r="L129" t="s">
        <v>3</v>
      </c>
      <c r="M129" t="s">
        <v>3</v>
      </c>
      <c r="N129">
        <v>0</v>
      </c>
      <c r="P129" t="s">
        <v>229</v>
      </c>
    </row>
    <row r="130" spans="1:50">
      <c r="A130">
        <v>70</v>
      </c>
      <c r="B130">
        <v>1</v>
      </c>
      <c r="D130">
        <v>2</v>
      </c>
      <c r="E130" t="s">
        <v>230</v>
      </c>
      <c r="F130" t="s">
        <v>231</v>
      </c>
      <c r="G130">
        <v>0.85</v>
      </c>
      <c r="H130">
        <v>1</v>
      </c>
      <c r="I130" t="s">
        <v>232</v>
      </c>
      <c r="J130">
        <v>0</v>
      </c>
      <c r="K130">
        <v>0</v>
      </c>
      <c r="L130" t="s">
        <v>3</v>
      </c>
      <c r="M130" t="s">
        <v>3</v>
      </c>
      <c r="N130">
        <v>0</v>
      </c>
      <c r="P130" t="s">
        <v>233</v>
      </c>
    </row>
    <row r="131" spans="1:50">
      <c r="A131">
        <v>70</v>
      </c>
      <c r="B131">
        <v>1</v>
      </c>
      <c r="D131">
        <v>3</v>
      </c>
      <c r="E131" t="s">
        <v>234</v>
      </c>
      <c r="F131" t="s">
        <v>235</v>
      </c>
      <c r="G131">
        <v>1.03</v>
      </c>
      <c r="H131">
        <v>0</v>
      </c>
      <c r="I131" t="s">
        <v>3</v>
      </c>
      <c r="J131">
        <v>0</v>
      </c>
      <c r="K131">
        <v>0</v>
      </c>
      <c r="L131" t="s">
        <v>3</v>
      </c>
      <c r="M131" t="s">
        <v>3</v>
      </c>
      <c r="N131">
        <v>0</v>
      </c>
      <c r="P131" t="s">
        <v>236</v>
      </c>
    </row>
    <row r="132" spans="1:50">
      <c r="A132">
        <v>70</v>
      </c>
      <c r="B132">
        <v>1</v>
      </c>
      <c r="D132">
        <v>4</v>
      </c>
      <c r="E132" t="s">
        <v>237</v>
      </c>
      <c r="F132" t="s">
        <v>238</v>
      </c>
      <c r="G132">
        <v>1.1499999999999999</v>
      </c>
      <c r="H132">
        <v>0</v>
      </c>
      <c r="I132" t="s">
        <v>3</v>
      </c>
      <c r="J132">
        <v>0</v>
      </c>
      <c r="K132">
        <v>0</v>
      </c>
      <c r="L132" t="s">
        <v>3</v>
      </c>
      <c r="M132" t="s">
        <v>3</v>
      </c>
      <c r="N132">
        <v>0</v>
      </c>
      <c r="P132" t="s">
        <v>239</v>
      </c>
    </row>
    <row r="133" spans="1:50">
      <c r="A133">
        <v>70</v>
      </c>
      <c r="B133">
        <v>1</v>
      </c>
      <c r="D133">
        <v>5</v>
      </c>
      <c r="E133" t="s">
        <v>240</v>
      </c>
      <c r="F133" t="s">
        <v>241</v>
      </c>
      <c r="G133">
        <v>7</v>
      </c>
      <c r="H133">
        <v>0</v>
      </c>
      <c r="I133" t="s">
        <v>3</v>
      </c>
      <c r="J133">
        <v>0</v>
      </c>
      <c r="K133">
        <v>0</v>
      </c>
      <c r="L133" t="s">
        <v>3</v>
      </c>
      <c r="M133" t="s">
        <v>3</v>
      </c>
      <c r="N133">
        <v>0</v>
      </c>
      <c r="P133" t="s">
        <v>3</v>
      </c>
    </row>
    <row r="134" spans="1:50">
      <c r="A134">
        <v>70</v>
      </c>
      <c r="B134">
        <v>1</v>
      </c>
      <c r="D134">
        <v>6</v>
      </c>
      <c r="E134" t="s">
        <v>242</v>
      </c>
      <c r="F134" t="s">
        <v>3</v>
      </c>
      <c r="G134">
        <v>2</v>
      </c>
      <c r="H134">
        <v>0</v>
      </c>
      <c r="I134" t="s">
        <v>3</v>
      </c>
      <c r="J134">
        <v>0</v>
      </c>
      <c r="K134">
        <v>0</v>
      </c>
      <c r="L134" t="s">
        <v>3</v>
      </c>
      <c r="M134" t="s">
        <v>3</v>
      </c>
      <c r="N134">
        <v>0</v>
      </c>
      <c r="P134" t="s">
        <v>3</v>
      </c>
    </row>
    <row r="136" spans="1:50">
      <c r="A136">
        <v>-1</v>
      </c>
    </row>
    <row r="138" spans="1:50">
      <c r="A138" s="3">
        <v>75</v>
      </c>
      <c r="B138" s="3" t="s">
        <v>243</v>
      </c>
      <c r="C138" s="3">
        <v>2026</v>
      </c>
      <c r="D138" s="3">
        <v>1</v>
      </c>
      <c r="E138" s="3">
        <v>0</v>
      </c>
      <c r="F138" s="3">
        <v>0</v>
      </c>
      <c r="G138" s="3">
        <v>0</v>
      </c>
      <c r="H138" s="3">
        <v>1</v>
      </c>
      <c r="I138" s="3">
        <v>0</v>
      </c>
      <c r="J138" s="3">
        <v>3</v>
      </c>
      <c r="K138" s="3">
        <v>0</v>
      </c>
      <c r="L138" s="3">
        <v>0</v>
      </c>
      <c r="M138" s="3">
        <v>0</v>
      </c>
      <c r="N138" s="3">
        <v>50837940</v>
      </c>
      <c r="O138" s="3">
        <v>1</v>
      </c>
    </row>
    <row r="139" spans="1:50">
      <c r="A139" s="5">
        <v>1</v>
      </c>
      <c r="B139" s="5" t="s">
        <v>244</v>
      </c>
      <c r="C139" s="5" t="s">
        <v>245</v>
      </c>
      <c r="D139" s="5">
        <v>2026</v>
      </c>
      <c r="E139" s="5">
        <v>3</v>
      </c>
      <c r="F139" s="5">
        <v>1</v>
      </c>
      <c r="G139" s="5">
        <v>1</v>
      </c>
      <c r="H139" s="5">
        <v>0</v>
      </c>
      <c r="I139" s="5">
        <v>2</v>
      </c>
      <c r="J139" s="5">
        <v>1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 t="s">
        <v>3</v>
      </c>
      <c r="S139" s="5" t="s">
        <v>3</v>
      </c>
      <c r="T139" s="5" t="s">
        <v>3</v>
      </c>
      <c r="U139" s="5" t="s">
        <v>3</v>
      </c>
      <c r="V139" s="5" t="s">
        <v>3</v>
      </c>
      <c r="W139" s="5" t="s">
        <v>3</v>
      </c>
      <c r="X139" s="5" t="s">
        <v>3</v>
      </c>
      <c r="Y139" s="5" t="s">
        <v>3</v>
      </c>
      <c r="Z139" s="5" t="s">
        <v>3</v>
      </c>
      <c r="AA139" s="5" t="s">
        <v>3</v>
      </c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>
        <v>50837942</v>
      </c>
      <c r="AO139" s="5" t="s">
        <v>246</v>
      </c>
      <c r="AP139" s="5" t="s">
        <v>247</v>
      </c>
      <c r="AQ139" s="5">
        <v>46078</v>
      </c>
      <c r="AR139" s="5">
        <v>409</v>
      </c>
      <c r="AS139" s="5" t="s">
        <v>248</v>
      </c>
      <c r="AT139" s="5" t="s">
        <v>249</v>
      </c>
      <c r="AU139" s="5" t="s">
        <v>247</v>
      </c>
      <c r="AV139" s="5">
        <v>45769</v>
      </c>
      <c r="AW139" s="5">
        <v>213</v>
      </c>
      <c r="AX139" s="5" t="s">
        <v>250</v>
      </c>
    </row>
    <row r="140" spans="1:50">
      <c r="A140" s="5">
        <v>2</v>
      </c>
      <c r="B140" s="5" t="s">
        <v>251</v>
      </c>
      <c r="C140" s="5" t="s">
        <v>252</v>
      </c>
      <c r="D140" s="5">
        <v>0</v>
      </c>
      <c r="E140" s="5">
        <v>0</v>
      </c>
      <c r="F140" s="5">
        <v>0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>
        <v>50837941</v>
      </c>
    </row>
    <row r="144" spans="1:50">
      <c r="A144">
        <v>65</v>
      </c>
      <c r="C144">
        <v>1</v>
      </c>
      <c r="D144">
        <v>0</v>
      </c>
      <c r="E14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6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253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36884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489193480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327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1</v>
      </c>
      <c r="C14" s="1">
        <v>0</v>
      </c>
      <c r="D14" s="1">
        <v>50837940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14</v>
      </c>
      <c r="D16" s="6" t="s">
        <v>14</v>
      </c>
      <c r="E16" s="7">
        <f>ROUND((Source!F62)/1000,2)</f>
        <v>305.14</v>
      </c>
      <c r="F16" s="7">
        <f>ROUND((Source!F63)/1000,2)</f>
        <v>141.86000000000001</v>
      </c>
      <c r="G16" s="7">
        <f>ROUND((Source!F54)/1000,2)</f>
        <v>0</v>
      </c>
      <c r="H16" s="7">
        <f>ROUND((Source!F64)/1000+(Source!F65)/1000,2)</f>
        <v>0</v>
      </c>
      <c r="I16" s="7">
        <f>E16+F16+G16+H16</f>
        <v>447</v>
      </c>
      <c r="J16" s="7">
        <f>ROUND((Source!F60+Source!F59)/1000,2)</f>
        <v>138.41999999999999</v>
      </c>
      <c r="K16" s="7">
        <v>234</v>
      </c>
      <c r="L16" s="7">
        <v>0</v>
      </c>
      <c r="M16" s="7">
        <v>0</v>
      </c>
      <c r="N16" s="7">
        <f>I16+L16+M16</f>
        <v>447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233365.40000000002</v>
      </c>
      <c r="AU16" s="7">
        <v>637.15</v>
      </c>
      <c r="AV16" s="7">
        <v>0</v>
      </c>
      <c r="AW16" s="7">
        <v>0</v>
      </c>
      <c r="AX16" s="7">
        <v>0</v>
      </c>
      <c r="AY16" s="7">
        <v>94306.200000000012</v>
      </c>
      <c r="AZ16" s="7">
        <v>33117.519999999997</v>
      </c>
      <c r="BA16" s="7">
        <v>105304.53000000001</v>
      </c>
      <c r="BB16" s="7">
        <v>305135.95</v>
      </c>
      <c r="BC16" s="7">
        <v>141856.63</v>
      </c>
      <c r="BD16" s="7">
        <v>0</v>
      </c>
      <c r="BE16" s="7">
        <v>0</v>
      </c>
      <c r="BF16" s="7">
        <v>282.28830540000001</v>
      </c>
      <c r="BG16" s="7">
        <v>68.982838999999998</v>
      </c>
      <c r="BH16" s="7">
        <v>0</v>
      </c>
      <c r="BI16" s="7">
        <v>136503.56</v>
      </c>
      <c r="BJ16" s="7">
        <v>77123.62</v>
      </c>
      <c r="BK16" s="7">
        <v>446992.58</v>
      </c>
    </row>
    <row r="18" spans="1:16">
      <c r="A18">
        <v>51</v>
      </c>
      <c r="E18">
        <v>305.14</v>
      </c>
      <c r="F18">
        <v>141.86000000000001</v>
      </c>
      <c r="G18">
        <v>0</v>
      </c>
      <c r="H18">
        <v>0</v>
      </c>
      <c r="I18">
        <v>447</v>
      </c>
      <c r="J18">
        <v>138.41999999999999</v>
      </c>
      <c r="K18">
        <v>234</v>
      </c>
      <c r="L18">
        <v>0</v>
      </c>
      <c r="M18">
        <v>0</v>
      </c>
      <c r="N18">
        <v>447</v>
      </c>
    </row>
    <row r="20" spans="1:16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233365.40000000002</v>
      </c>
      <c r="G20" s="4" t="s">
        <v>116</v>
      </c>
      <c r="H20" s="4" t="s">
        <v>117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6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637.15</v>
      </c>
      <c r="G21" s="4" t="s">
        <v>118</v>
      </c>
      <c r="H21" s="4" t="s">
        <v>119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120</v>
      </c>
      <c r="H22" s="4" t="s">
        <v>121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637.15</v>
      </c>
      <c r="G23" s="4" t="s">
        <v>122</v>
      </c>
      <c r="H23" s="4" t="s">
        <v>123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637.15</v>
      </c>
      <c r="G24" s="4" t="s">
        <v>124</v>
      </c>
      <c r="H24" s="4" t="s">
        <v>125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6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126</v>
      </c>
      <c r="H25" s="4" t="s">
        <v>127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637.15</v>
      </c>
      <c r="G26" s="4" t="s">
        <v>128</v>
      </c>
      <c r="H26" s="4" t="s">
        <v>129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130</v>
      </c>
      <c r="H27" s="4" t="s">
        <v>131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132</v>
      </c>
      <c r="H28" s="4" t="s">
        <v>133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134</v>
      </c>
      <c r="H29" s="4" t="s">
        <v>135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94306.200000000012</v>
      </c>
      <c r="G30" s="4" t="s">
        <v>136</v>
      </c>
      <c r="H30" s="4" t="s">
        <v>137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6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138</v>
      </c>
      <c r="H31" s="4" t="s">
        <v>139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33117.519999999997</v>
      </c>
      <c r="G32" s="4" t="s">
        <v>140</v>
      </c>
      <c r="H32" s="4" t="s">
        <v>141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105304.53000000001</v>
      </c>
      <c r="G33" s="4" t="s">
        <v>142</v>
      </c>
      <c r="H33" s="4" t="s">
        <v>143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144</v>
      </c>
      <c r="H34" s="4" t="s">
        <v>145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305135.95</v>
      </c>
      <c r="G35" s="4" t="s">
        <v>146</v>
      </c>
      <c r="H35" s="4" t="s">
        <v>147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141856.63</v>
      </c>
      <c r="G36" s="4" t="s">
        <v>148</v>
      </c>
      <c r="H36" s="4" t="s">
        <v>149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150</v>
      </c>
      <c r="H37" s="4" t="s">
        <v>151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152</v>
      </c>
      <c r="H38" s="4" t="s">
        <v>153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154</v>
      </c>
      <c r="H39" s="4" t="s">
        <v>155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282.28830540000001</v>
      </c>
      <c r="G40" s="4" t="s">
        <v>156</v>
      </c>
      <c r="H40" s="4" t="s">
        <v>157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68.982838999999998</v>
      </c>
      <c r="G41" s="4" t="s">
        <v>158</v>
      </c>
      <c r="H41" s="4" t="s">
        <v>159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160</v>
      </c>
      <c r="H42" s="4" t="s">
        <v>161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162</v>
      </c>
      <c r="H43" s="4" t="s">
        <v>163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136503.56</v>
      </c>
      <c r="G44" s="4" t="s">
        <v>164</v>
      </c>
      <c r="H44" s="4" t="s">
        <v>165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77123.62</v>
      </c>
      <c r="G45" s="4" t="s">
        <v>166</v>
      </c>
      <c r="H45" s="4" t="s">
        <v>167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446992.58</v>
      </c>
      <c r="G46" s="4" t="s">
        <v>168</v>
      </c>
      <c r="H46" s="4" t="s">
        <v>169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446992.58</v>
      </c>
      <c r="G47" s="4" t="s">
        <v>170</v>
      </c>
      <c r="H47" s="4" t="s">
        <v>171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98338.37</v>
      </c>
      <c r="G48" s="4" t="s">
        <v>172</v>
      </c>
      <c r="H48" s="4" t="s">
        <v>173</v>
      </c>
      <c r="I48" s="4"/>
      <c r="J48" s="4"/>
      <c r="K48" s="4">
        <v>212</v>
      </c>
      <c r="L48" s="4">
        <v>29</v>
      </c>
      <c r="M48" s="4">
        <v>0</v>
      </c>
      <c r="N48" s="4" t="s">
        <v>174</v>
      </c>
      <c r="O48" s="4">
        <v>2</v>
      </c>
      <c r="P48" s="4"/>
    </row>
    <row r="49" spans="1:50">
      <c r="A49" s="4">
        <v>50</v>
      </c>
      <c r="B49" s="4">
        <v>1</v>
      </c>
      <c r="C49" s="4">
        <v>0</v>
      </c>
      <c r="D49" s="4">
        <v>2</v>
      </c>
      <c r="E49" s="4">
        <v>213</v>
      </c>
      <c r="F49" s="4">
        <v>545330.94999999995</v>
      </c>
      <c r="G49" s="4" t="s">
        <v>175</v>
      </c>
      <c r="H49" s="4" t="s">
        <v>176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1" spans="1:50">
      <c r="A51">
        <v>-1</v>
      </c>
    </row>
    <row r="54" spans="1:50">
      <c r="A54" s="3">
        <v>75</v>
      </c>
      <c r="B54" s="3" t="s">
        <v>243</v>
      </c>
      <c r="C54" s="3">
        <v>2026</v>
      </c>
      <c r="D54" s="3">
        <v>1</v>
      </c>
      <c r="E54" s="3">
        <v>0</v>
      </c>
      <c r="F54" s="3">
        <v>0</v>
      </c>
      <c r="G54" s="3">
        <v>0</v>
      </c>
      <c r="H54" s="3">
        <v>1</v>
      </c>
      <c r="I54" s="3">
        <v>0</v>
      </c>
      <c r="J54" s="3">
        <v>3</v>
      </c>
      <c r="K54" s="3">
        <v>0</v>
      </c>
      <c r="L54" s="3">
        <v>0</v>
      </c>
      <c r="M54" s="3">
        <v>0</v>
      </c>
      <c r="N54" s="3">
        <v>50837940</v>
      </c>
      <c r="O54" s="3">
        <v>1</v>
      </c>
    </row>
    <row r="55" spans="1:50">
      <c r="A55" s="5">
        <v>1</v>
      </c>
      <c r="B55" s="5" t="s">
        <v>244</v>
      </c>
      <c r="C55" s="5" t="s">
        <v>245</v>
      </c>
      <c r="D55" s="5">
        <v>2026</v>
      </c>
      <c r="E55" s="5">
        <v>3</v>
      </c>
      <c r="F55" s="5">
        <v>1</v>
      </c>
      <c r="G55" s="5">
        <v>1</v>
      </c>
      <c r="H55" s="5">
        <v>0</v>
      </c>
      <c r="I55" s="5">
        <v>2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 t="s">
        <v>3</v>
      </c>
      <c r="S55" s="5" t="s">
        <v>3</v>
      </c>
      <c r="T55" s="5" t="s">
        <v>3</v>
      </c>
      <c r="U55" s="5" t="s">
        <v>3</v>
      </c>
      <c r="V55" s="5" t="s">
        <v>3</v>
      </c>
      <c r="W55" s="5" t="s">
        <v>3</v>
      </c>
      <c r="X55" s="5" t="s">
        <v>3</v>
      </c>
      <c r="Y55" s="5" t="s">
        <v>3</v>
      </c>
      <c r="Z55" s="5" t="s">
        <v>3</v>
      </c>
      <c r="AA55" s="5" t="s">
        <v>3</v>
      </c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50837942</v>
      </c>
      <c r="AO55" s="5" t="s">
        <v>246</v>
      </c>
      <c r="AP55" s="5" t="s">
        <v>247</v>
      </c>
      <c r="AQ55" s="5">
        <v>46078</v>
      </c>
      <c r="AR55" s="5">
        <v>409</v>
      </c>
      <c r="AS55" s="5" t="s">
        <v>248</v>
      </c>
      <c r="AT55" s="5" t="s">
        <v>249</v>
      </c>
      <c r="AU55" s="5" t="s">
        <v>247</v>
      </c>
      <c r="AV55" s="5">
        <v>45769</v>
      </c>
      <c r="AW55" s="5">
        <v>213</v>
      </c>
      <c r="AX55" s="5" t="s">
        <v>250</v>
      </c>
    </row>
    <row r="56" spans="1:50">
      <c r="A56" s="5">
        <v>2</v>
      </c>
      <c r="B56" s="5" t="s">
        <v>251</v>
      </c>
      <c r="C56" s="5" t="s">
        <v>252</v>
      </c>
      <c r="D56" s="5">
        <v>0</v>
      </c>
      <c r="E56" s="5">
        <v>0</v>
      </c>
      <c r="F56" s="5">
        <v>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>
        <v>50837941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O60"/>
  <sheetViews>
    <sheetView workbookViewId="0"/>
  </sheetViews>
  <sheetFormatPr defaultColWidth="9.140625" defaultRowHeight="12.75"/>
  <cols>
    <col min="1" max="256" width="9.140625" customWidth="1"/>
  </cols>
  <sheetData>
    <row r="1" spans="1:119">
      <c r="A1">
        <f>ROW(Source!A24)</f>
        <v>24</v>
      </c>
      <c r="B1">
        <v>50837940</v>
      </c>
      <c r="C1">
        <v>50838074</v>
      </c>
      <c r="D1">
        <v>49752813</v>
      </c>
      <c r="E1">
        <v>117</v>
      </c>
      <c r="F1">
        <v>1</v>
      </c>
      <c r="G1">
        <v>1</v>
      </c>
      <c r="H1">
        <v>1</v>
      </c>
      <c r="I1" t="s">
        <v>254</v>
      </c>
      <c r="J1" t="s">
        <v>3</v>
      </c>
      <c r="K1" t="s">
        <v>255</v>
      </c>
      <c r="L1">
        <v>1191</v>
      </c>
      <c r="N1">
        <v>1013</v>
      </c>
      <c r="O1" t="s">
        <v>256</v>
      </c>
      <c r="P1" t="s">
        <v>256</v>
      </c>
      <c r="Q1">
        <v>1</v>
      </c>
      <c r="W1">
        <v>0</v>
      </c>
      <c r="X1">
        <v>370475345</v>
      </c>
      <c r="Y1">
        <f t="shared" ref="Y1:Y7" si="0">AT1</f>
        <v>13.1</v>
      </c>
      <c r="AA1">
        <v>0</v>
      </c>
      <c r="AB1">
        <v>0</v>
      </c>
      <c r="AC1">
        <v>0</v>
      </c>
      <c r="AD1">
        <v>329.43</v>
      </c>
      <c r="AE1">
        <v>0</v>
      </c>
      <c r="AF1">
        <v>0</v>
      </c>
      <c r="AG1">
        <v>0</v>
      </c>
      <c r="AH1">
        <v>329.43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13.1</v>
      </c>
      <c r="AU1" t="s">
        <v>3</v>
      </c>
      <c r="AV1">
        <v>1</v>
      </c>
      <c r="AW1">
        <v>2</v>
      </c>
      <c r="AX1">
        <v>50838075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4315.5330000000004</v>
      </c>
      <c r="BN1">
        <v>13.1</v>
      </c>
      <c r="BO1">
        <v>0</v>
      </c>
      <c r="BP1">
        <v>1</v>
      </c>
      <c r="BQ1">
        <v>0</v>
      </c>
      <c r="BR1">
        <v>0</v>
      </c>
      <c r="BS1">
        <v>0</v>
      </c>
      <c r="BT1">
        <v>4315.5330000000004</v>
      </c>
      <c r="BU1">
        <v>13.1</v>
      </c>
      <c r="BV1">
        <v>0</v>
      </c>
      <c r="BW1">
        <v>1</v>
      </c>
      <c r="CU1">
        <f>ROUND(AT1*Source!I24*AH1*AL1,2)</f>
        <v>1208.3499999999999</v>
      </c>
      <c r="CV1">
        <f>ROUND(Y1*Source!I24,7)</f>
        <v>3.6680000000000001</v>
      </c>
      <c r="CW1">
        <v>0</v>
      </c>
      <c r="CX1">
        <f>ROUND(Y1*Source!I24,7)</f>
        <v>3.6680000000000001</v>
      </c>
      <c r="CY1">
        <f>AD1</f>
        <v>329.43</v>
      </c>
      <c r="CZ1">
        <f>AH1</f>
        <v>329.43</v>
      </c>
      <c r="DA1">
        <f>AL1</f>
        <v>1</v>
      </c>
      <c r="DB1">
        <f t="shared" ref="DB1:DB7" si="1">ROUND(ROUND(AT1*CZ1,2),6)</f>
        <v>4315.53</v>
      </c>
      <c r="DC1">
        <f t="shared" ref="DC1:DC7" si="2">ROUND(ROUND(AT1*AG1,2),6)</f>
        <v>0</v>
      </c>
      <c r="DD1" t="s">
        <v>3</v>
      </c>
      <c r="DE1" t="s">
        <v>3</v>
      </c>
      <c r="DF1">
        <f t="shared" ref="DF1:DF7" si="3">ROUND(ROUND(AE1,2)*CX1,2)</f>
        <v>0</v>
      </c>
      <c r="DG1">
        <f>ROUND(ROUND(AF1,2)*CX1,2)</f>
        <v>0</v>
      </c>
      <c r="DH1">
        <f t="shared" ref="DH1:DH32" si="4">ROUND(ROUND(AG1,2)*CX1,2)</f>
        <v>0</v>
      </c>
      <c r="DI1">
        <f t="shared" ref="DI1:DI32" si="5">ROUND(ROUND(AH1,2)*CX1,2)</f>
        <v>1208.3499999999999</v>
      </c>
      <c r="DJ1">
        <f>DI1</f>
        <v>1208.3499999999999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>
      <c r="A2">
        <f>ROW(Source!A24)</f>
        <v>24</v>
      </c>
      <c r="B2">
        <v>50837940</v>
      </c>
      <c r="C2">
        <v>50838074</v>
      </c>
      <c r="D2">
        <v>49753052</v>
      </c>
      <c r="E2">
        <v>117</v>
      </c>
      <c r="F2">
        <v>1</v>
      </c>
      <c r="G2">
        <v>1</v>
      </c>
      <c r="H2">
        <v>1</v>
      </c>
      <c r="I2" t="s">
        <v>257</v>
      </c>
      <c r="J2" t="s">
        <v>3</v>
      </c>
      <c r="K2" t="s">
        <v>258</v>
      </c>
      <c r="L2">
        <v>1191</v>
      </c>
      <c r="N2">
        <v>1013</v>
      </c>
      <c r="O2" t="s">
        <v>256</v>
      </c>
      <c r="P2" t="s">
        <v>256</v>
      </c>
      <c r="Q2">
        <v>1</v>
      </c>
      <c r="W2">
        <v>0</v>
      </c>
      <c r="X2">
        <v>-1417349443</v>
      </c>
      <c r="Y2">
        <f t="shared" si="0"/>
        <v>14.3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14.3</v>
      </c>
      <c r="AU2" t="s">
        <v>3</v>
      </c>
      <c r="AV2">
        <v>2</v>
      </c>
      <c r="AW2">
        <v>2</v>
      </c>
      <c r="AX2">
        <v>50838076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4.0039999999999996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>
      <c r="A3">
        <f>ROW(Source!A24)</f>
        <v>24</v>
      </c>
      <c r="B3">
        <v>50837940</v>
      </c>
      <c r="C3">
        <v>50838074</v>
      </c>
      <c r="D3">
        <v>49759581</v>
      </c>
      <c r="E3">
        <v>1</v>
      </c>
      <c r="F3">
        <v>1</v>
      </c>
      <c r="G3">
        <v>1</v>
      </c>
      <c r="H3">
        <v>2</v>
      </c>
      <c r="I3" t="s">
        <v>259</v>
      </c>
      <c r="J3" t="s">
        <v>260</v>
      </c>
      <c r="K3" t="s">
        <v>261</v>
      </c>
      <c r="L3">
        <v>1368</v>
      </c>
      <c r="N3">
        <v>1011</v>
      </c>
      <c r="O3" t="s">
        <v>262</v>
      </c>
      <c r="P3" t="s">
        <v>262</v>
      </c>
      <c r="Q3">
        <v>1</v>
      </c>
      <c r="W3">
        <v>0</v>
      </c>
      <c r="X3">
        <v>843131152</v>
      </c>
      <c r="Y3">
        <f t="shared" si="0"/>
        <v>14.3</v>
      </c>
      <c r="AA3">
        <v>0</v>
      </c>
      <c r="AB3">
        <v>2903.39</v>
      </c>
      <c r="AC3">
        <v>465.43</v>
      </c>
      <c r="AD3">
        <v>0</v>
      </c>
      <c r="AE3">
        <v>0</v>
      </c>
      <c r="AF3">
        <v>2088.77</v>
      </c>
      <c r="AG3">
        <v>465.43</v>
      </c>
      <c r="AH3">
        <v>0</v>
      </c>
      <c r="AI3">
        <v>1</v>
      </c>
      <c r="AJ3">
        <v>1.39</v>
      </c>
      <c r="AK3">
        <v>1</v>
      </c>
      <c r="AL3">
        <v>1</v>
      </c>
      <c r="AM3">
        <v>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14.3</v>
      </c>
      <c r="AU3" t="s">
        <v>3</v>
      </c>
      <c r="AV3">
        <v>1</v>
      </c>
      <c r="AW3">
        <v>2</v>
      </c>
      <c r="AX3">
        <v>50838077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29869.411</v>
      </c>
      <c r="BL3">
        <v>6655.6490000000003</v>
      </c>
      <c r="BM3">
        <v>0</v>
      </c>
      <c r="BN3">
        <v>0</v>
      </c>
      <c r="BO3">
        <v>14.3</v>
      </c>
      <c r="BP3">
        <v>1</v>
      </c>
      <c r="BQ3">
        <v>0</v>
      </c>
      <c r="BR3">
        <v>29869.411</v>
      </c>
      <c r="BS3">
        <v>6655.6490000000003</v>
      </c>
      <c r="BT3">
        <v>0</v>
      </c>
      <c r="BU3">
        <v>0</v>
      </c>
      <c r="BV3">
        <v>14.3</v>
      </c>
      <c r="BW3">
        <v>1</v>
      </c>
      <c r="CV3">
        <v>0</v>
      </c>
      <c r="CW3">
        <f>ROUND(Y3*Source!I24*DO3,7)</f>
        <v>4.0039999999999996</v>
      </c>
      <c r="CX3">
        <f>ROUND(Y3*Source!I24,7)</f>
        <v>4.0039999999999996</v>
      </c>
      <c r="CY3">
        <f>AB3</f>
        <v>2903.39</v>
      </c>
      <c r="CZ3">
        <f>AF3</f>
        <v>2088.77</v>
      </c>
      <c r="DA3">
        <f>AJ3</f>
        <v>1.39</v>
      </c>
      <c r="DB3">
        <f t="shared" si="1"/>
        <v>29869.41</v>
      </c>
      <c r="DC3">
        <f t="shared" si="2"/>
        <v>6655.65</v>
      </c>
      <c r="DD3" t="s">
        <v>3</v>
      </c>
      <c r="DE3" t="s">
        <v>3</v>
      </c>
      <c r="DF3">
        <f t="shared" si="3"/>
        <v>0</v>
      </c>
      <c r="DG3">
        <f>ROUND(ROUND(AF3*AJ3,2)*CX3,2)</f>
        <v>11625.17</v>
      </c>
      <c r="DH3">
        <f t="shared" si="4"/>
        <v>1863.58</v>
      </c>
      <c r="DI3">
        <f t="shared" si="5"/>
        <v>0</v>
      </c>
      <c r="DJ3">
        <f>DG3+DH3</f>
        <v>13488.75</v>
      </c>
      <c r="DK3">
        <v>0</v>
      </c>
      <c r="DL3" t="s">
        <v>263</v>
      </c>
      <c r="DM3">
        <v>5</v>
      </c>
      <c r="DN3" t="s">
        <v>256</v>
      </c>
      <c r="DO3">
        <v>1</v>
      </c>
    </row>
    <row r="4" spans="1:119">
      <c r="A4">
        <f>ROW(Source!A25)</f>
        <v>25</v>
      </c>
      <c r="B4">
        <v>50837940</v>
      </c>
      <c r="C4">
        <v>50838078</v>
      </c>
      <c r="D4">
        <v>49752862</v>
      </c>
      <c r="E4">
        <v>117</v>
      </c>
      <c r="F4">
        <v>1</v>
      </c>
      <c r="G4">
        <v>1</v>
      </c>
      <c r="H4">
        <v>1</v>
      </c>
      <c r="I4" t="s">
        <v>264</v>
      </c>
      <c r="J4" t="s">
        <v>3</v>
      </c>
      <c r="K4" t="s">
        <v>265</v>
      </c>
      <c r="L4">
        <v>1191</v>
      </c>
      <c r="N4">
        <v>1013</v>
      </c>
      <c r="O4" t="s">
        <v>256</v>
      </c>
      <c r="P4" t="s">
        <v>256</v>
      </c>
      <c r="Q4">
        <v>1</v>
      </c>
      <c r="W4">
        <v>0</v>
      </c>
      <c r="X4">
        <v>-1461236815</v>
      </c>
      <c r="Y4">
        <f t="shared" si="0"/>
        <v>2.37</v>
      </c>
      <c r="AA4">
        <v>0</v>
      </c>
      <c r="AB4">
        <v>0</v>
      </c>
      <c r="AC4">
        <v>0</v>
      </c>
      <c r="AD4">
        <v>377.79</v>
      </c>
      <c r="AE4">
        <v>0</v>
      </c>
      <c r="AF4">
        <v>0</v>
      </c>
      <c r="AG4">
        <v>0</v>
      </c>
      <c r="AH4">
        <v>377.79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2.37</v>
      </c>
      <c r="AU4" t="s">
        <v>3</v>
      </c>
      <c r="AV4">
        <v>1</v>
      </c>
      <c r="AW4">
        <v>2</v>
      </c>
      <c r="AX4">
        <v>50838079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895.36230000000012</v>
      </c>
      <c r="BN4">
        <v>2.37</v>
      </c>
      <c r="BO4">
        <v>0</v>
      </c>
      <c r="BP4">
        <v>1</v>
      </c>
      <c r="BQ4">
        <v>0</v>
      </c>
      <c r="BR4">
        <v>0</v>
      </c>
      <c r="BS4">
        <v>0</v>
      </c>
      <c r="BT4">
        <v>895.36230000000012</v>
      </c>
      <c r="BU4">
        <v>2.37</v>
      </c>
      <c r="BV4">
        <v>0</v>
      </c>
      <c r="BW4">
        <v>1</v>
      </c>
      <c r="CU4">
        <f>ROUND(AT4*Source!I25*AH4*AL4,2)</f>
        <v>25070.14</v>
      </c>
      <c r="CV4">
        <f>ROUND(Y4*Source!I25,7)</f>
        <v>66.36</v>
      </c>
      <c r="CW4">
        <v>0</v>
      </c>
      <c r="CX4">
        <f>ROUND(Y4*Source!I25,7)</f>
        <v>66.36</v>
      </c>
      <c r="CY4">
        <f>AD4</f>
        <v>377.79</v>
      </c>
      <c r="CZ4">
        <f>AH4</f>
        <v>377.79</v>
      </c>
      <c r="DA4">
        <f>AL4</f>
        <v>1</v>
      </c>
      <c r="DB4">
        <f t="shared" si="1"/>
        <v>895.36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0</v>
      </c>
      <c r="DH4">
        <f t="shared" si="4"/>
        <v>0</v>
      </c>
      <c r="DI4">
        <f t="shared" si="5"/>
        <v>25070.14</v>
      </c>
      <c r="DJ4">
        <f>DI4</f>
        <v>25070.14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>
      <c r="A5">
        <f>ROW(Source!A25)</f>
        <v>25</v>
      </c>
      <c r="B5">
        <v>50837940</v>
      </c>
      <c r="C5">
        <v>50838078</v>
      </c>
      <c r="D5">
        <v>49753052</v>
      </c>
      <c r="E5">
        <v>117</v>
      </c>
      <c r="F5">
        <v>1</v>
      </c>
      <c r="G5">
        <v>1</v>
      </c>
      <c r="H5">
        <v>1</v>
      </c>
      <c r="I5" t="s">
        <v>257</v>
      </c>
      <c r="J5" t="s">
        <v>3</v>
      </c>
      <c r="K5" t="s">
        <v>258</v>
      </c>
      <c r="L5">
        <v>1191</v>
      </c>
      <c r="N5">
        <v>1013</v>
      </c>
      <c r="O5" t="s">
        <v>256</v>
      </c>
      <c r="P5" t="s">
        <v>256</v>
      </c>
      <c r="Q5">
        <v>1</v>
      </c>
      <c r="W5">
        <v>0</v>
      </c>
      <c r="X5">
        <v>-1417349443</v>
      </c>
      <c r="Y5">
        <f t="shared" si="0"/>
        <v>0.46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M5">
        <v>-2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0.46</v>
      </c>
      <c r="AU5" t="s">
        <v>3</v>
      </c>
      <c r="AV5">
        <v>2</v>
      </c>
      <c r="AW5">
        <v>2</v>
      </c>
      <c r="AX5">
        <v>50838080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V5">
        <v>0</v>
      </c>
      <c r="CW5">
        <v>0</v>
      </c>
      <c r="CX5">
        <f>ROUND(Y5*Source!I25,7)</f>
        <v>12.88</v>
      </c>
      <c r="CY5">
        <f>AD5</f>
        <v>0</v>
      </c>
      <c r="CZ5">
        <f>AH5</f>
        <v>0</v>
      </c>
      <c r="DA5">
        <f>AL5</f>
        <v>1</v>
      </c>
      <c r="DB5">
        <f t="shared" si="1"/>
        <v>0</v>
      </c>
      <c r="DC5">
        <f t="shared" si="2"/>
        <v>0</v>
      </c>
      <c r="DD5" t="s">
        <v>3</v>
      </c>
      <c r="DE5" t="s">
        <v>3</v>
      </c>
      <c r="DF5">
        <f t="shared" si="3"/>
        <v>0</v>
      </c>
      <c r="DG5">
        <f>ROUND(ROUND(AF5,2)*CX5,2)</f>
        <v>0</v>
      </c>
      <c r="DH5">
        <f t="shared" si="4"/>
        <v>0</v>
      </c>
      <c r="DI5">
        <f t="shared" si="5"/>
        <v>0</v>
      </c>
      <c r="DJ5">
        <f>DI5</f>
        <v>0</v>
      </c>
      <c r="DK5">
        <v>0</v>
      </c>
      <c r="DL5" t="s">
        <v>3</v>
      </c>
      <c r="DM5">
        <v>0</v>
      </c>
      <c r="DN5" t="s">
        <v>3</v>
      </c>
      <c r="DO5">
        <v>0</v>
      </c>
    </row>
    <row r="6" spans="1:119">
      <c r="A6">
        <f>ROW(Source!A25)</f>
        <v>25</v>
      </c>
      <c r="B6">
        <v>50837940</v>
      </c>
      <c r="C6">
        <v>50838078</v>
      </c>
      <c r="D6">
        <v>49759250</v>
      </c>
      <c r="E6">
        <v>1</v>
      </c>
      <c r="F6">
        <v>1</v>
      </c>
      <c r="G6">
        <v>1</v>
      </c>
      <c r="H6">
        <v>2</v>
      </c>
      <c r="I6" t="s">
        <v>266</v>
      </c>
      <c r="J6" t="s">
        <v>267</v>
      </c>
      <c r="K6" t="s">
        <v>268</v>
      </c>
      <c r="L6">
        <v>1368</v>
      </c>
      <c r="N6">
        <v>1011</v>
      </c>
      <c r="O6" t="s">
        <v>262</v>
      </c>
      <c r="P6" t="s">
        <v>262</v>
      </c>
      <c r="Q6">
        <v>1</v>
      </c>
      <c r="W6">
        <v>0</v>
      </c>
      <c r="X6">
        <v>1445775709</v>
      </c>
      <c r="Y6">
        <f t="shared" si="0"/>
        <v>0.18</v>
      </c>
      <c r="AA6">
        <v>0</v>
      </c>
      <c r="AB6">
        <v>1192.55</v>
      </c>
      <c r="AC6">
        <v>465.43</v>
      </c>
      <c r="AD6">
        <v>0</v>
      </c>
      <c r="AE6">
        <v>0</v>
      </c>
      <c r="AF6">
        <v>828.16</v>
      </c>
      <c r="AG6">
        <v>465.43</v>
      </c>
      <c r="AH6">
        <v>0</v>
      </c>
      <c r="AI6">
        <v>1</v>
      </c>
      <c r="AJ6">
        <v>1.44</v>
      </c>
      <c r="AK6">
        <v>1</v>
      </c>
      <c r="AL6">
        <v>1</v>
      </c>
      <c r="AM6">
        <v>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0.18</v>
      </c>
      <c r="AU6" t="s">
        <v>3</v>
      </c>
      <c r="AV6">
        <v>1</v>
      </c>
      <c r="AW6">
        <v>2</v>
      </c>
      <c r="AX6">
        <v>50838081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149.06879999999998</v>
      </c>
      <c r="BL6">
        <v>83.7774</v>
      </c>
      <c r="BM6">
        <v>0</v>
      </c>
      <c r="BN6">
        <v>0</v>
      </c>
      <c r="BO6">
        <v>0.18</v>
      </c>
      <c r="BP6">
        <v>1</v>
      </c>
      <c r="BQ6">
        <v>0</v>
      </c>
      <c r="BR6">
        <v>149.06879999999998</v>
      </c>
      <c r="BS6">
        <v>83.7774</v>
      </c>
      <c r="BT6">
        <v>0</v>
      </c>
      <c r="BU6">
        <v>0</v>
      </c>
      <c r="BV6">
        <v>0.18</v>
      </c>
      <c r="BW6">
        <v>1</v>
      </c>
      <c r="CV6">
        <v>0</v>
      </c>
      <c r="CW6">
        <f>ROUND(Y6*Source!I25*DO6,7)</f>
        <v>5.04</v>
      </c>
      <c r="CX6">
        <f>ROUND(Y6*Source!I25,7)</f>
        <v>5.04</v>
      </c>
      <c r="CY6">
        <f>AB6</f>
        <v>1192.55</v>
      </c>
      <c r="CZ6">
        <f>AF6</f>
        <v>828.16</v>
      </c>
      <c r="DA6">
        <f>AJ6</f>
        <v>1.44</v>
      </c>
      <c r="DB6">
        <f t="shared" si="1"/>
        <v>149.07</v>
      </c>
      <c r="DC6">
        <f t="shared" si="2"/>
        <v>83.78</v>
      </c>
      <c r="DD6" t="s">
        <v>3</v>
      </c>
      <c r="DE6" t="s">
        <v>3</v>
      </c>
      <c r="DF6">
        <f t="shared" si="3"/>
        <v>0</v>
      </c>
      <c r="DG6">
        <f>ROUND(ROUND(AF6*AJ6,2)*CX6,2)</f>
        <v>6010.45</v>
      </c>
      <c r="DH6">
        <f t="shared" si="4"/>
        <v>2345.77</v>
      </c>
      <c r="DI6">
        <f t="shared" si="5"/>
        <v>0</v>
      </c>
      <c r="DJ6">
        <f>DG6+DH6</f>
        <v>8356.2199999999993</v>
      </c>
      <c r="DK6">
        <v>0</v>
      </c>
      <c r="DL6" t="s">
        <v>263</v>
      </c>
      <c r="DM6">
        <v>5</v>
      </c>
      <c r="DN6" t="s">
        <v>256</v>
      </c>
      <c r="DO6">
        <v>1</v>
      </c>
    </row>
    <row r="7" spans="1:119">
      <c r="A7">
        <f>ROW(Source!A25)</f>
        <v>25</v>
      </c>
      <c r="B7">
        <v>50837940</v>
      </c>
      <c r="C7">
        <v>50838078</v>
      </c>
      <c r="D7">
        <v>49759582</v>
      </c>
      <c r="E7">
        <v>1</v>
      </c>
      <c r="F7">
        <v>1</v>
      </c>
      <c r="G7">
        <v>1</v>
      </c>
      <c r="H7">
        <v>2</v>
      </c>
      <c r="I7" t="s">
        <v>269</v>
      </c>
      <c r="J7" t="s">
        <v>270</v>
      </c>
      <c r="K7" t="s">
        <v>271</v>
      </c>
      <c r="L7">
        <v>1368</v>
      </c>
      <c r="N7">
        <v>1011</v>
      </c>
      <c r="O7" t="s">
        <v>262</v>
      </c>
      <c r="P7" t="s">
        <v>262</v>
      </c>
      <c r="Q7">
        <v>1</v>
      </c>
      <c r="W7">
        <v>0</v>
      </c>
      <c r="X7">
        <v>-1406395201</v>
      </c>
      <c r="Y7">
        <f t="shared" si="0"/>
        <v>0.28000000000000003</v>
      </c>
      <c r="AA7">
        <v>0</v>
      </c>
      <c r="AB7">
        <v>1100.3</v>
      </c>
      <c r="AC7">
        <v>465.43</v>
      </c>
      <c r="AD7">
        <v>0</v>
      </c>
      <c r="AE7">
        <v>0</v>
      </c>
      <c r="AF7">
        <v>774.86</v>
      </c>
      <c r="AG7">
        <v>465.43</v>
      </c>
      <c r="AH7">
        <v>0</v>
      </c>
      <c r="AI7">
        <v>1</v>
      </c>
      <c r="AJ7">
        <v>1.42</v>
      </c>
      <c r="AK7">
        <v>1</v>
      </c>
      <c r="AL7">
        <v>1</v>
      </c>
      <c r="AM7">
        <v>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0.28000000000000003</v>
      </c>
      <c r="AU7" t="s">
        <v>3</v>
      </c>
      <c r="AV7">
        <v>1</v>
      </c>
      <c r="AW7">
        <v>2</v>
      </c>
      <c r="AX7">
        <v>50838082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216.96080000000003</v>
      </c>
      <c r="BL7">
        <v>130.32040000000001</v>
      </c>
      <c r="BM7">
        <v>0</v>
      </c>
      <c r="BN7">
        <v>0</v>
      </c>
      <c r="BO7">
        <v>0.28000000000000003</v>
      </c>
      <c r="BP7">
        <v>1</v>
      </c>
      <c r="BQ7">
        <v>0</v>
      </c>
      <c r="BR7">
        <v>216.96080000000003</v>
      </c>
      <c r="BS7">
        <v>130.32040000000001</v>
      </c>
      <c r="BT7">
        <v>0</v>
      </c>
      <c r="BU7">
        <v>0</v>
      </c>
      <c r="BV7">
        <v>0.28000000000000003</v>
      </c>
      <c r="BW7">
        <v>1</v>
      </c>
      <c r="CV7">
        <v>0</v>
      </c>
      <c r="CW7">
        <f>ROUND(Y7*Source!I25*DO7,7)</f>
        <v>7.84</v>
      </c>
      <c r="CX7">
        <f>ROUND(Y7*Source!I25,7)</f>
        <v>7.84</v>
      </c>
      <c r="CY7">
        <f>AB7</f>
        <v>1100.3</v>
      </c>
      <c r="CZ7">
        <f>AF7</f>
        <v>774.86</v>
      </c>
      <c r="DA7">
        <f>AJ7</f>
        <v>1.42</v>
      </c>
      <c r="DB7">
        <f t="shared" si="1"/>
        <v>216.96</v>
      </c>
      <c r="DC7">
        <f t="shared" si="2"/>
        <v>130.32</v>
      </c>
      <c r="DD7" t="s">
        <v>3</v>
      </c>
      <c r="DE7" t="s">
        <v>3</v>
      </c>
      <c r="DF7">
        <f t="shared" si="3"/>
        <v>0</v>
      </c>
      <c r="DG7">
        <f>ROUND(ROUND(AF7*AJ7,2)*CX7,2)</f>
        <v>8626.35</v>
      </c>
      <c r="DH7">
        <f t="shared" si="4"/>
        <v>3648.97</v>
      </c>
      <c r="DI7">
        <f t="shared" si="5"/>
        <v>0</v>
      </c>
      <c r="DJ7">
        <f>DG7+DH7</f>
        <v>12275.32</v>
      </c>
      <c r="DK7">
        <v>0</v>
      </c>
      <c r="DL7" t="s">
        <v>263</v>
      </c>
      <c r="DM7">
        <v>5</v>
      </c>
      <c r="DN7" t="s">
        <v>256</v>
      </c>
      <c r="DO7">
        <v>1</v>
      </c>
    </row>
    <row r="8" spans="1:119">
      <c r="A8">
        <f>ROW(Source!A25)</f>
        <v>25</v>
      </c>
      <c r="B8">
        <v>50837940</v>
      </c>
      <c r="C8">
        <v>50838078</v>
      </c>
      <c r="D8">
        <v>49831750</v>
      </c>
      <c r="E8">
        <v>1</v>
      </c>
      <c r="F8">
        <v>1</v>
      </c>
      <c r="G8">
        <v>1</v>
      </c>
      <c r="H8">
        <v>3</v>
      </c>
      <c r="I8" t="s">
        <v>272</v>
      </c>
      <c r="J8" t="s">
        <v>273</v>
      </c>
      <c r="K8" t="s">
        <v>274</v>
      </c>
      <c r="L8">
        <v>1348</v>
      </c>
      <c r="N8">
        <v>1009</v>
      </c>
      <c r="O8" t="s">
        <v>275</v>
      </c>
      <c r="P8" t="s">
        <v>275</v>
      </c>
      <c r="Q8">
        <v>1000</v>
      </c>
      <c r="W8">
        <v>0</v>
      </c>
      <c r="X8">
        <v>852944282</v>
      </c>
      <c r="Y8">
        <f t="shared" ref="Y8:Y13" si="6">(AT8*ROUND(0,7))</f>
        <v>0</v>
      </c>
      <c r="AA8">
        <v>90571.14</v>
      </c>
      <c r="AB8">
        <v>0</v>
      </c>
      <c r="AC8">
        <v>0</v>
      </c>
      <c r="AD8">
        <v>0</v>
      </c>
      <c r="AE8">
        <v>76110.2</v>
      </c>
      <c r="AF8">
        <v>0</v>
      </c>
      <c r="AG8">
        <v>0</v>
      </c>
      <c r="AH8">
        <v>0</v>
      </c>
      <c r="AI8">
        <v>1.19</v>
      </c>
      <c r="AJ8">
        <v>1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4.0000000000000003E-5</v>
      </c>
      <c r="AU8" t="s">
        <v>32</v>
      </c>
      <c r="AV8">
        <v>0</v>
      </c>
      <c r="AW8">
        <v>2</v>
      </c>
      <c r="AX8">
        <v>50838083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3.0444080000000002</v>
      </c>
      <c r="BK8">
        <v>0</v>
      </c>
      <c r="BL8">
        <v>0</v>
      </c>
      <c r="BM8">
        <v>0</v>
      </c>
      <c r="BN8">
        <v>0</v>
      </c>
      <c r="BO8">
        <v>0</v>
      </c>
      <c r="BP8">
        <v>1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V8">
        <v>0</v>
      </c>
      <c r="CW8">
        <v>0</v>
      </c>
      <c r="CX8">
        <f>ROUND(Y8*Source!I25,7)</f>
        <v>0</v>
      </c>
      <c r="CY8">
        <f t="shared" ref="CY8:CY13" si="7">AA8</f>
        <v>90571.14</v>
      </c>
      <c r="CZ8">
        <f t="shared" ref="CZ8:CZ13" si="8">AE8</f>
        <v>76110.2</v>
      </c>
      <c r="DA8">
        <f t="shared" ref="DA8:DA13" si="9">AI8</f>
        <v>1.19</v>
      </c>
      <c r="DB8">
        <f t="shared" ref="DB8:DB13" si="10">ROUND((ROUND(AT8*CZ8,2)*ROUND(0,7)),6)</f>
        <v>0</v>
      </c>
      <c r="DC8">
        <f t="shared" ref="DC8:DC13" si="11">ROUND((ROUND(AT8*AG8,2)*ROUND(0,7)),6)</f>
        <v>0</v>
      </c>
      <c r="DD8" t="s">
        <v>3</v>
      </c>
      <c r="DE8" t="s">
        <v>3</v>
      </c>
      <c r="DF8">
        <f>ROUND(ROUND(AE8*AI8,2)*CX8,2)</f>
        <v>0</v>
      </c>
      <c r="DG8">
        <f t="shared" ref="DG8:DG16" si="12">ROUND(ROUND(AF8,2)*CX8,2)</f>
        <v>0</v>
      </c>
      <c r="DH8">
        <f t="shared" si="4"/>
        <v>0</v>
      </c>
      <c r="DI8">
        <f t="shared" si="5"/>
        <v>0</v>
      </c>
      <c r="DJ8">
        <f t="shared" ref="DJ8:DJ13" si="13">DF8</f>
        <v>0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>
      <c r="A9">
        <f>ROW(Source!A25)</f>
        <v>25</v>
      </c>
      <c r="B9">
        <v>50837940</v>
      </c>
      <c r="C9">
        <v>50838078</v>
      </c>
      <c r="D9">
        <v>49832898</v>
      </c>
      <c r="E9">
        <v>1</v>
      </c>
      <c r="F9">
        <v>1</v>
      </c>
      <c r="G9">
        <v>1</v>
      </c>
      <c r="H9">
        <v>3</v>
      </c>
      <c r="I9" t="s">
        <v>276</v>
      </c>
      <c r="J9" t="s">
        <v>277</v>
      </c>
      <c r="K9" t="s">
        <v>278</v>
      </c>
      <c r="L9">
        <v>1346</v>
      </c>
      <c r="N9">
        <v>1009</v>
      </c>
      <c r="O9" t="s">
        <v>85</v>
      </c>
      <c r="P9" t="s">
        <v>85</v>
      </c>
      <c r="Q9">
        <v>1</v>
      </c>
      <c r="W9">
        <v>0</v>
      </c>
      <c r="X9">
        <v>-373327139</v>
      </c>
      <c r="Y9">
        <f t="shared" si="6"/>
        <v>0</v>
      </c>
      <c r="AA9">
        <v>89.21</v>
      </c>
      <c r="AB9">
        <v>0</v>
      </c>
      <c r="AC9">
        <v>0</v>
      </c>
      <c r="AD9">
        <v>0</v>
      </c>
      <c r="AE9">
        <v>56.11</v>
      </c>
      <c r="AF9">
        <v>0</v>
      </c>
      <c r="AG9">
        <v>0</v>
      </c>
      <c r="AH9">
        <v>0</v>
      </c>
      <c r="AI9">
        <v>1.59</v>
      </c>
      <c r="AJ9">
        <v>1</v>
      </c>
      <c r="AK9">
        <v>1</v>
      </c>
      <c r="AL9">
        <v>1</v>
      </c>
      <c r="AM9">
        <v>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6.1999999999999998E-3</v>
      </c>
      <c r="AU9" t="s">
        <v>32</v>
      </c>
      <c r="AV9">
        <v>0</v>
      </c>
      <c r="AW9">
        <v>2</v>
      </c>
      <c r="AX9">
        <v>50838084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0.34788199999999997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V9">
        <v>0</v>
      </c>
      <c r="CW9">
        <v>0</v>
      </c>
      <c r="CX9">
        <f>ROUND(Y9*Source!I25,7)</f>
        <v>0</v>
      </c>
      <c r="CY9">
        <f t="shared" si="7"/>
        <v>89.21</v>
      </c>
      <c r="CZ9">
        <f t="shared" si="8"/>
        <v>56.11</v>
      </c>
      <c r="DA9">
        <f t="shared" si="9"/>
        <v>1.59</v>
      </c>
      <c r="DB9">
        <f t="shared" si="10"/>
        <v>0</v>
      </c>
      <c r="DC9">
        <f t="shared" si="11"/>
        <v>0</v>
      </c>
      <c r="DD9" t="s">
        <v>3</v>
      </c>
      <c r="DE9" t="s">
        <v>3</v>
      </c>
      <c r="DF9">
        <f>ROUND(ROUND(AE9*AI9,2)*CX9,2)</f>
        <v>0</v>
      </c>
      <c r="DG9">
        <f t="shared" si="12"/>
        <v>0</v>
      </c>
      <c r="DH9">
        <f t="shared" si="4"/>
        <v>0</v>
      </c>
      <c r="DI9">
        <f t="shared" si="5"/>
        <v>0</v>
      </c>
      <c r="DJ9">
        <f t="shared" si="13"/>
        <v>0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>
      <c r="A10">
        <f>ROW(Source!A25)</f>
        <v>25</v>
      </c>
      <c r="B10">
        <v>50837940</v>
      </c>
      <c r="C10">
        <v>50838078</v>
      </c>
      <c r="D10">
        <v>49756009</v>
      </c>
      <c r="E10">
        <v>117</v>
      </c>
      <c r="F10">
        <v>1</v>
      </c>
      <c r="G10">
        <v>1</v>
      </c>
      <c r="H10">
        <v>3</v>
      </c>
      <c r="I10" t="s">
        <v>40</v>
      </c>
      <c r="J10" t="s">
        <v>3</v>
      </c>
      <c r="K10" t="s">
        <v>41</v>
      </c>
      <c r="L10">
        <v>1371</v>
      </c>
      <c r="N10">
        <v>1013</v>
      </c>
      <c r="O10" t="s">
        <v>30</v>
      </c>
      <c r="P10" t="s">
        <v>30</v>
      </c>
      <c r="Q10">
        <v>1</v>
      </c>
      <c r="W10">
        <v>0</v>
      </c>
      <c r="X10">
        <v>-54740772</v>
      </c>
      <c r="Y10">
        <f t="shared" si="6"/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M10">
        <v>0</v>
      </c>
      <c r="AN10">
        <v>0</v>
      </c>
      <c r="AO10">
        <v>0</v>
      </c>
      <c r="AP10">
        <v>1</v>
      </c>
      <c r="AQ10">
        <v>0</v>
      </c>
      <c r="AR10">
        <v>0</v>
      </c>
      <c r="AS10" t="s">
        <v>3</v>
      </c>
      <c r="AT10">
        <v>1</v>
      </c>
      <c r="AU10" t="s">
        <v>32</v>
      </c>
      <c r="AV10">
        <v>0</v>
      </c>
      <c r="AW10">
        <v>2</v>
      </c>
      <c r="AX10">
        <v>50838085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V10">
        <v>0</v>
      </c>
      <c r="CW10">
        <v>0</v>
      </c>
      <c r="CX10">
        <f>ROUND(Y10*Source!I25,7)</f>
        <v>0</v>
      </c>
      <c r="CY10">
        <f t="shared" si="7"/>
        <v>0</v>
      </c>
      <c r="CZ10">
        <f t="shared" si="8"/>
        <v>0</v>
      </c>
      <c r="DA10">
        <f t="shared" si="9"/>
        <v>1</v>
      </c>
      <c r="DB10">
        <f t="shared" si="10"/>
        <v>0</v>
      </c>
      <c r="DC10">
        <f t="shared" si="11"/>
        <v>0</v>
      </c>
      <c r="DD10" t="s">
        <v>3</v>
      </c>
      <c r="DE10" t="s">
        <v>3</v>
      </c>
      <c r="DF10">
        <f>ROUND(ROUND(AE10,2)*CX10,2)</f>
        <v>0</v>
      </c>
      <c r="DG10">
        <f t="shared" si="12"/>
        <v>0</v>
      </c>
      <c r="DH10">
        <f t="shared" si="4"/>
        <v>0</v>
      </c>
      <c r="DI10">
        <f t="shared" si="5"/>
        <v>0</v>
      </c>
      <c r="DJ10">
        <f t="shared" si="13"/>
        <v>0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>
      <c r="A11">
        <f>ROW(Source!A25)</f>
        <v>25</v>
      </c>
      <c r="B11">
        <v>50837940</v>
      </c>
      <c r="C11">
        <v>50838078</v>
      </c>
      <c r="D11">
        <v>49842138</v>
      </c>
      <c r="E11">
        <v>1</v>
      </c>
      <c r="F11">
        <v>1</v>
      </c>
      <c r="G11">
        <v>1</v>
      </c>
      <c r="H11">
        <v>3</v>
      </c>
      <c r="I11" t="s">
        <v>279</v>
      </c>
      <c r="J11" t="s">
        <v>280</v>
      </c>
      <c r="K11" t="s">
        <v>281</v>
      </c>
      <c r="L11">
        <v>1339</v>
      </c>
      <c r="N11">
        <v>1007</v>
      </c>
      <c r="O11" t="s">
        <v>73</v>
      </c>
      <c r="P11" t="s">
        <v>73</v>
      </c>
      <c r="Q11">
        <v>1</v>
      </c>
      <c r="W11">
        <v>0</v>
      </c>
      <c r="X11">
        <v>-1366764304</v>
      </c>
      <c r="Y11">
        <f t="shared" si="6"/>
        <v>0</v>
      </c>
      <c r="AA11">
        <v>8185.48</v>
      </c>
      <c r="AB11">
        <v>0</v>
      </c>
      <c r="AC11">
        <v>0</v>
      </c>
      <c r="AD11">
        <v>0</v>
      </c>
      <c r="AE11">
        <v>5764.42</v>
      </c>
      <c r="AF11">
        <v>0</v>
      </c>
      <c r="AG11">
        <v>0</v>
      </c>
      <c r="AH11">
        <v>0</v>
      </c>
      <c r="AI11">
        <v>1.42</v>
      </c>
      <c r="AJ11">
        <v>1</v>
      </c>
      <c r="AK11">
        <v>1</v>
      </c>
      <c r="AL11">
        <v>1</v>
      </c>
      <c r="AM11">
        <v>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5.0000000000000002E-5</v>
      </c>
      <c r="AU11" t="s">
        <v>32</v>
      </c>
      <c r="AV11">
        <v>0</v>
      </c>
      <c r="AW11">
        <v>2</v>
      </c>
      <c r="AX11">
        <v>50838086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0.288221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ROUND(Y11*Source!I25,7)</f>
        <v>0</v>
      </c>
      <c r="CY11">
        <f t="shared" si="7"/>
        <v>8185.48</v>
      </c>
      <c r="CZ11">
        <f t="shared" si="8"/>
        <v>5764.42</v>
      </c>
      <c r="DA11">
        <f t="shared" si="9"/>
        <v>1.42</v>
      </c>
      <c r="DB11">
        <f t="shared" si="10"/>
        <v>0</v>
      </c>
      <c r="DC11">
        <f t="shared" si="11"/>
        <v>0</v>
      </c>
      <c r="DD11" t="s">
        <v>3</v>
      </c>
      <c r="DE11" t="s">
        <v>3</v>
      </c>
      <c r="DF11">
        <f>ROUND(ROUND(AE11*AI11,2)*CX11,2)</f>
        <v>0</v>
      </c>
      <c r="DG11">
        <f t="shared" si="12"/>
        <v>0</v>
      </c>
      <c r="DH11">
        <f t="shared" si="4"/>
        <v>0</v>
      </c>
      <c r="DI11">
        <f t="shared" si="5"/>
        <v>0</v>
      </c>
      <c r="DJ11">
        <f t="shared" si="13"/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>
      <c r="A12">
        <f>ROW(Source!A25)</f>
        <v>25</v>
      </c>
      <c r="B12">
        <v>50837940</v>
      </c>
      <c r="C12">
        <v>50838078</v>
      </c>
      <c r="D12">
        <v>49851904</v>
      </c>
      <c r="E12">
        <v>1</v>
      </c>
      <c r="F12">
        <v>1</v>
      </c>
      <c r="G12">
        <v>1</v>
      </c>
      <c r="H12">
        <v>3</v>
      </c>
      <c r="I12" t="s">
        <v>282</v>
      </c>
      <c r="J12" t="s">
        <v>283</v>
      </c>
      <c r="K12" t="s">
        <v>284</v>
      </c>
      <c r="L12">
        <v>1346</v>
      </c>
      <c r="N12">
        <v>1009</v>
      </c>
      <c r="O12" t="s">
        <v>85</v>
      </c>
      <c r="P12" t="s">
        <v>85</v>
      </c>
      <c r="Q12">
        <v>1</v>
      </c>
      <c r="W12">
        <v>0</v>
      </c>
      <c r="X12">
        <v>1157836156</v>
      </c>
      <c r="Y12">
        <f t="shared" si="6"/>
        <v>0</v>
      </c>
      <c r="AA12">
        <v>106.01</v>
      </c>
      <c r="AB12">
        <v>0</v>
      </c>
      <c r="AC12">
        <v>0</v>
      </c>
      <c r="AD12">
        <v>0</v>
      </c>
      <c r="AE12">
        <v>61.28</v>
      </c>
      <c r="AF12">
        <v>0</v>
      </c>
      <c r="AG12">
        <v>0</v>
      </c>
      <c r="AH12">
        <v>0</v>
      </c>
      <c r="AI12">
        <v>1.73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0.05</v>
      </c>
      <c r="AU12" t="s">
        <v>32</v>
      </c>
      <c r="AV12">
        <v>0</v>
      </c>
      <c r="AW12">
        <v>2</v>
      </c>
      <c r="AX12">
        <v>50838087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3.0640000000000001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ROUND(Y12*Source!I25,7)</f>
        <v>0</v>
      </c>
      <c r="CY12">
        <f t="shared" si="7"/>
        <v>106.01</v>
      </c>
      <c r="CZ12">
        <f t="shared" si="8"/>
        <v>61.28</v>
      </c>
      <c r="DA12">
        <f t="shared" si="9"/>
        <v>1.73</v>
      </c>
      <c r="DB12">
        <f t="shared" si="10"/>
        <v>0</v>
      </c>
      <c r="DC12">
        <f t="shared" si="11"/>
        <v>0</v>
      </c>
      <c r="DD12" t="s">
        <v>3</v>
      </c>
      <c r="DE12" t="s">
        <v>3</v>
      </c>
      <c r="DF12">
        <f>ROUND(ROUND(AE12*AI12,2)*CX12,2)</f>
        <v>0</v>
      </c>
      <c r="DG12">
        <f t="shared" si="12"/>
        <v>0</v>
      </c>
      <c r="DH12">
        <f t="shared" si="4"/>
        <v>0</v>
      </c>
      <c r="DI12">
        <f t="shared" si="5"/>
        <v>0</v>
      </c>
      <c r="DJ12">
        <f t="shared" si="13"/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>
      <c r="A13">
        <f>ROW(Source!A25)</f>
        <v>25</v>
      </c>
      <c r="B13">
        <v>50837940</v>
      </c>
      <c r="C13">
        <v>50838078</v>
      </c>
      <c r="D13">
        <v>49852204</v>
      </c>
      <c r="E13">
        <v>1</v>
      </c>
      <c r="F13">
        <v>1</v>
      </c>
      <c r="G13">
        <v>1</v>
      </c>
      <c r="H13">
        <v>3</v>
      </c>
      <c r="I13" t="s">
        <v>285</v>
      </c>
      <c r="J13" t="s">
        <v>286</v>
      </c>
      <c r="K13" t="s">
        <v>287</v>
      </c>
      <c r="L13">
        <v>1348</v>
      </c>
      <c r="N13">
        <v>1009</v>
      </c>
      <c r="O13" t="s">
        <v>275</v>
      </c>
      <c r="P13" t="s">
        <v>275</v>
      </c>
      <c r="Q13">
        <v>1000</v>
      </c>
      <c r="W13">
        <v>0</v>
      </c>
      <c r="X13">
        <v>-1062720980</v>
      </c>
      <c r="Y13">
        <f t="shared" si="6"/>
        <v>0</v>
      </c>
      <c r="AA13">
        <v>78009.23</v>
      </c>
      <c r="AB13">
        <v>0</v>
      </c>
      <c r="AC13">
        <v>0</v>
      </c>
      <c r="AD13">
        <v>0</v>
      </c>
      <c r="AE13">
        <v>65007.69</v>
      </c>
      <c r="AF13">
        <v>0</v>
      </c>
      <c r="AG13">
        <v>0</v>
      </c>
      <c r="AH13">
        <v>0</v>
      </c>
      <c r="AI13">
        <v>1.2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3.0000000000000001E-5</v>
      </c>
      <c r="AU13" t="s">
        <v>32</v>
      </c>
      <c r="AV13">
        <v>0</v>
      </c>
      <c r="AW13">
        <v>2</v>
      </c>
      <c r="AX13">
        <v>50838088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1.9502307000000001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V13">
        <v>0</v>
      </c>
      <c r="CW13">
        <v>0</v>
      </c>
      <c r="CX13">
        <f>ROUND(Y13*Source!I25,7)</f>
        <v>0</v>
      </c>
      <c r="CY13">
        <f t="shared" si="7"/>
        <v>78009.23</v>
      </c>
      <c r="CZ13">
        <f t="shared" si="8"/>
        <v>65007.69</v>
      </c>
      <c r="DA13">
        <f t="shared" si="9"/>
        <v>1.2</v>
      </c>
      <c r="DB13">
        <f t="shared" si="10"/>
        <v>0</v>
      </c>
      <c r="DC13">
        <f t="shared" si="11"/>
        <v>0</v>
      </c>
      <c r="DD13" t="s">
        <v>3</v>
      </c>
      <c r="DE13" t="s">
        <v>3</v>
      </c>
      <c r="DF13">
        <f>ROUND(ROUND(AE13*AI13,2)*CX13,2)</f>
        <v>0</v>
      </c>
      <c r="DG13">
        <f t="shared" si="12"/>
        <v>0</v>
      </c>
      <c r="DH13">
        <f t="shared" si="4"/>
        <v>0</v>
      </c>
      <c r="DI13">
        <f t="shared" si="5"/>
        <v>0</v>
      </c>
      <c r="DJ13">
        <f t="shared" si="13"/>
        <v>0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>
      <c r="A14">
        <f>ROW(Source!A27)</f>
        <v>27</v>
      </c>
      <c r="B14">
        <v>50837940</v>
      </c>
      <c r="C14">
        <v>50838090</v>
      </c>
      <c r="D14">
        <v>49752835</v>
      </c>
      <c r="E14">
        <v>117</v>
      </c>
      <c r="F14">
        <v>1</v>
      </c>
      <c r="G14">
        <v>1</v>
      </c>
      <c r="H14">
        <v>1</v>
      </c>
      <c r="I14" t="s">
        <v>288</v>
      </c>
      <c r="J14" t="s">
        <v>3</v>
      </c>
      <c r="K14" t="s">
        <v>289</v>
      </c>
      <c r="L14">
        <v>1191</v>
      </c>
      <c r="N14">
        <v>1013</v>
      </c>
      <c r="O14" t="s">
        <v>256</v>
      </c>
      <c r="P14" t="s">
        <v>256</v>
      </c>
      <c r="Q14">
        <v>1</v>
      </c>
      <c r="W14">
        <v>0</v>
      </c>
      <c r="X14">
        <v>-1991603921</v>
      </c>
      <c r="Y14">
        <f t="shared" ref="Y14:Y29" si="14">AT14</f>
        <v>0.2</v>
      </c>
      <c r="AA14">
        <v>0</v>
      </c>
      <c r="AB14">
        <v>0</v>
      </c>
      <c r="AC14">
        <v>0</v>
      </c>
      <c r="AD14">
        <v>344.54</v>
      </c>
      <c r="AE14">
        <v>0</v>
      </c>
      <c r="AF14">
        <v>0</v>
      </c>
      <c r="AG14">
        <v>0</v>
      </c>
      <c r="AH14">
        <v>344.54</v>
      </c>
      <c r="AI14">
        <v>1</v>
      </c>
      <c r="AJ14">
        <v>1</v>
      </c>
      <c r="AK14">
        <v>1</v>
      </c>
      <c r="AL14">
        <v>1</v>
      </c>
      <c r="AM14">
        <v>-2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0.2</v>
      </c>
      <c r="AU14" t="s">
        <v>3</v>
      </c>
      <c r="AV14">
        <v>1</v>
      </c>
      <c r="AW14">
        <v>2</v>
      </c>
      <c r="AX14">
        <v>50838091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68.908000000000001</v>
      </c>
      <c r="BN14">
        <v>0.2</v>
      </c>
      <c r="BO14">
        <v>0</v>
      </c>
      <c r="BP14">
        <v>1</v>
      </c>
      <c r="BQ14">
        <v>0</v>
      </c>
      <c r="BR14">
        <v>0</v>
      </c>
      <c r="BS14">
        <v>0</v>
      </c>
      <c r="BT14">
        <v>68.908000000000001</v>
      </c>
      <c r="BU14">
        <v>0.2</v>
      </c>
      <c r="BV14">
        <v>0</v>
      </c>
      <c r="BW14">
        <v>1</v>
      </c>
      <c r="CU14">
        <f>ROUND(AT14*Source!I27*AH14*AL14,2)</f>
        <v>1929.42</v>
      </c>
      <c r="CV14">
        <f>ROUND(Y14*Source!I27,7)</f>
        <v>5.6</v>
      </c>
      <c r="CW14">
        <v>0</v>
      </c>
      <c r="CX14">
        <f>ROUND(Y14*Source!I27,7)</f>
        <v>5.6</v>
      </c>
      <c r="CY14">
        <f>AD14</f>
        <v>344.54</v>
      </c>
      <c r="CZ14">
        <f>AH14</f>
        <v>344.54</v>
      </c>
      <c r="DA14">
        <f>AL14</f>
        <v>1</v>
      </c>
      <c r="DB14">
        <f t="shared" ref="DB14:DB29" si="15">ROUND(ROUND(AT14*CZ14,2),6)</f>
        <v>68.91</v>
      </c>
      <c r="DC14">
        <f t="shared" ref="DC14:DC29" si="16">ROUND(ROUND(AT14*AG14,2),6)</f>
        <v>0</v>
      </c>
      <c r="DD14" t="s">
        <v>3</v>
      </c>
      <c r="DE14" t="s">
        <v>3</v>
      </c>
      <c r="DF14">
        <f t="shared" ref="DF14:DF30" si="17">ROUND(ROUND(AE14,2)*CX14,2)</f>
        <v>0</v>
      </c>
      <c r="DG14">
        <f t="shared" si="12"/>
        <v>0</v>
      </c>
      <c r="DH14">
        <f t="shared" si="4"/>
        <v>0</v>
      </c>
      <c r="DI14">
        <f t="shared" si="5"/>
        <v>1929.42</v>
      </c>
      <c r="DJ14">
        <f>DI14</f>
        <v>1929.42</v>
      </c>
      <c r="DK14">
        <v>1</v>
      </c>
      <c r="DL14" t="s">
        <v>3</v>
      </c>
      <c r="DM14">
        <v>0</v>
      </c>
      <c r="DN14" t="s">
        <v>3</v>
      </c>
      <c r="DO14">
        <v>0</v>
      </c>
    </row>
    <row r="15" spans="1:119">
      <c r="A15">
        <f>ROW(Source!A27)</f>
        <v>27</v>
      </c>
      <c r="B15">
        <v>50837940</v>
      </c>
      <c r="C15">
        <v>50838090</v>
      </c>
      <c r="D15">
        <v>49753052</v>
      </c>
      <c r="E15">
        <v>117</v>
      </c>
      <c r="F15">
        <v>1</v>
      </c>
      <c r="G15">
        <v>1</v>
      </c>
      <c r="H15">
        <v>1</v>
      </c>
      <c r="I15" t="s">
        <v>257</v>
      </c>
      <c r="J15" t="s">
        <v>3</v>
      </c>
      <c r="K15" t="s">
        <v>258</v>
      </c>
      <c r="L15">
        <v>1191</v>
      </c>
      <c r="N15">
        <v>1013</v>
      </c>
      <c r="O15" t="s">
        <v>256</v>
      </c>
      <c r="P15" t="s">
        <v>256</v>
      </c>
      <c r="Q15">
        <v>1</v>
      </c>
      <c r="W15">
        <v>0</v>
      </c>
      <c r="X15">
        <v>-1417349443</v>
      </c>
      <c r="Y15">
        <f t="shared" si="14"/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0.11</v>
      </c>
      <c r="AU15" t="s">
        <v>3</v>
      </c>
      <c r="AV15">
        <v>2</v>
      </c>
      <c r="AW15">
        <v>2</v>
      </c>
      <c r="AX15">
        <v>50838092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V15">
        <v>0</v>
      </c>
      <c r="CW15">
        <v>0</v>
      </c>
      <c r="CX15">
        <f>ROUND(Y15*Source!I27,7)</f>
        <v>3.08</v>
      </c>
      <c r="CY15">
        <f>AD15</f>
        <v>0</v>
      </c>
      <c r="CZ15">
        <f>AH15</f>
        <v>0</v>
      </c>
      <c r="DA15">
        <f>AL15</f>
        <v>1</v>
      </c>
      <c r="DB15">
        <f t="shared" si="15"/>
        <v>0</v>
      </c>
      <c r="DC15">
        <f t="shared" si="16"/>
        <v>0</v>
      </c>
      <c r="DD15" t="s">
        <v>3</v>
      </c>
      <c r="DE15" t="s">
        <v>3</v>
      </c>
      <c r="DF15">
        <f t="shared" si="17"/>
        <v>0</v>
      </c>
      <c r="DG15">
        <f t="shared" si="12"/>
        <v>0</v>
      </c>
      <c r="DH15">
        <f t="shared" si="4"/>
        <v>0</v>
      </c>
      <c r="DI15">
        <f t="shared" si="5"/>
        <v>0</v>
      </c>
      <c r="DJ15">
        <f>DI15</f>
        <v>0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>
      <c r="A16">
        <f>ROW(Source!A27)</f>
        <v>27</v>
      </c>
      <c r="B16">
        <v>50837940</v>
      </c>
      <c r="C16">
        <v>50838090</v>
      </c>
      <c r="D16">
        <v>49760674</v>
      </c>
      <c r="E16">
        <v>1</v>
      </c>
      <c r="F16">
        <v>1</v>
      </c>
      <c r="G16">
        <v>1</v>
      </c>
      <c r="H16">
        <v>2</v>
      </c>
      <c r="I16" t="s">
        <v>290</v>
      </c>
      <c r="J16" t="s">
        <v>291</v>
      </c>
      <c r="K16" t="s">
        <v>292</v>
      </c>
      <c r="L16">
        <v>1368</v>
      </c>
      <c r="N16">
        <v>1011</v>
      </c>
      <c r="O16" t="s">
        <v>262</v>
      </c>
      <c r="P16" t="s">
        <v>262</v>
      </c>
      <c r="Q16">
        <v>1</v>
      </c>
      <c r="W16">
        <v>0</v>
      </c>
      <c r="X16">
        <v>1256142057</v>
      </c>
      <c r="Y16">
        <f t="shared" si="14"/>
        <v>0.11</v>
      </c>
      <c r="AA16">
        <v>0</v>
      </c>
      <c r="AB16">
        <v>14.59</v>
      </c>
      <c r="AC16">
        <v>0</v>
      </c>
      <c r="AD16">
        <v>0</v>
      </c>
      <c r="AE16">
        <v>0</v>
      </c>
      <c r="AF16">
        <v>14.59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0.11</v>
      </c>
      <c r="AU16" t="s">
        <v>3</v>
      </c>
      <c r="AV16">
        <v>1</v>
      </c>
      <c r="AW16">
        <v>2</v>
      </c>
      <c r="AX16">
        <v>50838093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1.6049</v>
      </c>
      <c r="BL16">
        <v>0</v>
      </c>
      <c r="BM16">
        <v>0</v>
      </c>
      <c r="BN16">
        <v>0</v>
      </c>
      <c r="BO16">
        <v>0</v>
      </c>
      <c r="BP16">
        <v>1</v>
      </c>
      <c r="BQ16">
        <v>0</v>
      </c>
      <c r="BR16">
        <v>1.6049</v>
      </c>
      <c r="BS16">
        <v>0</v>
      </c>
      <c r="BT16">
        <v>0</v>
      </c>
      <c r="BU16">
        <v>0</v>
      </c>
      <c r="BV16">
        <v>0</v>
      </c>
      <c r="BW16">
        <v>1</v>
      </c>
      <c r="CV16">
        <v>0</v>
      </c>
      <c r="CW16">
        <f>ROUND(Y16*Source!I27*DO16,7)</f>
        <v>0</v>
      </c>
      <c r="CX16">
        <f>ROUND(Y16*Source!I27,7)</f>
        <v>3.08</v>
      </c>
      <c r="CY16">
        <f>AB16</f>
        <v>14.59</v>
      </c>
      <c r="CZ16">
        <f>AF16</f>
        <v>14.59</v>
      </c>
      <c r="DA16">
        <f>AJ16</f>
        <v>1</v>
      </c>
      <c r="DB16">
        <f t="shared" si="15"/>
        <v>1.6</v>
      </c>
      <c r="DC16">
        <f t="shared" si="16"/>
        <v>0</v>
      </c>
      <c r="DD16" t="s">
        <v>3</v>
      </c>
      <c r="DE16" t="s">
        <v>3</v>
      </c>
      <c r="DF16">
        <f t="shared" si="17"/>
        <v>0</v>
      </c>
      <c r="DG16">
        <f t="shared" si="12"/>
        <v>44.94</v>
      </c>
      <c r="DH16">
        <f t="shared" si="4"/>
        <v>0</v>
      </c>
      <c r="DI16">
        <f t="shared" si="5"/>
        <v>0</v>
      </c>
      <c r="DJ16">
        <f>DG16+DH16</f>
        <v>44.94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>
      <c r="A17">
        <f>ROW(Source!A27)</f>
        <v>27</v>
      </c>
      <c r="B17">
        <v>50837940</v>
      </c>
      <c r="C17">
        <v>50838090</v>
      </c>
      <c r="D17">
        <v>49760692</v>
      </c>
      <c r="E17">
        <v>1</v>
      </c>
      <c r="F17">
        <v>1</v>
      </c>
      <c r="G17">
        <v>1</v>
      </c>
      <c r="H17">
        <v>2</v>
      </c>
      <c r="I17" t="s">
        <v>293</v>
      </c>
      <c r="J17" t="s">
        <v>294</v>
      </c>
      <c r="K17" t="s">
        <v>295</v>
      </c>
      <c r="L17">
        <v>1368</v>
      </c>
      <c r="N17">
        <v>1011</v>
      </c>
      <c r="O17" t="s">
        <v>262</v>
      </c>
      <c r="P17" t="s">
        <v>262</v>
      </c>
      <c r="Q17">
        <v>1</v>
      </c>
      <c r="W17">
        <v>0</v>
      </c>
      <c r="X17">
        <v>1638899965</v>
      </c>
      <c r="Y17">
        <f t="shared" si="14"/>
        <v>0.11</v>
      </c>
      <c r="AA17">
        <v>0</v>
      </c>
      <c r="AB17">
        <v>678.24</v>
      </c>
      <c r="AC17">
        <v>404.99</v>
      </c>
      <c r="AD17">
        <v>0</v>
      </c>
      <c r="AE17">
        <v>0</v>
      </c>
      <c r="AF17">
        <v>487.94</v>
      </c>
      <c r="AG17">
        <v>404.99</v>
      </c>
      <c r="AH17">
        <v>0</v>
      </c>
      <c r="AI17">
        <v>1</v>
      </c>
      <c r="AJ17">
        <v>1.39</v>
      </c>
      <c r="AK17">
        <v>1</v>
      </c>
      <c r="AL17">
        <v>1</v>
      </c>
      <c r="AM17">
        <v>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0.11</v>
      </c>
      <c r="AU17" t="s">
        <v>3</v>
      </c>
      <c r="AV17">
        <v>1</v>
      </c>
      <c r="AW17">
        <v>2</v>
      </c>
      <c r="AX17">
        <v>50838094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53.673400000000001</v>
      </c>
      <c r="BL17">
        <v>44.548900000000003</v>
      </c>
      <c r="BM17">
        <v>0</v>
      </c>
      <c r="BN17">
        <v>0</v>
      </c>
      <c r="BO17">
        <v>0.11</v>
      </c>
      <c r="BP17">
        <v>1</v>
      </c>
      <c r="BQ17">
        <v>0</v>
      </c>
      <c r="BR17">
        <v>53.673400000000001</v>
      </c>
      <c r="BS17">
        <v>44.548900000000003</v>
      </c>
      <c r="BT17">
        <v>0</v>
      </c>
      <c r="BU17">
        <v>0</v>
      </c>
      <c r="BV17">
        <v>0.11</v>
      </c>
      <c r="BW17">
        <v>1</v>
      </c>
      <c r="CV17">
        <v>0</v>
      </c>
      <c r="CW17">
        <f>ROUND(Y17*Source!I27*DO17,7)</f>
        <v>3.08</v>
      </c>
      <c r="CX17">
        <f>ROUND(Y17*Source!I27,7)</f>
        <v>3.08</v>
      </c>
      <c r="CY17">
        <f>AB17</f>
        <v>678.24</v>
      </c>
      <c r="CZ17">
        <f>AF17</f>
        <v>487.94</v>
      </c>
      <c r="DA17">
        <f>AJ17</f>
        <v>1.39</v>
      </c>
      <c r="DB17">
        <f t="shared" si="15"/>
        <v>53.67</v>
      </c>
      <c r="DC17">
        <f t="shared" si="16"/>
        <v>44.55</v>
      </c>
      <c r="DD17" t="s">
        <v>3</v>
      </c>
      <c r="DE17" t="s">
        <v>3</v>
      </c>
      <c r="DF17">
        <f t="shared" si="17"/>
        <v>0</v>
      </c>
      <c r="DG17">
        <f>ROUND(ROUND(AF17*AJ17,2)*CX17,2)</f>
        <v>2088.98</v>
      </c>
      <c r="DH17">
        <f t="shared" si="4"/>
        <v>1247.3699999999999</v>
      </c>
      <c r="DI17">
        <f t="shared" si="5"/>
        <v>0</v>
      </c>
      <c r="DJ17">
        <f>DG17+DH17</f>
        <v>3336.35</v>
      </c>
      <c r="DK17">
        <v>0</v>
      </c>
      <c r="DL17" t="s">
        <v>296</v>
      </c>
      <c r="DM17">
        <v>4</v>
      </c>
      <c r="DN17" t="s">
        <v>256</v>
      </c>
      <c r="DO17">
        <v>1</v>
      </c>
    </row>
    <row r="18" spans="1:119">
      <c r="A18">
        <f>ROW(Source!A28)</f>
        <v>28</v>
      </c>
      <c r="B18">
        <v>50837940</v>
      </c>
      <c r="C18">
        <v>50838095</v>
      </c>
      <c r="D18">
        <v>49752835</v>
      </c>
      <c r="E18">
        <v>117</v>
      </c>
      <c r="F18">
        <v>1</v>
      </c>
      <c r="G18">
        <v>1</v>
      </c>
      <c r="H18">
        <v>1</v>
      </c>
      <c r="I18" t="s">
        <v>288</v>
      </c>
      <c r="J18" t="s">
        <v>3</v>
      </c>
      <c r="K18" t="s">
        <v>289</v>
      </c>
      <c r="L18">
        <v>1191</v>
      </c>
      <c r="N18">
        <v>1013</v>
      </c>
      <c r="O18" t="s">
        <v>256</v>
      </c>
      <c r="P18" t="s">
        <v>256</v>
      </c>
      <c r="Q18">
        <v>1</v>
      </c>
      <c r="W18">
        <v>0</v>
      </c>
      <c r="X18">
        <v>-1991603921</v>
      </c>
      <c r="Y18">
        <f t="shared" si="14"/>
        <v>0.25</v>
      </c>
      <c r="AA18">
        <v>0</v>
      </c>
      <c r="AB18">
        <v>0</v>
      </c>
      <c r="AC18">
        <v>0</v>
      </c>
      <c r="AD18">
        <v>344.54</v>
      </c>
      <c r="AE18">
        <v>0</v>
      </c>
      <c r="AF18">
        <v>0</v>
      </c>
      <c r="AG18">
        <v>0</v>
      </c>
      <c r="AH18">
        <v>344.54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0.25</v>
      </c>
      <c r="AU18" t="s">
        <v>3</v>
      </c>
      <c r="AV18">
        <v>1</v>
      </c>
      <c r="AW18">
        <v>2</v>
      </c>
      <c r="AX18">
        <v>50838096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86.135000000000005</v>
      </c>
      <c r="BN18">
        <v>0.25</v>
      </c>
      <c r="BO18">
        <v>0</v>
      </c>
      <c r="BP18">
        <v>1</v>
      </c>
      <c r="BQ18">
        <v>0</v>
      </c>
      <c r="BR18">
        <v>0</v>
      </c>
      <c r="BS18">
        <v>0</v>
      </c>
      <c r="BT18">
        <v>86.135000000000005</v>
      </c>
      <c r="BU18">
        <v>0.25</v>
      </c>
      <c r="BV18">
        <v>0</v>
      </c>
      <c r="BW18">
        <v>1</v>
      </c>
      <c r="CU18">
        <f>ROUND(AT18*Source!I28*AH18*AL18,2)</f>
        <v>2411.7800000000002</v>
      </c>
      <c r="CV18">
        <f>ROUND(Y18*Source!I28,7)</f>
        <v>7</v>
      </c>
      <c r="CW18">
        <v>0</v>
      </c>
      <c r="CX18">
        <f>ROUND(Y18*Source!I28,7)</f>
        <v>7</v>
      </c>
      <c r="CY18">
        <f>AD18</f>
        <v>344.54</v>
      </c>
      <c r="CZ18">
        <f>AH18</f>
        <v>344.54</v>
      </c>
      <c r="DA18">
        <f>AL18</f>
        <v>1</v>
      </c>
      <c r="DB18">
        <f t="shared" si="15"/>
        <v>86.14</v>
      </c>
      <c r="DC18">
        <f t="shared" si="16"/>
        <v>0</v>
      </c>
      <c r="DD18" t="s">
        <v>3</v>
      </c>
      <c r="DE18" t="s">
        <v>3</v>
      </c>
      <c r="DF18">
        <f t="shared" si="17"/>
        <v>0</v>
      </c>
      <c r="DG18">
        <f>ROUND(ROUND(AF18,2)*CX18,2)</f>
        <v>0</v>
      </c>
      <c r="DH18">
        <f t="shared" si="4"/>
        <v>0</v>
      </c>
      <c r="DI18">
        <f t="shared" si="5"/>
        <v>2411.7800000000002</v>
      </c>
      <c r="DJ18">
        <f>DI18</f>
        <v>2411.7800000000002</v>
      </c>
      <c r="DK18">
        <v>1</v>
      </c>
      <c r="DL18" t="s">
        <v>3</v>
      </c>
      <c r="DM18">
        <v>0</v>
      </c>
      <c r="DN18" t="s">
        <v>3</v>
      </c>
      <c r="DO18">
        <v>0</v>
      </c>
    </row>
    <row r="19" spans="1:119">
      <c r="A19">
        <f>ROW(Source!A28)</f>
        <v>28</v>
      </c>
      <c r="B19">
        <v>50837940</v>
      </c>
      <c r="C19">
        <v>50838095</v>
      </c>
      <c r="D19">
        <v>49753052</v>
      </c>
      <c r="E19">
        <v>117</v>
      </c>
      <c r="F19">
        <v>1</v>
      </c>
      <c r="G19">
        <v>1</v>
      </c>
      <c r="H19">
        <v>1</v>
      </c>
      <c r="I19" t="s">
        <v>257</v>
      </c>
      <c r="J19" t="s">
        <v>3</v>
      </c>
      <c r="K19" t="s">
        <v>258</v>
      </c>
      <c r="L19">
        <v>1191</v>
      </c>
      <c r="N19">
        <v>1013</v>
      </c>
      <c r="O19" t="s">
        <v>256</v>
      </c>
      <c r="P19" t="s">
        <v>256</v>
      </c>
      <c r="Q19">
        <v>1</v>
      </c>
      <c r="W19">
        <v>0</v>
      </c>
      <c r="X19">
        <v>-1417349443</v>
      </c>
      <c r="Y19">
        <f t="shared" si="14"/>
        <v>0.14000000000000001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0.14000000000000001</v>
      </c>
      <c r="AU19" t="s">
        <v>3</v>
      </c>
      <c r="AV19">
        <v>2</v>
      </c>
      <c r="AW19">
        <v>2</v>
      </c>
      <c r="AX19">
        <v>50838097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V19">
        <v>0</v>
      </c>
      <c r="CW19">
        <v>0</v>
      </c>
      <c r="CX19">
        <f>ROUND(Y19*Source!I28,7)</f>
        <v>3.92</v>
      </c>
      <c r="CY19">
        <f>AD19</f>
        <v>0</v>
      </c>
      <c r="CZ19">
        <f>AH19</f>
        <v>0</v>
      </c>
      <c r="DA19">
        <f>AL19</f>
        <v>1</v>
      </c>
      <c r="DB19">
        <f t="shared" si="15"/>
        <v>0</v>
      </c>
      <c r="DC19">
        <f t="shared" si="16"/>
        <v>0</v>
      </c>
      <c r="DD19" t="s">
        <v>3</v>
      </c>
      <c r="DE19" t="s">
        <v>3</v>
      </c>
      <c r="DF19">
        <f t="shared" si="17"/>
        <v>0</v>
      </c>
      <c r="DG19">
        <f>ROUND(ROUND(AF19,2)*CX19,2)</f>
        <v>0</v>
      </c>
      <c r="DH19">
        <f t="shared" si="4"/>
        <v>0</v>
      </c>
      <c r="DI19">
        <f t="shared" si="5"/>
        <v>0</v>
      </c>
      <c r="DJ19">
        <f>DI19</f>
        <v>0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>
      <c r="A20">
        <f>ROW(Source!A28)</f>
        <v>28</v>
      </c>
      <c r="B20">
        <v>50837940</v>
      </c>
      <c r="C20">
        <v>50838095</v>
      </c>
      <c r="D20">
        <v>49760674</v>
      </c>
      <c r="E20">
        <v>1</v>
      </c>
      <c r="F20">
        <v>1</v>
      </c>
      <c r="G20">
        <v>1</v>
      </c>
      <c r="H20">
        <v>2</v>
      </c>
      <c r="I20" t="s">
        <v>290</v>
      </c>
      <c r="J20" t="s">
        <v>291</v>
      </c>
      <c r="K20" t="s">
        <v>292</v>
      </c>
      <c r="L20">
        <v>1368</v>
      </c>
      <c r="N20">
        <v>1011</v>
      </c>
      <c r="O20" t="s">
        <v>262</v>
      </c>
      <c r="P20" t="s">
        <v>262</v>
      </c>
      <c r="Q20">
        <v>1</v>
      </c>
      <c r="W20">
        <v>0</v>
      </c>
      <c r="X20">
        <v>1256142057</v>
      </c>
      <c r="Y20">
        <f t="shared" si="14"/>
        <v>0.14000000000000001</v>
      </c>
      <c r="AA20">
        <v>0</v>
      </c>
      <c r="AB20">
        <v>14.59</v>
      </c>
      <c r="AC20">
        <v>0</v>
      </c>
      <c r="AD20">
        <v>0</v>
      </c>
      <c r="AE20">
        <v>0</v>
      </c>
      <c r="AF20">
        <v>14.59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0.14000000000000001</v>
      </c>
      <c r="AU20" t="s">
        <v>3</v>
      </c>
      <c r="AV20">
        <v>1</v>
      </c>
      <c r="AW20">
        <v>2</v>
      </c>
      <c r="AX20">
        <v>50838098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2.0426000000000002</v>
      </c>
      <c r="BL20">
        <v>0</v>
      </c>
      <c r="BM20">
        <v>0</v>
      </c>
      <c r="BN20">
        <v>0</v>
      </c>
      <c r="BO20">
        <v>0</v>
      </c>
      <c r="BP20">
        <v>1</v>
      </c>
      <c r="BQ20">
        <v>0</v>
      </c>
      <c r="BR20">
        <v>2.0426000000000002</v>
      </c>
      <c r="BS20">
        <v>0</v>
      </c>
      <c r="BT20">
        <v>0</v>
      </c>
      <c r="BU20">
        <v>0</v>
      </c>
      <c r="BV20">
        <v>0</v>
      </c>
      <c r="BW20">
        <v>1</v>
      </c>
      <c r="CV20">
        <v>0</v>
      </c>
      <c r="CW20">
        <f>ROUND(Y20*Source!I28*DO20,7)</f>
        <v>0</v>
      </c>
      <c r="CX20">
        <f>ROUND(Y20*Source!I28,7)</f>
        <v>3.92</v>
      </c>
      <c r="CY20">
        <f>AB20</f>
        <v>14.59</v>
      </c>
      <c r="CZ20">
        <f>AF20</f>
        <v>14.59</v>
      </c>
      <c r="DA20">
        <f>AJ20</f>
        <v>1</v>
      </c>
      <c r="DB20">
        <f t="shared" si="15"/>
        <v>2.04</v>
      </c>
      <c r="DC20">
        <f t="shared" si="16"/>
        <v>0</v>
      </c>
      <c r="DD20" t="s">
        <v>3</v>
      </c>
      <c r="DE20" t="s">
        <v>3</v>
      </c>
      <c r="DF20">
        <f t="shared" si="17"/>
        <v>0</v>
      </c>
      <c r="DG20">
        <f>ROUND(ROUND(AF20,2)*CX20,2)</f>
        <v>57.19</v>
      </c>
      <c r="DH20">
        <f t="shared" si="4"/>
        <v>0</v>
      </c>
      <c r="DI20">
        <f t="shared" si="5"/>
        <v>0</v>
      </c>
      <c r="DJ20">
        <f>DG20+DH20</f>
        <v>57.19</v>
      </c>
      <c r="DK20">
        <v>1</v>
      </c>
      <c r="DL20" t="s">
        <v>3</v>
      </c>
      <c r="DM20">
        <v>0</v>
      </c>
      <c r="DN20" t="s">
        <v>3</v>
      </c>
      <c r="DO20">
        <v>0</v>
      </c>
    </row>
    <row r="21" spans="1:119">
      <c r="A21">
        <f>ROW(Source!A28)</f>
        <v>28</v>
      </c>
      <c r="B21">
        <v>50837940</v>
      </c>
      <c r="C21">
        <v>50838095</v>
      </c>
      <c r="D21">
        <v>49760692</v>
      </c>
      <c r="E21">
        <v>1</v>
      </c>
      <c r="F21">
        <v>1</v>
      </c>
      <c r="G21">
        <v>1</v>
      </c>
      <c r="H21">
        <v>2</v>
      </c>
      <c r="I21" t="s">
        <v>293</v>
      </c>
      <c r="J21" t="s">
        <v>294</v>
      </c>
      <c r="K21" t="s">
        <v>295</v>
      </c>
      <c r="L21">
        <v>1368</v>
      </c>
      <c r="N21">
        <v>1011</v>
      </c>
      <c r="O21" t="s">
        <v>262</v>
      </c>
      <c r="P21" t="s">
        <v>262</v>
      </c>
      <c r="Q21">
        <v>1</v>
      </c>
      <c r="W21">
        <v>0</v>
      </c>
      <c r="X21">
        <v>1638899965</v>
      </c>
      <c r="Y21">
        <f t="shared" si="14"/>
        <v>0.14000000000000001</v>
      </c>
      <c r="AA21">
        <v>0</v>
      </c>
      <c r="AB21">
        <v>678.24</v>
      </c>
      <c r="AC21">
        <v>404.99</v>
      </c>
      <c r="AD21">
        <v>0</v>
      </c>
      <c r="AE21">
        <v>0</v>
      </c>
      <c r="AF21">
        <v>487.94</v>
      </c>
      <c r="AG21">
        <v>404.99</v>
      </c>
      <c r="AH21">
        <v>0</v>
      </c>
      <c r="AI21">
        <v>1</v>
      </c>
      <c r="AJ21">
        <v>1.39</v>
      </c>
      <c r="AK21">
        <v>1</v>
      </c>
      <c r="AL21">
        <v>1</v>
      </c>
      <c r="AM21">
        <v>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0.14000000000000001</v>
      </c>
      <c r="AU21" t="s">
        <v>3</v>
      </c>
      <c r="AV21">
        <v>1</v>
      </c>
      <c r="AW21">
        <v>2</v>
      </c>
      <c r="AX21">
        <v>50838099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68.311600000000013</v>
      </c>
      <c r="BL21">
        <v>56.698600000000006</v>
      </c>
      <c r="BM21">
        <v>0</v>
      </c>
      <c r="BN21">
        <v>0</v>
      </c>
      <c r="BO21">
        <v>0.14000000000000001</v>
      </c>
      <c r="BP21">
        <v>1</v>
      </c>
      <c r="BQ21">
        <v>0</v>
      </c>
      <c r="BR21">
        <v>68.311600000000013</v>
      </c>
      <c r="BS21">
        <v>56.698600000000006</v>
      </c>
      <c r="BT21">
        <v>0</v>
      </c>
      <c r="BU21">
        <v>0</v>
      </c>
      <c r="BV21">
        <v>0.14000000000000001</v>
      </c>
      <c r="BW21">
        <v>1</v>
      </c>
      <c r="CV21">
        <v>0</v>
      </c>
      <c r="CW21">
        <f>ROUND(Y21*Source!I28*DO21,7)</f>
        <v>3.92</v>
      </c>
      <c r="CX21">
        <f>ROUND(Y21*Source!I28,7)</f>
        <v>3.92</v>
      </c>
      <c r="CY21">
        <f>AB21</f>
        <v>678.24</v>
      </c>
      <c r="CZ21">
        <f>AF21</f>
        <v>487.94</v>
      </c>
      <c r="DA21">
        <f>AJ21</f>
        <v>1.39</v>
      </c>
      <c r="DB21">
        <f t="shared" si="15"/>
        <v>68.31</v>
      </c>
      <c r="DC21">
        <f t="shared" si="16"/>
        <v>56.7</v>
      </c>
      <c r="DD21" t="s">
        <v>3</v>
      </c>
      <c r="DE21" t="s">
        <v>3</v>
      </c>
      <c r="DF21">
        <f t="shared" si="17"/>
        <v>0</v>
      </c>
      <c r="DG21">
        <f>ROUND(ROUND(AF21*AJ21,2)*CX21,2)</f>
        <v>2658.7</v>
      </c>
      <c r="DH21">
        <f t="shared" si="4"/>
        <v>1587.56</v>
      </c>
      <c r="DI21">
        <f t="shared" si="5"/>
        <v>0</v>
      </c>
      <c r="DJ21">
        <f>DG21+DH21</f>
        <v>4246.26</v>
      </c>
      <c r="DK21">
        <v>0</v>
      </c>
      <c r="DL21" t="s">
        <v>296</v>
      </c>
      <c r="DM21">
        <v>4</v>
      </c>
      <c r="DN21" t="s">
        <v>256</v>
      </c>
      <c r="DO21">
        <v>1</v>
      </c>
    </row>
    <row r="22" spans="1:119">
      <c r="A22">
        <f>ROW(Source!A29)</f>
        <v>29</v>
      </c>
      <c r="B22">
        <v>50837940</v>
      </c>
      <c r="C22">
        <v>50838100</v>
      </c>
      <c r="D22">
        <v>49752813</v>
      </c>
      <c r="E22">
        <v>117</v>
      </c>
      <c r="F22">
        <v>1</v>
      </c>
      <c r="G22">
        <v>1</v>
      </c>
      <c r="H22">
        <v>1</v>
      </c>
      <c r="I22" t="s">
        <v>254</v>
      </c>
      <c r="J22" t="s">
        <v>3</v>
      </c>
      <c r="K22" t="s">
        <v>255</v>
      </c>
      <c r="L22">
        <v>1191</v>
      </c>
      <c r="N22">
        <v>1013</v>
      </c>
      <c r="O22" t="s">
        <v>256</v>
      </c>
      <c r="P22" t="s">
        <v>256</v>
      </c>
      <c r="Q22">
        <v>1</v>
      </c>
      <c r="W22">
        <v>0</v>
      </c>
      <c r="X22">
        <v>370475345</v>
      </c>
      <c r="Y22">
        <f t="shared" si="14"/>
        <v>8.93</v>
      </c>
      <c r="AA22">
        <v>0</v>
      </c>
      <c r="AB22">
        <v>0</v>
      </c>
      <c r="AC22">
        <v>0</v>
      </c>
      <c r="AD22">
        <v>329.43</v>
      </c>
      <c r="AE22">
        <v>0</v>
      </c>
      <c r="AF22">
        <v>0</v>
      </c>
      <c r="AG22">
        <v>0</v>
      </c>
      <c r="AH22">
        <v>329.43</v>
      </c>
      <c r="AI22">
        <v>1</v>
      </c>
      <c r="AJ22">
        <v>1</v>
      </c>
      <c r="AK22">
        <v>1</v>
      </c>
      <c r="AL22">
        <v>1</v>
      </c>
      <c r="AM22">
        <v>-2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8.93</v>
      </c>
      <c r="AU22" t="s">
        <v>3</v>
      </c>
      <c r="AV22">
        <v>1</v>
      </c>
      <c r="AW22">
        <v>2</v>
      </c>
      <c r="AX22">
        <v>50838101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2941.8098999999997</v>
      </c>
      <c r="BN22">
        <v>8.93</v>
      </c>
      <c r="BO22">
        <v>0</v>
      </c>
      <c r="BP22">
        <v>1</v>
      </c>
      <c r="BQ22">
        <v>0</v>
      </c>
      <c r="BR22">
        <v>0</v>
      </c>
      <c r="BS22">
        <v>0</v>
      </c>
      <c r="BT22">
        <v>2941.8098999999997</v>
      </c>
      <c r="BU22">
        <v>8.93</v>
      </c>
      <c r="BV22">
        <v>0</v>
      </c>
      <c r="BW22">
        <v>1</v>
      </c>
      <c r="CU22">
        <f>ROUND(AT22*Source!I29*AH22*AL22,2)</f>
        <v>299.48</v>
      </c>
      <c r="CV22">
        <f>ROUND(Y22*Source!I29,7)</f>
        <v>0.90907400000000005</v>
      </c>
      <c r="CW22">
        <v>0</v>
      </c>
      <c r="CX22">
        <f>ROUND(Y22*Source!I29,7)</f>
        <v>0.90907400000000005</v>
      </c>
      <c r="CY22">
        <f>AD22</f>
        <v>329.43</v>
      </c>
      <c r="CZ22">
        <f>AH22</f>
        <v>329.43</v>
      </c>
      <c r="DA22">
        <f>AL22</f>
        <v>1</v>
      </c>
      <c r="DB22">
        <f t="shared" si="15"/>
        <v>2941.81</v>
      </c>
      <c r="DC22">
        <f t="shared" si="16"/>
        <v>0</v>
      </c>
      <c r="DD22" t="s">
        <v>3</v>
      </c>
      <c r="DE22" t="s">
        <v>3</v>
      </c>
      <c r="DF22">
        <f t="shared" si="17"/>
        <v>0</v>
      </c>
      <c r="DG22">
        <f>ROUND(ROUND(AF22,2)*CX22,2)</f>
        <v>0</v>
      </c>
      <c r="DH22">
        <f t="shared" si="4"/>
        <v>0</v>
      </c>
      <c r="DI22">
        <f t="shared" si="5"/>
        <v>299.48</v>
      </c>
      <c r="DJ22">
        <f>DI22</f>
        <v>299.48</v>
      </c>
      <c r="DK22">
        <v>1</v>
      </c>
      <c r="DL22" t="s">
        <v>3</v>
      </c>
      <c r="DM22">
        <v>0</v>
      </c>
      <c r="DN22" t="s">
        <v>3</v>
      </c>
      <c r="DO22">
        <v>0</v>
      </c>
    </row>
    <row r="23" spans="1:119">
      <c r="A23">
        <f>ROW(Source!A29)</f>
        <v>29</v>
      </c>
      <c r="B23">
        <v>50837940</v>
      </c>
      <c r="C23">
        <v>50838100</v>
      </c>
      <c r="D23">
        <v>49753052</v>
      </c>
      <c r="E23">
        <v>117</v>
      </c>
      <c r="F23">
        <v>1</v>
      </c>
      <c r="G23">
        <v>1</v>
      </c>
      <c r="H23">
        <v>1</v>
      </c>
      <c r="I23" t="s">
        <v>257</v>
      </c>
      <c r="J23" t="s">
        <v>3</v>
      </c>
      <c r="K23" t="s">
        <v>258</v>
      </c>
      <c r="L23">
        <v>1191</v>
      </c>
      <c r="N23">
        <v>1013</v>
      </c>
      <c r="O23" t="s">
        <v>256</v>
      </c>
      <c r="P23" t="s">
        <v>256</v>
      </c>
      <c r="Q23">
        <v>1</v>
      </c>
      <c r="W23">
        <v>0</v>
      </c>
      <c r="X23">
        <v>-1417349443</v>
      </c>
      <c r="Y23">
        <f t="shared" si="14"/>
        <v>46.49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46.49</v>
      </c>
      <c r="AU23" t="s">
        <v>3</v>
      </c>
      <c r="AV23">
        <v>2</v>
      </c>
      <c r="AW23">
        <v>2</v>
      </c>
      <c r="AX23">
        <v>50838102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V23">
        <v>0</v>
      </c>
      <c r="CW23">
        <v>0</v>
      </c>
      <c r="CX23">
        <f>ROUND(Y23*Source!I29,7)</f>
        <v>4.7326819999999996</v>
      </c>
      <c r="CY23">
        <f>AD23</f>
        <v>0</v>
      </c>
      <c r="CZ23">
        <f>AH23</f>
        <v>0</v>
      </c>
      <c r="DA23">
        <f>AL23</f>
        <v>1</v>
      </c>
      <c r="DB23">
        <f t="shared" si="15"/>
        <v>0</v>
      </c>
      <c r="DC23">
        <f t="shared" si="16"/>
        <v>0</v>
      </c>
      <c r="DD23" t="s">
        <v>3</v>
      </c>
      <c r="DE23" t="s">
        <v>3</v>
      </c>
      <c r="DF23">
        <f t="shared" si="17"/>
        <v>0</v>
      </c>
      <c r="DG23">
        <f>ROUND(ROUND(AF23,2)*CX23,2)</f>
        <v>0</v>
      </c>
      <c r="DH23">
        <f t="shared" si="4"/>
        <v>0</v>
      </c>
      <c r="DI23">
        <f t="shared" si="5"/>
        <v>0</v>
      </c>
      <c r="DJ23">
        <f>DI23</f>
        <v>0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>
      <c r="A24">
        <f>ROW(Source!A29)</f>
        <v>29</v>
      </c>
      <c r="B24">
        <v>50837940</v>
      </c>
      <c r="C24">
        <v>50838100</v>
      </c>
      <c r="D24">
        <v>49759293</v>
      </c>
      <c r="E24">
        <v>1</v>
      </c>
      <c r="F24">
        <v>1</v>
      </c>
      <c r="G24">
        <v>1</v>
      </c>
      <c r="H24">
        <v>2</v>
      </c>
      <c r="I24" t="s">
        <v>297</v>
      </c>
      <c r="J24" t="s">
        <v>298</v>
      </c>
      <c r="K24" t="s">
        <v>299</v>
      </c>
      <c r="L24">
        <v>1368</v>
      </c>
      <c r="N24">
        <v>1011</v>
      </c>
      <c r="O24" t="s">
        <v>262</v>
      </c>
      <c r="P24" t="s">
        <v>262</v>
      </c>
      <c r="Q24">
        <v>1</v>
      </c>
      <c r="W24">
        <v>0</v>
      </c>
      <c r="X24">
        <v>-1240174662</v>
      </c>
      <c r="Y24">
        <f t="shared" si="14"/>
        <v>46.49</v>
      </c>
      <c r="AA24">
        <v>0</v>
      </c>
      <c r="AB24">
        <v>925.34</v>
      </c>
      <c r="AC24">
        <v>465.43</v>
      </c>
      <c r="AD24">
        <v>0</v>
      </c>
      <c r="AE24">
        <v>0</v>
      </c>
      <c r="AF24">
        <v>675.43</v>
      </c>
      <c r="AG24">
        <v>465.43</v>
      </c>
      <c r="AH24">
        <v>0</v>
      </c>
      <c r="AI24">
        <v>1</v>
      </c>
      <c r="AJ24">
        <v>1.37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46.49</v>
      </c>
      <c r="AU24" t="s">
        <v>3</v>
      </c>
      <c r="AV24">
        <v>1</v>
      </c>
      <c r="AW24">
        <v>2</v>
      </c>
      <c r="AX24">
        <v>50838103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31400.740699999998</v>
      </c>
      <c r="BL24">
        <v>21637.840700000001</v>
      </c>
      <c r="BM24">
        <v>0</v>
      </c>
      <c r="BN24">
        <v>0</v>
      </c>
      <c r="BO24">
        <v>46.49</v>
      </c>
      <c r="BP24">
        <v>1</v>
      </c>
      <c r="BQ24">
        <v>0</v>
      </c>
      <c r="BR24">
        <v>31400.740699999998</v>
      </c>
      <c r="BS24">
        <v>21637.840700000001</v>
      </c>
      <c r="BT24">
        <v>0</v>
      </c>
      <c r="BU24">
        <v>0</v>
      </c>
      <c r="BV24">
        <v>46.49</v>
      </c>
      <c r="BW24">
        <v>1</v>
      </c>
      <c r="CV24">
        <v>0</v>
      </c>
      <c r="CW24">
        <f>ROUND(Y24*Source!I29*DO24,7)</f>
        <v>4.7326819999999996</v>
      </c>
      <c r="CX24">
        <f>ROUND(Y24*Source!I29,7)</f>
        <v>4.7326819999999996</v>
      </c>
      <c r="CY24">
        <f>AB24</f>
        <v>925.34</v>
      </c>
      <c r="CZ24">
        <f>AF24</f>
        <v>675.43</v>
      </c>
      <c r="DA24">
        <f>AJ24</f>
        <v>1.37</v>
      </c>
      <c r="DB24">
        <f t="shared" si="15"/>
        <v>31400.74</v>
      </c>
      <c r="DC24">
        <f t="shared" si="16"/>
        <v>21637.84</v>
      </c>
      <c r="DD24" t="s">
        <v>3</v>
      </c>
      <c r="DE24" t="s">
        <v>3</v>
      </c>
      <c r="DF24">
        <f t="shared" si="17"/>
        <v>0</v>
      </c>
      <c r="DG24">
        <f>ROUND(ROUND(AF24*AJ24,2)*CX24,2)</f>
        <v>4379.34</v>
      </c>
      <c r="DH24">
        <f t="shared" si="4"/>
        <v>2202.73</v>
      </c>
      <c r="DI24">
        <f t="shared" si="5"/>
        <v>0</v>
      </c>
      <c r="DJ24">
        <f>DG24+DH24</f>
        <v>6582.07</v>
      </c>
      <c r="DK24">
        <v>0</v>
      </c>
      <c r="DL24" t="s">
        <v>263</v>
      </c>
      <c r="DM24">
        <v>5</v>
      </c>
      <c r="DN24" t="s">
        <v>256</v>
      </c>
      <c r="DO24">
        <v>1</v>
      </c>
    </row>
    <row r="25" spans="1:119">
      <c r="A25">
        <f>ROW(Source!A30)</f>
        <v>30</v>
      </c>
      <c r="B25">
        <v>50837940</v>
      </c>
      <c r="C25">
        <v>50838104</v>
      </c>
      <c r="D25">
        <v>49753052</v>
      </c>
      <c r="E25">
        <v>117</v>
      </c>
      <c r="F25">
        <v>1</v>
      </c>
      <c r="G25">
        <v>1</v>
      </c>
      <c r="H25">
        <v>1</v>
      </c>
      <c r="I25" t="s">
        <v>257</v>
      </c>
      <c r="J25" t="s">
        <v>3</v>
      </c>
      <c r="K25" t="s">
        <v>258</v>
      </c>
      <c r="L25">
        <v>1191</v>
      </c>
      <c r="N25">
        <v>1013</v>
      </c>
      <c r="O25" t="s">
        <v>256</v>
      </c>
      <c r="P25" t="s">
        <v>256</v>
      </c>
      <c r="Q25">
        <v>1</v>
      </c>
      <c r="W25">
        <v>0</v>
      </c>
      <c r="X25">
        <v>-1417349443</v>
      </c>
      <c r="Y25">
        <f t="shared" si="14"/>
        <v>8.06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8.06</v>
      </c>
      <c r="AU25" t="s">
        <v>3</v>
      </c>
      <c r="AV25">
        <v>2</v>
      </c>
      <c r="AW25">
        <v>2</v>
      </c>
      <c r="AX25">
        <v>50838105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V25">
        <v>0</v>
      </c>
      <c r="CW25">
        <v>0</v>
      </c>
      <c r="CX25">
        <f>ROUND(Y25*Source!I30,7)</f>
        <v>0.82050800000000002</v>
      </c>
      <c r="CY25">
        <f>AD25</f>
        <v>0</v>
      </c>
      <c r="CZ25">
        <f>AH25</f>
        <v>0</v>
      </c>
      <c r="DA25">
        <f>AL25</f>
        <v>1</v>
      </c>
      <c r="DB25">
        <f t="shared" si="15"/>
        <v>0</v>
      </c>
      <c r="DC25">
        <f t="shared" si="16"/>
        <v>0</v>
      </c>
      <c r="DD25" t="s">
        <v>3</v>
      </c>
      <c r="DE25" t="s">
        <v>3</v>
      </c>
      <c r="DF25">
        <f t="shared" si="17"/>
        <v>0</v>
      </c>
      <c r="DG25">
        <f>ROUND(ROUND(AF25,2)*CX25,2)</f>
        <v>0</v>
      </c>
      <c r="DH25">
        <f t="shared" si="4"/>
        <v>0</v>
      </c>
      <c r="DI25">
        <f t="shared" si="5"/>
        <v>0</v>
      </c>
      <c r="DJ25">
        <f>DI25</f>
        <v>0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>
      <c r="A26">
        <f>ROW(Source!A30)</f>
        <v>30</v>
      </c>
      <c r="B26">
        <v>50837940</v>
      </c>
      <c r="C26">
        <v>50838104</v>
      </c>
      <c r="D26">
        <v>49759250</v>
      </c>
      <c r="E26">
        <v>1</v>
      </c>
      <c r="F26">
        <v>1</v>
      </c>
      <c r="G26">
        <v>1</v>
      </c>
      <c r="H26">
        <v>2</v>
      </c>
      <c r="I26" t="s">
        <v>266</v>
      </c>
      <c r="J26" t="s">
        <v>267</v>
      </c>
      <c r="K26" t="s">
        <v>268</v>
      </c>
      <c r="L26">
        <v>1368</v>
      </c>
      <c r="N26">
        <v>1011</v>
      </c>
      <c r="O26" t="s">
        <v>262</v>
      </c>
      <c r="P26" t="s">
        <v>262</v>
      </c>
      <c r="Q26">
        <v>1</v>
      </c>
      <c r="W26">
        <v>0</v>
      </c>
      <c r="X26">
        <v>1445775709</v>
      </c>
      <c r="Y26">
        <f t="shared" si="14"/>
        <v>8.06</v>
      </c>
      <c r="AA26">
        <v>0</v>
      </c>
      <c r="AB26">
        <v>1192.55</v>
      </c>
      <c r="AC26">
        <v>465.43</v>
      </c>
      <c r="AD26">
        <v>0</v>
      </c>
      <c r="AE26">
        <v>0</v>
      </c>
      <c r="AF26">
        <v>828.16</v>
      </c>
      <c r="AG26">
        <v>465.43</v>
      </c>
      <c r="AH26">
        <v>0</v>
      </c>
      <c r="AI26">
        <v>1</v>
      </c>
      <c r="AJ26">
        <v>1.44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8.06</v>
      </c>
      <c r="AU26" t="s">
        <v>3</v>
      </c>
      <c r="AV26">
        <v>1</v>
      </c>
      <c r="AW26">
        <v>2</v>
      </c>
      <c r="AX26">
        <v>50838106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6674.9696000000004</v>
      </c>
      <c r="BL26">
        <v>3751.3658000000005</v>
      </c>
      <c r="BM26">
        <v>0</v>
      </c>
      <c r="BN26">
        <v>0</v>
      </c>
      <c r="BO26">
        <v>8.06</v>
      </c>
      <c r="BP26">
        <v>1</v>
      </c>
      <c r="BQ26">
        <v>0</v>
      </c>
      <c r="BR26">
        <v>6674.9696000000004</v>
      </c>
      <c r="BS26">
        <v>3751.3658000000005</v>
      </c>
      <c r="BT26">
        <v>0</v>
      </c>
      <c r="BU26">
        <v>0</v>
      </c>
      <c r="BV26">
        <v>8.06</v>
      </c>
      <c r="BW26">
        <v>1</v>
      </c>
      <c r="CV26">
        <v>0</v>
      </c>
      <c r="CW26">
        <f>ROUND(Y26*Source!I30*DO26,7)</f>
        <v>0.82050800000000002</v>
      </c>
      <c r="CX26">
        <f>ROUND(Y26*Source!I30,7)</f>
        <v>0.82050800000000002</v>
      </c>
      <c r="CY26">
        <f>AB26</f>
        <v>1192.55</v>
      </c>
      <c r="CZ26">
        <f>AF26</f>
        <v>828.16</v>
      </c>
      <c r="DA26">
        <f>AJ26</f>
        <v>1.44</v>
      </c>
      <c r="DB26">
        <f t="shared" si="15"/>
        <v>6674.97</v>
      </c>
      <c r="DC26">
        <f t="shared" si="16"/>
        <v>3751.37</v>
      </c>
      <c r="DD26" t="s">
        <v>3</v>
      </c>
      <c r="DE26" t="s">
        <v>3</v>
      </c>
      <c r="DF26">
        <f t="shared" si="17"/>
        <v>0</v>
      </c>
      <c r="DG26">
        <f>ROUND(ROUND(AF26*AJ26,2)*CX26,2)</f>
        <v>978.5</v>
      </c>
      <c r="DH26">
        <f t="shared" si="4"/>
        <v>381.89</v>
      </c>
      <c r="DI26">
        <f t="shared" si="5"/>
        <v>0</v>
      </c>
      <c r="DJ26">
        <f>DG26+DH26</f>
        <v>1360.3899999999999</v>
      </c>
      <c r="DK26">
        <v>0</v>
      </c>
      <c r="DL26" t="s">
        <v>263</v>
      </c>
      <c r="DM26">
        <v>5</v>
      </c>
      <c r="DN26" t="s">
        <v>256</v>
      </c>
      <c r="DO26">
        <v>1</v>
      </c>
    </row>
    <row r="27" spans="1:119">
      <c r="A27">
        <f>ROW(Source!A31)</f>
        <v>31</v>
      </c>
      <c r="B27">
        <v>50837940</v>
      </c>
      <c r="C27">
        <v>50838107</v>
      </c>
      <c r="D27">
        <v>49752858</v>
      </c>
      <c r="E27">
        <v>117</v>
      </c>
      <c r="F27">
        <v>1</v>
      </c>
      <c r="G27">
        <v>1</v>
      </c>
      <c r="H27">
        <v>1</v>
      </c>
      <c r="I27" t="s">
        <v>300</v>
      </c>
      <c r="J27" t="s">
        <v>3</v>
      </c>
      <c r="K27" t="s">
        <v>301</v>
      </c>
      <c r="L27">
        <v>1191</v>
      </c>
      <c r="N27">
        <v>1013</v>
      </c>
      <c r="O27" t="s">
        <v>256</v>
      </c>
      <c r="P27" t="s">
        <v>256</v>
      </c>
      <c r="Q27">
        <v>1</v>
      </c>
      <c r="W27">
        <v>0</v>
      </c>
      <c r="X27">
        <v>1958912953</v>
      </c>
      <c r="Y27">
        <f t="shared" si="14"/>
        <v>1.83</v>
      </c>
      <c r="AA27">
        <v>0</v>
      </c>
      <c r="AB27">
        <v>0</v>
      </c>
      <c r="AC27">
        <v>0</v>
      </c>
      <c r="AD27">
        <v>368.72</v>
      </c>
      <c r="AE27">
        <v>0</v>
      </c>
      <c r="AF27">
        <v>0</v>
      </c>
      <c r="AG27">
        <v>0</v>
      </c>
      <c r="AH27">
        <v>368.72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1.83</v>
      </c>
      <c r="AU27" t="s">
        <v>3</v>
      </c>
      <c r="AV27">
        <v>1</v>
      </c>
      <c r="AW27">
        <v>2</v>
      </c>
      <c r="AX27">
        <v>50838108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674.75760000000002</v>
      </c>
      <c r="BN27">
        <v>1.83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674.75760000000002</v>
      </c>
      <c r="BU27">
        <v>1.83</v>
      </c>
      <c r="BV27">
        <v>0</v>
      </c>
      <c r="BW27">
        <v>1</v>
      </c>
      <c r="CU27">
        <f>ROUND(AT27*Source!I31*AH27*AL27,2)</f>
        <v>21592.240000000002</v>
      </c>
      <c r="CV27">
        <f>ROUND(Y27*Source!I31,7)</f>
        <v>58.56</v>
      </c>
      <c r="CW27">
        <v>0</v>
      </c>
      <c r="CX27">
        <f>ROUND(Y27*Source!I31,7)</f>
        <v>58.56</v>
      </c>
      <c r="CY27">
        <f>AD27</f>
        <v>368.72</v>
      </c>
      <c r="CZ27">
        <f>AH27</f>
        <v>368.72</v>
      </c>
      <c r="DA27">
        <f>AL27</f>
        <v>1</v>
      </c>
      <c r="DB27">
        <f t="shared" si="15"/>
        <v>674.76</v>
      </c>
      <c r="DC27">
        <f t="shared" si="16"/>
        <v>0</v>
      </c>
      <c r="DD27" t="s">
        <v>3</v>
      </c>
      <c r="DE27" t="s">
        <v>3</v>
      </c>
      <c r="DF27">
        <f t="shared" si="17"/>
        <v>0</v>
      </c>
      <c r="DG27">
        <f>ROUND(ROUND(AF27,2)*CX27,2)</f>
        <v>0</v>
      </c>
      <c r="DH27">
        <f t="shared" si="4"/>
        <v>0</v>
      </c>
      <c r="DI27">
        <f t="shared" si="5"/>
        <v>21592.240000000002</v>
      </c>
      <c r="DJ27">
        <f>DI27</f>
        <v>21592.240000000002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>
      <c r="A28">
        <f>ROW(Source!A31)</f>
        <v>31</v>
      </c>
      <c r="B28">
        <v>50837940</v>
      </c>
      <c r="C28">
        <v>50838107</v>
      </c>
      <c r="D28">
        <v>49753052</v>
      </c>
      <c r="E28">
        <v>117</v>
      </c>
      <c r="F28">
        <v>1</v>
      </c>
      <c r="G28">
        <v>1</v>
      </c>
      <c r="H28">
        <v>1</v>
      </c>
      <c r="I28" t="s">
        <v>257</v>
      </c>
      <c r="J28" t="s">
        <v>3</v>
      </c>
      <c r="K28" t="s">
        <v>258</v>
      </c>
      <c r="L28">
        <v>1191</v>
      </c>
      <c r="N28">
        <v>1013</v>
      </c>
      <c r="O28" t="s">
        <v>256</v>
      </c>
      <c r="P28" t="s">
        <v>256</v>
      </c>
      <c r="Q28">
        <v>1</v>
      </c>
      <c r="W28">
        <v>0</v>
      </c>
      <c r="X28">
        <v>-1417349443</v>
      </c>
      <c r="Y28">
        <f t="shared" si="14"/>
        <v>0.18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0.18</v>
      </c>
      <c r="AU28" t="s">
        <v>3</v>
      </c>
      <c r="AV28">
        <v>2</v>
      </c>
      <c r="AW28">
        <v>2</v>
      </c>
      <c r="AX28">
        <v>50838109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ROUND(Y28*Source!I31,7)</f>
        <v>5.76</v>
      </c>
      <c r="CY28">
        <f>AD28</f>
        <v>0</v>
      </c>
      <c r="CZ28">
        <f>AH28</f>
        <v>0</v>
      </c>
      <c r="DA28">
        <f>AL28</f>
        <v>1</v>
      </c>
      <c r="DB28">
        <f t="shared" si="15"/>
        <v>0</v>
      </c>
      <c r="DC28">
        <f t="shared" si="16"/>
        <v>0</v>
      </c>
      <c r="DD28" t="s">
        <v>3</v>
      </c>
      <c r="DE28" t="s">
        <v>3</v>
      </c>
      <c r="DF28">
        <f t="shared" si="17"/>
        <v>0</v>
      </c>
      <c r="DG28">
        <f>ROUND(ROUND(AF28,2)*CX28,2)</f>
        <v>0</v>
      </c>
      <c r="DH28">
        <f t="shared" si="4"/>
        <v>0</v>
      </c>
      <c r="DI28">
        <f t="shared" si="5"/>
        <v>0</v>
      </c>
      <c r="DJ28">
        <f>DI28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>
      <c r="A29">
        <f>ROW(Source!A31)</f>
        <v>31</v>
      </c>
      <c r="B29">
        <v>50837940</v>
      </c>
      <c r="C29">
        <v>50838107</v>
      </c>
      <c r="D29">
        <v>49759250</v>
      </c>
      <c r="E29">
        <v>1</v>
      </c>
      <c r="F29">
        <v>1</v>
      </c>
      <c r="G29">
        <v>1</v>
      </c>
      <c r="H29">
        <v>2</v>
      </c>
      <c r="I29" t="s">
        <v>266</v>
      </c>
      <c r="J29" t="s">
        <v>267</v>
      </c>
      <c r="K29" t="s">
        <v>268</v>
      </c>
      <c r="L29">
        <v>1368</v>
      </c>
      <c r="N29">
        <v>1011</v>
      </c>
      <c r="O29" t="s">
        <v>262</v>
      </c>
      <c r="P29" t="s">
        <v>262</v>
      </c>
      <c r="Q29">
        <v>1</v>
      </c>
      <c r="W29">
        <v>0</v>
      </c>
      <c r="X29">
        <v>1445775709</v>
      </c>
      <c r="Y29">
        <f t="shared" si="14"/>
        <v>0.18</v>
      </c>
      <c r="AA29">
        <v>0</v>
      </c>
      <c r="AB29">
        <v>1192.55</v>
      </c>
      <c r="AC29">
        <v>465.43</v>
      </c>
      <c r="AD29">
        <v>0</v>
      </c>
      <c r="AE29">
        <v>0</v>
      </c>
      <c r="AF29">
        <v>828.16</v>
      </c>
      <c r="AG29">
        <v>465.43</v>
      </c>
      <c r="AH29">
        <v>0</v>
      </c>
      <c r="AI29">
        <v>1</v>
      </c>
      <c r="AJ29">
        <v>1.44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0.18</v>
      </c>
      <c r="AU29" t="s">
        <v>3</v>
      </c>
      <c r="AV29">
        <v>1</v>
      </c>
      <c r="AW29">
        <v>2</v>
      </c>
      <c r="AX29">
        <v>50838110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149.06879999999998</v>
      </c>
      <c r="BL29">
        <v>83.7774</v>
      </c>
      <c r="BM29">
        <v>0</v>
      </c>
      <c r="BN29">
        <v>0</v>
      </c>
      <c r="BO29">
        <v>0.18</v>
      </c>
      <c r="BP29">
        <v>1</v>
      </c>
      <c r="BQ29">
        <v>0</v>
      </c>
      <c r="BR29">
        <v>149.06879999999998</v>
      </c>
      <c r="BS29">
        <v>83.7774</v>
      </c>
      <c r="BT29">
        <v>0</v>
      </c>
      <c r="BU29">
        <v>0</v>
      </c>
      <c r="BV29">
        <v>0.18</v>
      </c>
      <c r="BW29">
        <v>1</v>
      </c>
      <c r="CV29">
        <v>0</v>
      </c>
      <c r="CW29">
        <f>ROUND(Y29*Source!I31*DO29,7)</f>
        <v>5.76</v>
      </c>
      <c r="CX29">
        <f>ROUND(Y29*Source!I31,7)</f>
        <v>5.76</v>
      </c>
      <c r="CY29">
        <f>AB29</f>
        <v>1192.55</v>
      </c>
      <c r="CZ29">
        <f>AF29</f>
        <v>828.16</v>
      </c>
      <c r="DA29">
        <f>AJ29</f>
        <v>1.44</v>
      </c>
      <c r="DB29">
        <f t="shared" si="15"/>
        <v>149.07</v>
      </c>
      <c r="DC29">
        <f t="shared" si="16"/>
        <v>83.78</v>
      </c>
      <c r="DD29" t="s">
        <v>3</v>
      </c>
      <c r="DE29" t="s">
        <v>3</v>
      </c>
      <c r="DF29">
        <f t="shared" si="17"/>
        <v>0</v>
      </c>
      <c r="DG29">
        <f>ROUND(ROUND(AF29*AJ29,2)*CX29,2)</f>
        <v>6869.09</v>
      </c>
      <c r="DH29">
        <f t="shared" si="4"/>
        <v>2680.88</v>
      </c>
      <c r="DI29">
        <f t="shared" si="5"/>
        <v>0</v>
      </c>
      <c r="DJ29">
        <f>DG29+DH29</f>
        <v>9549.9700000000012</v>
      </c>
      <c r="DK29">
        <v>0</v>
      </c>
      <c r="DL29" t="s">
        <v>263</v>
      </c>
      <c r="DM29">
        <v>5</v>
      </c>
      <c r="DN29" t="s">
        <v>256</v>
      </c>
      <c r="DO29">
        <v>1</v>
      </c>
    </row>
    <row r="30" spans="1:119">
      <c r="A30">
        <f>ROW(Source!A31)</f>
        <v>31</v>
      </c>
      <c r="B30">
        <v>50837940</v>
      </c>
      <c r="C30">
        <v>50838107</v>
      </c>
      <c r="D30">
        <v>49754464</v>
      </c>
      <c r="E30">
        <v>117</v>
      </c>
      <c r="F30">
        <v>1</v>
      </c>
      <c r="G30">
        <v>1</v>
      </c>
      <c r="H30">
        <v>3</v>
      </c>
      <c r="I30" t="s">
        <v>71</v>
      </c>
      <c r="J30" t="s">
        <v>3</v>
      </c>
      <c r="K30" t="s">
        <v>72</v>
      </c>
      <c r="L30">
        <v>1339</v>
      </c>
      <c r="N30">
        <v>1007</v>
      </c>
      <c r="O30" t="s">
        <v>73</v>
      </c>
      <c r="P30" t="s">
        <v>73</v>
      </c>
      <c r="Q30">
        <v>1</v>
      </c>
      <c r="W30">
        <v>0</v>
      </c>
      <c r="X30">
        <v>-1462611281</v>
      </c>
      <c r="Y30">
        <f>(AT30*ROUND(0,7))</f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0</v>
      </c>
      <c r="AN30">
        <v>1</v>
      </c>
      <c r="AO30">
        <v>0</v>
      </c>
      <c r="AP30">
        <v>1</v>
      </c>
      <c r="AQ30">
        <v>0</v>
      </c>
      <c r="AR30">
        <v>0</v>
      </c>
      <c r="AS30" t="s">
        <v>3</v>
      </c>
      <c r="AT30">
        <v>0</v>
      </c>
      <c r="AU30" t="s">
        <v>32</v>
      </c>
      <c r="AV30">
        <v>0</v>
      </c>
      <c r="AW30">
        <v>2</v>
      </c>
      <c r="AX30">
        <v>50838111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V30">
        <v>0</v>
      </c>
      <c r="CW30">
        <v>0</v>
      </c>
      <c r="CX30">
        <f>ROUND(Y30*Source!I31,7)</f>
        <v>0</v>
      </c>
      <c r="CY30">
        <f>AA30</f>
        <v>0</v>
      </c>
      <c r="CZ30">
        <f>AE30</f>
        <v>0</v>
      </c>
      <c r="DA30">
        <f>AI30</f>
        <v>1</v>
      </c>
      <c r="DB30">
        <f>ROUND((ROUND(AT30*CZ30,2)*ROUND(0,7)),6)</f>
        <v>0</v>
      </c>
      <c r="DC30">
        <f>ROUND((ROUND(AT30*AG30,2)*ROUND(0,7)),6)</f>
        <v>0</v>
      </c>
      <c r="DD30" t="s">
        <v>3</v>
      </c>
      <c r="DE30" t="s">
        <v>3</v>
      </c>
      <c r="DF30">
        <f t="shared" si="17"/>
        <v>0</v>
      </c>
      <c r="DG30">
        <f t="shared" ref="DG30:DG35" si="18">ROUND(ROUND(AF30,2)*CX30,2)</f>
        <v>0</v>
      </c>
      <c r="DH30">
        <f t="shared" si="4"/>
        <v>0</v>
      </c>
      <c r="DI30">
        <f t="shared" si="5"/>
        <v>0</v>
      </c>
      <c r="DJ30">
        <f>DF30</f>
        <v>0</v>
      </c>
      <c r="DK30">
        <v>0</v>
      </c>
      <c r="DL30" t="s">
        <v>3</v>
      </c>
      <c r="DM30">
        <v>0</v>
      </c>
      <c r="DN30" t="s">
        <v>3</v>
      </c>
      <c r="DO30">
        <v>0</v>
      </c>
    </row>
    <row r="31" spans="1:119">
      <c r="A31">
        <f>ROW(Source!A31)</f>
        <v>31</v>
      </c>
      <c r="B31">
        <v>50837940</v>
      </c>
      <c r="C31">
        <v>50838107</v>
      </c>
      <c r="D31">
        <v>49839840</v>
      </c>
      <c r="E31">
        <v>1</v>
      </c>
      <c r="F31">
        <v>1</v>
      </c>
      <c r="G31">
        <v>1</v>
      </c>
      <c r="H31">
        <v>3</v>
      </c>
      <c r="I31" t="s">
        <v>302</v>
      </c>
      <c r="J31" t="s">
        <v>303</v>
      </c>
      <c r="K31" t="s">
        <v>304</v>
      </c>
      <c r="L31">
        <v>1348</v>
      </c>
      <c r="N31">
        <v>1009</v>
      </c>
      <c r="O31" t="s">
        <v>275</v>
      </c>
      <c r="P31" t="s">
        <v>275</v>
      </c>
      <c r="Q31">
        <v>1000</v>
      </c>
      <c r="W31">
        <v>0</v>
      </c>
      <c r="X31">
        <v>550799360</v>
      </c>
      <c r="Y31">
        <f>(AT31*ROUND(0,7))</f>
        <v>0</v>
      </c>
      <c r="AA31">
        <v>71753.740000000005</v>
      </c>
      <c r="AB31">
        <v>0</v>
      </c>
      <c r="AC31">
        <v>0</v>
      </c>
      <c r="AD31">
        <v>0</v>
      </c>
      <c r="AE31">
        <v>73218.100000000006</v>
      </c>
      <c r="AF31">
        <v>0</v>
      </c>
      <c r="AG31">
        <v>0</v>
      </c>
      <c r="AH31">
        <v>0</v>
      </c>
      <c r="AI31">
        <v>0.98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2.48E-3</v>
      </c>
      <c r="AU31" t="s">
        <v>32</v>
      </c>
      <c r="AV31">
        <v>0</v>
      </c>
      <c r="AW31">
        <v>2</v>
      </c>
      <c r="AX31">
        <v>50838112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181.58088800000002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ROUND(Y31*Source!I31,7)</f>
        <v>0</v>
      </c>
      <c r="CY31">
        <f>AA31</f>
        <v>71753.740000000005</v>
      </c>
      <c r="CZ31">
        <f>AE31</f>
        <v>73218.100000000006</v>
      </c>
      <c r="DA31">
        <f>AI31</f>
        <v>0.98</v>
      </c>
      <c r="DB31">
        <f>ROUND((ROUND(AT31*CZ31,2)*ROUND(0,7)),6)</f>
        <v>0</v>
      </c>
      <c r="DC31">
        <f>ROUND((ROUND(AT31*AG31,2)*ROUND(0,7)),6)</f>
        <v>0</v>
      </c>
      <c r="DD31" t="s">
        <v>3</v>
      </c>
      <c r="DE31" t="s">
        <v>3</v>
      </c>
      <c r="DF31">
        <f>ROUND(ROUND(AE31*AI31,2)*CX31,2)</f>
        <v>0</v>
      </c>
      <c r="DG31">
        <f t="shared" si="18"/>
        <v>0</v>
      </c>
      <c r="DH31">
        <f t="shared" si="4"/>
        <v>0</v>
      </c>
      <c r="DI31">
        <f t="shared" si="5"/>
        <v>0</v>
      </c>
      <c r="DJ31">
        <f>DF31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>
      <c r="A32">
        <f>ROW(Source!A33)</f>
        <v>33</v>
      </c>
      <c r="B32">
        <v>50837940</v>
      </c>
      <c r="C32">
        <v>50838115</v>
      </c>
      <c r="D32">
        <v>49752835</v>
      </c>
      <c r="E32">
        <v>117</v>
      </c>
      <c r="F32">
        <v>1</v>
      </c>
      <c r="G32">
        <v>1</v>
      </c>
      <c r="H32">
        <v>1</v>
      </c>
      <c r="I32" t="s">
        <v>288</v>
      </c>
      <c r="J32" t="s">
        <v>3</v>
      </c>
      <c r="K32" t="s">
        <v>289</v>
      </c>
      <c r="L32">
        <v>1191</v>
      </c>
      <c r="N32">
        <v>1013</v>
      </c>
      <c r="O32" t="s">
        <v>256</v>
      </c>
      <c r="P32" t="s">
        <v>256</v>
      </c>
      <c r="Q32">
        <v>1</v>
      </c>
      <c r="W32">
        <v>0</v>
      </c>
      <c r="X32">
        <v>-1991603921</v>
      </c>
      <c r="Y32">
        <f t="shared" ref="Y32:Y39" si="19">AT32</f>
        <v>0.41</v>
      </c>
      <c r="AA32">
        <v>0</v>
      </c>
      <c r="AB32">
        <v>0</v>
      </c>
      <c r="AC32">
        <v>0</v>
      </c>
      <c r="AD32">
        <v>344.54</v>
      </c>
      <c r="AE32">
        <v>0</v>
      </c>
      <c r="AF32">
        <v>0</v>
      </c>
      <c r="AG32">
        <v>0</v>
      </c>
      <c r="AH32">
        <v>344.54</v>
      </c>
      <c r="AI32">
        <v>1</v>
      </c>
      <c r="AJ32">
        <v>1</v>
      </c>
      <c r="AK32">
        <v>1</v>
      </c>
      <c r="AL32">
        <v>1</v>
      </c>
      <c r="AM32">
        <v>-2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0.41</v>
      </c>
      <c r="AU32" t="s">
        <v>3</v>
      </c>
      <c r="AV32">
        <v>1</v>
      </c>
      <c r="AW32">
        <v>2</v>
      </c>
      <c r="AX32">
        <v>50838116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141.26140000000001</v>
      </c>
      <c r="BN32">
        <v>0.41</v>
      </c>
      <c r="BO32">
        <v>0</v>
      </c>
      <c r="BP32">
        <v>1</v>
      </c>
      <c r="BQ32">
        <v>0</v>
      </c>
      <c r="BR32">
        <v>0</v>
      </c>
      <c r="BS32">
        <v>0</v>
      </c>
      <c r="BT32">
        <v>141.26140000000001</v>
      </c>
      <c r="BU32">
        <v>0.41</v>
      </c>
      <c r="BV32">
        <v>0</v>
      </c>
      <c r="BW32">
        <v>1</v>
      </c>
      <c r="CU32">
        <f>ROUND(AT32*Source!I33*AH32*AL32,2)</f>
        <v>3672.8</v>
      </c>
      <c r="CV32">
        <f>ROUND(Y32*Source!I33,7)</f>
        <v>10.66</v>
      </c>
      <c r="CW32">
        <v>0</v>
      </c>
      <c r="CX32">
        <f>ROUND(Y32*Source!I33,7)</f>
        <v>10.66</v>
      </c>
      <c r="CY32">
        <f>AD32</f>
        <v>344.54</v>
      </c>
      <c r="CZ32">
        <f>AH32</f>
        <v>344.54</v>
      </c>
      <c r="DA32">
        <f>AL32</f>
        <v>1</v>
      </c>
      <c r="DB32">
        <f t="shared" ref="DB32:DB39" si="20">ROUND(ROUND(AT32*CZ32,2),6)</f>
        <v>141.26</v>
      </c>
      <c r="DC32">
        <f t="shared" ref="DC32:DC39" si="21">ROUND(ROUND(AT32*AG32,2),6)</f>
        <v>0</v>
      </c>
      <c r="DD32" t="s">
        <v>3</v>
      </c>
      <c r="DE32" t="s">
        <v>3</v>
      </c>
      <c r="DF32">
        <f t="shared" ref="DF32:DF39" si="22">ROUND(ROUND(AE32,2)*CX32,2)</f>
        <v>0</v>
      </c>
      <c r="DG32">
        <f t="shared" si="18"/>
        <v>0</v>
      </c>
      <c r="DH32">
        <f t="shared" si="4"/>
        <v>0</v>
      </c>
      <c r="DI32">
        <f t="shared" si="5"/>
        <v>3672.8</v>
      </c>
      <c r="DJ32">
        <f>DI32</f>
        <v>3672.8</v>
      </c>
      <c r="DK32">
        <v>1</v>
      </c>
      <c r="DL32" t="s">
        <v>3</v>
      </c>
      <c r="DM32">
        <v>0</v>
      </c>
      <c r="DN32" t="s">
        <v>3</v>
      </c>
      <c r="DO32">
        <v>0</v>
      </c>
    </row>
    <row r="33" spans="1:119">
      <c r="A33">
        <f>ROW(Source!A33)</f>
        <v>33</v>
      </c>
      <c r="B33">
        <v>50837940</v>
      </c>
      <c r="C33">
        <v>50838115</v>
      </c>
      <c r="D33">
        <v>49753052</v>
      </c>
      <c r="E33">
        <v>117</v>
      </c>
      <c r="F33">
        <v>1</v>
      </c>
      <c r="G33">
        <v>1</v>
      </c>
      <c r="H33">
        <v>1</v>
      </c>
      <c r="I33" t="s">
        <v>257</v>
      </c>
      <c r="J33" t="s">
        <v>3</v>
      </c>
      <c r="K33" t="s">
        <v>258</v>
      </c>
      <c r="L33">
        <v>1191</v>
      </c>
      <c r="N33">
        <v>1013</v>
      </c>
      <c r="O33" t="s">
        <v>256</v>
      </c>
      <c r="P33" t="s">
        <v>256</v>
      </c>
      <c r="Q33">
        <v>1</v>
      </c>
      <c r="W33">
        <v>0</v>
      </c>
      <c r="X33">
        <v>-1417349443</v>
      </c>
      <c r="Y33">
        <f t="shared" si="19"/>
        <v>0.44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-2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0.44</v>
      </c>
      <c r="AU33" t="s">
        <v>3</v>
      </c>
      <c r="AV33">
        <v>2</v>
      </c>
      <c r="AW33">
        <v>2</v>
      </c>
      <c r="AX33">
        <v>50838117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ROUND(Y33*Source!I33,7)</f>
        <v>11.44</v>
      </c>
      <c r="CY33">
        <f>AD33</f>
        <v>0</v>
      </c>
      <c r="CZ33">
        <f>AH33</f>
        <v>0</v>
      </c>
      <c r="DA33">
        <f>AL33</f>
        <v>1</v>
      </c>
      <c r="DB33">
        <f t="shared" si="20"/>
        <v>0</v>
      </c>
      <c r="DC33">
        <f t="shared" si="21"/>
        <v>0</v>
      </c>
      <c r="DD33" t="s">
        <v>3</v>
      </c>
      <c r="DE33" t="s">
        <v>3</v>
      </c>
      <c r="DF33">
        <f t="shared" si="22"/>
        <v>0</v>
      </c>
      <c r="DG33">
        <f t="shared" si="18"/>
        <v>0</v>
      </c>
      <c r="DH33">
        <f t="shared" ref="DH33:DH60" si="23">ROUND(ROUND(AG33,2)*CX33,2)</f>
        <v>0</v>
      </c>
      <c r="DI33">
        <f t="shared" ref="DI33:DI60" si="24">ROUND(ROUND(AH33,2)*CX33,2)</f>
        <v>0</v>
      </c>
      <c r="DJ33">
        <f>DI33</f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>
      <c r="A34">
        <f>ROW(Source!A33)</f>
        <v>33</v>
      </c>
      <c r="B34">
        <v>50837940</v>
      </c>
      <c r="C34">
        <v>50838115</v>
      </c>
      <c r="D34">
        <v>49759696</v>
      </c>
      <c r="E34">
        <v>1</v>
      </c>
      <c r="F34">
        <v>1</v>
      </c>
      <c r="G34">
        <v>1</v>
      </c>
      <c r="H34">
        <v>2</v>
      </c>
      <c r="I34" t="s">
        <v>305</v>
      </c>
      <c r="J34" t="s">
        <v>306</v>
      </c>
      <c r="K34" t="s">
        <v>307</v>
      </c>
      <c r="L34">
        <v>1368</v>
      </c>
      <c r="N34">
        <v>1011</v>
      </c>
      <c r="O34" t="s">
        <v>262</v>
      </c>
      <c r="P34" t="s">
        <v>262</v>
      </c>
      <c r="Q34">
        <v>1</v>
      </c>
      <c r="W34">
        <v>0</v>
      </c>
      <c r="X34">
        <v>639918019</v>
      </c>
      <c r="Y34">
        <f t="shared" si="19"/>
        <v>0.22</v>
      </c>
      <c r="AA34">
        <v>0</v>
      </c>
      <c r="AB34">
        <v>1719.93</v>
      </c>
      <c r="AC34">
        <v>544.01</v>
      </c>
      <c r="AD34">
        <v>0</v>
      </c>
      <c r="AE34">
        <v>0</v>
      </c>
      <c r="AF34">
        <v>1719.93</v>
      </c>
      <c r="AG34">
        <v>544.01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-2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0.22</v>
      </c>
      <c r="AU34" t="s">
        <v>3</v>
      </c>
      <c r="AV34">
        <v>1</v>
      </c>
      <c r="AW34">
        <v>2</v>
      </c>
      <c r="AX34">
        <v>50838118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378.38460000000003</v>
      </c>
      <c r="BL34">
        <v>119.68219999999999</v>
      </c>
      <c r="BM34">
        <v>0</v>
      </c>
      <c r="BN34">
        <v>0</v>
      </c>
      <c r="BO34">
        <v>0.22</v>
      </c>
      <c r="BP34">
        <v>1</v>
      </c>
      <c r="BQ34">
        <v>0</v>
      </c>
      <c r="BR34">
        <v>378.38460000000003</v>
      </c>
      <c r="BS34">
        <v>119.68219999999999</v>
      </c>
      <c r="BT34">
        <v>0</v>
      </c>
      <c r="BU34">
        <v>0</v>
      </c>
      <c r="BV34">
        <v>0.22</v>
      </c>
      <c r="BW34">
        <v>1</v>
      </c>
      <c r="CV34">
        <v>0</v>
      </c>
      <c r="CW34">
        <f>ROUND(Y34*Source!I33*DO34,7)</f>
        <v>5.72</v>
      </c>
      <c r="CX34">
        <f>ROUND(Y34*Source!I33,7)</f>
        <v>5.72</v>
      </c>
      <c r="CY34">
        <f>AB34</f>
        <v>1719.93</v>
      </c>
      <c r="CZ34">
        <f>AF34</f>
        <v>1719.93</v>
      </c>
      <c r="DA34">
        <f>AJ34</f>
        <v>1</v>
      </c>
      <c r="DB34">
        <f t="shared" si="20"/>
        <v>378.38</v>
      </c>
      <c r="DC34">
        <f t="shared" si="21"/>
        <v>119.68</v>
      </c>
      <c r="DD34" t="s">
        <v>3</v>
      </c>
      <c r="DE34" t="s">
        <v>3</v>
      </c>
      <c r="DF34">
        <f t="shared" si="22"/>
        <v>0</v>
      </c>
      <c r="DG34">
        <f t="shared" si="18"/>
        <v>9838</v>
      </c>
      <c r="DH34">
        <f t="shared" si="23"/>
        <v>3111.74</v>
      </c>
      <c r="DI34">
        <f t="shared" si="24"/>
        <v>0</v>
      </c>
      <c r="DJ34">
        <f>DG34+DH34</f>
        <v>12949.74</v>
      </c>
      <c r="DK34">
        <v>1</v>
      </c>
      <c r="DL34" t="s">
        <v>308</v>
      </c>
      <c r="DM34">
        <v>6</v>
      </c>
      <c r="DN34" t="s">
        <v>256</v>
      </c>
      <c r="DO34">
        <v>1</v>
      </c>
    </row>
    <row r="35" spans="1:119">
      <c r="A35">
        <f>ROW(Source!A33)</f>
        <v>33</v>
      </c>
      <c r="B35">
        <v>50837940</v>
      </c>
      <c r="C35">
        <v>50838115</v>
      </c>
      <c r="D35">
        <v>49760674</v>
      </c>
      <c r="E35">
        <v>1</v>
      </c>
      <c r="F35">
        <v>1</v>
      </c>
      <c r="G35">
        <v>1</v>
      </c>
      <c r="H35">
        <v>2</v>
      </c>
      <c r="I35" t="s">
        <v>290</v>
      </c>
      <c r="J35" t="s">
        <v>291</v>
      </c>
      <c r="K35" t="s">
        <v>292</v>
      </c>
      <c r="L35">
        <v>1368</v>
      </c>
      <c r="N35">
        <v>1011</v>
      </c>
      <c r="O35" t="s">
        <v>262</v>
      </c>
      <c r="P35" t="s">
        <v>262</v>
      </c>
      <c r="Q35">
        <v>1</v>
      </c>
      <c r="W35">
        <v>0</v>
      </c>
      <c r="X35">
        <v>1256142057</v>
      </c>
      <c r="Y35">
        <f t="shared" si="19"/>
        <v>0.22</v>
      </c>
      <c r="AA35">
        <v>0</v>
      </c>
      <c r="AB35">
        <v>14.59</v>
      </c>
      <c r="AC35">
        <v>0</v>
      </c>
      <c r="AD35">
        <v>0</v>
      </c>
      <c r="AE35">
        <v>0</v>
      </c>
      <c r="AF35">
        <v>14.59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-2</v>
      </c>
      <c r="AN35">
        <v>0</v>
      </c>
      <c r="AO35">
        <v>0</v>
      </c>
      <c r="AP35">
        <v>1</v>
      </c>
      <c r="AQ35">
        <v>1</v>
      </c>
      <c r="AR35">
        <v>0</v>
      </c>
      <c r="AS35" t="s">
        <v>3</v>
      </c>
      <c r="AT35">
        <v>0.22</v>
      </c>
      <c r="AU35" t="s">
        <v>3</v>
      </c>
      <c r="AV35">
        <v>1</v>
      </c>
      <c r="AW35">
        <v>2</v>
      </c>
      <c r="AX35">
        <v>50838119</v>
      </c>
      <c r="AY35">
        <v>1</v>
      </c>
      <c r="AZ35">
        <v>0</v>
      </c>
      <c r="BA35">
        <v>35</v>
      </c>
      <c r="BB35">
        <v>1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3.2098</v>
      </c>
      <c r="BL35">
        <v>0</v>
      </c>
      <c r="BM35">
        <v>0</v>
      </c>
      <c r="BN35">
        <v>0</v>
      </c>
      <c r="BO35">
        <v>0</v>
      </c>
      <c r="BP35">
        <v>1</v>
      </c>
      <c r="BQ35">
        <v>0</v>
      </c>
      <c r="BR35">
        <v>3.2098</v>
      </c>
      <c r="BS35">
        <v>0</v>
      </c>
      <c r="BT35">
        <v>0</v>
      </c>
      <c r="BU35">
        <v>0</v>
      </c>
      <c r="BV35">
        <v>0</v>
      </c>
      <c r="BW35">
        <v>1</v>
      </c>
      <c r="CV35">
        <v>0</v>
      </c>
      <c r="CW35">
        <f>ROUND(Y35*Source!I33*DO35,7)</f>
        <v>0</v>
      </c>
      <c r="CX35">
        <f>ROUND(Y35*Source!I33,7)</f>
        <v>5.72</v>
      </c>
      <c r="CY35">
        <f>AB35</f>
        <v>14.59</v>
      </c>
      <c r="CZ35">
        <f>AF35</f>
        <v>14.59</v>
      </c>
      <c r="DA35">
        <f>AJ35</f>
        <v>1</v>
      </c>
      <c r="DB35">
        <f t="shared" si="20"/>
        <v>3.21</v>
      </c>
      <c r="DC35">
        <f t="shared" si="21"/>
        <v>0</v>
      </c>
      <c r="DD35" t="s">
        <v>3</v>
      </c>
      <c r="DE35" t="s">
        <v>3</v>
      </c>
      <c r="DF35">
        <f t="shared" si="22"/>
        <v>0</v>
      </c>
      <c r="DG35">
        <f t="shared" si="18"/>
        <v>83.45</v>
      </c>
      <c r="DH35">
        <f t="shared" si="23"/>
        <v>0</v>
      </c>
      <c r="DI35">
        <f t="shared" si="24"/>
        <v>0</v>
      </c>
      <c r="DJ35">
        <f>DG35+DH35</f>
        <v>83.45</v>
      </c>
      <c r="DK35">
        <v>1</v>
      </c>
      <c r="DL35" t="s">
        <v>3</v>
      </c>
      <c r="DM35">
        <v>0</v>
      </c>
      <c r="DN35" t="s">
        <v>3</v>
      </c>
      <c r="DO35">
        <v>0</v>
      </c>
    </row>
    <row r="36" spans="1:119">
      <c r="A36">
        <f>ROW(Source!A33)</f>
        <v>33</v>
      </c>
      <c r="B36">
        <v>50837940</v>
      </c>
      <c r="C36">
        <v>50838115</v>
      </c>
      <c r="D36">
        <v>49760692</v>
      </c>
      <c r="E36">
        <v>1</v>
      </c>
      <c r="F36">
        <v>1</v>
      </c>
      <c r="G36">
        <v>1</v>
      </c>
      <c r="H36">
        <v>2</v>
      </c>
      <c r="I36" t="s">
        <v>293</v>
      </c>
      <c r="J36" t="s">
        <v>294</v>
      </c>
      <c r="K36" t="s">
        <v>295</v>
      </c>
      <c r="L36">
        <v>1368</v>
      </c>
      <c r="N36">
        <v>1011</v>
      </c>
      <c r="O36" t="s">
        <v>262</v>
      </c>
      <c r="P36" t="s">
        <v>262</v>
      </c>
      <c r="Q36">
        <v>1</v>
      </c>
      <c r="W36">
        <v>0</v>
      </c>
      <c r="X36">
        <v>1638899965</v>
      </c>
      <c r="Y36">
        <f t="shared" si="19"/>
        <v>0.22</v>
      </c>
      <c r="AA36">
        <v>0</v>
      </c>
      <c r="AB36">
        <v>678.24</v>
      </c>
      <c r="AC36">
        <v>404.99</v>
      </c>
      <c r="AD36">
        <v>0</v>
      </c>
      <c r="AE36">
        <v>0</v>
      </c>
      <c r="AF36">
        <v>487.94</v>
      </c>
      <c r="AG36">
        <v>404.99</v>
      </c>
      <c r="AH36">
        <v>0</v>
      </c>
      <c r="AI36">
        <v>1</v>
      </c>
      <c r="AJ36">
        <v>1.39</v>
      </c>
      <c r="AK36">
        <v>1</v>
      </c>
      <c r="AL36">
        <v>1</v>
      </c>
      <c r="AM36">
        <v>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0.22</v>
      </c>
      <c r="AU36" t="s">
        <v>3</v>
      </c>
      <c r="AV36">
        <v>1</v>
      </c>
      <c r="AW36">
        <v>2</v>
      </c>
      <c r="AX36">
        <v>50838120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107.3468</v>
      </c>
      <c r="BL36">
        <v>89.097800000000007</v>
      </c>
      <c r="BM36">
        <v>0</v>
      </c>
      <c r="BN36">
        <v>0</v>
      </c>
      <c r="BO36">
        <v>0.22</v>
      </c>
      <c r="BP36">
        <v>1</v>
      </c>
      <c r="BQ36">
        <v>0</v>
      </c>
      <c r="BR36">
        <v>107.3468</v>
      </c>
      <c r="BS36">
        <v>89.097800000000007</v>
      </c>
      <c r="BT36">
        <v>0</v>
      </c>
      <c r="BU36">
        <v>0</v>
      </c>
      <c r="BV36">
        <v>0.22</v>
      </c>
      <c r="BW36">
        <v>1</v>
      </c>
      <c r="CV36">
        <v>0</v>
      </c>
      <c r="CW36">
        <f>ROUND(Y36*Source!I33*DO36,7)</f>
        <v>5.72</v>
      </c>
      <c r="CX36">
        <f>ROUND(Y36*Source!I33,7)</f>
        <v>5.72</v>
      </c>
      <c r="CY36">
        <f>AB36</f>
        <v>678.24</v>
      </c>
      <c r="CZ36">
        <f>AF36</f>
        <v>487.94</v>
      </c>
      <c r="DA36">
        <f>AJ36</f>
        <v>1.39</v>
      </c>
      <c r="DB36">
        <f t="shared" si="20"/>
        <v>107.35</v>
      </c>
      <c r="DC36">
        <f t="shared" si="21"/>
        <v>89.1</v>
      </c>
      <c r="DD36" t="s">
        <v>3</v>
      </c>
      <c r="DE36" t="s">
        <v>3</v>
      </c>
      <c r="DF36">
        <f t="shared" si="22"/>
        <v>0</v>
      </c>
      <c r="DG36">
        <f>ROUND(ROUND(AF36*AJ36,2)*CX36,2)</f>
        <v>3879.53</v>
      </c>
      <c r="DH36">
        <f t="shared" si="23"/>
        <v>2316.54</v>
      </c>
      <c r="DI36">
        <f t="shared" si="24"/>
        <v>0</v>
      </c>
      <c r="DJ36">
        <f>DG36+DH36</f>
        <v>6196.07</v>
      </c>
      <c r="DK36">
        <v>0</v>
      </c>
      <c r="DL36" t="s">
        <v>296</v>
      </c>
      <c r="DM36">
        <v>4</v>
      </c>
      <c r="DN36" t="s">
        <v>256</v>
      </c>
      <c r="DO36">
        <v>1</v>
      </c>
    </row>
    <row r="37" spans="1:119">
      <c r="A37">
        <f>ROW(Source!A34)</f>
        <v>34</v>
      </c>
      <c r="B37">
        <v>50837940</v>
      </c>
      <c r="C37">
        <v>50838121</v>
      </c>
      <c r="D37">
        <v>49752853</v>
      </c>
      <c r="E37">
        <v>117</v>
      </c>
      <c r="F37">
        <v>1</v>
      </c>
      <c r="G37">
        <v>1</v>
      </c>
      <c r="H37">
        <v>1</v>
      </c>
      <c r="I37" t="s">
        <v>309</v>
      </c>
      <c r="J37" t="s">
        <v>3</v>
      </c>
      <c r="K37" t="s">
        <v>310</v>
      </c>
      <c r="L37">
        <v>1191</v>
      </c>
      <c r="N37">
        <v>1013</v>
      </c>
      <c r="O37" t="s">
        <v>256</v>
      </c>
      <c r="P37" t="s">
        <v>256</v>
      </c>
      <c r="Q37">
        <v>1</v>
      </c>
      <c r="W37">
        <v>0</v>
      </c>
      <c r="X37">
        <v>-1833565283</v>
      </c>
      <c r="Y37">
        <f t="shared" si="19"/>
        <v>1.2</v>
      </c>
      <c r="AA37">
        <v>0</v>
      </c>
      <c r="AB37">
        <v>0</v>
      </c>
      <c r="AC37">
        <v>0</v>
      </c>
      <c r="AD37">
        <v>359.65</v>
      </c>
      <c r="AE37">
        <v>0</v>
      </c>
      <c r="AF37">
        <v>0</v>
      </c>
      <c r="AG37">
        <v>0</v>
      </c>
      <c r="AH37">
        <v>359.65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1.2</v>
      </c>
      <c r="AU37" t="s">
        <v>3</v>
      </c>
      <c r="AV37">
        <v>1</v>
      </c>
      <c r="AW37">
        <v>2</v>
      </c>
      <c r="AX37">
        <v>50838122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431.58</v>
      </c>
      <c r="BN37">
        <v>1.2</v>
      </c>
      <c r="BO37">
        <v>0</v>
      </c>
      <c r="BP37">
        <v>1</v>
      </c>
      <c r="BQ37">
        <v>0</v>
      </c>
      <c r="BR37">
        <v>0</v>
      </c>
      <c r="BS37">
        <v>0</v>
      </c>
      <c r="BT37">
        <v>431.58</v>
      </c>
      <c r="BU37">
        <v>1.2</v>
      </c>
      <c r="BV37">
        <v>0</v>
      </c>
      <c r="BW37">
        <v>1</v>
      </c>
      <c r="CU37">
        <f>ROUND(AT37*Source!I34*AH37*AL37,2)</f>
        <v>17263.2</v>
      </c>
      <c r="CV37">
        <f>ROUND(Y37*Source!I34,7)</f>
        <v>48</v>
      </c>
      <c r="CW37">
        <v>0</v>
      </c>
      <c r="CX37">
        <f>ROUND(Y37*Source!I34,7)</f>
        <v>48</v>
      </c>
      <c r="CY37">
        <f>AD37</f>
        <v>359.65</v>
      </c>
      <c r="CZ37">
        <f>AH37</f>
        <v>359.65</v>
      </c>
      <c r="DA37">
        <f>AL37</f>
        <v>1</v>
      </c>
      <c r="DB37">
        <f t="shared" si="20"/>
        <v>431.58</v>
      </c>
      <c r="DC37">
        <f t="shared" si="21"/>
        <v>0</v>
      </c>
      <c r="DD37" t="s">
        <v>3</v>
      </c>
      <c r="DE37" t="s">
        <v>3</v>
      </c>
      <c r="DF37">
        <f t="shared" si="22"/>
        <v>0</v>
      </c>
      <c r="DG37">
        <f t="shared" ref="DG37:DG51" si="25">ROUND(ROUND(AF37,2)*CX37,2)</f>
        <v>0</v>
      </c>
      <c r="DH37">
        <f t="shared" si="23"/>
        <v>0</v>
      </c>
      <c r="DI37">
        <f t="shared" si="24"/>
        <v>17263.2</v>
      </c>
      <c r="DJ37">
        <f>DI37</f>
        <v>17263.2</v>
      </c>
      <c r="DK37">
        <v>1</v>
      </c>
      <c r="DL37" t="s">
        <v>3</v>
      </c>
      <c r="DM37">
        <v>0</v>
      </c>
      <c r="DN37" t="s">
        <v>3</v>
      </c>
      <c r="DO37">
        <v>0</v>
      </c>
    </row>
    <row r="38" spans="1:119">
      <c r="A38">
        <f>ROW(Source!A34)</f>
        <v>34</v>
      </c>
      <c r="B38">
        <v>50837940</v>
      </c>
      <c r="C38">
        <v>50838121</v>
      </c>
      <c r="D38">
        <v>49753052</v>
      </c>
      <c r="E38">
        <v>117</v>
      </c>
      <c r="F38">
        <v>1</v>
      </c>
      <c r="G38">
        <v>1</v>
      </c>
      <c r="H38">
        <v>1</v>
      </c>
      <c r="I38" t="s">
        <v>257</v>
      </c>
      <c r="J38" t="s">
        <v>3</v>
      </c>
      <c r="K38" t="s">
        <v>258</v>
      </c>
      <c r="L38">
        <v>1191</v>
      </c>
      <c r="N38">
        <v>1013</v>
      </c>
      <c r="O38" t="s">
        <v>256</v>
      </c>
      <c r="P38" t="s">
        <v>256</v>
      </c>
      <c r="Q38">
        <v>1</v>
      </c>
      <c r="W38">
        <v>0</v>
      </c>
      <c r="X38">
        <v>-1417349443</v>
      </c>
      <c r="Y38">
        <f t="shared" si="19"/>
        <v>0.06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-2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0.06</v>
      </c>
      <c r="AU38" t="s">
        <v>3</v>
      </c>
      <c r="AV38">
        <v>2</v>
      </c>
      <c r="AW38">
        <v>2</v>
      </c>
      <c r="AX38">
        <v>50838123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ROUND(Y38*Source!I34,7)</f>
        <v>2.4</v>
      </c>
      <c r="CY38">
        <f>AD38</f>
        <v>0</v>
      </c>
      <c r="CZ38">
        <f>AH38</f>
        <v>0</v>
      </c>
      <c r="DA38">
        <f>AL38</f>
        <v>1</v>
      </c>
      <c r="DB38">
        <f t="shared" si="20"/>
        <v>0</v>
      </c>
      <c r="DC38">
        <f t="shared" si="21"/>
        <v>0</v>
      </c>
      <c r="DD38" t="s">
        <v>3</v>
      </c>
      <c r="DE38" t="s">
        <v>3</v>
      </c>
      <c r="DF38">
        <f t="shared" si="22"/>
        <v>0</v>
      </c>
      <c r="DG38">
        <f t="shared" si="25"/>
        <v>0</v>
      </c>
      <c r="DH38">
        <f t="shared" si="23"/>
        <v>0</v>
      </c>
      <c r="DI38">
        <f t="shared" si="24"/>
        <v>0</v>
      </c>
      <c r="DJ38">
        <f>DI38</f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>
      <c r="A39">
        <f>ROW(Source!A34)</f>
        <v>34</v>
      </c>
      <c r="B39">
        <v>50837940</v>
      </c>
      <c r="C39">
        <v>50838121</v>
      </c>
      <c r="D39">
        <v>49760608</v>
      </c>
      <c r="E39">
        <v>1</v>
      </c>
      <c r="F39">
        <v>1</v>
      </c>
      <c r="G39">
        <v>1</v>
      </c>
      <c r="H39">
        <v>2</v>
      </c>
      <c r="I39" t="s">
        <v>311</v>
      </c>
      <c r="J39" t="s">
        <v>312</v>
      </c>
      <c r="K39" t="s">
        <v>313</v>
      </c>
      <c r="L39">
        <v>1368</v>
      </c>
      <c r="N39">
        <v>1011</v>
      </c>
      <c r="O39" t="s">
        <v>262</v>
      </c>
      <c r="P39" t="s">
        <v>262</v>
      </c>
      <c r="Q39">
        <v>1</v>
      </c>
      <c r="W39">
        <v>0</v>
      </c>
      <c r="X39">
        <v>-849950259</v>
      </c>
      <c r="Y39">
        <f t="shared" si="19"/>
        <v>0.06</v>
      </c>
      <c r="AA39">
        <v>0</v>
      </c>
      <c r="AB39">
        <v>680.75</v>
      </c>
      <c r="AC39">
        <v>404.99</v>
      </c>
      <c r="AD39">
        <v>0</v>
      </c>
      <c r="AE39">
        <v>0</v>
      </c>
      <c r="AF39">
        <v>680.75</v>
      </c>
      <c r="AG39">
        <v>404.99</v>
      </c>
      <c r="AH39">
        <v>0</v>
      </c>
      <c r="AI39">
        <v>1</v>
      </c>
      <c r="AJ39">
        <v>1</v>
      </c>
      <c r="AK39">
        <v>1</v>
      </c>
      <c r="AL39">
        <v>1</v>
      </c>
      <c r="AM39">
        <v>-2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0.06</v>
      </c>
      <c r="AU39" t="s">
        <v>3</v>
      </c>
      <c r="AV39">
        <v>1</v>
      </c>
      <c r="AW39">
        <v>2</v>
      </c>
      <c r="AX39">
        <v>50838124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40.844999999999999</v>
      </c>
      <c r="BL39">
        <v>24.299399999999999</v>
      </c>
      <c r="BM39">
        <v>0</v>
      </c>
      <c r="BN39">
        <v>0</v>
      </c>
      <c r="BO39">
        <v>0.06</v>
      </c>
      <c r="BP39">
        <v>1</v>
      </c>
      <c r="BQ39">
        <v>0</v>
      </c>
      <c r="BR39">
        <v>40.844999999999999</v>
      </c>
      <c r="BS39">
        <v>24.299399999999999</v>
      </c>
      <c r="BT39">
        <v>0</v>
      </c>
      <c r="BU39">
        <v>0</v>
      </c>
      <c r="BV39">
        <v>0.06</v>
      </c>
      <c r="BW39">
        <v>1</v>
      </c>
      <c r="CV39">
        <v>0</v>
      </c>
      <c r="CW39">
        <f>ROUND(Y39*Source!I34*DO39,7)</f>
        <v>2.4</v>
      </c>
      <c r="CX39">
        <f>ROUND(Y39*Source!I34,7)</f>
        <v>2.4</v>
      </c>
      <c r="CY39">
        <f>AB39</f>
        <v>680.75</v>
      </c>
      <c r="CZ39">
        <f>AF39</f>
        <v>680.75</v>
      </c>
      <c r="DA39">
        <f>AJ39</f>
        <v>1</v>
      </c>
      <c r="DB39">
        <f t="shared" si="20"/>
        <v>40.85</v>
      </c>
      <c r="DC39">
        <f t="shared" si="21"/>
        <v>24.3</v>
      </c>
      <c r="DD39" t="s">
        <v>3</v>
      </c>
      <c r="DE39" t="s">
        <v>3</v>
      </c>
      <c r="DF39">
        <f t="shared" si="22"/>
        <v>0</v>
      </c>
      <c r="DG39">
        <f t="shared" si="25"/>
        <v>1633.8</v>
      </c>
      <c r="DH39">
        <f t="shared" si="23"/>
        <v>971.98</v>
      </c>
      <c r="DI39">
        <f t="shared" si="24"/>
        <v>0</v>
      </c>
      <c r="DJ39">
        <f>DG39+DH39</f>
        <v>2605.7799999999997</v>
      </c>
      <c r="DK39">
        <v>1</v>
      </c>
      <c r="DL39" t="s">
        <v>296</v>
      </c>
      <c r="DM39">
        <v>4</v>
      </c>
      <c r="DN39" t="s">
        <v>256</v>
      </c>
      <c r="DO39">
        <v>1</v>
      </c>
    </row>
    <row r="40" spans="1:119">
      <c r="A40">
        <f>ROW(Source!A34)</f>
        <v>34</v>
      </c>
      <c r="B40">
        <v>50837940</v>
      </c>
      <c r="C40">
        <v>50838121</v>
      </c>
      <c r="D40">
        <v>49827241</v>
      </c>
      <c r="E40">
        <v>1</v>
      </c>
      <c r="F40">
        <v>1</v>
      </c>
      <c r="G40">
        <v>1</v>
      </c>
      <c r="H40">
        <v>3</v>
      </c>
      <c r="I40" t="s">
        <v>314</v>
      </c>
      <c r="J40" t="s">
        <v>315</v>
      </c>
      <c r="K40" t="s">
        <v>316</v>
      </c>
      <c r="L40">
        <v>1346</v>
      </c>
      <c r="N40">
        <v>1009</v>
      </c>
      <c r="O40" t="s">
        <v>85</v>
      </c>
      <c r="P40" t="s">
        <v>85</v>
      </c>
      <c r="Q40">
        <v>1</v>
      </c>
      <c r="W40">
        <v>0</v>
      </c>
      <c r="X40">
        <v>-1547825166</v>
      </c>
      <c r="Y40">
        <f>(AT40*ROUND(0,7))</f>
        <v>0</v>
      </c>
      <c r="AA40">
        <v>87.8</v>
      </c>
      <c r="AB40">
        <v>0</v>
      </c>
      <c r="AC40">
        <v>0</v>
      </c>
      <c r="AD40">
        <v>0</v>
      </c>
      <c r="AE40">
        <v>58.53</v>
      </c>
      <c r="AF40">
        <v>0</v>
      </c>
      <c r="AG40">
        <v>0</v>
      </c>
      <c r="AH40">
        <v>0</v>
      </c>
      <c r="AI40">
        <v>1.5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0.03</v>
      </c>
      <c r="AU40" t="s">
        <v>32</v>
      </c>
      <c r="AV40">
        <v>0</v>
      </c>
      <c r="AW40">
        <v>2</v>
      </c>
      <c r="AX40">
        <v>50838125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1.7559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V40">
        <v>0</v>
      </c>
      <c r="CW40">
        <v>0</v>
      </c>
      <c r="CX40">
        <f>ROUND(Y40*Source!I34,7)</f>
        <v>0</v>
      </c>
      <c r="CY40">
        <f>AA40</f>
        <v>87.8</v>
      </c>
      <c r="CZ40">
        <f>AE40</f>
        <v>58.53</v>
      </c>
      <c r="DA40">
        <f>AI40</f>
        <v>1.5</v>
      </c>
      <c r="DB40">
        <f>ROUND((ROUND(AT40*CZ40,2)*ROUND(0,7)),6)</f>
        <v>0</v>
      </c>
      <c r="DC40">
        <f>ROUND((ROUND(AT40*AG40,2)*ROUND(0,7)),6)</f>
        <v>0</v>
      </c>
      <c r="DD40" t="s">
        <v>3</v>
      </c>
      <c r="DE40" t="s">
        <v>3</v>
      </c>
      <c r="DF40">
        <f>ROUND(ROUND(AE40*AI40,2)*CX40,2)</f>
        <v>0</v>
      </c>
      <c r="DG40">
        <f t="shared" si="25"/>
        <v>0</v>
      </c>
      <c r="DH40">
        <f t="shared" si="23"/>
        <v>0</v>
      </c>
      <c r="DI40">
        <f t="shared" si="24"/>
        <v>0</v>
      </c>
      <c r="DJ40">
        <f>DF40</f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>
      <c r="A41">
        <f>ROW(Source!A34)</f>
        <v>34</v>
      </c>
      <c r="B41">
        <v>50837940</v>
      </c>
      <c r="C41">
        <v>50838121</v>
      </c>
      <c r="D41">
        <v>49831697</v>
      </c>
      <c r="E41">
        <v>1</v>
      </c>
      <c r="F41">
        <v>1</v>
      </c>
      <c r="G41">
        <v>1</v>
      </c>
      <c r="H41">
        <v>3</v>
      </c>
      <c r="I41" t="s">
        <v>83</v>
      </c>
      <c r="J41" t="s">
        <v>86</v>
      </c>
      <c r="K41" t="s">
        <v>84</v>
      </c>
      <c r="L41">
        <v>1346</v>
      </c>
      <c r="N41">
        <v>1009</v>
      </c>
      <c r="O41" t="s">
        <v>85</v>
      </c>
      <c r="P41" t="s">
        <v>85</v>
      </c>
      <c r="Q41">
        <v>1</v>
      </c>
      <c r="W41">
        <v>0</v>
      </c>
      <c r="X41">
        <v>-1131385474</v>
      </c>
      <c r="Y41">
        <f>(AT41*ROUND(0,7))</f>
        <v>0</v>
      </c>
      <c r="AA41">
        <v>199.42</v>
      </c>
      <c r="AB41">
        <v>0</v>
      </c>
      <c r="AC41">
        <v>0</v>
      </c>
      <c r="AD41">
        <v>0</v>
      </c>
      <c r="AE41">
        <v>174.93</v>
      </c>
      <c r="AF41">
        <v>0</v>
      </c>
      <c r="AG41">
        <v>0</v>
      </c>
      <c r="AH41">
        <v>0</v>
      </c>
      <c r="AI41">
        <v>1.1399999999999999</v>
      </c>
      <c r="AJ41">
        <v>1</v>
      </c>
      <c r="AK41">
        <v>1</v>
      </c>
      <c r="AL41">
        <v>1</v>
      </c>
      <c r="AM41">
        <v>0</v>
      </c>
      <c r="AN41">
        <v>1</v>
      </c>
      <c r="AO41">
        <v>0</v>
      </c>
      <c r="AP41">
        <v>1</v>
      </c>
      <c r="AQ41">
        <v>0</v>
      </c>
      <c r="AR41">
        <v>0</v>
      </c>
      <c r="AS41" t="s">
        <v>3</v>
      </c>
      <c r="AT41">
        <v>0</v>
      </c>
      <c r="AU41" t="s">
        <v>32</v>
      </c>
      <c r="AV41">
        <v>0</v>
      </c>
      <c r="AW41">
        <v>2</v>
      </c>
      <c r="AX41">
        <v>50838126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ROUND(Y41*Source!I34,7)</f>
        <v>0</v>
      </c>
      <c r="CY41">
        <f>AA41</f>
        <v>199.42</v>
      </c>
      <c r="CZ41">
        <f>AE41</f>
        <v>174.93</v>
      </c>
      <c r="DA41">
        <f>AI41</f>
        <v>1.1399999999999999</v>
      </c>
      <c r="DB41">
        <f>ROUND((ROUND(AT41*CZ41,2)*ROUND(0,7)),6)</f>
        <v>0</v>
      </c>
      <c r="DC41">
        <f>ROUND((ROUND(AT41*AG41,2)*ROUND(0,7)),6)</f>
        <v>0</v>
      </c>
      <c r="DD41" t="s">
        <v>3</v>
      </c>
      <c r="DE41" t="s">
        <v>3</v>
      </c>
      <c r="DF41">
        <f>ROUND(ROUND(AE41*AI41,2)*CX41,2)</f>
        <v>0</v>
      </c>
      <c r="DG41">
        <f t="shared" si="25"/>
        <v>0</v>
      </c>
      <c r="DH41">
        <f t="shared" si="23"/>
        <v>0</v>
      </c>
      <c r="DI41">
        <f t="shared" si="24"/>
        <v>0</v>
      </c>
      <c r="DJ41">
        <f>DF41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>
      <c r="A42">
        <f>ROW(Source!A34)</f>
        <v>34</v>
      </c>
      <c r="B42">
        <v>50837940</v>
      </c>
      <c r="C42">
        <v>50838121</v>
      </c>
      <c r="D42">
        <v>49755144</v>
      </c>
      <c r="E42">
        <v>117</v>
      </c>
      <c r="F42">
        <v>1</v>
      </c>
      <c r="G42">
        <v>1</v>
      </c>
      <c r="H42">
        <v>3</v>
      </c>
      <c r="I42" t="s">
        <v>88</v>
      </c>
      <c r="J42" t="s">
        <v>3</v>
      </c>
      <c r="K42" t="s">
        <v>89</v>
      </c>
      <c r="L42">
        <v>1377</v>
      </c>
      <c r="N42">
        <v>1013</v>
      </c>
      <c r="O42" t="s">
        <v>90</v>
      </c>
      <c r="P42" t="s">
        <v>90</v>
      </c>
      <c r="Q42">
        <v>1</v>
      </c>
      <c r="W42">
        <v>0</v>
      </c>
      <c r="X42">
        <v>-1353265548</v>
      </c>
      <c r="Y42">
        <f>(AT42*ROUND(0,7))</f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1</v>
      </c>
      <c r="AO42">
        <v>0</v>
      </c>
      <c r="AP42">
        <v>1</v>
      </c>
      <c r="AQ42">
        <v>0</v>
      </c>
      <c r="AR42">
        <v>0</v>
      </c>
      <c r="AS42" t="s">
        <v>3</v>
      </c>
      <c r="AT42">
        <v>0</v>
      </c>
      <c r="AU42" t="s">
        <v>32</v>
      </c>
      <c r="AV42">
        <v>0</v>
      </c>
      <c r="AW42">
        <v>2</v>
      </c>
      <c r="AX42">
        <v>50838127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ROUND(Y42*Source!I34,7)</f>
        <v>0</v>
      </c>
      <c r="CY42">
        <f>AA42</f>
        <v>0</v>
      </c>
      <c r="CZ42">
        <f>AE42</f>
        <v>0</v>
      </c>
      <c r="DA42">
        <f>AI42</f>
        <v>1</v>
      </c>
      <c r="DB42">
        <f>ROUND((ROUND(AT42*CZ42,2)*ROUND(0,7)),6)</f>
        <v>0</v>
      </c>
      <c r="DC42">
        <f>ROUND((ROUND(AT42*AG42,2)*ROUND(0,7)),6)</f>
        <v>0</v>
      </c>
      <c r="DD42" t="s">
        <v>3</v>
      </c>
      <c r="DE42" t="s">
        <v>3</v>
      </c>
      <c r="DF42">
        <f>ROUND(ROUND(AE42,2)*CX42,2)</f>
        <v>0</v>
      </c>
      <c r="DG42">
        <f t="shared" si="25"/>
        <v>0</v>
      </c>
      <c r="DH42">
        <f t="shared" si="23"/>
        <v>0</v>
      </c>
      <c r="DI42">
        <f t="shared" si="24"/>
        <v>0</v>
      </c>
      <c r="DJ42">
        <f>DF42</f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>
      <c r="A43">
        <f>ROW(Source!A34)</f>
        <v>34</v>
      </c>
      <c r="B43">
        <v>50837940</v>
      </c>
      <c r="C43">
        <v>50838121</v>
      </c>
      <c r="D43">
        <v>49851931</v>
      </c>
      <c r="E43">
        <v>1</v>
      </c>
      <c r="F43">
        <v>1</v>
      </c>
      <c r="G43">
        <v>1</v>
      </c>
      <c r="H43">
        <v>3</v>
      </c>
      <c r="I43" t="s">
        <v>317</v>
      </c>
      <c r="J43" t="s">
        <v>318</v>
      </c>
      <c r="K43" t="s">
        <v>319</v>
      </c>
      <c r="L43">
        <v>1348</v>
      </c>
      <c r="N43">
        <v>1009</v>
      </c>
      <c r="O43" t="s">
        <v>275</v>
      </c>
      <c r="P43" t="s">
        <v>275</v>
      </c>
      <c r="Q43">
        <v>1000</v>
      </c>
      <c r="W43">
        <v>0</v>
      </c>
      <c r="X43">
        <v>-615866360</v>
      </c>
      <c r="Y43">
        <f>(AT43*ROUND(0,7))</f>
        <v>0</v>
      </c>
      <c r="AA43">
        <v>108828.53</v>
      </c>
      <c r="AB43">
        <v>0</v>
      </c>
      <c r="AC43">
        <v>0</v>
      </c>
      <c r="AD43">
        <v>0</v>
      </c>
      <c r="AE43">
        <v>80020.98</v>
      </c>
      <c r="AF43">
        <v>0</v>
      </c>
      <c r="AG43">
        <v>0</v>
      </c>
      <c r="AH43">
        <v>0</v>
      </c>
      <c r="AI43">
        <v>1.36</v>
      </c>
      <c r="AJ43">
        <v>1</v>
      </c>
      <c r="AK43">
        <v>1</v>
      </c>
      <c r="AL43">
        <v>1</v>
      </c>
      <c r="AM43">
        <v>2</v>
      </c>
      <c r="AN43">
        <v>0</v>
      </c>
      <c r="AO43">
        <v>0</v>
      </c>
      <c r="AP43">
        <v>1</v>
      </c>
      <c r="AQ43">
        <v>1</v>
      </c>
      <c r="AR43">
        <v>0</v>
      </c>
      <c r="AS43" t="s">
        <v>3</v>
      </c>
      <c r="AT43">
        <v>3.0000000000000001E-5</v>
      </c>
      <c r="AU43" t="s">
        <v>32</v>
      </c>
      <c r="AV43">
        <v>0</v>
      </c>
      <c r="AW43">
        <v>2</v>
      </c>
      <c r="AX43">
        <v>50838128</v>
      </c>
      <c r="AY43">
        <v>1</v>
      </c>
      <c r="AZ43">
        <v>0</v>
      </c>
      <c r="BA43">
        <v>43</v>
      </c>
      <c r="BB43">
        <v>1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2.4006294000000001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1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ROUND(Y43*Source!I34,7)</f>
        <v>0</v>
      </c>
      <c r="CY43">
        <f>AA43</f>
        <v>108828.53</v>
      </c>
      <c r="CZ43">
        <f>AE43</f>
        <v>80020.98</v>
      </c>
      <c r="DA43">
        <f>AI43</f>
        <v>1.36</v>
      </c>
      <c r="DB43">
        <f>ROUND((ROUND(AT43*CZ43,2)*ROUND(0,7)),6)</f>
        <v>0</v>
      </c>
      <c r="DC43">
        <f>ROUND((ROUND(AT43*AG43,2)*ROUND(0,7)),6)</f>
        <v>0</v>
      </c>
      <c r="DD43" t="s">
        <v>3</v>
      </c>
      <c r="DE43" t="s">
        <v>3</v>
      </c>
      <c r="DF43">
        <f>ROUND(ROUND(AE43*AI43,2)*CX43,2)</f>
        <v>0</v>
      </c>
      <c r="DG43">
        <f t="shared" si="25"/>
        <v>0</v>
      </c>
      <c r="DH43">
        <f t="shared" si="23"/>
        <v>0</v>
      </c>
      <c r="DI43">
        <f t="shared" si="24"/>
        <v>0</v>
      </c>
      <c r="DJ43">
        <f>DF43</f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>
      <c r="A44">
        <f>ROW(Source!A34)</f>
        <v>34</v>
      </c>
      <c r="B44">
        <v>50837940</v>
      </c>
      <c r="C44">
        <v>50838121</v>
      </c>
      <c r="D44">
        <v>49758061</v>
      </c>
      <c r="E44">
        <v>117</v>
      </c>
      <c r="F44">
        <v>1</v>
      </c>
      <c r="G44">
        <v>1</v>
      </c>
      <c r="H44">
        <v>3</v>
      </c>
      <c r="I44" t="s">
        <v>92</v>
      </c>
      <c r="J44" t="s">
        <v>3</v>
      </c>
      <c r="K44" t="s">
        <v>93</v>
      </c>
      <c r="L44">
        <v>1346</v>
      </c>
      <c r="N44">
        <v>1009</v>
      </c>
      <c r="O44" t="s">
        <v>85</v>
      </c>
      <c r="P44" t="s">
        <v>85</v>
      </c>
      <c r="Q44">
        <v>1</v>
      </c>
      <c r="W44">
        <v>0</v>
      </c>
      <c r="X44">
        <v>1533393836</v>
      </c>
      <c r="Y44">
        <f>(AT44*ROUND(0,7))</f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0</v>
      </c>
      <c r="AN44">
        <v>1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0</v>
      </c>
      <c r="AU44" t="s">
        <v>32</v>
      </c>
      <c r="AV44">
        <v>0</v>
      </c>
      <c r="AW44">
        <v>2</v>
      </c>
      <c r="AX44">
        <v>50838129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ROUND(Y44*Source!I34,7)</f>
        <v>0</v>
      </c>
      <c r="CY44">
        <f>AA44</f>
        <v>0</v>
      </c>
      <c r="CZ44">
        <f>AE44</f>
        <v>0</v>
      </c>
      <c r="DA44">
        <f>AI44</f>
        <v>1</v>
      </c>
      <c r="DB44">
        <f>ROUND((ROUND(AT44*CZ44,2)*ROUND(0,7)),6)</f>
        <v>0</v>
      </c>
      <c r="DC44">
        <f>ROUND((ROUND(AT44*AG44,2)*ROUND(0,7)),6)</f>
        <v>0</v>
      </c>
      <c r="DD44" t="s">
        <v>3</v>
      </c>
      <c r="DE44" t="s">
        <v>3</v>
      </c>
      <c r="DF44">
        <f t="shared" ref="DF44:DF60" si="26">ROUND(ROUND(AE44,2)*CX44,2)</f>
        <v>0</v>
      </c>
      <c r="DG44">
        <f t="shared" si="25"/>
        <v>0</v>
      </c>
      <c r="DH44">
        <f t="shared" si="23"/>
        <v>0</v>
      </c>
      <c r="DI44">
        <f t="shared" si="24"/>
        <v>0</v>
      </c>
      <c r="DJ44">
        <f>DF44</f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>
      <c r="A45">
        <f>ROW(Source!A38)</f>
        <v>38</v>
      </c>
      <c r="B45">
        <v>50837940</v>
      </c>
      <c r="C45">
        <v>50838133</v>
      </c>
      <c r="D45">
        <v>49752866</v>
      </c>
      <c r="E45">
        <v>117</v>
      </c>
      <c r="F45">
        <v>1</v>
      </c>
      <c r="G45">
        <v>1</v>
      </c>
      <c r="H45">
        <v>1</v>
      </c>
      <c r="I45" t="s">
        <v>320</v>
      </c>
      <c r="J45" t="s">
        <v>3</v>
      </c>
      <c r="K45" t="s">
        <v>321</v>
      </c>
      <c r="L45">
        <v>1191</v>
      </c>
      <c r="N45">
        <v>1013</v>
      </c>
      <c r="O45" t="s">
        <v>256</v>
      </c>
      <c r="P45" t="s">
        <v>256</v>
      </c>
      <c r="Q45">
        <v>1</v>
      </c>
      <c r="W45">
        <v>0</v>
      </c>
      <c r="X45">
        <v>1733635447</v>
      </c>
      <c r="Y45">
        <f t="shared" ref="Y45:Y60" si="27">AT45</f>
        <v>0.21</v>
      </c>
      <c r="AA45">
        <v>0</v>
      </c>
      <c r="AB45">
        <v>0</v>
      </c>
      <c r="AC45">
        <v>0</v>
      </c>
      <c r="AD45">
        <v>386.85</v>
      </c>
      <c r="AE45">
        <v>0</v>
      </c>
      <c r="AF45">
        <v>0</v>
      </c>
      <c r="AG45">
        <v>0</v>
      </c>
      <c r="AH45">
        <v>386.85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0.21</v>
      </c>
      <c r="AU45" t="s">
        <v>3</v>
      </c>
      <c r="AV45">
        <v>1</v>
      </c>
      <c r="AW45">
        <v>2</v>
      </c>
      <c r="AX45">
        <v>50838134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81.238500000000002</v>
      </c>
      <c r="BN45">
        <v>0.21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81.238500000000002</v>
      </c>
      <c r="BU45">
        <v>0.21</v>
      </c>
      <c r="BV45">
        <v>0</v>
      </c>
      <c r="BW45">
        <v>1</v>
      </c>
      <c r="CU45">
        <f>ROUND(AT45*Source!I38*AH45*AL45,2)</f>
        <v>4549.3599999999997</v>
      </c>
      <c r="CV45">
        <f>ROUND(Y45*Source!I38,7)</f>
        <v>11.76</v>
      </c>
      <c r="CW45">
        <v>0</v>
      </c>
      <c r="CX45">
        <f>ROUND(Y45*Source!I38,7)</f>
        <v>11.76</v>
      </c>
      <c r="CY45">
        <f>AD45</f>
        <v>386.85</v>
      </c>
      <c r="CZ45">
        <f>AH45</f>
        <v>386.85</v>
      </c>
      <c r="DA45">
        <f>AL45</f>
        <v>1</v>
      </c>
      <c r="DB45">
        <f t="shared" ref="DB45:DB60" si="28">ROUND(ROUND(AT45*CZ45,2),6)</f>
        <v>81.239999999999995</v>
      </c>
      <c r="DC45">
        <f t="shared" ref="DC45:DC60" si="29">ROUND(ROUND(AT45*AG45,2),6)</f>
        <v>0</v>
      </c>
      <c r="DD45" t="s">
        <v>3</v>
      </c>
      <c r="DE45" t="s">
        <v>3</v>
      </c>
      <c r="DF45">
        <f t="shared" si="26"/>
        <v>0</v>
      </c>
      <c r="DG45">
        <f t="shared" si="25"/>
        <v>0</v>
      </c>
      <c r="DH45">
        <f t="shared" si="23"/>
        <v>0</v>
      </c>
      <c r="DI45">
        <f t="shared" si="24"/>
        <v>4549.3599999999997</v>
      </c>
      <c r="DJ45">
        <f>DI45</f>
        <v>4549.3599999999997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>
      <c r="A46">
        <f>ROW(Source!A38)</f>
        <v>38</v>
      </c>
      <c r="B46">
        <v>50837940</v>
      </c>
      <c r="C46">
        <v>50838133</v>
      </c>
      <c r="D46">
        <v>49753052</v>
      </c>
      <c r="E46">
        <v>117</v>
      </c>
      <c r="F46">
        <v>1</v>
      </c>
      <c r="G46">
        <v>1</v>
      </c>
      <c r="H46">
        <v>1</v>
      </c>
      <c r="I46" t="s">
        <v>257</v>
      </c>
      <c r="J46" t="s">
        <v>3</v>
      </c>
      <c r="K46" t="s">
        <v>258</v>
      </c>
      <c r="L46">
        <v>1191</v>
      </c>
      <c r="N46">
        <v>1013</v>
      </c>
      <c r="O46" t="s">
        <v>256</v>
      </c>
      <c r="P46" t="s">
        <v>256</v>
      </c>
      <c r="Q46">
        <v>1</v>
      </c>
      <c r="W46">
        <v>0</v>
      </c>
      <c r="X46">
        <v>-1417349443</v>
      </c>
      <c r="Y46">
        <f t="shared" si="27"/>
        <v>0.27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0.27</v>
      </c>
      <c r="AU46" t="s">
        <v>3</v>
      </c>
      <c r="AV46">
        <v>2</v>
      </c>
      <c r="AW46">
        <v>2</v>
      </c>
      <c r="AX46">
        <v>50838135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ROUND(Y46*Source!I38,7)</f>
        <v>15.12</v>
      </c>
      <c r="CY46">
        <f>AD46</f>
        <v>0</v>
      </c>
      <c r="CZ46">
        <f>AH46</f>
        <v>0</v>
      </c>
      <c r="DA46">
        <f>AL46</f>
        <v>1</v>
      </c>
      <c r="DB46">
        <f t="shared" si="28"/>
        <v>0</v>
      </c>
      <c r="DC46">
        <f t="shared" si="29"/>
        <v>0</v>
      </c>
      <c r="DD46" t="s">
        <v>3</v>
      </c>
      <c r="DE46" t="s">
        <v>3</v>
      </c>
      <c r="DF46">
        <f t="shared" si="26"/>
        <v>0</v>
      </c>
      <c r="DG46">
        <f t="shared" si="25"/>
        <v>0</v>
      </c>
      <c r="DH46">
        <f t="shared" si="23"/>
        <v>0</v>
      </c>
      <c r="DI46">
        <f t="shared" si="24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>
      <c r="A47">
        <f>ROW(Source!A38)</f>
        <v>38</v>
      </c>
      <c r="B47">
        <v>50837940</v>
      </c>
      <c r="C47">
        <v>50838133</v>
      </c>
      <c r="D47">
        <v>49759696</v>
      </c>
      <c r="E47">
        <v>1</v>
      </c>
      <c r="F47">
        <v>1</v>
      </c>
      <c r="G47">
        <v>1</v>
      </c>
      <c r="H47">
        <v>2</v>
      </c>
      <c r="I47" t="s">
        <v>305</v>
      </c>
      <c r="J47" t="s">
        <v>306</v>
      </c>
      <c r="K47" t="s">
        <v>307</v>
      </c>
      <c r="L47">
        <v>1368</v>
      </c>
      <c r="N47">
        <v>1011</v>
      </c>
      <c r="O47" t="s">
        <v>262</v>
      </c>
      <c r="P47" t="s">
        <v>262</v>
      </c>
      <c r="Q47">
        <v>1</v>
      </c>
      <c r="W47">
        <v>0</v>
      </c>
      <c r="X47">
        <v>639918019</v>
      </c>
      <c r="Y47">
        <f t="shared" si="27"/>
        <v>0.27</v>
      </c>
      <c r="AA47">
        <v>0</v>
      </c>
      <c r="AB47">
        <v>1719.93</v>
      </c>
      <c r="AC47">
        <v>544.01</v>
      </c>
      <c r="AD47">
        <v>0</v>
      </c>
      <c r="AE47">
        <v>0</v>
      </c>
      <c r="AF47">
        <v>1719.93</v>
      </c>
      <c r="AG47">
        <v>544.01</v>
      </c>
      <c r="AH47">
        <v>0</v>
      </c>
      <c r="AI47">
        <v>1</v>
      </c>
      <c r="AJ47">
        <v>1</v>
      </c>
      <c r="AK47">
        <v>1</v>
      </c>
      <c r="AL47">
        <v>1</v>
      </c>
      <c r="AM47">
        <v>-2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0.27</v>
      </c>
      <c r="AU47" t="s">
        <v>3</v>
      </c>
      <c r="AV47">
        <v>1</v>
      </c>
      <c r="AW47">
        <v>2</v>
      </c>
      <c r="AX47">
        <v>50838136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464.38110000000006</v>
      </c>
      <c r="BL47">
        <v>146.8827</v>
      </c>
      <c r="BM47">
        <v>0</v>
      </c>
      <c r="BN47">
        <v>0</v>
      </c>
      <c r="BO47">
        <v>0.27</v>
      </c>
      <c r="BP47">
        <v>1</v>
      </c>
      <c r="BQ47">
        <v>0</v>
      </c>
      <c r="BR47">
        <v>464.38110000000006</v>
      </c>
      <c r="BS47">
        <v>146.8827</v>
      </c>
      <c r="BT47">
        <v>0</v>
      </c>
      <c r="BU47">
        <v>0</v>
      </c>
      <c r="BV47">
        <v>0.27</v>
      </c>
      <c r="BW47">
        <v>1</v>
      </c>
      <c r="CV47">
        <v>0</v>
      </c>
      <c r="CW47">
        <f>ROUND(Y47*Source!I38*DO47,7)</f>
        <v>15.12</v>
      </c>
      <c r="CX47">
        <f>ROUND(Y47*Source!I38,7)</f>
        <v>15.12</v>
      </c>
      <c r="CY47">
        <f>AB47</f>
        <v>1719.93</v>
      </c>
      <c r="CZ47">
        <f>AF47</f>
        <v>1719.93</v>
      </c>
      <c r="DA47">
        <f>AJ47</f>
        <v>1</v>
      </c>
      <c r="DB47">
        <f t="shared" si="28"/>
        <v>464.38</v>
      </c>
      <c r="DC47">
        <f t="shared" si="29"/>
        <v>146.88</v>
      </c>
      <c r="DD47" t="s">
        <v>3</v>
      </c>
      <c r="DE47" t="s">
        <v>3</v>
      </c>
      <c r="DF47">
        <f t="shared" si="26"/>
        <v>0</v>
      </c>
      <c r="DG47">
        <f t="shared" si="25"/>
        <v>26005.34</v>
      </c>
      <c r="DH47">
        <f t="shared" si="23"/>
        <v>8225.43</v>
      </c>
      <c r="DI47">
        <f t="shared" si="24"/>
        <v>0</v>
      </c>
      <c r="DJ47">
        <f>DG47+DH47</f>
        <v>34230.770000000004</v>
      </c>
      <c r="DK47">
        <v>1</v>
      </c>
      <c r="DL47" t="s">
        <v>308</v>
      </c>
      <c r="DM47">
        <v>6</v>
      </c>
      <c r="DN47" t="s">
        <v>256</v>
      </c>
      <c r="DO47">
        <v>1</v>
      </c>
    </row>
    <row r="48" spans="1:119">
      <c r="A48">
        <f>ROW(Source!A38)</f>
        <v>38</v>
      </c>
      <c r="B48">
        <v>50837940</v>
      </c>
      <c r="C48">
        <v>50838133</v>
      </c>
      <c r="D48">
        <v>49759027</v>
      </c>
      <c r="E48">
        <v>117</v>
      </c>
      <c r="F48">
        <v>1</v>
      </c>
      <c r="G48">
        <v>1</v>
      </c>
      <c r="H48">
        <v>3</v>
      </c>
      <c r="I48" t="s">
        <v>104</v>
      </c>
      <c r="J48" t="s">
        <v>3</v>
      </c>
      <c r="K48" t="s">
        <v>105</v>
      </c>
      <c r="L48">
        <v>3277935</v>
      </c>
      <c r="N48">
        <v>1013</v>
      </c>
      <c r="O48" t="s">
        <v>106</v>
      </c>
      <c r="P48" t="s">
        <v>106</v>
      </c>
      <c r="Q48">
        <v>1</v>
      </c>
      <c r="W48">
        <v>0</v>
      </c>
      <c r="X48">
        <v>274903907</v>
      </c>
      <c r="Y48">
        <f t="shared" si="27"/>
        <v>2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2</v>
      </c>
      <c r="AU48" t="s">
        <v>3</v>
      </c>
      <c r="AV48">
        <v>0</v>
      </c>
      <c r="AW48">
        <v>2</v>
      </c>
      <c r="AX48">
        <v>50838137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V48">
        <v>0</v>
      </c>
      <c r="CW48">
        <v>0</v>
      </c>
      <c r="CX48">
        <f>ROUND(Y48*Source!I38,7)</f>
        <v>112</v>
      </c>
      <c r="CY48">
        <f>AA48</f>
        <v>0</v>
      </c>
      <c r="CZ48">
        <f>AE48</f>
        <v>0</v>
      </c>
      <c r="DA48">
        <f>AI48</f>
        <v>1</v>
      </c>
      <c r="DB48">
        <f t="shared" si="28"/>
        <v>0</v>
      </c>
      <c r="DC48">
        <f t="shared" si="29"/>
        <v>0</v>
      </c>
      <c r="DD48" t="s">
        <v>3</v>
      </c>
      <c r="DE48" t="s">
        <v>3</v>
      </c>
      <c r="DF48">
        <f t="shared" si="26"/>
        <v>0</v>
      </c>
      <c r="DG48">
        <f t="shared" si="25"/>
        <v>0</v>
      </c>
      <c r="DH48">
        <f t="shared" si="23"/>
        <v>0</v>
      </c>
      <c r="DI48">
        <f t="shared" si="24"/>
        <v>0</v>
      </c>
      <c r="DJ48">
        <f>DF48</f>
        <v>0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>
      <c r="A49">
        <f>ROW(Source!A40)</f>
        <v>40</v>
      </c>
      <c r="B49">
        <v>50837940</v>
      </c>
      <c r="C49">
        <v>50838139</v>
      </c>
      <c r="D49">
        <v>49752868</v>
      </c>
      <c r="E49">
        <v>117</v>
      </c>
      <c r="F49">
        <v>1</v>
      </c>
      <c r="G49">
        <v>1</v>
      </c>
      <c r="H49">
        <v>1</v>
      </c>
      <c r="I49" t="s">
        <v>322</v>
      </c>
      <c r="J49" t="s">
        <v>3</v>
      </c>
      <c r="K49" t="s">
        <v>323</v>
      </c>
      <c r="L49">
        <v>1191</v>
      </c>
      <c r="N49">
        <v>1013</v>
      </c>
      <c r="O49" t="s">
        <v>256</v>
      </c>
      <c r="P49" t="s">
        <v>256</v>
      </c>
      <c r="Q49">
        <v>1</v>
      </c>
      <c r="W49">
        <v>0</v>
      </c>
      <c r="X49">
        <v>-1105933552</v>
      </c>
      <c r="Y49">
        <f t="shared" si="27"/>
        <v>29.9</v>
      </c>
      <c r="AA49">
        <v>0</v>
      </c>
      <c r="AB49">
        <v>0</v>
      </c>
      <c r="AC49">
        <v>0</v>
      </c>
      <c r="AD49">
        <v>391.39</v>
      </c>
      <c r="AE49">
        <v>0</v>
      </c>
      <c r="AF49">
        <v>0</v>
      </c>
      <c r="AG49">
        <v>0</v>
      </c>
      <c r="AH49">
        <v>391.39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29.9</v>
      </c>
      <c r="AU49" t="s">
        <v>3</v>
      </c>
      <c r="AV49">
        <v>1</v>
      </c>
      <c r="AW49">
        <v>2</v>
      </c>
      <c r="AX49">
        <v>50838140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11702.561</v>
      </c>
      <c r="BN49">
        <v>29.9</v>
      </c>
      <c r="BO49">
        <v>0</v>
      </c>
      <c r="BP49">
        <v>1</v>
      </c>
      <c r="BQ49">
        <v>0</v>
      </c>
      <c r="BR49">
        <v>0</v>
      </c>
      <c r="BS49">
        <v>0</v>
      </c>
      <c r="BT49">
        <v>11702.561</v>
      </c>
      <c r="BU49">
        <v>29.9</v>
      </c>
      <c r="BV49">
        <v>0</v>
      </c>
      <c r="BW49">
        <v>1</v>
      </c>
      <c r="CU49">
        <f>ROUND(AT49*Source!I40*AH49*AL49,2)</f>
        <v>12258.27</v>
      </c>
      <c r="CV49">
        <f>ROUND(Y49*Source!I40,7)</f>
        <v>31.319831400000002</v>
      </c>
      <c r="CW49">
        <v>0</v>
      </c>
      <c r="CX49">
        <f>ROUND(Y49*Source!I40,7)</f>
        <v>31.319831400000002</v>
      </c>
      <c r="CY49">
        <f>AD49</f>
        <v>391.39</v>
      </c>
      <c r="CZ49">
        <f>AH49</f>
        <v>391.39</v>
      </c>
      <c r="DA49">
        <f>AL49</f>
        <v>1</v>
      </c>
      <c r="DB49">
        <f t="shared" si="28"/>
        <v>11702.56</v>
      </c>
      <c r="DC49">
        <f t="shared" si="29"/>
        <v>0</v>
      </c>
      <c r="DD49" t="s">
        <v>3</v>
      </c>
      <c r="DE49" t="s">
        <v>3</v>
      </c>
      <c r="DF49">
        <f t="shared" si="26"/>
        <v>0</v>
      </c>
      <c r="DG49">
        <f t="shared" si="25"/>
        <v>0</v>
      </c>
      <c r="DH49">
        <f t="shared" si="23"/>
        <v>0</v>
      </c>
      <c r="DI49">
        <f t="shared" si="24"/>
        <v>12258.27</v>
      </c>
      <c r="DJ49">
        <f>DI49</f>
        <v>12258.27</v>
      </c>
      <c r="DK49">
        <v>1</v>
      </c>
      <c r="DL49" t="s">
        <v>3</v>
      </c>
      <c r="DM49">
        <v>0</v>
      </c>
      <c r="DN49" t="s">
        <v>3</v>
      </c>
      <c r="DO49">
        <v>0</v>
      </c>
    </row>
    <row r="50" spans="1:119">
      <c r="A50">
        <f>ROW(Source!A40)</f>
        <v>40</v>
      </c>
      <c r="B50">
        <v>50837940</v>
      </c>
      <c r="C50">
        <v>50838139</v>
      </c>
      <c r="D50">
        <v>49753052</v>
      </c>
      <c r="E50">
        <v>117</v>
      </c>
      <c r="F50">
        <v>1</v>
      </c>
      <c r="G50">
        <v>1</v>
      </c>
      <c r="H50">
        <v>1</v>
      </c>
      <c r="I50" t="s">
        <v>257</v>
      </c>
      <c r="J50" t="s">
        <v>3</v>
      </c>
      <c r="K50" t="s">
        <v>258</v>
      </c>
      <c r="L50">
        <v>1191</v>
      </c>
      <c r="N50">
        <v>1013</v>
      </c>
      <c r="O50" t="s">
        <v>256</v>
      </c>
      <c r="P50" t="s">
        <v>256</v>
      </c>
      <c r="Q50">
        <v>1</v>
      </c>
      <c r="W50">
        <v>0</v>
      </c>
      <c r="X50">
        <v>-1417349443</v>
      </c>
      <c r="Y50">
        <f t="shared" si="27"/>
        <v>2.0699999999999998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M50">
        <v>-2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2.0699999999999998</v>
      </c>
      <c r="AU50" t="s">
        <v>3</v>
      </c>
      <c r="AV50">
        <v>2</v>
      </c>
      <c r="AW50">
        <v>2</v>
      </c>
      <c r="AX50">
        <v>50838141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V50">
        <v>0</v>
      </c>
      <c r="CW50">
        <v>0</v>
      </c>
      <c r="CX50">
        <f>ROUND(Y50*Source!I40,7)</f>
        <v>2.1682959999999998</v>
      </c>
      <c r="CY50">
        <f>AD50</f>
        <v>0</v>
      </c>
      <c r="CZ50">
        <f>AH50</f>
        <v>0</v>
      </c>
      <c r="DA50">
        <f>AL50</f>
        <v>1</v>
      </c>
      <c r="DB50">
        <f t="shared" si="28"/>
        <v>0</v>
      </c>
      <c r="DC50">
        <f t="shared" si="29"/>
        <v>0</v>
      </c>
      <c r="DD50" t="s">
        <v>3</v>
      </c>
      <c r="DE50" t="s">
        <v>3</v>
      </c>
      <c r="DF50">
        <f t="shared" si="26"/>
        <v>0</v>
      </c>
      <c r="DG50">
        <f t="shared" si="25"/>
        <v>0</v>
      </c>
      <c r="DH50">
        <f t="shared" si="23"/>
        <v>0</v>
      </c>
      <c r="DI50">
        <f t="shared" si="24"/>
        <v>0</v>
      </c>
      <c r="DJ50">
        <f>DI50</f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>
      <c r="A51">
        <f>ROW(Source!A40)</f>
        <v>40</v>
      </c>
      <c r="B51">
        <v>50837940</v>
      </c>
      <c r="C51">
        <v>50838139</v>
      </c>
      <c r="D51">
        <v>49759696</v>
      </c>
      <c r="E51">
        <v>1</v>
      </c>
      <c r="F51">
        <v>1</v>
      </c>
      <c r="G51">
        <v>1</v>
      </c>
      <c r="H51">
        <v>2</v>
      </c>
      <c r="I51" t="s">
        <v>305</v>
      </c>
      <c r="J51" t="s">
        <v>306</v>
      </c>
      <c r="K51" t="s">
        <v>307</v>
      </c>
      <c r="L51">
        <v>1368</v>
      </c>
      <c r="N51">
        <v>1011</v>
      </c>
      <c r="O51" t="s">
        <v>262</v>
      </c>
      <c r="P51" t="s">
        <v>262</v>
      </c>
      <c r="Q51">
        <v>1</v>
      </c>
      <c r="W51">
        <v>0</v>
      </c>
      <c r="X51">
        <v>639918019</v>
      </c>
      <c r="Y51">
        <f t="shared" si="27"/>
        <v>0.28399999999999997</v>
      </c>
      <c r="AA51">
        <v>0</v>
      </c>
      <c r="AB51">
        <v>1719.93</v>
      </c>
      <c r="AC51">
        <v>544.01</v>
      </c>
      <c r="AD51">
        <v>0</v>
      </c>
      <c r="AE51">
        <v>0</v>
      </c>
      <c r="AF51">
        <v>1719.93</v>
      </c>
      <c r="AG51">
        <v>544.01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-2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0.28399999999999997</v>
      </c>
      <c r="AU51" t="s">
        <v>3</v>
      </c>
      <c r="AV51">
        <v>1</v>
      </c>
      <c r="AW51">
        <v>2</v>
      </c>
      <c r="AX51">
        <v>50838142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488.46011999999996</v>
      </c>
      <c r="BL51">
        <v>154.49883999999997</v>
      </c>
      <c r="BM51">
        <v>0</v>
      </c>
      <c r="BN51">
        <v>0</v>
      </c>
      <c r="BO51">
        <v>0.28399999999999997</v>
      </c>
      <c r="BP51">
        <v>1</v>
      </c>
      <c r="BQ51">
        <v>0</v>
      </c>
      <c r="BR51">
        <v>488.46011999999996</v>
      </c>
      <c r="BS51">
        <v>154.49883999999997</v>
      </c>
      <c r="BT51">
        <v>0</v>
      </c>
      <c r="BU51">
        <v>0</v>
      </c>
      <c r="BV51">
        <v>0.28399999999999997</v>
      </c>
      <c r="BW51">
        <v>1</v>
      </c>
      <c r="CV51">
        <v>0</v>
      </c>
      <c r="CW51">
        <f>ROUND(Y51*Source!I40*DO51,7)</f>
        <v>0.29748599999999997</v>
      </c>
      <c r="CX51">
        <f>ROUND(Y51*Source!I40,7)</f>
        <v>0.29748599999999997</v>
      </c>
      <c r="CY51">
        <f>AB51</f>
        <v>1719.93</v>
      </c>
      <c r="CZ51">
        <f>AF51</f>
        <v>1719.93</v>
      </c>
      <c r="DA51">
        <f>AJ51</f>
        <v>1</v>
      </c>
      <c r="DB51">
        <f t="shared" si="28"/>
        <v>488.46</v>
      </c>
      <c r="DC51">
        <f t="shared" si="29"/>
        <v>154.5</v>
      </c>
      <c r="DD51" t="s">
        <v>3</v>
      </c>
      <c r="DE51" t="s">
        <v>3</v>
      </c>
      <c r="DF51">
        <f t="shared" si="26"/>
        <v>0</v>
      </c>
      <c r="DG51">
        <f t="shared" si="25"/>
        <v>511.66</v>
      </c>
      <c r="DH51">
        <f t="shared" si="23"/>
        <v>161.84</v>
      </c>
      <c r="DI51">
        <f t="shared" si="24"/>
        <v>0</v>
      </c>
      <c r="DJ51">
        <f>DG51+DH51</f>
        <v>673.5</v>
      </c>
      <c r="DK51">
        <v>1</v>
      </c>
      <c r="DL51" t="s">
        <v>308</v>
      </c>
      <c r="DM51">
        <v>6</v>
      </c>
      <c r="DN51" t="s">
        <v>256</v>
      </c>
      <c r="DO51">
        <v>1</v>
      </c>
    </row>
    <row r="52" spans="1:119">
      <c r="A52">
        <f>ROW(Source!A40)</f>
        <v>40</v>
      </c>
      <c r="B52">
        <v>50837940</v>
      </c>
      <c r="C52">
        <v>50838139</v>
      </c>
      <c r="D52">
        <v>49759911</v>
      </c>
      <c r="E52">
        <v>1</v>
      </c>
      <c r="F52">
        <v>1</v>
      </c>
      <c r="G52">
        <v>1</v>
      </c>
      <c r="H52">
        <v>2</v>
      </c>
      <c r="I52" t="s">
        <v>324</v>
      </c>
      <c r="J52" t="s">
        <v>325</v>
      </c>
      <c r="K52" t="s">
        <v>326</v>
      </c>
      <c r="L52">
        <v>1368</v>
      </c>
      <c r="N52">
        <v>1011</v>
      </c>
      <c r="O52" t="s">
        <v>262</v>
      </c>
      <c r="P52" t="s">
        <v>262</v>
      </c>
      <c r="Q52">
        <v>1</v>
      </c>
      <c r="W52">
        <v>0</v>
      </c>
      <c r="X52">
        <v>-997856846</v>
      </c>
      <c r="Y52">
        <f t="shared" si="27"/>
        <v>1.5</v>
      </c>
      <c r="AA52">
        <v>0</v>
      </c>
      <c r="AB52">
        <v>2267.4</v>
      </c>
      <c r="AC52">
        <v>544.01</v>
      </c>
      <c r="AD52">
        <v>0</v>
      </c>
      <c r="AE52">
        <v>0</v>
      </c>
      <c r="AF52">
        <v>1472.34</v>
      </c>
      <c r="AG52">
        <v>544.01</v>
      </c>
      <c r="AH52">
        <v>0</v>
      </c>
      <c r="AI52">
        <v>1</v>
      </c>
      <c r="AJ52">
        <v>1.54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1.5</v>
      </c>
      <c r="AU52" t="s">
        <v>3</v>
      </c>
      <c r="AV52">
        <v>1</v>
      </c>
      <c r="AW52">
        <v>2</v>
      </c>
      <c r="AX52">
        <v>50838143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2208.5099999999998</v>
      </c>
      <c r="BL52">
        <v>816.01499999999999</v>
      </c>
      <c r="BM52">
        <v>0</v>
      </c>
      <c r="BN52">
        <v>0</v>
      </c>
      <c r="BO52">
        <v>1.5</v>
      </c>
      <c r="BP52">
        <v>1</v>
      </c>
      <c r="BQ52">
        <v>0</v>
      </c>
      <c r="BR52">
        <v>2208.5099999999998</v>
      </c>
      <c r="BS52">
        <v>816.01499999999999</v>
      </c>
      <c r="BT52">
        <v>0</v>
      </c>
      <c r="BU52">
        <v>0</v>
      </c>
      <c r="BV52">
        <v>1.5</v>
      </c>
      <c r="BW52">
        <v>1</v>
      </c>
      <c r="CV52">
        <v>0</v>
      </c>
      <c r="CW52">
        <f>ROUND(Y52*Source!I40*DO52,7)</f>
        <v>1.571229</v>
      </c>
      <c r="CX52">
        <f>ROUND(Y52*Source!I40,7)</f>
        <v>1.571229</v>
      </c>
      <c r="CY52">
        <f>AB52</f>
        <v>2267.4</v>
      </c>
      <c r="CZ52">
        <f>AF52</f>
        <v>1472.34</v>
      </c>
      <c r="DA52">
        <f>AJ52</f>
        <v>1.54</v>
      </c>
      <c r="DB52">
        <f t="shared" si="28"/>
        <v>2208.5100000000002</v>
      </c>
      <c r="DC52">
        <f t="shared" si="29"/>
        <v>816.02</v>
      </c>
      <c r="DD52" t="s">
        <v>3</v>
      </c>
      <c r="DE52" t="s">
        <v>3</v>
      </c>
      <c r="DF52">
        <f t="shared" si="26"/>
        <v>0</v>
      </c>
      <c r="DG52">
        <f>ROUND(ROUND(AF52*AJ52,2)*CX52,2)</f>
        <v>3562.6</v>
      </c>
      <c r="DH52">
        <f t="shared" si="23"/>
        <v>854.76</v>
      </c>
      <c r="DI52">
        <f t="shared" si="24"/>
        <v>0</v>
      </c>
      <c r="DJ52">
        <f>DG52+DH52</f>
        <v>4417.3599999999997</v>
      </c>
      <c r="DK52">
        <v>0</v>
      </c>
      <c r="DL52" t="s">
        <v>308</v>
      </c>
      <c r="DM52">
        <v>6</v>
      </c>
      <c r="DN52" t="s">
        <v>256</v>
      </c>
      <c r="DO52">
        <v>1</v>
      </c>
    </row>
    <row r="53" spans="1:119">
      <c r="A53">
        <f>ROW(Source!A40)</f>
        <v>40</v>
      </c>
      <c r="B53">
        <v>50837940</v>
      </c>
      <c r="C53">
        <v>50838139</v>
      </c>
      <c r="D53">
        <v>49760608</v>
      </c>
      <c r="E53">
        <v>1</v>
      </c>
      <c r="F53">
        <v>1</v>
      </c>
      <c r="G53">
        <v>1</v>
      </c>
      <c r="H53">
        <v>2</v>
      </c>
      <c r="I53" t="s">
        <v>311</v>
      </c>
      <c r="J53" t="s">
        <v>312</v>
      </c>
      <c r="K53" t="s">
        <v>313</v>
      </c>
      <c r="L53">
        <v>1368</v>
      </c>
      <c r="N53">
        <v>1011</v>
      </c>
      <c r="O53" t="s">
        <v>262</v>
      </c>
      <c r="P53" t="s">
        <v>262</v>
      </c>
      <c r="Q53">
        <v>1</v>
      </c>
      <c r="W53">
        <v>0</v>
      </c>
      <c r="X53">
        <v>-849950259</v>
      </c>
      <c r="Y53">
        <f t="shared" si="27"/>
        <v>0.28399999999999997</v>
      </c>
      <c r="AA53">
        <v>0</v>
      </c>
      <c r="AB53">
        <v>680.75</v>
      </c>
      <c r="AC53">
        <v>404.99</v>
      </c>
      <c r="AD53">
        <v>0</v>
      </c>
      <c r="AE53">
        <v>0</v>
      </c>
      <c r="AF53">
        <v>680.75</v>
      </c>
      <c r="AG53">
        <v>404.99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-2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0.28399999999999997</v>
      </c>
      <c r="AU53" t="s">
        <v>3</v>
      </c>
      <c r="AV53">
        <v>1</v>
      </c>
      <c r="AW53">
        <v>2</v>
      </c>
      <c r="AX53">
        <v>50838144</v>
      </c>
      <c r="AY53">
        <v>1</v>
      </c>
      <c r="AZ53">
        <v>0</v>
      </c>
      <c r="BA53">
        <v>53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193.33299999999997</v>
      </c>
      <c r="BL53">
        <v>115.01715999999999</v>
      </c>
      <c r="BM53">
        <v>0</v>
      </c>
      <c r="BN53">
        <v>0</v>
      </c>
      <c r="BO53">
        <v>0.28399999999999997</v>
      </c>
      <c r="BP53">
        <v>1</v>
      </c>
      <c r="BQ53">
        <v>0</v>
      </c>
      <c r="BR53">
        <v>193.33299999999997</v>
      </c>
      <c r="BS53">
        <v>115.01715999999999</v>
      </c>
      <c r="BT53">
        <v>0</v>
      </c>
      <c r="BU53">
        <v>0</v>
      </c>
      <c r="BV53">
        <v>0.28399999999999997</v>
      </c>
      <c r="BW53">
        <v>1</v>
      </c>
      <c r="CV53">
        <v>0</v>
      </c>
      <c r="CW53">
        <f>ROUND(Y53*Source!I40*DO53,7)</f>
        <v>0.29748599999999997</v>
      </c>
      <c r="CX53">
        <f>ROUND(Y53*Source!I40,7)</f>
        <v>0.29748599999999997</v>
      </c>
      <c r="CY53">
        <f>AB53</f>
        <v>680.75</v>
      </c>
      <c r="CZ53">
        <f>AF53</f>
        <v>680.75</v>
      </c>
      <c r="DA53">
        <f>AJ53</f>
        <v>1</v>
      </c>
      <c r="DB53">
        <f t="shared" si="28"/>
        <v>193.33</v>
      </c>
      <c r="DC53">
        <f t="shared" si="29"/>
        <v>115.02</v>
      </c>
      <c r="DD53" t="s">
        <v>3</v>
      </c>
      <c r="DE53" t="s">
        <v>3</v>
      </c>
      <c r="DF53">
        <f t="shared" si="26"/>
        <v>0</v>
      </c>
      <c r="DG53">
        <f>ROUND(ROUND(AF53,2)*CX53,2)</f>
        <v>202.51</v>
      </c>
      <c r="DH53">
        <f t="shared" si="23"/>
        <v>120.48</v>
      </c>
      <c r="DI53">
        <f t="shared" si="24"/>
        <v>0</v>
      </c>
      <c r="DJ53">
        <f>DG53+DH53</f>
        <v>322.99</v>
      </c>
      <c r="DK53">
        <v>1</v>
      </c>
      <c r="DL53" t="s">
        <v>296</v>
      </c>
      <c r="DM53">
        <v>4</v>
      </c>
      <c r="DN53" t="s">
        <v>256</v>
      </c>
      <c r="DO53">
        <v>1</v>
      </c>
    </row>
    <row r="54" spans="1:119">
      <c r="A54">
        <f>ROW(Source!A40)</f>
        <v>40</v>
      </c>
      <c r="B54">
        <v>50837940</v>
      </c>
      <c r="C54">
        <v>50838139</v>
      </c>
      <c r="D54">
        <v>49759027</v>
      </c>
      <c r="E54">
        <v>117</v>
      </c>
      <c r="F54">
        <v>1</v>
      </c>
      <c r="G54">
        <v>1</v>
      </c>
      <c r="H54">
        <v>3</v>
      </c>
      <c r="I54" t="s">
        <v>104</v>
      </c>
      <c r="J54" t="s">
        <v>3</v>
      </c>
      <c r="K54" t="s">
        <v>105</v>
      </c>
      <c r="L54">
        <v>3277935</v>
      </c>
      <c r="N54">
        <v>1013</v>
      </c>
      <c r="O54" t="s">
        <v>106</v>
      </c>
      <c r="P54" t="s">
        <v>106</v>
      </c>
      <c r="Q54">
        <v>1</v>
      </c>
      <c r="W54">
        <v>0</v>
      </c>
      <c r="X54">
        <v>274903907</v>
      </c>
      <c r="Y54">
        <f t="shared" si="27"/>
        <v>2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 t="s">
        <v>3</v>
      </c>
      <c r="AT54">
        <v>2</v>
      </c>
      <c r="AU54" t="s">
        <v>3</v>
      </c>
      <c r="AV54">
        <v>0</v>
      </c>
      <c r="AW54">
        <v>2</v>
      </c>
      <c r="AX54">
        <v>50838145</v>
      </c>
      <c r="AY54">
        <v>1</v>
      </c>
      <c r="AZ54">
        <v>2048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ROUND(Y54*Source!I40,7)</f>
        <v>2.0949719999999998</v>
      </c>
      <c r="CY54">
        <f>AA54</f>
        <v>0</v>
      </c>
      <c r="CZ54">
        <f>AE54</f>
        <v>0</v>
      </c>
      <c r="DA54">
        <f>AI54</f>
        <v>1</v>
      </c>
      <c r="DB54">
        <f t="shared" si="28"/>
        <v>0</v>
      </c>
      <c r="DC54">
        <f t="shared" si="29"/>
        <v>0</v>
      </c>
      <c r="DD54" t="s">
        <v>3</v>
      </c>
      <c r="DE54" t="s">
        <v>3</v>
      </c>
      <c r="DF54">
        <f t="shared" si="26"/>
        <v>0</v>
      </c>
      <c r="DG54">
        <f>ROUND(ROUND(AF54,2)*CX54,2)</f>
        <v>0</v>
      </c>
      <c r="DH54">
        <f t="shared" si="23"/>
        <v>0</v>
      </c>
      <c r="DI54">
        <f t="shared" si="24"/>
        <v>0</v>
      </c>
      <c r="DJ54">
        <f>DF54</f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>
      <c r="A55">
        <f>ROW(Source!A42)</f>
        <v>42</v>
      </c>
      <c r="B55">
        <v>50837940</v>
      </c>
      <c r="C55">
        <v>50838147</v>
      </c>
      <c r="D55">
        <v>49752868</v>
      </c>
      <c r="E55">
        <v>117</v>
      </c>
      <c r="F55">
        <v>1</v>
      </c>
      <c r="G55">
        <v>1</v>
      </c>
      <c r="H55">
        <v>1</v>
      </c>
      <c r="I55" t="s">
        <v>322</v>
      </c>
      <c r="J55" t="s">
        <v>3</v>
      </c>
      <c r="K55" t="s">
        <v>323</v>
      </c>
      <c r="L55">
        <v>1191</v>
      </c>
      <c r="N55">
        <v>1013</v>
      </c>
      <c r="O55" t="s">
        <v>256</v>
      </c>
      <c r="P55" t="s">
        <v>256</v>
      </c>
      <c r="Q55">
        <v>1</v>
      </c>
      <c r="W55">
        <v>0</v>
      </c>
      <c r="X55">
        <v>-1105933552</v>
      </c>
      <c r="Y55">
        <f t="shared" si="27"/>
        <v>29.9</v>
      </c>
      <c r="AA55">
        <v>0</v>
      </c>
      <c r="AB55">
        <v>0</v>
      </c>
      <c r="AC55">
        <v>0</v>
      </c>
      <c r="AD55">
        <v>391.39</v>
      </c>
      <c r="AE55">
        <v>0</v>
      </c>
      <c r="AF55">
        <v>0</v>
      </c>
      <c r="AG55">
        <v>0</v>
      </c>
      <c r="AH55">
        <v>391.39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29.9</v>
      </c>
      <c r="AU55" t="s">
        <v>3</v>
      </c>
      <c r="AV55">
        <v>1</v>
      </c>
      <c r="AW55">
        <v>2</v>
      </c>
      <c r="AX55">
        <v>50838148</v>
      </c>
      <c r="AY55">
        <v>1</v>
      </c>
      <c r="AZ55">
        <v>0</v>
      </c>
      <c r="BA55">
        <v>55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11702.561</v>
      </c>
      <c r="BN55">
        <v>29.9</v>
      </c>
      <c r="BO55">
        <v>0</v>
      </c>
      <c r="BP55">
        <v>1</v>
      </c>
      <c r="BQ55">
        <v>0</v>
      </c>
      <c r="BR55">
        <v>0</v>
      </c>
      <c r="BS55">
        <v>0</v>
      </c>
      <c r="BT55">
        <v>11702.561</v>
      </c>
      <c r="BU55">
        <v>29.9</v>
      </c>
      <c r="BV55">
        <v>0</v>
      </c>
      <c r="BW55">
        <v>1</v>
      </c>
      <c r="CU55">
        <f>ROUND(AT55*Source!I42*AH55*AL55,2)</f>
        <v>15049.49</v>
      </c>
      <c r="CV55">
        <f>ROUND(Y55*Source!I42,7)</f>
        <v>38.4514</v>
      </c>
      <c r="CW55">
        <v>0</v>
      </c>
      <c r="CX55">
        <f>ROUND(Y55*Source!I42,7)</f>
        <v>38.4514</v>
      </c>
      <c r="CY55">
        <f>AD55</f>
        <v>391.39</v>
      </c>
      <c r="CZ55">
        <f>AH55</f>
        <v>391.39</v>
      </c>
      <c r="DA55">
        <f>AL55</f>
        <v>1</v>
      </c>
      <c r="DB55">
        <f t="shared" si="28"/>
        <v>11702.56</v>
      </c>
      <c r="DC55">
        <f t="shared" si="29"/>
        <v>0</v>
      </c>
      <c r="DD55" t="s">
        <v>3</v>
      </c>
      <c r="DE55" t="s">
        <v>3</v>
      </c>
      <c r="DF55">
        <f t="shared" si="26"/>
        <v>0</v>
      </c>
      <c r="DG55">
        <f>ROUND(ROUND(AF55,2)*CX55,2)</f>
        <v>0</v>
      </c>
      <c r="DH55">
        <f t="shared" si="23"/>
        <v>0</v>
      </c>
      <c r="DI55">
        <f t="shared" si="24"/>
        <v>15049.49</v>
      </c>
      <c r="DJ55">
        <f>DI55</f>
        <v>15049.49</v>
      </c>
      <c r="DK55">
        <v>1</v>
      </c>
      <c r="DL55" t="s">
        <v>3</v>
      </c>
      <c r="DM55">
        <v>0</v>
      </c>
      <c r="DN55" t="s">
        <v>3</v>
      </c>
      <c r="DO55">
        <v>0</v>
      </c>
    </row>
    <row r="56" spans="1:119">
      <c r="A56">
        <f>ROW(Source!A42)</f>
        <v>42</v>
      </c>
      <c r="B56">
        <v>50837940</v>
      </c>
      <c r="C56">
        <v>50838147</v>
      </c>
      <c r="D56">
        <v>49753052</v>
      </c>
      <c r="E56">
        <v>117</v>
      </c>
      <c r="F56">
        <v>1</v>
      </c>
      <c r="G56">
        <v>1</v>
      </c>
      <c r="H56">
        <v>1</v>
      </c>
      <c r="I56" t="s">
        <v>257</v>
      </c>
      <c r="J56" t="s">
        <v>3</v>
      </c>
      <c r="K56" t="s">
        <v>258</v>
      </c>
      <c r="L56">
        <v>1191</v>
      </c>
      <c r="N56">
        <v>1013</v>
      </c>
      <c r="O56" t="s">
        <v>256</v>
      </c>
      <c r="P56" t="s">
        <v>256</v>
      </c>
      <c r="Q56">
        <v>1</v>
      </c>
      <c r="W56">
        <v>0</v>
      </c>
      <c r="X56">
        <v>-1417349443</v>
      </c>
      <c r="Y56">
        <f t="shared" si="27"/>
        <v>2.0699999999999998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2.0699999999999998</v>
      </c>
      <c r="AU56" t="s">
        <v>3</v>
      </c>
      <c r="AV56">
        <v>2</v>
      </c>
      <c r="AW56">
        <v>2</v>
      </c>
      <c r="AX56">
        <v>50838149</v>
      </c>
      <c r="AY56">
        <v>1</v>
      </c>
      <c r="AZ56">
        <v>0</v>
      </c>
      <c r="BA56">
        <v>56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ROUND(Y56*Source!I42,7)</f>
        <v>2.6620200000000001</v>
      </c>
      <c r="CY56">
        <f>AD56</f>
        <v>0</v>
      </c>
      <c r="CZ56">
        <f>AH56</f>
        <v>0</v>
      </c>
      <c r="DA56">
        <f>AL56</f>
        <v>1</v>
      </c>
      <c r="DB56">
        <f t="shared" si="28"/>
        <v>0</v>
      </c>
      <c r="DC56">
        <f t="shared" si="29"/>
        <v>0</v>
      </c>
      <c r="DD56" t="s">
        <v>3</v>
      </c>
      <c r="DE56" t="s">
        <v>3</v>
      </c>
      <c r="DF56">
        <f t="shared" si="26"/>
        <v>0</v>
      </c>
      <c r="DG56">
        <f>ROUND(ROUND(AF56,2)*CX56,2)</f>
        <v>0</v>
      </c>
      <c r="DH56">
        <f t="shared" si="23"/>
        <v>0</v>
      </c>
      <c r="DI56">
        <f t="shared" si="24"/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>
      <c r="A57">
        <f>ROW(Source!A42)</f>
        <v>42</v>
      </c>
      <c r="B57">
        <v>50837940</v>
      </c>
      <c r="C57">
        <v>50838147</v>
      </c>
      <c r="D57">
        <v>49759696</v>
      </c>
      <c r="E57">
        <v>1</v>
      </c>
      <c r="F57">
        <v>1</v>
      </c>
      <c r="G57">
        <v>1</v>
      </c>
      <c r="H57">
        <v>2</v>
      </c>
      <c r="I57" t="s">
        <v>305</v>
      </c>
      <c r="J57" t="s">
        <v>306</v>
      </c>
      <c r="K57" t="s">
        <v>307</v>
      </c>
      <c r="L57">
        <v>1368</v>
      </c>
      <c r="N57">
        <v>1011</v>
      </c>
      <c r="O57" t="s">
        <v>262</v>
      </c>
      <c r="P57" t="s">
        <v>262</v>
      </c>
      <c r="Q57">
        <v>1</v>
      </c>
      <c r="W57">
        <v>0</v>
      </c>
      <c r="X57">
        <v>639918019</v>
      </c>
      <c r="Y57">
        <f t="shared" si="27"/>
        <v>0.28399999999999997</v>
      </c>
      <c r="AA57">
        <v>0</v>
      </c>
      <c r="AB57">
        <v>1719.93</v>
      </c>
      <c r="AC57">
        <v>544.01</v>
      </c>
      <c r="AD57">
        <v>0</v>
      </c>
      <c r="AE57">
        <v>0</v>
      </c>
      <c r="AF57">
        <v>1719.93</v>
      </c>
      <c r="AG57">
        <v>544.01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0.28399999999999997</v>
      </c>
      <c r="AU57" t="s">
        <v>3</v>
      </c>
      <c r="AV57">
        <v>1</v>
      </c>
      <c r="AW57">
        <v>2</v>
      </c>
      <c r="AX57">
        <v>50838150</v>
      </c>
      <c r="AY57">
        <v>1</v>
      </c>
      <c r="AZ57">
        <v>0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488.46011999999996</v>
      </c>
      <c r="BL57">
        <v>154.49883999999997</v>
      </c>
      <c r="BM57">
        <v>0</v>
      </c>
      <c r="BN57">
        <v>0</v>
      </c>
      <c r="BO57">
        <v>0.28399999999999997</v>
      </c>
      <c r="BP57">
        <v>1</v>
      </c>
      <c r="BQ57">
        <v>0</v>
      </c>
      <c r="BR57">
        <v>488.46011999999996</v>
      </c>
      <c r="BS57">
        <v>154.49883999999997</v>
      </c>
      <c r="BT57">
        <v>0</v>
      </c>
      <c r="BU57">
        <v>0</v>
      </c>
      <c r="BV57">
        <v>0.28399999999999997</v>
      </c>
      <c r="BW57">
        <v>1</v>
      </c>
      <c r="CV57">
        <v>0</v>
      </c>
      <c r="CW57">
        <f>ROUND(Y57*Source!I42*DO57,7)</f>
        <v>0.36522399999999999</v>
      </c>
      <c r="CX57">
        <f>ROUND(Y57*Source!I42,7)</f>
        <v>0.36522399999999999</v>
      </c>
      <c r="CY57">
        <f>AB57</f>
        <v>1719.93</v>
      </c>
      <c r="CZ57">
        <f>AF57</f>
        <v>1719.93</v>
      </c>
      <c r="DA57">
        <f>AJ57</f>
        <v>1</v>
      </c>
      <c r="DB57">
        <f t="shared" si="28"/>
        <v>488.46</v>
      </c>
      <c r="DC57">
        <f t="shared" si="29"/>
        <v>154.5</v>
      </c>
      <c r="DD57" t="s">
        <v>3</v>
      </c>
      <c r="DE57" t="s">
        <v>3</v>
      </c>
      <c r="DF57">
        <f t="shared" si="26"/>
        <v>0</v>
      </c>
      <c r="DG57">
        <f>ROUND(ROUND(AF57,2)*CX57,2)</f>
        <v>628.16</v>
      </c>
      <c r="DH57">
        <f t="shared" si="23"/>
        <v>198.69</v>
      </c>
      <c r="DI57">
        <f t="shared" si="24"/>
        <v>0</v>
      </c>
      <c r="DJ57">
        <f>DG57+DH57</f>
        <v>826.84999999999991</v>
      </c>
      <c r="DK57">
        <v>1</v>
      </c>
      <c r="DL57" t="s">
        <v>308</v>
      </c>
      <c r="DM57">
        <v>6</v>
      </c>
      <c r="DN57" t="s">
        <v>256</v>
      </c>
      <c r="DO57">
        <v>1</v>
      </c>
    </row>
    <row r="58" spans="1:119">
      <c r="A58">
        <f>ROW(Source!A42)</f>
        <v>42</v>
      </c>
      <c r="B58">
        <v>50837940</v>
      </c>
      <c r="C58">
        <v>50838147</v>
      </c>
      <c r="D58">
        <v>49759911</v>
      </c>
      <c r="E58">
        <v>1</v>
      </c>
      <c r="F58">
        <v>1</v>
      </c>
      <c r="G58">
        <v>1</v>
      </c>
      <c r="H58">
        <v>2</v>
      </c>
      <c r="I58" t="s">
        <v>324</v>
      </c>
      <c r="J58" t="s">
        <v>325</v>
      </c>
      <c r="K58" t="s">
        <v>326</v>
      </c>
      <c r="L58">
        <v>1368</v>
      </c>
      <c r="N58">
        <v>1011</v>
      </c>
      <c r="O58" t="s">
        <v>262</v>
      </c>
      <c r="P58" t="s">
        <v>262</v>
      </c>
      <c r="Q58">
        <v>1</v>
      </c>
      <c r="W58">
        <v>0</v>
      </c>
      <c r="X58">
        <v>-997856846</v>
      </c>
      <c r="Y58">
        <f t="shared" si="27"/>
        <v>1.5</v>
      </c>
      <c r="AA58">
        <v>0</v>
      </c>
      <c r="AB58">
        <v>2267.4</v>
      </c>
      <c r="AC58">
        <v>544.01</v>
      </c>
      <c r="AD58">
        <v>0</v>
      </c>
      <c r="AE58">
        <v>0</v>
      </c>
      <c r="AF58">
        <v>1472.34</v>
      </c>
      <c r="AG58">
        <v>544.01</v>
      </c>
      <c r="AH58">
        <v>0</v>
      </c>
      <c r="AI58">
        <v>1</v>
      </c>
      <c r="AJ58">
        <v>1.54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1.5</v>
      </c>
      <c r="AU58" t="s">
        <v>3</v>
      </c>
      <c r="AV58">
        <v>1</v>
      </c>
      <c r="AW58">
        <v>2</v>
      </c>
      <c r="AX58">
        <v>50838151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2208.5099999999998</v>
      </c>
      <c r="BL58">
        <v>816.01499999999999</v>
      </c>
      <c r="BM58">
        <v>0</v>
      </c>
      <c r="BN58">
        <v>0</v>
      </c>
      <c r="BO58">
        <v>1.5</v>
      </c>
      <c r="BP58">
        <v>1</v>
      </c>
      <c r="BQ58">
        <v>0</v>
      </c>
      <c r="BR58">
        <v>2208.5099999999998</v>
      </c>
      <c r="BS58">
        <v>816.01499999999999</v>
      </c>
      <c r="BT58">
        <v>0</v>
      </c>
      <c r="BU58">
        <v>0</v>
      </c>
      <c r="BV58">
        <v>1.5</v>
      </c>
      <c r="BW58">
        <v>1</v>
      </c>
      <c r="CV58">
        <v>0</v>
      </c>
      <c r="CW58">
        <f>ROUND(Y58*Source!I42*DO58,7)</f>
        <v>1.929</v>
      </c>
      <c r="CX58">
        <f>ROUND(Y58*Source!I42,7)</f>
        <v>1.929</v>
      </c>
      <c r="CY58">
        <f>AB58</f>
        <v>2267.4</v>
      </c>
      <c r="CZ58">
        <f>AF58</f>
        <v>1472.34</v>
      </c>
      <c r="DA58">
        <f>AJ58</f>
        <v>1.54</v>
      </c>
      <c r="DB58">
        <f t="shared" si="28"/>
        <v>2208.5100000000002</v>
      </c>
      <c r="DC58">
        <f t="shared" si="29"/>
        <v>816.02</v>
      </c>
      <c r="DD58" t="s">
        <v>3</v>
      </c>
      <c r="DE58" t="s">
        <v>3</v>
      </c>
      <c r="DF58">
        <f t="shared" si="26"/>
        <v>0</v>
      </c>
      <c r="DG58">
        <f>ROUND(ROUND(AF58*AJ58,2)*CX58,2)</f>
        <v>4373.8100000000004</v>
      </c>
      <c r="DH58">
        <f t="shared" si="23"/>
        <v>1049.4000000000001</v>
      </c>
      <c r="DI58">
        <f t="shared" si="24"/>
        <v>0</v>
      </c>
      <c r="DJ58">
        <f>DG58+DH58</f>
        <v>5423.2100000000009</v>
      </c>
      <c r="DK58">
        <v>0</v>
      </c>
      <c r="DL58" t="s">
        <v>308</v>
      </c>
      <c r="DM58">
        <v>6</v>
      </c>
      <c r="DN58" t="s">
        <v>256</v>
      </c>
      <c r="DO58">
        <v>1</v>
      </c>
    </row>
    <row r="59" spans="1:119">
      <c r="A59">
        <f>ROW(Source!A42)</f>
        <v>42</v>
      </c>
      <c r="B59">
        <v>50837940</v>
      </c>
      <c r="C59">
        <v>50838147</v>
      </c>
      <c r="D59">
        <v>49760608</v>
      </c>
      <c r="E59">
        <v>1</v>
      </c>
      <c r="F59">
        <v>1</v>
      </c>
      <c r="G59">
        <v>1</v>
      </c>
      <c r="H59">
        <v>2</v>
      </c>
      <c r="I59" t="s">
        <v>311</v>
      </c>
      <c r="J59" t="s">
        <v>312</v>
      </c>
      <c r="K59" t="s">
        <v>313</v>
      </c>
      <c r="L59">
        <v>1368</v>
      </c>
      <c r="N59">
        <v>1011</v>
      </c>
      <c r="O59" t="s">
        <v>262</v>
      </c>
      <c r="P59" t="s">
        <v>262</v>
      </c>
      <c r="Q59">
        <v>1</v>
      </c>
      <c r="W59">
        <v>0</v>
      </c>
      <c r="X59">
        <v>-849950259</v>
      </c>
      <c r="Y59">
        <f t="shared" si="27"/>
        <v>0.28399999999999997</v>
      </c>
      <c r="AA59">
        <v>0</v>
      </c>
      <c r="AB59">
        <v>680.75</v>
      </c>
      <c r="AC59">
        <v>404.99</v>
      </c>
      <c r="AD59">
        <v>0</v>
      </c>
      <c r="AE59">
        <v>0</v>
      </c>
      <c r="AF59">
        <v>680.75</v>
      </c>
      <c r="AG59">
        <v>404.99</v>
      </c>
      <c r="AH59">
        <v>0</v>
      </c>
      <c r="AI59">
        <v>1</v>
      </c>
      <c r="AJ59">
        <v>1</v>
      </c>
      <c r="AK59">
        <v>1</v>
      </c>
      <c r="AL59">
        <v>1</v>
      </c>
      <c r="AM59">
        <v>-2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0.28399999999999997</v>
      </c>
      <c r="AU59" t="s">
        <v>3</v>
      </c>
      <c r="AV59">
        <v>1</v>
      </c>
      <c r="AW59">
        <v>2</v>
      </c>
      <c r="AX59">
        <v>50838152</v>
      </c>
      <c r="AY59">
        <v>1</v>
      </c>
      <c r="AZ59">
        <v>0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193.33299999999997</v>
      </c>
      <c r="BL59">
        <v>115.01715999999999</v>
      </c>
      <c r="BM59">
        <v>0</v>
      </c>
      <c r="BN59">
        <v>0</v>
      </c>
      <c r="BO59">
        <v>0.28399999999999997</v>
      </c>
      <c r="BP59">
        <v>1</v>
      </c>
      <c r="BQ59">
        <v>0</v>
      </c>
      <c r="BR59">
        <v>193.33299999999997</v>
      </c>
      <c r="BS59">
        <v>115.01715999999999</v>
      </c>
      <c r="BT59">
        <v>0</v>
      </c>
      <c r="BU59">
        <v>0</v>
      </c>
      <c r="BV59">
        <v>0.28399999999999997</v>
      </c>
      <c r="BW59">
        <v>1</v>
      </c>
      <c r="CV59">
        <v>0</v>
      </c>
      <c r="CW59">
        <f>ROUND(Y59*Source!I42*DO59,7)</f>
        <v>0.36522399999999999</v>
      </c>
      <c r="CX59">
        <f>ROUND(Y59*Source!I42,7)</f>
        <v>0.36522399999999999</v>
      </c>
      <c r="CY59">
        <f>AB59</f>
        <v>680.75</v>
      </c>
      <c r="CZ59">
        <f>AF59</f>
        <v>680.75</v>
      </c>
      <c r="DA59">
        <f>AJ59</f>
        <v>1</v>
      </c>
      <c r="DB59">
        <f t="shared" si="28"/>
        <v>193.33</v>
      </c>
      <c r="DC59">
        <f t="shared" si="29"/>
        <v>115.02</v>
      </c>
      <c r="DD59" t="s">
        <v>3</v>
      </c>
      <c r="DE59" t="s">
        <v>3</v>
      </c>
      <c r="DF59">
        <f t="shared" si="26"/>
        <v>0</v>
      </c>
      <c r="DG59">
        <f>ROUND(ROUND(AF59,2)*CX59,2)</f>
        <v>248.63</v>
      </c>
      <c r="DH59">
        <f t="shared" si="23"/>
        <v>147.91</v>
      </c>
      <c r="DI59">
        <f t="shared" si="24"/>
        <v>0</v>
      </c>
      <c r="DJ59">
        <f>DG59+DH59</f>
        <v>396.53999999999996</v>
      </c>
      <c r="DK59">
        <v>1</v>
      </c>
      <c r="DL59" t="s">
        <v>296</v>
      </c>
      <c r="DM59">
        <v>4</v>
      </c>
      <c r="DN59" t="s">
        <v>256</v>
      </c>
      <c r="DO59">
        <v>1</v>
      </c>
    </row>
    <row r="60" spans="1:119">
      <c r="A60">
        <f>ROW(Source!A42)</f>
        <v>42</v>
      </c>
      <c r="B60">
        <v>50837940</v>
      </c>
      <c r="C60">
        <v>50838147</v>
      </c>
      <c r="D60">
        <v>49759027</v>
      </c>
      <c r="E60">
        <v>117</v>
      </c>
      <c r="F60">
        <v>1</v>
      </c>
      <c r="G60">
        <v>1</v>
      </c>
      <c r="H60">
        <v>3</v>
      </c>
      <c r="I60" t="s">
        <v>104</v>
      </c>
      <c r="J60" t="s">
        <v>3</v>
      </c>
      <c r="K60" t="s">
        <v>105</v>
      </c>
      <c r="L60">
        <v>3277935</v>
      </c>
      <c r="N60">
        <v>1013</v>
      </c>
      <c r="O60" t="s">
        <v>106</v>
      </c>
      <c r="P60" t="s">
        <v>106</v>
      </c>
      <c r="Q60">
        <v>1</v>
      </c>
      <c r="W60">
        <v>0</v>
      </c>
      <c r="X60">
        <v>274903907</v>
      </c>
      <c r="Y60">
        <f t="shared" si="27"/>
        <v>2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 t="s">
        <v>3</v>
      </c>
      <c r="AT60">
        <v>2</v>
      </c>
      <c r="AU60" t="s">
        <v>3</v>
      </c>
      <c r="AV60">
        <v>0</v>
      </c>
      <c r="AW60">
        <v>2</v>
      </c>
      <c r="AX60">
        <v>50838153</v>
      </c>
      <c r="AY60">
        <v>1</v>
      </c>
      <c r="AZ60">
        <v>2048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ROUND(Y60*Source!I42,7)</f>
        <v>2.5720000000000001</v>
      </c>
      <c r="CY60">
        <f>AA60</f>
        <v>0</v>
      </c>
      <c r="CZ60">
        <f>AE60</f>
        <v>0</v>
      </c>
      <c r="DA60">
        <f>AI60</f>
        <v>1</v>
      </c>
      <c r="DB60">
        <f t="shared" si="28"/>
        <v>0</v>
      </c>
      <c r="DC60">
        <f t="shared" si="29"/>
        <v>0</v>
      </c>
      <c r="DD60" t="s">
        <v>3</v>
      </c>
      <c r="DE60" t="s">
        <v>3</v>
      </c>
      <c r="DF60">
        <f t="shared" si="26"/>
        <v>0</v>
      </c>
      <c r="DG60">
        <f>ROUND(ROUND(AF60,2)*CX60,2)</f>
        <v>0</v>
      </c>
      <c r="DH60">
        <f t="shared" si="23"/>
        <v>0</v>
      </c>
      <c r="DI60">
        <f t="shared" si="24"/>
        <v>0</v>
      </c>
      <c r="DJ60">
        <f>DF60</f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60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50838075</v>
      </c>
      <c r="C1">
        <v>50838074</v>
      </c>
      <c r="D1">
        <v>49752813</v>
      </c>
      <c r="E1">
        <v>117</v>
      </c>
      <c r="F1">
        <v>1</v>
      </c>
      <c r="G1">
        <v>1</v>
      </c>
      <c r="H1">
        <v>1</v>
      </c>
      <c r="I1" t="s">
        <v>254</v>
      </c>
      <c r="J1" t="s">
        <v>3</v>
      </c>
      <c r="K1" t="s">
        <v>255</v>
      </c>
      <c r="L1">
        <v>1191</v>
      </c>
      <c r="N1">
        <v>1013</v>
      </c>
      <c r="O1" t="s">
        <v>256</v>
      </c>
      <c r="P1" t="s">
        <v>256</v>
      </c>
      <c r="Q1">
        <v>1</v>
      </c>
      <c r="X1">
        <v>13.1</v>
      </c>
      <c r="Y1">
        <v>0</v>
      </c>
      <c r="Z1">
        <v>0</v>
      </c>
      <c r="AA1">
        <v>0</v>
      </c>
      <c r="AB1">
        <v>329.43</v>
      </c>
      <c r="AC1">
        <v>0</v>
      </c>
      <c r="AD1">
        <v>1</v>
      </c>
      <c r="AE1">
        <v>1</v>
      </c>
      <c r="AF1" t="s">
        <v>3</v>
      </c>
      <c r="AG1">
        <v>13.1</v>
      </c>
      <c r="AH1">
        <v>2</v>
      </c>
      <c r="AI1">
        <v>50838075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50838076</v>
      </c>
      <c r="C2">
        <v>50838074</v>
      </c>
      <c r="D2">
        <v>49753052</v>
      </c>
      <c r="E2">
        <v>117</v>
      </c>
      <c r="F2">
        <v>1</v>
      </c>
      <c r="G2">
        <v>1</v>
      </c>
      <c r="H2">
        <v>1</v>
      </c>
      <c r="I2" t="s">
        <v>257</v>
      </c>
      <c r="J2" t="s">
        <v>3</v>
      </c>
      <c r="K2" t="s">
        <v>258</v>
      </c>
      <c r="L2">
        <v>1191</v>
      </c>
      <c r="N2">
        <v>1013</v>
      </c>
      <c r="O2" t="s">
        <v>256</v>
      </c>
      <c r="P2" t="s">
        <v>256</v>
      </c>
      <c r="Q2">
        <v>1</v>
      </c>
      <c r="X2">
        <v>14.3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14.3</v>
      </c>
      <c r="AH2">
        <v>2</v>
      </c>
      <c r="AI2">
        <v>50838076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50838077</v>
      </c>
      <c r="C3">
        <v>50838074</v>
      </c>
      <c r="D3">
        <v>49759581</v>
      </c>
      <c r="E3">
        <v>1</v>
      </c>
      <c r="F3">
        <v>1</v>
      </c>
      <c r="G3">
        <v>1</v>
      </c>
      <c r="H3">
        <v>2</v>
      </c>
      <c r="I3" t="s">
        <v>259</v>
      </c>
      <c r="J3" t="s">
        <v>260</v>
      </c>
      <c r="K3" t="s">
        <v>261</v>
      </c>
      <c r="L3">
        <v>1368</v>
      </c>
      <c r="N3">
        <v>1011</v>
      </c>
      <c r="O3" t="s">
        <v>262</v>
      </c>
      <c r="P3" t="s">
        <v>262</v>
      </c>
      <c r="Q3">
        <v>1</v>
      </c>
      <c r="X3">
        <v>14.3</v>
      </c>
      <c r="Y3">
        <v>0</v>
      </c>
      <c r="Z3">
        <v>2088.77</v>
      </c>
      <c r="AA3">
        <v>465.43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14.3</v>
      </c>
      <c r="AH3">
        <v>2</v>
      </c>
      <c r="AI3">
        <v>50838077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ROW(Source!A25)</f>
        <v>25</v>
      </c>
      <c r="B4">
        <v>50838079</v>
      </c>
      <c r="C4">
        <v>50838078</v>
      </c>
      <c r="D4">
        <v>49752862</v>
      </c>
      <c r="E4">
        <v>117</v>
      </c>
      <c r="F4">
        <v>1</v>
      </c>
      <c r="G4">
        <v>1</v>
      </c>
      <c r="H4">
        <v>1</v>
      </c>
      <c r="I4" t="s">
        <v>264</v>
      </c>
      <c r="J4" t="s">
        <v>3</v>
      </c>
      <c r="K4" t="s">
        <v>265</v>
      </c>
      <c r="L4">
        <v>1191</v>
      </c>
      <c r="N4">
        <v>1013</v>
      </c>
      <c r="O4" t="s">
        <v>256</v>
      </c>
      <c r="P4" t="s">
        <v>256</v>
      </c>
      <c r="Q4">
        <v>1</v>
      </c>
      <c r="X4">
        <v>2.37</v>
      </c>
      <c r="Y4">
        <v>0</v>
      </c>
      <c r="Z4">
        <v>0</v>
      </c>
      <c r="AA4">
        <v>0</v>
      </c>
      <c r="AB4">
        <v>377.79</v>
      </c>
      <c r="AC4">
        <v>0</v>
      </c>
      <c r="AD4">
        <v>1</v>
      </c>
      <c r="AE4">
        <v>1</v>
      </c>
      <c r="AF4" t="s">
        <v>3</v>
      </c>
      <c r="AG4">
        <v>2.37</v>
      </c>
      <c r="AH4">
        <v>2</v>
      </c>
      <c r="AI4">
        <v>50838079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ROW(Source!A25)</f>
        <v>25</v>
      </c>
      <c r="B5">
        <v>50838080</v>
      </c>
      <c r="C5">
        <v>50838078</v>
      </c>
      <c r="D5">
        <v>49753052</v>
      </c>
      <c r="E5">
        <v>117</v>
      </c>
      <c r="F5">
        <v>1</v>
      </c>
      <c r="G5">
        <v>1</v>
      </c>
      <c r="H5">
        <v>1</v>
      </c>
      <c r="I5" t="s">
        <v>257</v>
      </c>
      <c r="J5" t="s">
        <v>3</v>
      </c>
      <c r="K5" t="s">
        <v>258</v>
      </c>
      <c r="L5">
        <v>1191</v>
      </c>
      <c r="N5">
        <v>1013</v>
      </c>
      <c r="O5" t="s">
        <v>256</v>
      </c>
      <c r="P5" t="s">
        <v>256</v>
      </c>
      <c r="Q5">
        <v>1</v>
      </c>
      <c r="X5">
        <v>0.46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2</v>
      </c>
      <c r="AF5" t="s">
        <v>3</v>
      </c>
      <c r="AG5">
        <v>0.46</v>
      </c>
      <c r="AH5">
        <v>2</v>
      </c>
      <c r="AI5">
        <v>50838080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ROW(Source!A25)</f>
        <v>25</v>
      </c>
      <c r="B6">
        <v>50838081</v>
      </c>
      <c r="C6">
        <v>50838078</v>
      </c>
      <c r="D6">
        <v>49759250</v>
      </c>
      <c r="E6">
        <v>1</v>
      </c>
      <c r="F6">
        <v>1</v>
      </c>
      <c r="G6">
        <v>1</v>
      </c>
      <c r="H6">
        <v>2</v>
      </c>
      <c r="I6" t="s">
        <v>266</v>
      </c>
      <c r="J6" t="s">
        <v>267</v>
      </c>
      <c r="K6" t="s">
        <v>268</v>
      </c>
      <c r="L6">
        <v>1368</v>
      </c>
      <c r="N6">
        <v>1011</v>
      </c>
      <c r="O6" t="s">
        <v>262</v>
      </c>
      <c r="P6" t="s">
        <v>262</v>
      </c>
      <c r="Q6">
        <v>1</v>
      </c>
      <c r="X6">
        <v>0.18</v>
      </c>
      <c r="Y6">
        <v>0</v>
      </c>
      <c r="Z6">
        <v>828.16</v>
      </c>
      <c r="AA6">
        <v>465.43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0.18</v>
      </c>
      <c r="AH6">
        <v>2</v>
      </c>
      <c r="AI6">
        <v>50838081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ROW(Source!A25)</f>
        <v>25</v>
      </c>
      <c r="B7">
        <v>50838082</v>
      </c>
      <c r="C7">
        <v>50838078</v>
      </c>
      <c r="D7">
        <v>49759582</v>
      </c>
      <c r="E7">
        <v>1</v>
      </c>
      <c r="F7">
        <v>1</v>
      </c>
      <c r="G7">
        <v>1</v>
      </c>
      <c r="H7">
        <v>2</v>
      </c>
      <c r="I7" t="s">
        <v>269</v>
      </c>
      <c r="J7" t="s">
        <v>270</v>
      </c>
      <c r="K7" t="s">
        <v>271</v>
      </c>
      <c r="L7">
        <v>1368</v>
      </c>
      <c r="N7">
        <v>1011</v>
      </c>
      <c r="O7" t="s">
        <v>262</v>
      </c>
      <c r="P7" t="s">
        <v>262</v>
      </c>
      <c r="Q7">
        <v>1</v>
      </c>
      <c r="X7">
        <v>0.28000000000000003</v>
      </c>
      <c r="Y7">
        <v>0</v>
      </c>
      <c r="Z7">
        <v>774.86</v>
      </c>
      <c r="AA7">
        <v>465.43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0.28000000000000003</v>
      </c>
      <c r="AH7">
        <v>2</v>
      </c>
      <c r="AI7">
        <v>50838082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ROW(Source!A25)</f>
        <v>25</v>
      </c>
      <c r="B8">
        <v>50838083</v>
      </c>
      <c r="C8">
        <v>50838078</v>
      </c>
      <c r="D8">
        <v>49831750</v>
      </c>
      <c r="E8">
        <v>1</v>
      </c>
      <c r="F8">
        <v>1</v>
      </c>
      <c r="G8">
        <v>1</v>
      </c>
      <c r="H8">
        <v>3</v>
      </c>
      <c r="I8" t="s">
        <v>272</v>
      </c>
      <c r="J8" t="s">
        <v>273</v>
      </c>
      <c r="K8" t="s">
        <v>274</v>
      </c>
      <c r="L8">
        <v>1348</v>
      </c>
      <c r="N8">
        <v>1009</v>
      </c>
      <c r="O8" t="s">
        <v>275</v>
      </c>
      <c r="P8" t="s">
        <v>275</v>
      </c>
      <c r="Q8">
        <v>1000</v>
      </c>
      <c r="X8">
        <v>4.0000000000000003E-5</v>
      </c>
      <c r="Y8">
        <v>76110.2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32</v>
      </c>
      <c r="AG8">
        <v>0</v>
      </c>
      <c r="AH8">
        <v>2</v>
      </c>
      <c r="AI8">
        <v>50838083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ROW(Source!A25)</f>
        <v>25</v>
      </c>
      <c r="B9">
        <v>50838084</v>
      </c>
      <c r="C9">
        <v>50838078</v>
      </c>
      <c r="D9">
        <v>49832898</v>
      </c>
      <c r="E9">
        <v>1</v>
      </c>
      <c r="F9">
        <v>1</v>
      </c>
      <c r="G9">
        <v>1</v>
      </c>
      <c r="H9">
        <v>3</v>
      </c>
      <c r="I9" t="s">
        <v>276</v>
      </c>
      <c r="J9" t="s">
        <v>277</v>
      </c>
      <c r="K9" t="s">
        <v>278</v>
      </c>
      <c r="L9">
        <v>1346</v>
      </c>
      <c r="N9">
        <v>1009</v>
      </c>
      <c r="O9" t="s">
        <v>85</v>
      </c>
      <c r="P9" t="s">
        <v>85</v>
      </c>
      <c r="Q9">
        <v>1</v>
      </c>
      <c r="X9">
        <v>6.1999999999999998E-3</v>
      </c>
      <c r="Y9">
        <v>56.11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32</v>
      </c>
      <c r="AG9">
        <v>0</v>
      </c>
      <c r="AH9">
        <v>2</v>
      </c>
      <c r="AI9">
        <v>50838084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ROW(Source!A25)</f>
        <v>25</v>
      </c>
      <c r="B10">
        <v>50838085</v>
      </c>
      <c r="C10">
        <v>50838078</v>
      </c>
      <c r="D10">
        <v>49756009</v>
      </c>
      <c r="E10">
        <v>117</v>
      </c>
      <c r="F10">
        <v>1</v>
      </c>
      <c r="G10">
        <v>1</v>
      </c>
      <c r="H10">
        <v>3</v>
      </c>
      <c r="I10" t="s">
        <v>40</v>
      </c>
      <c r="J10" t="s">
        <v>3</v>
      </c>
      <c r="K10" t="s">
        <v>41</v>
      </c>
      <c r="L10">
        <v>1371</v>
      </c>
      <c r="N10">
        <v>1013</v>
      </c>
      <c r="O10" t="s">
        <v>30</v>
      </c>
      <c r="P10" t="s">
        <v>30</v>
      </c>
      <c r="Q10">
        <v>1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32</v>
      </c>
      <c r="AG10">
        <v>0</v>
      </c>
      <c r="AH10">
        <v>2</v>
      </c>
      <c r="AI10">
        <v>50838085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ROW(Source!A25)</f>
        <v>25</v>
      </c>
      <c r="B11">
        <v>50838086</v>
      </c>
      <c r="C11">
        <v>50838078</v>
      </c>
      <c r="D11">
        <v>49842138</v>
      </c>
      <c r="E11">
        <v>1</v>
      </c>
      <c r="F11">
        <v>1</v>
      </c>
      <c r="G11">
        <v>1</v>
      </c>
      <c r="H11">
        <v>3</v>
      </c>
      <c r="I11" t="s">
        <v>279</v>
      </c>
      <c r="J11" t="s">
        <v>280</v>
      </c>
      <c r="K11" t="s">
        <v>281</v>
      </c>
      <c r="L11">
        <v>1339</v>
      </c>
      <c r="N11">
        <v>1007</v>
      </c>
      <c r="O11" t="s">
        <v>73</v>
      </c>
      <c r="P11" t="s">
        <v>73</v>
      </c>
      <c r="Q11">
        <v>1</v>
      </c>
      <c r="X11">
        <v>5.0000000000000002E-5</v>
      </c>
      <c r="Y11">
        <v>5764.42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32</v>
      </c>
      <c r="AG11">
        <v>0</v>
      </c>
      <c r="AH11">
        <v>2</v>
      </c>
      <c r="AI11">
        <v>50838086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ROW(Source!A25)</f>
        <v>25</v>
      </c>
      <c r="B12">
        <v>50838087</v>
      </c>
      <c r="C12">
        <v>50838078</v>
      </c>
      <c r="D12">
        <v>49851904</v>
      </c>
      <c r="E12">
        <v>1</v>
      </c>
      <c r="F12">
        <v>1</v>
      </c>
      <c r="G12">
        <v>1</v>
      </c>
      <c r="H12">
        <v>3</v>
      </c>
      <c r="I12" t="s">
        <v>282</v>
      </c>
      <c r="J12" t="s">
        <v>283</v>
      </c>
      <c r="K12" t="s">
        <v>284</v>
      </c>
      <c r="L12">
        <v>1346</v>
      </c>
      <c r="N12">
        <v>1009</v>
      </c>
      <c r="O12" t="s">
        <v>85</v>
      </c>
      <c r="P12" t="s">
        <v>85</v>
      </c>
      <c r="Q12">
        <v>1</v>
      </c>
      <c r="X12">
        <v>0.05</v>
      </c>
      <c r="Y12">
        <v>61.28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32</v>
      </c>
      <c r="AG12">
        <v>0</v>
      </c>
      <c r="AH12">
        <v>2</v>
      </c>
      <c r="AI12">
        <v>50838087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ROW(Source!A25)</f>
        <v>25</v>
      </c>
      <c r="B13">
        <v>50838088</v>
      </c>
      <c r="C13">
        <v>50838078</v>
      </c>
      <c r="D13">
        <v>49852204</v>
      </c>
      <c r="E13">
        <v>1</v>
      </c>
      <c r="F13">
        <v>1</v>
      </c>
      <c r="G13">
        <v>1</v>
      </c>
      <c r="H13">
        <v>3</v>
      </c>
      <c r="I13" t="s">
        <v>285</v>
      </c>
      <c r="J13" t="s">
        <v>286</v>
      </c>
      <c r="K13" t="s">
        <v>287</v>
      </c>
      <c r="L13">
        <v>1348</v>
      </c>
      <c r="N13">
        <v>1009</v>
      </c>
      <c r="O13" t="s">
        <v>275</v>
      </c>
      <c r="P13" t="s">
        <v>275</v>
      </c>
      <c r="Q13">
        <v>1000</v>
      </c>
      <c r="X13">
        <v>3.0000000000000001E-5</v>
      </c>
      <c r="Y13">
        <v>65007.69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32</v>
      </c>
      <c r="AG13">
        <v>0</v>
      </c>
      <c r="AH13">
        <v>2</v>
      </c>
      <c r="AI13">
        <v>50838088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ROW(Source!A27)</f>
        <v>27</v>
      </c>
      <c r="B14">
        <v>50838091</v>
      </c>
      <c r="C14">
        <v>50838090</v>
      </c>
      <c r="D14">
        <v>49752835</v>
      </c>
      <c r="E14">
        <v>117</v>
      </c>
      <c r="F14">
        <v>1</v>
      </c>
      <c r="G14">
        <v>1</v>
      </c>
      <c r="H14">
        <v>1</v>
      </c>
      <c r="I14" t="s">
        <v>288</v>
      </c>
      <c r="J14" t="s">
        <v>3</v>
      </c>
      <c r="K14" t="s">
        <v>289</v>
      </c>
      <c r="L14">
        <v>1191</v>
      </c>
      <c r="N14">
        <v>1013</v>
      </c>
      <c r="O14" t="s">
        <v>256</v>
      </c>
      <c r="P14" t="s">
        <v>256</v>
      </c>
      <c r="Q14">
        <v>1</v>
      </c>
      <c r="X14">
        <v>0.2</v>
      </c>
      <c r="Y14">
        <v>0</v>
      </c>
      <c r="Z14">
        <v>0</v>
      </c>
      <c r="AA14">
        <v>0</v>
      </c>
      <c r="AB14">
        <v>344.54</v>
      </c>
      <c r="AC14">
        <v>0</v>
      </c>
      <c r="AD14">
        <v>1</v>
      </c>
      <c r="AE14">
        <v>1</v>
      </c>
      <c r="AF14" t="s">
        <v>3</v>
      </c>
      <c r="AG14">
        <v>0.2</v>
      </c>
      <c r="AH14">
        <v>2</v>
      </c>
      <c r="AI14">
        <v>50838091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ROW(Source!A27)</f>
        <v>27</v>
      </c>
      <c r="B15">
        <v>50838092</v>
      </c>
      <c r="C15">
        <v>50838090</v>
      </c>
      <c r="D15">
        <v>49753052</v>
      </c>
      <c r="E15">
        <v>117</v>
      </c>
      <c r="F15">
        <v>1</v>
      </c>
      <c r="G15">
        <v>1</v>
      </c>
      <c r="H15">
        <v>1</v>
      </c>
      <c r="I15" t="s">
        <v>257</v>
      </c>
      <c r="J15" t="s">
        <v>3</v>
      </c>
      <c r="K15" t="s">
        <v>258</v>
      </c>
      <c r="L15">
        <v>1191</v>
      </c>
      <c r="N15">
        <v>1013</v>
      </c>
      <c r="O15" t="s">
        <v>256</v>
      </c>
      <c r="P15" t="s">
        <v>256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</v>
      </c>
      <c r="AG15">
        <v>0.11</v>
      </c>
      <c r="AH15">
        <v>2</v>
      </c>
      <c r="AI15">
        <v>50838092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ROW(Source!A27)</f>
        <v>27</v>
      </c>
      <c r="B16">
        <v>50838093</v>
      </c>
      <c r="C16">
        <v>50838090</v>
      </c>
      <c r="D16">
        <v>49760674</v>
      </c>
      <c r="E16">
        <v>1</v>
      </c>
      <c r="F16">
        <v>1</v>
      </c>
      <c r="G16">
        <v>1</v>
      </c>
      <c r="H16">
        <v>2</v>
      </c>
      <c r="I16" t="s">
        <v>290</v>
      </c>
      <c r="J16" t="s">
        <v>291</v>
      </c>
      <c r="K16" t="s">
        <v>292</v>
      </c>
      <c r="L16">
        <v>1368</v>
      </c>
      <c r="N16">
        <v>1011</v>
      </c>
      <c r="O16" t="s">
        <v>262</v>
      </c>
      <c r="P16" t="s">
        <v>262</v>
      </c>
      <c r="Q16">
        <v>1</v>
      </c>
      <c r="X16">
        <v>0.11</v>
      </c>
      <c r="Y16">
        <v>0</v>
      </c>
      <c r="Z16">
        <v>14.59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0.11</v>
      </c>
      <c r="AH16">
        <v>2</v>
      </c>
      <c r="AI16">
        <v>50838093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ROW(Source!A27)</f>
        <v>27</v>
      </c>
      <c r="B17">
        <v>50838094</v>
      </c>
      <c r="C17">
        <v>50838090</v>
      </c>
      <c r="D17">
        <v>49760692</v>
      </c>
      <c r="E17">
        <v>1</v>
      </c>
      <c r="F17">
        <v>1</v>
      </c>
      <c r="G17">
        <v>1</v>
      </c>
      <c r="H17">
        <v>2</v>
      </c>
      <c r="I17" t="s">
        <v>293</v>
      </c>
      <c r="J17" t="s">
        <v>294</v>
      </c>
      <c r="K17" t="s">
        <v>295</v>
      </c>
      <c r="L17">
        <v>1368</v>
      </c>
      <c r="N17">
        <v>1011</v>
      </c>
      <c r="O17" t="s">
        <v>262</v>
      </c>
      <c r="P17" t="s">
        <v>262</v>
      </c>
      <c r="Q17">
        <v>1</v>
      </c>
      <c r="X17">
        <v>0.11</v>
      </c>
      <c r="Y17">
        <v>0</v>
      </c>
      <c r="Z17">
        <v>487.94</v>
      </c>
      <c r="AA17">
        <v>404.99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0.11</v>
      </c>
      <c r="AH17">
        <v>2</v>
      </c>
      <c r="AI17">
        <v>50838094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ROW(Source!A28)</f>
        <v>28</v>
      </c>
      <c r="B18">
        <v>50838096</v>
      </c>
      <c r="C18">
        <v>50838095</v>
      </c>
      <c r="D18">
        <v>49752835</v>
      </c>
      <c r="E18">
        <v>117</v>
      </c>
      <c r="F18">
        <v>1</v>
      </c>
      <c r="G18">
        <v>1</v>
      </c>
      <c r="H18">
        <v>1</v>
      </c>
      <c r="I18" t="s">
        <v>288</v>
      </c>
      <c r="J18" t="s">
        <v>3</v>
      </c>
      <c r="K18" t="s">
        <v>289</v>
      </c>
      <c r="L18">
        <v>1191</v>
      </c>
      <c r="N18">
        <v>1013</v>
      </c>
      <c r="O18" t="s">
        <v>256</v>
      </c>
      <c r="P18" t="s">
        <v>256</v>
      </c>
      <c r="Q18">
        <v>1</v>
      </c>
      <c r="X18">
        <v>0.25</v>
      </c>
      <c r="Y18">
        <v>0</v>
      </c>
      <c r="Z18">
        <v>0</v>
      </c>
      <c r="AA18">
        <v>0</v>
      </c>
      <c r="AB18">
        <v>344.54</v>
      </c>
      <c r="AC18">
        <v>0</v>
      </c>
      <c r="AD18">
        <v>1</v>
      </c>
      <c r="AE18">
        <v>1</v>
      </c>
      <c r="AF18" t="s">
        <v>3</v>
      </c>
      <c r="AG18">
        <v>0.25</v>
      </c>
      <c r="AH18">
        <v>2</v>
      </c>
      <c r="AI18">
        <v>50838096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ROW(Source!A28)</f>
        <v>28</v>
      </c>
      <c r="B19">
        <v>50838097</v>
      </c>
      <c r="C19">
        <v>50838095</v>
      </c>
      <c r="D19">
        <v>49753052</v>
      </c>
      <c r="E19">
        <v>117</v>
      </c>
      <c r="F19">
        <v>1</v>
      </c>
      <c r="G19">
        <v>1</v>
      </c>
      <c r="H19">
        <v>1</v>
      </c>
      <c r="I19" t="s">
        <v>257</v>
      </c>
      <c r="J19" t="s">
        <v>3</v>
      </c>
      <c r="K19" t="s">
        <v>258</v>
      </c>
      <c r="L19">
        <v>1191</v>
      </c>
      <c r="N19">
        <v>1013</v>
      </c>
      <c r="O19" t="s">
        <v>256</v>
      </c>
      <c r="P19" t="s">
        <v>256</v>
      </c>
      <c r="Q19">
        <v>1</v>
      </c>
      <c r="X19">
        <v>0.14000000000000001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2</v>
      </c>
      <c r="AF19" t="s">
        <v>3</v>
      </c>
      <c r="AG19">
        <v>0.14000000000000001</v>
      </c>
      <c r="AH19">
        <v>2</v>
      </c>
      <c r="AI19">
        <v>50838097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ROW(Source!A28)</f>
        <v>28</v>
      </c>
      <c r="B20">
        <v>50838098</v>
      </c>
      <c r="C20">
        <v>50838095</v>
      </c>
      <c r="D20">
        <v>49760674</v>
      </c>
      <c r="E20">
        <v>1</v>
      </c>
      <c r="F20">
        <v>1</v>
      </c>
      <c r="G20">
        <v>1</v>
      </c>
      <c r="H20">
        <v>2</v>
      </c>
      <c r="I20" t="s">
        <v>290</v>
      </c>
      <c r="J20" t="s">
        <v>291</v>
      </c>
      <c r="K20" t="s">
        <v>292</v>
      </c>
      <c r="L20">
        <v>1368</v>
      </c>
      <c r="N20">
        <v>1011</v>
      </c>
      <c r="O20" t="s">
        <v>262</v>
      </c>
      <c r="P20" t="s">
        <v>262</v>
      </c>
      <c r="Q20">
        <v>1</v>
      </c>
      <c r="X20">
        <v>0.14000000000000001</v>
      </c>
      <c r="Y20">
        <v>0</v>
      </c>
      <c r="Z20">
        <v>14.59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0.14000000000000001</v>
      </c>
      <c r="AH20">
        <v>2</v>
      </c>
      <c r="AI20">
        <v>50838098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ROW(Source!A28)</f>
        <v>28</v>
      </c>
      <c r="B21">
        <v>50838099</v>
      </c>
      <c r="C21">
        <v>50838095</v>
      </c>
      <c r="D21">
        <v>49760692</v>
      </c>
      <c r="E21">
        <v>1</v>
      </c>
      <c r="F21">
        <v>1</v>
      </c>
      <c r="G21">
        <v>1</v>
      </c>
      <c r="H21">
        <v>2</v>
      </c>
      <c r="I21" t="s">
        <v>293</v>
      </c>
      <c r="J21" t="s">
        <v>294</v>
      </c>
      <c r="K21" t="s">
        <v>295</v>
      </c>
      <c r="L21">
        <v>1368</v>
      </c>
      <c r="N21">
        <v>1011</v>
      </c>
      <c r="O21" t="s">
        <v>262</v>
      </c>
      <c r="P21" t="s">
        <v>262</v>
      </c>
      <c r="Q21">
        <v>1</v>
      </c>
      <c r="X21">
        <v>0.14000000000000001</v>
      </c>
      <c r="Y21">
        <v>0</v>
      </c>
      <c r="Z21">
        <v>487.94</v>
      </c>
      <c r="AA21">
        <v>404.99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0.14000000000000001</v>
      </c>
      <c r="AH21">
        <v>2</v>
      </c>
      <c r="AI21">
        <v>50838099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ROW(Source!A29)</f>
        <v>29</v>
      </c>
      <c r="B22">
        <v>50838101</v>
      </c>
      <c r="C22">
        <v>50838100</v>
      </c>
      <c r="D22">
        <v>49752813</v>
      </c>
      <c r="E22">
        <v>117</v>
      </c>
      <c r="F22">
        <v>1</v>
      </c>
      <c r="G22">
        <v>1</v>
      </c>
      <c r="H22">
        <v>1</v>
      </c>
      <c r="I22" t="s">
        <v>254</v>
      </c>
      <c r="J22" t="s">
        <v>3</v>
      </c>
      <c r="K22" t="s">
        <v>255</v>
      </c>
      <c r="L22">
        <v>1191</v>
      </c>
      <c r="N22">
        <v>1013</v>
      </c>
      <c r="O22" t="s">
        <v>256</v>
      </c>
      <c r="P22" t="s">
        <v>256</v>
      </c>
      <c r="Q22">
        <v>1</v>
      </c>
      <c r="X22">
        <v>8.93</v>
      </c>
      <c r="Y22">
        <v>0</v>
      </c>
      <c r="Z22">
        <v>0</v>
      </c>
      <c r="AA22">
        <v>0</v>
      </c>
      <c r="AB22">
        <v>329.43</v>
      </c>
      <c r="AC22">
        <v>0</v>
      </c>
      <c r="AD22">
        <v>1</v>
      </c>
      <c r="AE22">
        <v>1</v>
      </c>
      <c r="AF22" t="s">
        <v>3</v>
      </c>
      <c r="AG22">
        <v>8.93</v>
      </c>
      <c r="AH22">
        <v>2</v>
      </c>
      <c r="AI22">
        <v>50838101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ROW(Source!A29)</f>
        <v>29</v>
      </c>
      <c r="B23">
        <v>50838102</v>
      </c>
      <c r="C23">
        <v>50838100</v>
      </c>
      <c r="D23">
        <v>49753052</v>
      </c>
      <c r="E23">
        <v>117</v>
      </c>
      <c r="F23">
        <v>1</v>
      </c>
      <c r="G23">
        <v>1</v>
      </c>
      <c r="H23">
        <v>1</v>
      </c>
      <c r="I23" t="s">
        <v>257</v>
      </c>
      <c r="J23" t="s">
        <v>3</v>
      </c>
      <c r="K23" t="s">
        <v>258</v>
      </c>
      <c r="L23">
        <v>1191</v>
      </c>
      <c r="N23">
        <v>1013</v>
      </c>
      <c r="O23" t="s">
        <v>256</v>
      </c>
      <c r="P23" t="s">
        <v>256</v>
      </c>
      <c r="Q23">
        <v>1</v>
      </c>
      <c r="X23">
        <v>46.49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3</v>
      </c>
      <c r="AG23">
        <v>46.49</v>
      </c>
      <c r="AH23">
        <v>2</v>
      </c>
      <c r="AI23">
        <v>50838102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ROW(Source!A29)</f>
        <v>29</v>
      </c>
      <c r="B24">
        <v>50838103</v>
      </c>
      <c r="C24">
        <v>50838100</v>
      </c>
      <c r="D24">
        <v>49759293</v>
      </c>
      <c r="E24">
        <v>1</v>
      </c>
      <c r="F24">
        <v>1</v>
      </c>
      <c r="G24">
        <v>1</v>
      </c>
      <c r="H24">
        <v>2</v>
      </c>
      <c r="I24" t="s">
        <v>297</v>
      </c>
      <c r="J24" t="s">
        <v>298</v>
      </c>
      <c r="K24" t="s">
        <v>299</v>
      </c>
      <c r="L24">
        <v>1368</v>
      </c>
      <c r="N24">
        <v>1011</v>
      </c>
      <c r="O24" t="s">
        <v>262</v>
      </c>
      <c r="P24" t="s">
        <v>262</v>
      </c>
      <c r="Q24">
        <v>1</v>
      </c>
      <c r="X24">
        <v>46.49</v>
      </c>
      <c r="Y24">
        <v>0</v>
      </c>
      <c r="Z24">
        <v>675.43</v>
      </c>
      <c r="AA24">
        <v>465.43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46.49</v>
      </c>
      <c r="AH24">
        <v>2</v>
      </c>
      <c r="AI24">
        <v>50838103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ROW(Source!A30)</f>
        <v>30</v>
      </c>
      <c r="B25">
        <v>50838105</v>
      </c>
      <c r="C25">
        <v>50838104</v>
      </c>
      <c r="D25">
        <v>49753052</v>
      </c>
      <c r="E25">
        <v>117</v>
      </c>
      <c r="F25">
        <v>1</v>
      </c>
      <c r="G25">
        <v>1</v>
      </c>
      <c r="H25">
        <v>1</v>
      </c>
      <c r="I25" t="s">
        <v>257</v>
      </c>
      <c r="J25" t="s">
        <v>3</v>
      </c>
      <c r="K25" t="s">
        <v>258</v>
      </c>
      <c r="L25">
        <v>1191</v>
      </c>
      <c r="N25">
        <v>1013</v>
      </c>
      <c r="O25" t="s">
        <v>256</v>
      </c>
      <c r="P25" t="s">
        <v>256</v>
      </c>
      <c r="Q25">
        <v>1</v>
      </c>
      <c r="X25">
        <v>8.06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2</v>
      </c>
      <c r="AF25" t="s">
        <v>3</v>
      </c>
      <c r="AG25">
        <v>8.06</v>
      </c>
      <c r="AH25">
        <v>2</v>
      </c>
      <c r="AI25">
        <v>50838105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ROW(Source!A30)</f>
        <v>30</v>
      </c>
      <c r="B26">
        <v>50838106</v>
      </c>
      <c r="C26">
        <v>50838104</v>
      </c>
      <c r="D26">
        <v>49759250</v>
      </c>
      <c r="E26">
        <v>1</v>
      </c>
      <c r="F26">
        <v>1</v>
      </c>
      <c r="G26">
        <v>1</v>
      </c>
      <c r="H26">
        <v>2</v>
      </c>
      <c r="I26" t="s">
        <v>266</v>
      </c>
      <c r="J26" t="s">
        <v>267</v>
      </c>
      <c r="K26" t="s">
        <v>268</v>
      </c>
      <c r="L26">
        <v>1368</v>
      </c>
      <c r="N26">
        <v>1011</v>
      </c>
      <c r="O26" t="s">
        <v>262</v>
      </c>
      <c r="P26" t="s">
        <v>262</v>
      </c>
      <c r="Q26">
        <v>1</v>
      </c>
      <c r="X26">
        <v>8.06</v>
      </c>
      <c r="Y26">
        <v>0</v>
      </c>
      <c r="Z26">
        <v>828.16</v>
      </c>
      <c r="AA26">
        <v>465.43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8.06</v>
      </c>
      <c r="AH26">
        <v>2</v>
      </c>
      <c r="AI26">
        <v>50838106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ROW(Source!A31)</f>
        <v>31</v>
      </c>
      <c r="B27">
        <v>50838108</v>
      </c>
      <c r="C27">
        <v>50838107</v>
      </c>
      <c r="D27">
        <v>49752858</v>
      </c>
      <c r="E27">
        <v>117</v>
      </c>
      <c r="F27">
        <v>1</v>
      </c>
      <c r="G27">
        <v>1</v>
      </c>
      <c r="H27">
        <v>1</v>
      </c>
      <c r="I27" t="s">
        <v>300</v>
      </c>
      <c r="J27" t="s">
        <v>3</v>
      </c>
      <c r="K27" t="s">
        <v>301</v>
      </c>
      <c r="L27">
        <v>1191</v>
      </c>
      <c r="N27">
        <v>1013</v>
      </c>
      <c r="O27" t="s">
        <v>256</v>
      </c>
      <c r="P27" t="s">
        <v>256</v>
      </c>
      <c r="Q27">
        <v>1</v>
      </c>
      <c r="X27">
        <v>1.83</v>
      </c>
      <c r="Y27">
        <v>0</v>
      </c>
      <c r="Z27">
        <v>0</v>
      </c>
      <c r="AA27">
        <v>0</v>
      </c>
      <c r="AB27">
        <v>368.72</v>
      </c>
      <c r="AC27">
        <v>0</v>
      </c>
      <c r="AD27">
        <v>1</v>
      </c>
      <c r="AE27">
        <v>1</v>
      </c>
      <c r="AF27" t="s">
        <v>3</v>
      </c>
      <c r="AG27">
        <v>1.83</v>
      </c>
      <c r="AH27">
        <v>2</v>
      </c>
      <c r="AI27">
        <v>50838108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ROW(Source!A31)</f>
        <v>31</v>
      </c>
      <c r="B28">
        <v>50838109</v>
      </c>
      <c r="C28">
        <v>50838107</v>
      </c>
      <c r="D28">
        <v>49753052</v>
      </c>
      <c r="E28">
        <v>117</v>
      </c>
      <c r="F28">
        <v>1</v>
      </c>
      <c r="G28">
        <v>1</v>
      </c>
      <c r="H28">
        <v>1</v>
      </c>
      <c r="I28" t="s">
        <v>257</v>
      </c>
      <c r="J28" t="s">
        <v>3</v>
      </c>
      <c r="K28" t="s">
        <v>258</v>
      </c>
      <c r="L28">
        <v>1191</v>
      </c>
      <c r="N28">
        <v>1013</v>
      </c>
      <c r="O28" t="s">
        <v>256</v>
      </c>
      <c r="P28" t="s">
        <v>256</v>
      </c>
      <c r="Q28">
        <v>1</v>
      </c>
      <c r="X28">
        <v>0.18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0.18</v>
      </c>
      <c r="AH28">
        <v>2</v>
      </c>
      <c r="AI28">
        <v>50838109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ROW(Source!A31)</f>
        <v>31</v>
      </c>
      <c r="B29">
        <v>50838110</v>
      </c>
      <c r="C29">
        <v>50838107</v>
      </c>
      <c r="D29">
        <v>49759250</v>
      </c>
      <c r="E29">
        <v>1</v>
      </c>
      <c r="F29">
        <v>1</v>
      </c>
      <c r="G29">
        <v>1</v>
      </c>
      <c r="H29">
        <v>2</v>
      </c>
      <c r="I29" t="s">
        <v>266</v>
      </c>
      <c r="J29" t="s">
        <v>267</v>
      </c>
      <c r="K29" t="s">
        <v>268</v>
      </c>
      <c r="L29">
        <v>1368</v>
      </c>
      <c r="N29">
        <v>1011</v>
      </c>
      <c r="O29" t="s">
        <v>262</v>
      </c>
      <c r="P29" t="s">
        <v>262</v>
      </c>
      <c r="Q29">
        <v>1</v>
      </c>
      <c r="X29">
        <v>0.18</v>
      </c>
      <c r="Y29">
        <v>0</v>
      </c>
      <c r="Z29">
        <v>828.16</v>
      </c>
      <c r="AA29">
        <v>465.43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0.18</v>
      </c>
      <c r="AH29">
        <v>2</v>
      </c>
      <c r="AI29">
        <v>50838110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ROW(Source!A31)</f>
        <v>31</v>
      </c>
      <c r="B30">
        <v>50838111</v>
      </c>
      <c r="C30">
        <v>50838107</v>
      </c>
      <c r="D30">
        <v>49754464</v>
      </c>
      <c r="E30">
        <v>117</v>
      </c>
      <c r="F30">
        <v>1</v>
      </c>
      <c r="G30">
        <v>1</v>
      </c>
      <c r="H30">
        <v>3</v>
      </c>
      <c r="I30" t="s">
        <v>71</v>
      </c>
      <c r="J30" t="s">
        <v>3</v>
      </c>
      <c r="K30" t="s">
        <v>72</v>
      </c>
      <c r="L30">
        <v>1339</v>
      </c>
      <c r="N30">
        <v>1007</v>
      </c>
      <c r="O30" t="s">
        <v>73</v>
      </c>
      <c r="P30" t="s">
        <v>73</v>
      </c>
      <c r="Q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0</v>
      </c>
      <c r="AE30">
        <v>0</v>
      </c>
      <c r="AF30" t="s">
        <v>32</v>
      </c>
      <c r="AG30">
        <v>0</v>
      </c>
      <c r="AH30">
        <v>2</v>
      </c>
      <c r="AI30">
        <v>50838111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ROW(Source!A31)</f>
        <v>31</v>
      </c>
      <c r="B31">
        <v>50838112</v>
      </c>
      <c r="C31">
        <v>50838107</v>
      </c>
      <c r="D31">
        <v>49839840</v>
      </c>
      <c r="E31">
        <v>1</v>
      </c>
      <c r="F31">
        <v>1</v>
      </c>
      <c r="G31">
        <v>1</v>
      </c>
      <c r="H31">
        <v>3</v>
      </c>
      <c r="I31" t="s">
        <v>302</v>
      </c>
      <c r="J31" t="s">
        <v>303</v>
      </c>
      <c r="K31" t="s">
        <v>304</v>
      </c>
      <c r="L31">
        <v>1348</v>
      </c>
      <c r="N31">
        <v>1009</v>
      </c>
      <c r="O31" t="s">
        <v>275</v>
      </c>
      <c r="P31" t="s">
        <v>275</v>
      </c>
      <c r="Q31">
        <v>1000</v>
      </c>
      <c r="X31">
        <v>2.48E-3</v>
      </c>
      <c r="Y31">
        <v>73218.100000000006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32</v>
      </c>
      <c r="AG31">
        <v>0</v>
      </c>
      <c r="AH31">
        <v>2</v>
      </c>
      <c r="AI31">
        <v>50838112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ROW(Source!A33)</f>
        <v>33</v>
      </c>
      <c r="B32">
        <v>50838116</v>
      </c>
      <c r="C32">
        <v>50838115</v>
      </c>
      <c r="D32">
        <v>49752835</v>
      </c>
      <c r="E32">
        <v>117</v>
      </c>
      <c r="F32">
        <v>1</v>
      </c>
      <c r="G32">
        <v>1</v>
      </c>
      <c r="H32">
        <v>1</v>
      </c>
      <c r="I32" t="s">
        <v>288</v>
      </c>
      <c r="J32" t="s">
        <v>3</v>
      </c>
      <c r="K32" t="s">
        <v>289</v>
      </c>
      <c r="L32">
        <v>1191</v>
      </c>
      <c r="N32">
        <v>1013</v>
      </c>
      <c r="O32" t="s">
        <v>256</v>
      </c>
      <c r="P32" t="s">
        <v>256</v>
      </c>
      <c r="Q32">
        <v>1</v>
      </c>
      <c r="X32">
        <v>0.41</v>
      </c>
      <c r="Y32">
        <v>0</v>
      </c>
      <c r="Z32">
        <v>0</v>
      </c>
      <c r="AA32">
        <v>0</v>
      </c>
      <c r="AB32">
        <v>344.54</v>
      </c>
      <c r="AC32">
        <v>0</v>
      </c>
      <c r="AD32">
        <v>1</v>
      </c>
      <c r="AE32">
        <v>1</v>
      </c>
      <c r="AF32" t="s">
        <v>3</v>
      </c>
      <c r="AG32">
        <v>0.41</v>
      </c>
      <c r="AH32">
        <v>2</v>
      </c>
      <c r="AI32">
        <v>50838116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ROW(Source!A33)</f>
        <v>33</v>
      </c>
      <c r="B33">
        <v>50838117</v>
      </c>
      <c r="C33">
        <v>50838115</v>
      </c>
      <c r="D33">
        <v>49753052</v>
      </c>
      <c r="E33">
        <v>117</v>
      </c>
      <c r="F33">
        <v>1</v>
      </c>
      <c r="G33">
        <v>1</v>
      </c>
      <c r="H33">
        <v>1</v>
      </c>
      <c r="I33" t="s">
        <v>257</v>
      </c>
      <c r="J33" t="s">
        <v>3</v>
      </c>
      <c r="K33" t="s">
        <v>258</v>
      </c>
      <c r="L33">
        <v>1191</v>
      </c>
      <c r="N33">
        <v>1013</v>
      </c>
      <c r="O33" t="s">
        <v>256</v>
      </c>
      <c r="P33" t="s">
        <v>256</v>
      </c>
      <c r="Q33">
        <v>1</v>
      </c>
      <c r="X33">
        <v>0.44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3</v>
      </c>
      <c r="AG33">
        <v>0.44</v>
      </c>
      <c r="AH33">
        <v>2</v>
      </c>
      <c r="AI33">
        <v>50838117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ROW(Source!A33)</f>
        <v>33</v>
      </c>
      <c r="B34">
        <v>50838118</v>
      </c>
      <c r="C34">
        <v>50838115</v>
      </c>
      <c r="D34">
        <v>49759696</v>
      </c>
      <c r="E34">
        <v>1</v>
      </c>
      <c r="F34">
        <v>1</v>
      </c>
      <c r="G34">
        <v>1</v>
      </c>
      <c r="H34">
        <v>2</v>
      </c>
      <c r="I34" t="s">
        <v>305</v>
      </c>
      <c r="J34" t="s">
        <v>306</v>
      </c>
      <c r="K34" t="s">
        <v>307</v>
      </c>
      <c r="L34">
        <v>1368</v>
      </c>
      <c r="N34">
        <v>1011</v>
      </c>
      <c r="O34" t="s">
        <v>262</v>
      </c>
      <c r="P34" t="s">
        <v>262</v>
      </c>
      <c r="Q34">
        <v>1</v>
      </c>
      <c r="X34">
        <v>0.22</v>
      </c>
      <c r="Y34">
        <v>0</v>
      </c>
      <c r="Z34">
        <v>1719.93</v>
      </c>
      <c r="AA34">
        <v>544.01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0.22</v>
      </c>
      <c r="AH34">
        <v>2</v>
      </c>
      <c r="AI34">
        <v>50838118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ROW(Source!A33)</f>
        <v>33</v>
      </c>
      <c r="B35">
        <v>50838119</v>
      </c>
      <c r="C35">
        <v>50838115</v>
      </c>
      <c r="D35">
        <v>49760674</v>
      </c>
      <c r="E35">
        <v>1</v>
      </c>
      <c r="F35">
        <v>1</v>
      </c>
      <c r="G35">
        <v>1</v>
      </c>
      <c r="H35">
        <v>2</v>
      </c>
      <c r="I35" t="s">
        <v>290</v>
      </c>
      <c r="J35" t="s">
        <v>291</v>
      </c>
      <c r="K35" t="s">
        <v>292</v>
      </c>
      <c r="L35">
        <v>1368</v>
      </c>
      <c r="N35">
        <v>1011</v>
      </c>
      <c r="O35" t="s">
        <v>262</v>
      </c>
      <c r="P35" t="s">
        <v>262</v>
      </c>
      <c r="Q35">
        <v>1</v>
      </c>
      <c r="X35">
        <v>0.22</v>
      </c>
      <c r="Y35">
        <v>0</v>
      </c>
      <c r="Z35">
        <v>14.59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0.22</v>
      </c>
      <c r="AH35">
        <v>2</v>
      </c>
      <c r="AI35">
        <v>50838119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ROW(Source!A33)</f>
        <v>33</v>
      </c>
      <c r="B36">
        <v>50838120</v>
      </c>
      <c r="C36">
        <v>50838115</v>
      </c>
      <c r="D36">
        <v>49760692</v>
      </c>
      <c r="E36">
        <v>1</v>
      </c>
      <c r="F36">
        <v>1</v>
      </c>
      <c r="G36">
        <v>1</v>
      </c>
      <c r="H36">
        <v>2</v>
      </c>
      <c r="I36" t="s">
        <v>293</v>
      </c>
      <c r="J36" t="s">
        <v>294</v>
      </c>
      <c r="K36" t="s">
        <v>295</v>
      </c>
      <c r="L36">
        <v>1368</v>
      </c>
      <c r="N36">
        <v>1011</v>
      </c>
      <c r="O36" t="s">
        <v>262</v>
      </c>
      <c r="P36" t="s">
        <v>262</v>
      </c>
      <c r="Q36">
        <v>1</v>
      </c>
      <c r="X36">
        <v>0.22</v>
      </c>
      <c r="Y36">
        <v>0</v>
      </c>
      <c r="Z36">
        <v>487.94</v>
      </c>
      <c r="AA36">
        <v>404.99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0.22</v>
      </c>
      <c r="AH36">
        <v>2</v>
      </c>
      <c r="AI36">
        <v>50838120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ROW(Source!A34)</f>
        <v>34</v>
      </c>
      <c r="B37">
        <v>50838122</v>
      </c>
      <c r="C37">
        <v>50838121</v>
      </c>
      <c r="D37">
        <v>49752853</v>
      </c>
      <c r="E37">
        <v>117</v>
      </c>
      <c r="F37">
        <v>1</v>
      </c>
      <c r="G37">
        <v>1</v>
      </c>
      <c r="H37">
        <v>1</v>
      </c>
      <c r="I37" t="s">
        <v>309</v>
      </c>
      <c r="J37" t="s">
        <v>3</v>
      </c>
      <c r="K37" t="s">
        <v>310</v>
      </c>
      <c r="L37">
        <v>1191</v>
      </c>
      <c r="N37">
        <v>1013</v>
      </c>
      <c r="O37" t="s">
        <v>256</v>
      </c>
      <c r="P37" t="s">
        <v>256</v>
      </c>
      <c r="Q37">
        <v>1</v>
      </c>
      <c r="X37">
        <v>1.2</v>
      </c>
      <c r="Y37">
        <v>0</v>
      </c>
      <c r="Z37">
        <v>0</v>
      </c>
      <c r="AA37">
        <v>0</v>
      </c>
      <c r="AB37">
        <v>359.65</v>
      </c>
      <c r="AC37">
        <v>0</v>
      </c>
      <c r="AD37">
        <v>1</v>
      </c>
      <c r="AE37">
        <v>1</v>
      </c>
      <c r="AF37" t="s">
        <v>3</v>
      </c>
      <c r="AG37">
        <v>1.2</v>
      </c>
      <c r="AH37">
        <v>2</v>
      </c>
      <c r="AI37">
        <v>50838122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ROW(Source!A34)</f>
        <v>34</v>
      </c>
      <c r="B38">
        <v>50838123</v>
      </c>
      <c r="C38">
        <v>50838121</v>
      </c>
      <c r="D38">
        <v>49753052</v>
      </c>
      <c r="E38">
        <v>117</v>
      </c>
      <c r="F38">
        <v>1</v>
      </c>
      <c r="G38">
        <v>1</v>
      </c>
      <c r="H38">
        <v>1</v>
      </c>
      <c r="I38" t="s">
        <v>257</v>
      </c>
      <c r="J38" t="s">
        <v>3</v>
      </c>
      <c r="K38" t="s">
        <v>258</v>
      </c>
      <c r="L38">
        <v>1191</v>
      </c>
      <c r="N38">
        <v>1013</v>
      </c>
      <c r="O38" t="s">
        <v>256</v>
      </c>
      <c r="P38" t="s">
        <v>256</v>
      </c>
      <c r="Q38">
        <v>1</v>
      </c>
      <c r="X38">
        <v>0.06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</v>
      </c>
      <c r="AG38">
        <v>0.06</v>
      </c>
      <c r="AH38">
        <v>2</v>
      </c>
      <c r="AI38">
        <v>50838123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ROW(Source!A34)</f>
        <v>34</v>
      </c>
      <c r="B39">
        <v>50838124</v>
      </c>
      <c r="C39">
        <v>50838121</v>
      </c>
      <c r="D39">
        <v>49760608</v>
      </c>
      <c r="E39">
        <v>1</v>
      </c>
      <c r="F39">
        <v>1</v>
      </c>
      <c r="G39">
        <v>1</v>
      </c>
      <c r="H39">
        <v>2</v>
      </c>
      <c r="I39" t="s">
        <v>311</v>
      </c>
      <c r="J39" t="s">
        <v>312</v>
      </c>
      <c r="K39" t="s">
        <v>313</v>
      </c>
      <c r="L39">
        <v>1368</v>
      </c>
      <c r="N39">
        <v>1011</v>
      </c>
      <c r="O39" t="s">
        <v>262</v>
      </c>
      <c r="P39" t="s">
        <v>262</v>
      </c>
      <c r="Q39">
        <v>1</v>
      </c>
      <c r="X39">
        <v>0.06</v>
      </c>
      <c r="Y39">
        <v>0</v>
      </c>
      <c r="Z39">
        <v>680.75</v>
      </c>
      <c r="AA39">
        <v>404.99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0.06</v>
      </c>
      <c r="AH39">
        <v>2</v>
      </c>
      <c r="AI39">
        <v>50838124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ROW(Source!A34)</f>
        <v>34</v>
      </c>
      <c r="B40">
        <v>50838125</v>
      </c>
      <c r="C40">
        <v>50838121</v>
      </c>
      <c r="D40">
        <v>49827241</v>
      </c>
      <c r="E40">
        <v>1</v>
      </c>
      <c r="F40">
        <v>1</v>
      </c>
      <c r="G40">
        <v>1</v>
      </c>
      <c r="H40">
        <v>3</v>
      </c>
      <c r="I40" t="s">
        <v>314</v>
      </c>
      <c r="J40" t="s">
        <v>315</v>
      </c>
      <c r="K40" t="s">
        <v>316</v>
      </c>
      <c r="L40">
        <v>1346</v>
      </c>
      <c r="N40">
        <v>1009</v>
      </c>
      <c r="O40" t="s">
        <v>85</v>
      </c>
      <c r="P40" t="s">
        <v>85</v>
      </c>
      <c r="Q40">
        <v>1</v>
      </c>
      <c r="X40">
        <v>0.03</v>
      </c>
      <c r="Y40">
        <v>58.53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32</v>
      </c>
      <c r="AG40">
        <v>0</v>
      </c>
      <c r="AH40">
        <v>2</v>
      </c>
      <c r="AI40">
        <v>50838125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ROW(Source!A34)</f>
        <v>34</v>
      </c>
      <c r="B41">
        <v>50838126</v>
      </c>
      <c r="C41">
        <v>50838121</v>
      </c>
      <c r="D41">
        <v>49831697</v>
      </c>
      <c r="E41">
        <v>1</v>
      </c>
      <c r="F41">
        <v>1</v>
      </c>
      <c r="G41">
        <v>1</v>
      </c>
      <c r="H41">
        <v>3</v>
      </c>
      <c r="I41" t="s">
        <v>83</v>
      </c>
      <c r="J41" t="s">
        <v>86</v>
      </c>
      <c r="K41" t="s">
        <v>84</v>
      </c>
      <c r="L41">
        <v>1346</v>
      </c>
      <c r="N41">
        <v>1009</v>
      </c>
      <c r="O41" t="s">
        <v>85</v>
      </c>
      <c r="P41" t="s">
        <v>85</v>
      </c>
      <c r="Q41">
        <v>1</v>
      </c>
      <c r="X41">
        <v>0</v>
      </c>
      <c r="Y41">
        <v>174.93</v>
      </c>
      <c r="Z41">
        <v>0</v>
      </c>
      <c r="AA41">
        <v>0</v>
      </c>
      <c r="AB41">
        <v>0</v>
      </c>
      <c r="AC41">
        <v>1</v>
      </c>
      <c r="AD41">
        <v>0</v>
      </c>
      <c r="AE41">
        <v>0</v>
      </c>
      <c r="AF41" t="s">
        <v>32</v>
      </c>
      <c r="AG41">
        <v>0</v>
      </c>
      <c r="AH41">
        <v>2</v>
      </c>
      <c r="AI41">
        <v>50838126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ROW(Source!A34)</f>
        <v>34</v>
      </c>
      <c r="B42">
        <v>50838127</v>
      </c>
      <c r="C42">
        <v>50838121</v>
      </c>
      <c r="D42">
        <v>49755144</v>
      </c>
      <c r="E42">
        <v>117</v>
      </c>
      <c r="F42">
        <v>1</v>
      </c>
      <c r="G42">
        <v>1</v>
      </c>
      <c r="H42">
        <v>3</v>
      </c>
      <c r="I42" t="s">
        <v>88</v>
      </c>
      <c r="J42" t="s">
        <v>3</v>
      </c>
      <c r="K42" t="s">
        <v>89</v>
      </c>
      <c r="L42">
        <v>1377</v>
      </c>
      <c r="N42">
        <v>1013</v>
      </c>
      <c r="O42" t="s">
        <v>90</v>
      </c>
      <c r="P42" t="s">
        <v>90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32</v>
      </c>
      <c r="AG42">
        <v>0</v>
      </c>
      <c r="AH42">
        <v>2</v>
      </c>
      <c r="AI42">
        <v>50838127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ROW(Source!A34)</f>
        <v>34</v>
      </c>
      <c r="B43">
        <v>50838128</v>
      </c>
      <c r="C43">
        <v>50838121</v>
      </c>
      <c r="D43">
        <v>49851931</v>
      </c>
      <c r="E43">
        <v>1</v>
      </c>
      <c r="F43">
        <v>1</v>
      </c>
      <c r="G43">
        <v>1</v>
      </c>
      <c r="H43">
        <v>3</v>
      </c>
      <c r="I43" t="s">
        <v>317</v>
      </c>
      <c r="J43" t="s">
        <v>318</v>
      </c>
      <c r="K43" t="s">
        <v>319</v>
      </c>
      <c r="L43">
        <v>1348</v>
      </c>
      <c r="N43">
        <v>1009</v>
      </c>
      <c r="O43" t="s">
        <v>275</v>
      </c>
      <c r="P43" t="s">
        <v>275</v>
      </c>
      <c r="Q43">
        <v>1000</v>
      </c>
      <c r="X43">
        <v>3.0000000000000001E-5</v>
      </c>
      <c r="Y43">
        <v>80020.98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32</v>
      </c>
      <c r="AG43">
        <v>0</v>
      </c>
      <c r="AH43">
        <v>2</v>
      </c>
      <c r="AI43">
        <v>50838128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ROW(Source!A34)</f>
        <v>34</v>
      </c>
      <c r="B44">
        <v>50838129</v>
      </c>
      <c r="C44">
        <v>50838121</v>
      </c>
      <c r="D44">
        <v>49758061</v>
      </c>
      <c r="E44">
        <v>117</v>
      </c>
      <c r="F44">
        <v>1</v>
      </c>
      <c r="G44">
        <v>1</v>
      </c>
      <c r="H44">
        <v>3</v>
      </c>
      <c r="I44" t="s">
        <v>92</v>
      </c>
      <c r="J44" t="s">
        <v>3</v>
      </c>
      <c r="K44" t="s">
        <v>93</v>
      </c>
      <c r="L44">
        <v>1346</v>
      </c>
      <c r="N44">
        <v>1009</v>
      </c>
      <c r="O44" t="s">
        <v>85</v>
      </c>
      <c r="P44" t="s">
        <v>85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32</v>
      </c>
      <c r="AG44">
        <v>0</v>
      </c>
      <c r="AH44">
        <v>2</v>
      </c>
      <c r="AI44">
        <v>50838129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ROW(Source!A38)</f>
        <v>38</v>
      </c>
      <c r="B45">
        <v>50838134</v>
      </c>
      <c r="C45">
        <v>50838133</v>
      </c>
      <c r="D45">
        <v>49752866</v>
      </c>
      <c r="E45">
        <v>117</v>
      </c>
      <c r="F45">
        <v>1</v>
      </c>
      <c r="G45">
        <v>1</v>
      </c>
      <c r="H45">
        <v>1</v>
      </c>
      <c r="I45" t="s">
        <v>320</v>
      </c>
      <c r="J45" t="s">
        <v>3</v>
      </c>
      <c r="K45" t="s">
        <v>321</v>
      </c>
      <c r="L45">
        <v>1191</v>
      </c>
      <c r="N45">
        <v>1013</v>
      </c>
      <c r="O45" t="s">
        <v>256</v>
      </c>
      <c r="P45" t="s">
        <v>256</v>
      </c>
      <c r="Q45">
        <v>1</v>
      </c>
      <c r="X45">
        <v>0.21</v>
      </c>
      <c r="Y45">
        <v>0</v>
      </c>
      <c r="Z45">
        <v>0</v>
      </c>
      <c r="AA45">
        <v>0</v>
      </c>
      <c r="AB45">
        <v>386.85</v>
      </c>
      <c r="AC45">
        <v>0</v>
      </c>
      <c r="AD45">
        <v>1</v>
      </c>
      <c r="AE45">
        <v>1</v>
      </c>
      <c r="AF45" t="s">
        <v>3</v>
      </c>
      <c r="AG45">
        <v>0.21</v>
      </c>
      <c r="AH45">
        <v>2</v>
      </c>
      <c r="AI45">
        <v>50838134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ROW(Source!A38)</f>
        <v>38</v>
      </c>
      <c r="B46">
        <v>50838135</v>
      </c>
      <c r="C46">
        <v>50838133</v>
      </c>
      <c r="D46">
        <v>49753052</v>
      </c>
      <c r="E46">
        <v>117</v>
      </c>
      <c r="F46">
        <v>1</v>
      </c>
      <c r="G46">
        <v>1</v>
      </c>
      <c r="H46">
        <v>1</v>
      </c>
      <c r="I46" t="s">
        <v>257</v>
      </c>
      <c r="J46" t="s">
        <v>3</v>
      </c>
      <c r="K46" t="s">
        <v>258</v>
      </c>
      <c r="L46">
        <v>1191</v>
      </c>
      <c r="N46">
        <v>1013</v>
      </c>
      <c r="O46" t="s">
        <v>256</v>
      </c>
      <c r="P46" t="s">
        <v>256</v>
      </c>
      <c r="Q46">
        <v>1</v>
      </c>
      <c r="X46">
        <v>0.27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0.27</v>
      </c>
      <c r="AH46">
        <v>2</v>
      </c>
      <c r="AI46">
        <v>50838135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ROW(Source!A38)</f>
        <v>38</v>
      </c>
      <c r="B47">
        <v>50838136</v>
      </c>
      <c r="C47">
        <v>50838133</v>
      </c>
      <c r="D47">
        <v>49759696</v>
      </c>
      <c r="E47">
        <v>1</v>
      </c>
      <c r="F47">
        <v>1</v>
      </c>
      <c r="G47">
        <v>1</v>
      </c>
      <c r="H47">
        <v>2</v>
      </c>
      <c r="I47" t="s">
        <v>305</v>
      </c>
      <c r="J47" t="s">
        <v>306</v>
      </c>
      <c r="K47" t="s">
        <v>307</v>
      </c>
      <c r="L47">
        <v>1368</v>
      </c>
      <c r="N47">
        <v>1011</v>
      </c>
      <c r="O47" t="s">
        <v>262</v>
      </c>
      <c r="P47" t="s">
        <v>262</v>
      </c>
      <c r="Q47">
        <v>1</v>
      </c>
      <c r="X47">
        <v>0.27</v>
      </c>
      <c r="Y47">
        <v>0</v>
      </c>
      <c r="Z47">
        <v>1719.93</v>
      </c>
      <c r="AA47">
        <v>544.01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0.27</v>
      </c>
      <c r="AH47">
        <v>2</v>
      </c>
      <c r="AI47">
        <v>50838136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ROW(Source!A38)</f>
        <v>38</v>
      </c>
      <c r="B48">
        <v>50838137</v>
      </c>
      <c r="C48">
        <v>50838133</v>
      </c>
      <c r="D48">
        <v>49759027</v>
      </c>
      <c r="E48">
        <v>117</v>
      </c>
      <c r="F48">
        <v>1</v>
      </c>
      <c r="G48">
        <v>1</v>
      </c>
      <c r="H48">
        <v>3</v>
      </c>
      <c r="I48" t="s">
        <v>104</v>
      </c>
      <c r="J48" t="s">
        <v>3</v>
      </c>
      <c r="K48" t="s">
        <v>105</v>
      </c>
      <c r="L48">
        <v>3277935</v>
      </c>
      <c r="N48">
        <v>1013</v>
      </c>
      <c r="O48" t="s">
        <v>106</v>
      </c>
      <c r="P48" t="s">
        <v>106</v>
      </c>
      <c r="Q48">
        <v>1</v>
      </c>
      <c r="X48">
        <v>2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 t="s">
        <v>32</v>
      </c>
      <c r="AG48">
        <v>0</v>
      </c>
      <c r="AH48">
        <v>2</v>
      </c>
      <c r="AI48">
        <v>50838137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ROW(Source!A40)</f>
        <v>40</v>
      </c>
      <c r="B49">
        <v>50838140</v>
      </c>
      <c r="C49">
        <v>50838139</v>
      </c>
      <c r="D49">
        <v>49752868</v>
      </c>
      <c r="E49">
        <v>117</v>
      </c>
      <c r="F49">
        <v>1</v>
      </c>
      <c r="G49">
        <v>1</v>
      </c>
      <c r="H49">
        <v>1</v>
      </c>
      <c r="I49" t="s">
        <v>322</v>
      </c>
      <c r="J49" t="s">
        <v>3</v>
      </c>
      <c r="K49" t="s">
        <v>323</v>
      </c>
      <c r="L49">
        <v>1191</v>
      </c>
      <c r="N49">
        <v>1013</v>
      </c>
      <c r="O49" t="s">
        <v>256</v>
      </c>
      <c r="P49" t="s">
        <v>256</v>
      </c>
      <c r="Q49">
        <v>1</v>
      </c>
      <c r="X49">
        <v>29.9</v>
      </c>
      <c r="Y49">
        <v>0</v>
      </c>
      <c r="Z49">
        <v>0</v>
      </c>
      <c r="AA49">
        <v>0</v>
      </c>
      <c r="AB49">
        <v>391.39</v>
      </c>
      <c r="AC49">
        <v>0</v>
      </c>
      <c r="AD49">
        <v>1</v>
      </c>
      <c r="AE49">
        <v>1</v>
      </c>
      <c r="AF49" t="s">
        <v>3</v>
      </c>
      <c r="AG49">
        <v>29.9</v>
      </c>
      <c r="AH49">
        <v>2</v>
      </c>
      <c r="AI49">
        <v>50838140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ROW(Source!A40)</f>
        <v>40</v>
      </c>
      <c r="B50">
        <v>50838141</v>
      </c>
      <c r="C50">
        <v>50838139</v>
      </c>
      <c r="D50">
        <v>49753052</v>
      </c>
      <c r="E50">
        <v>117</v>
      </c>
      <c r="F50">
        <v>1</v>
      </c>
      <c r="G50">
        <v>1</v>
      </c>
      <c r="H50">
        <v>1</v>
      </c>
      <c r="I50" t="s">
        <v>257</v>
      </c>
      <c r="J50" t="s">
        <v>3</v>
      </c>
      <c r="K50" t="s">
        <v>258</v>
      </c>
      <c r="L50">
        <v>1191</v>
      </c>
      <c r="N50">
        <v>1013</v>
      </c>
      <c r="O50" t="s">
        <v>256</v>
      </c>
      <c r="P50" t="s">
        <v>256</v>
      </c>
      <c r="Q50">
        <v>1</v>
      </c>
      <c r="X50">
        <v>2.0699999999999998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2</v>
      </c>
      <c r="AF50" t="s">
        <v>3</v>
      </c>
      <c r="AG50">
        <v>2.0699999999999998</v>
      </c>
      <c r="AH50">
        <v>2</v>
      </c>
      <c r="AI50">
        <v>50838141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ROW(Source!A40)</f>
        <v>40</v>
      </c>
      <c r="B51">
        <v>50838142</v>
      </c>
      <c r="C51">
        <v>50838139</v>
      </c>
      <c r="D51">
        <v>49759696</v>
      </c>
      <c r="E51">
        <v>1</v>
      </c>
      <c r="F51">
        <v>1</v>
      </c>
      <c r="G51">
        <v>1</v>
      </c>
      <c r="H51">
        <v>2</v>
      </c>
      <c r="I51" t="s">
        <v>305</v>
      </c>
      <c r="J51" t="s">
        <v>306</v>
      </c>
      <c r="K51" t="s">
        <v>307</v>
      </c>
      <c r="L51">
        <v>1368</v>
      </c>
      <c r="N51">
        <v>1011</v>
      </c>
      <c r="O51" t="s">
        <v>262</v>
      </c>
      <c r="P51" t="s">
        <v>262</v>
      </c>
      <c r="Q51">
        <v>1</v>
      </c>
      <c r="X51">
        <v>0.28399999999999997</v>
      </c>
      <c r="Y51">
        <v>0</v>
      </c>
      <c r="Z51">
        <v>1719.93</v>
      </c>
      <c r="AA51">
        <v>544.01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0.28399999999999997</v>
      </c>
      <c r="AH51">
        <v>2</v>
      </c>
      <c r="AI51">
        <v>50838142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ROW(Source!A40)</f>
        <v>40</v>
      </c>
      <c r="B52">
        <v>50838143</v>
      </c>
      <c r="C52">
        <v>50838139</v>
      </c>
      <c r="D52">
        <v>49759911</v>
      </c>
      <c r="E52">
        <v>1</v>
      </c>
      <c r="F52">
        <v>1</v>
      </c>
      <c r="G52">
        <v>1</v>
      </c>
      <c r="H52">
        <v>2</v>
      </c>
      <c r="I52" t="s">
        <v>324</v>
      </c>
      <c r="J52" t="s">
        <v>325</v>
      </c>
      <c r="K52" t="s">
        <v>326</v>
      </c>
      <c r="L52">
        <v>1368</v>
      </c>
      <c r="N52">
        <v>1011</v>
      </c>
      <c r="O52" t="s">
        <v>262</v>
      </c>
      <c r="P52" t="s">
        <v>262</v>
      </c>
      <c r="Q52">
        <v>1</v>
      </c>
      <c r="X52">
        <v>1.5</v>
      </c>
      <c r="Y52">
        <v>0</v>
      </c>
      <c r="Z52">
        <v>1472.34</v>
      </c>
      <c r="AA52">
        <v>544.01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1.5</v>
      </c>
      <c r="AH52">
        <v>2</v>
      </c>
      <c r="AI52">
        <v>50838143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ROW(Source!A40)</f>
        <v>40</v>
      </c>
      <c r="B53">
        <v>50838144</v>
      </c>
      <c r="C53">
        <v>50838139</v>
      </c>
      <c r="D53">
        <v>49760608</v>
      </c>
      <c r="E53">
        <v>1</v>
      </c>
      <c r="F53">
        <v>1</v>
      </c>
      <c r="G53">
        <v>1</v>
      </c>
      <c r="H53">
        <v>2</v>
      </c>
      <c r="I53" t="s">
        <v>311</v>
      </c>
      <c r="J53" t="s">
        <v>312</v>
      </c>
      <c r="K53" t="s">
        <v>313</v>
      </c>
      <c r="L53">
        <v>1368</v>
      </c>
      <c r="N53">
        <v>1011</v>
      </c>
      <c r="O53" t="s">
        <v>262</v>
      </c>
      <c r="P53" t="s">
        <v>262</v>
      </c>
      <c r="Q53">
        <v>1</v>
      </c>
      <c r="X53">
        <v>0.28399999999999997</v>
      </c>
      <c r="Y53">
        <v>0</v>
      </c>
      <c r="Z53">
        <v>680.75</v>
      </c>
      <c r="AA53">
        <v>404.99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0.28399999999999997</v>
      </c>
      <c r="AH53">
        <v>2</v>
      </c>
      <c r="AI53">
        <v>50838144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ROW(Source!A40)</f>
        <v>40</v>
      </c>
      <c r="B54">
        <v>50838145</v>
      </c>
      <c r="C54">
        <v>50838139</v>
      </c>
      <c r="D54">
        <v>49759027</v>
      </c>
      <c r="E54">
        <v>117</v>
      </c>
      <c r="F54">
        <v>1</v>
      </c>
      <c r="G54">
        <v>1</v>
      </c>
      <c r="H54">
        <v>3</v>
      </c>
      <c r="I54" t="s">
        <v>104</v>
      </c>
      <c r="J54" t="s">
        <v>3</v>
      </c>
      <c r="K54" t="s">
        <v>105</v>
      </c>
      <c r="L54">
        <v>3277935</v>
      </c>
      <c r="N54">
        <v>1013</v>
      </c>
      <c r="O54" t="s">
        <v>106</v>
      </c>
      <c r="P54" t="s">
        <v>106</v>
      </c>
      <c r="Q54">
        <v>1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32</v>
      </c>
      <c r="AG54">
        <v>0</v>
      </c>
      <c r="AH54">
        <v>2</v>
      </c>
      <c r="AI54">
        <v>50838145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ROW(Source!A42)</f>
        <v>42</v>
      </c>
      <c r="B55">
        <v>50838148</v>
      </c>
      <c r="C55">
        <v>50838147</v>
      </c>
      <c r="D55">
        <v>49752868</v>
      </c>
      <c r="E55">
        <v>117</v>
      </c>
      <c r="F55">
        <v>1</v>
      </c>
      <c r="G55">
        <v>1</v>
      </c>
      <c r="H55">
        <v>1</v>
      </c>
      <c r="I55" t="s">
        <v>322</v>
      </c>
      <c r="J55" t="s">
        <v>3</v>
      </c>
      <c r="K55" t="s">
        <v>323</v>
      </c>
      <c r="L55">
        <v>1191</v>
      </c>
      <c r="N55">
        <v>1013</v>
      </c>
      <c r="O55" t="s">
        <v>256</v>
      </c>
      <c r="P55" t="s">
        <v>256</v>
      </c>
      <c r="Q55">
        <v>1</v>
      </c>
      <c r="X55">
        <v>29.9</v>
      </c>
      <c r="Y55">
        <v>0</v>
      </c>
      <c r="Z55">
        <v>0</v>
      </c>
      <c r="AA55">
        <v>0</v>
      </c>
      <c r="AB55">
        <v>391.39</v>
      </c>
      <c r="AC55">
        <v>0</v>
      </c>
      <c r="AD55">
        <v>1</v>
      </c>
      <c r="AE55">
        <v>1</v>
      </c>
      <c r="AF55" t="s">
        <v>3</v>
      </c>
      <c r="AG55">
        <v>29.9</v>
      </c>
      <c r="AH55">
        <v>2</v>
      </c>
      <c r="AI55">
        <v>50838148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ROW(Source!A42)</f>
        <v>42</v>
      </c>
      <c r="B56">
        <v>50838149</v>
      </c>
      <c r="C56">
        <v>50838147</v>
      </c>
      <c r="D56">
        <v>49753052</v>
      </c>
      <c r="E56">
        <v>117</v>
      </c>
      <c r="F56">
        <v>1</v>
      </c>
      <c r="G56">
        <v>1</v>
      </c>
      <c r="H56">
        <v>1</v>
      </c>
      <c r="I56" t="s">
        <v>257</v>
      </c>
      <c r="J56" t="s">
        <v>3</v>
      </c>
      <c r="K56" t="s">
        <v>258</v>
      </c>
      <c r="L56">
        <v>1191</v>
      </c>
      <c r="N56">
        <v>1013</v>
      </c>
      <c r="O56" t="s">
        <v>256</v>
      </c>
      <c r="P56" t="s">
        <v>256</v>
      </c>
      <c r="Q56">
        <v>1</v>
      </c>
      <c r="X56">
        <v>2.0699999999999998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3</v>
      </c>
      <c r="AG56">
        <v>2.0699999999999998</v>
      </c>
      <c r="AH56">
        <v>2</v>
      </c>
      <c r="AI56">
        <v>50838149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ROW(Source!A42)</f>
        <v>42</v>
      </c>
      <c r="B57">
        <v>50838150</v>
      </c>
      <c r="C57">
        <v>50838147</v>
      </c>
      <c r="D57">
        <v>49759696</v>
      </c>
      <c r="E57">
        <v>1</v>
      </c>
      <c r="F57">
        <v>1</v>
      </c>
      <c r="G57">
        <v>1</v>
      </c>
      <c r="H57">
        <v>2</v>
      </c>
      <c r="I57" t="s">
        <v>305</v>
      </c>
      <c r="J57" t="s">
        <v>306</v>
      </c>
      <c r="K57" t="s">
        <v>307</v>
      </c>
      <c r="L57">
        <v>1368</v>
      </c>
      <c r="N57">
        <v>1011</v>
      </c>
      <c r="O57" t="s">
        <v>262</v>
      </c>
      <c r="P57" t="s">
        <v>262</v>
      </c>
      <c r="Q57">
        <v>1</v>
      </c>
      <c r="X57">
        <v>0.28399999999999997</v>
      </c>
      <c r="Y57">
        <v>0</v>
      </c>
      <c r="Z57">
        <v>1719.93</v>
      </c>
      <c r="AA57">
        <v>544.01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0.28399999999999997</v>
      </c>
      <c r="AH57">
        <v>2</v>
      </c>
      <c r="AI57">
        <v>50838150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ROW(Source!A42)</f>
        <v>42</v>
      </c>
      <c r="B58">
        <v>50838151</v>
      </c>
      <c r="C58">
        <v>50838147</v>
      </c>
      <c r="D58">
        <v>49759911</v>
      </c>
      <c r="E58">
        <v>1</v>
      </c>
      <c r="F58">
        <v>1</v>
      </c>
      <c r="G58">
        <v>1</v>
      </c>
      <c r="H58">
        <v>2</v>
      </c>
      <c r="I58" t="s">
        <v>324</v>
      </c>
      <c r="J58" t="s">
        <v>325</v>
      </c>
      <c r="K58" t="s">
        <v>326</v>
      </c>
      <c r="L58">
        <v>1368</v>
      </c>
      <c r="N58">
        <v>1011</v>
      </c>
      <c r="O58" t="s">
        <v>262</v>
      </c>
      <c r="P58" t="s">
        <v>262</v>
      </c>
      <c r="Q58">
        <v>1</v>
      </c>
      <c r="X58">
        <v>1.5</v>
      </c>
      <c r="Y58">
        <v>0</v>
      </c>
      <c r="Z58">
        <v>1472.34</v>
      </c>
      <c r="AA58">
        <v>544.01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1.5</v>
      </c>
      <c r="AH58">
        <v>2</v>
      </c>
      <c r="AI58">
        <v>50838151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ROW(Source!A42)</f>
        <v>42</v>
      </c>
      <c r="B59">
        <v>50838152</v>
      </c>
      <c r="C59">
        <v>50838147</v>
      </c>
      <c r="D59">
        <v>49760608</v>
      </c>
      <c r="E59">
        <v>1</v>
      </c>
      <c r="F59">
        <v>1</v>
      </c>
      <c r="G59">
        <v>1</v>
      </c>
      <c r="H59">
        <v>2</v>
      </c>
      <c r="I59" t="s">
        <v>311</v>
      </c>
      <c r="J59" t="s">
        <v>312</v>
      </c>
      <c r="K59" t="s">
        <v>313</v>
      </c>
      <c r="L59">
        <v>1368</v>
      </c>
      <c r="N59">
        <v>1011</v>
      </c>
      <c r="O59" t="s">
        <v>262</v>
      </c>
      <c r="P59" t="s">
        <v>262</v>
      </c>
      <c r="Q59">
        <v>1</v>
      </c>
      <c r="X59">
        <v>0.28399999999999997</v>
      </c>
      <c r="Y59">
        <v>0</v>
      </c>
      <c r="Z59">
        <v>680.75</v>
      </c>
      <c r="AA59">
        <v>404.99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0.28399999999999997</v>
      </c>
      <c r="AH59">
        <v>2</v>
      </c>
      <c r="AI59">
        <v>50838152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ROW(Source!A42)</f>
        <v>42</v>
      </c>
      <c r="B60">
        <v>50838153</v>
      </c>
      <c r="C60">
        <v>50838147</v>
      </c>
      <c r="D60">
        <v>49759027</v>
      </c>
      <c r="E60">
        <v>117</v>
      </c>
      <c r="F60">
        <v>1</v>
      </c>
      <c r="G60">
        <v>1</v>
      </c>
      <c r="H60">
        <v>3</v>
      </c>
      <c r="I60" t="s">
        <v>104</v>
      </c>
      <c r="J60" t="s">
        <v>3</v>
      </c>
      <c r="K60" t="s">
        <v>105</v>
      </c>
      <c r="L60">
        <v>3277935</v>
      </c>
      <c r="N60">
        <v>1013</v>
      </c>
      <c r="O60" t="s">
        <v>106</v>
      </c>
      <c r="P60" t="s">
        <v>106</v>
      </c>
      <c r="Q60">
        <v>1</v>
      </c>
      <c r="X60">
        <v>2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32</v>
      </c>
      <c r="AG60">
        <v>0</v>
      </c>
      <c r="AH60">
        <v>2</v>
      </c>
      <c r="AI60">
        <v>50838153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2.75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Y12"/>
  <sheetViews>
    <sheetView workbookViewId="0"/>
  </sheetViews>
  <sheetFormatPr defaultColWidth="9.140625" defaultRowHeight="12.75"/>
  <cols>
    <col min="1" max="256" width="9.140625" customWidth="1"/>
  </cols>
  <sheetData>
    <row r="1" spans="1:10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36884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>
      <c r="F12" t="str">
        <f>Source!F12</f>
        <v>Новый объект</v>
      </c>
      <c r="G12" t="str">
        <f>Source!G12</f>
        <v>Строительство хмелевой плантации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Смета по ФСНБ 421+557прРИМ</vt:lpstr>
      <vt:lpstr>Акт КС-2 по ФСНБ 421+557пр</vt:lpstr>
      <vt:lpstr>Source</vt:lpstr>
      <vt:lpstr>SourceObSm</vt:lpstr>
      <vt:lpstr>SmtRes</vt:lpstr>
      <vt:lpstr>EtalonRes</vt:lpstr>
      <vt:lpstr>SrcPoprs</vt:lpstr>
      <vt:lpstr>SrcKA</vt:lpstr>
      <vt:lpstr>'Акт КС-2 по ФСНБ 421+557пр'!Заголовки_для_печати</vt:lpstr>
      <vt:lpstr>'Смета по ФСНБ 421+557прРИМ'!Заголовки_для_печати</vt:lpstr>
      <vt:lpstr>'Акт КС-2 по ФСНБ 421+557пр'!Область_печати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Саракеева Анна Леонидовна</dc:creator>
  <cp:lastModifiedBy>yurnovaag</cp:lastModifiedBy>
  <cp:lastPrinted>2026-03-24T10:40:40Z</cp:lastPrinted>
  <dcterms:created xsi:type="dcterms:W3CDTF">2026-03-24T10:37:51Z</dcterms:created>
  <dcterms:modified xsi:type="dcterms:W3CDTF">2026-06-03T11:01:53Z</dcterms:modified>
</cp:coreProperties>
</file>