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тдел дорожных сооружений\0.6 Цеков\5. СТАРТОВЫЕ 2026\Стартовые\9. Стартовые 1+099\2. Стартовые СК 1+099\"/>
    </mc:Choice>
  </mc:AlternateContent>
  <xr:revisionPtr revIDLastSave="0" documentId="13_ncr:1_{3E615EB7-B348-4F6C-B6A7-0B963465EB39}" xr6:coauthVersionLast="45" xr6:coauthVersionMax="45" xr10:uidLastSave="{00000000-0000-0000-0000-000000000000}"/>
  <bookViews>
    <workbookView xWindow="780" yWindow="780" windowWidth="14400" windowHeight="14160" tabRatio="466" firstSheet="1" activeTab="2" xr2:uid="{00000000-000D-0000-FFFF-FFFF00000000}"/>
  </bookViews>
  <sheets>
    <sheet name="Ф4 для расчета" sheetId="13" state="hidden" r:id="rId1"/>
    <sheet name="Расчет Ф4" sheetId="15" r:id="rId2"/>
    <sheet name="Расчет Ф7" sheetId="14" r:id="rId3"/>
  </sheets>
  <definedNames>
    <definedName name="_xlnm.Print_Area" localSheetId="1">'Расчет Ф4'!$A$1:$H$55</definedName>
    <definedName name="_xlnm.Print_Area" localSheetId="2">'Расчет Ф7'!$A$1:$N$126</definedName>
    <definedName name="_xlnm.Print_Area" localSheetId="0">'Ф4 для расчета'!$A$1:$G$68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4" l="1"/>
  <c r="K13" i="14"/>
  <c r="L13" i="14"/>
  <c r="M13" i="14"/>
  <c r="N13" i="14"/>
  <c r="J14" i="14"/>
  <c r="K14" i="14"/>
  <c r="L14" i="14"/>
  <c r="M14" i="14"/>
  <c r="N14" i="14"/>
  <c r="I13" i="14"/>
  <c r="I14" i="14"/>
  <c r="G13" i="14"/>
  <c r="G14" i="14"/>
  <c r="C13" i="14"/>
  <c r="D13" i="14"/>
  <c r="E13" i="14"/>
  <c r="B13" i="14"/>
  <c r="C14" i="14"/>
  <c r="D14" i="14"/>
  <c r="E14" i="14"/>
  <c r="B14" i="14"/>
  <c r="F11" i="15" l="1"/>
  <c r="B58" i="14" l="1"/>
  <c r="M26" i="15" l="1"/>
  <c r="M27" i="15"/>
  <c r="M28" i="15"/>
  <c r="M39" i="15"/>
  <c r="M38" i="15"/>
  <c r="M37" i="15"/>
  <c r="M36" i="15"/>
  <c r="M35" i="15"/>
  <c r="M34" i="15"/>
  <c r="M33" i="15"/>
  <c r="M25" i="15"/>
  <c r="M13" i="15"/>
  <c r="B71" i="14" l="1"/>
  <c r="P75" i="14" l="1"/>
  <c r="Q75" i="14" s="1"/>
  <c r="C75" i="14" s="1"/>
  <c r="O75" i="14"/>
  <c r="O76" i="14"/>
  <c r="P76" i="14" s="1"/>
  <c r="Q76" i="14" l="1"/>
  <c r="C70" i="14" l="1"/>
  <c r="D76" i="14" s="1"/>
  <c r="E63" i="14" l="1"/>
  <c r="C79" i="14" s="1"/>
  <c r="E62" i="14"/>
  <c r="C78" i="14" s="1"/>
  <c r="H16" i="14" l="1"/>
  <c r="L47" i="15" l="1"/>
  <c r="M47" i="15" s="1"/>
  <c r="L46" i="15"/>
  <c r="M46" i="15" s="1"/>
  <c r="L45" i="15"/>
  <c r="M45" i="15" s="1"/>
  <c r="L44" i="15"/>
  <c r="M44" i="15" s="1"/>
  <c r="L43" i="15"/>
  <c r="M43" i="15" s="1"/>
  <c r="L42" i="15"/>
  <c r="M42" i="15" s="1"/>
  <c r="L41" i="15"/>
  <c r="L22" i="15"/>
  <c r="M22" i="15" s="1"/>
  <c r="L21" i="15"/>
  <c r="M21" i="15" s="1"/>
  <c r="L20" i="15"/>
  <c r="M20" i="15" s="1"/>
  <c r="L19" i="15"/>
  <c r="M19" i="15" s="1"/>
  <c r="L18" i="15"/>
  <c r="M18" i="15" s="1"/>
  <c r="L17" i="15"/>
  <c r="M17" i="15" s="1"/>
  <c r="L16" i="15"/>
  <c r="L15" i="15"/>
  <c r="M16" i="15" l="1"/>
  <c r="N16" i="15" s="1"/>
  <c r="M41" i="15"/>
  <c r="N41" i="15" s="1"/>
  <c r="M15" i="15"/>
  <c r="N15" i="15" s="1"/>
  <c r="N44" i="15"/>
  <c r="N45" i="15"/>
  <c r="N46" i="15"/>
  <c r="N42" i="15"/>
  <c r="N43" i="15"/>
  <c r="N47" i="15"/>
  <c r="L40" i="15"/>
  <c r="N20" i="15"/>
  <c r="N19" i="15"/>
  <c r="N21" i="15"/>
  <c r="N17" i="15"/>
  <c r="N18" i="15"/>
  <c r="N22" i="15"/>
  <c r="L14" i="15"/>
  <c r="L32" i="15" l="1"/>
  <c r="N13" i="15" l="1"/>
  <c r="B16" i="14" s="1"/>
  <c r="B12" i="15" l="1"/>
  <c r="N28" i="15"/>
  <c r="D23" i="15" l="1"/>
  <c r="N39" i="15" l="1"/>
  <c r="N38" i="15"/>
  <c r="N37" i="15"/>
  <c r="E37" i="15" s="1"/>
  <c r="N36" i="15"/>
  <c r="E36" i="15" s="1"/>
  <c r="N35" i="15"/>
  <c r="E35" i="15" s="1"/>
  <c r="N34" i="15"/>
  <c r="E34" i="15" s="1"/>
  <c r="N33" i="15"/>
  <c r="E33" i="15" s="1"/>
  <c r="J40" i="15"/>
  <c r="L24" i="15"/>
  <c r="L29" i="15" s="1"/>
  <c r="M29" i="15" s="1"/>
  <c r="L12" i="15" l="1"/>
  <c r="N27" i="15"/>
  <c r="N26" i="15"/>
  <c r="N25" i="15"/>
  <c r="M14" i="15" l="1"/>
  <c r="M12" i="15" s="1"/>
  <c r="N40" i="15"/>
  <c r="M40" i="15"/>
  <c r="L52" i="15"/>
  <c r="M24" i="15"/>
  <c r="N24" i="15"/>
  <c r="N14" i="15" l="1"/>
  <c r="N12" i="15" s="1"/>
  <c r="E39" i="15"/>
  <c r="F14" i="15" l="1"/>
  <c r="F12" i="15" s="1"/>
  <c r="C32" i="15"/>
  <c r="E38" i="15"/>
  <c r="G51" i="15"/>
  <c r="G37" i="15"/>
  <c r="G36" i="15"/>
  <c r="G34" i="15"/>
  <c r="F32" i="15"/>
  <c r="B32" i="15"/>
  <c r="B31" i="15" s="1"/>
  <c r="J31" i="15"/>
  <c r="J23" i="15"/>
  <c r="C23" i="15"/>
  <c r="J12" i="15"/>
  <c r="F31" i="15" l="1"/>
  <c r="E14" i="15"/>
  <c r="G14" i="15" s="1"/>
  <c r="D32" i="15"/>
  <c r="D31" i="15" s="1"/>
  <c r="E32" i="15"/>
  <c r="E31" i="15" s="1"/>
  <c r="J11" i="15"/>
  <c r="J50" i="15" s="1"/>
  <c r="N29" i="15"/>
  <c r="G35" i="15"/>
  <c r="B24" i="15"/>
  <c r="L31" i="15"/>
  <c r="G38" i="15" l="1"/>
  <c r="G24" i="15"/>
  <c r="B23" i="15"/>
  <c r="B11" i="15" s="1"/>
  <c r="B50" i="15" s="1"/>
  <c r="M32" i="15"/>
  <c r="M31" i="15" s="1"/>
  <c r="M23" i="15"/>
  <c r="N32" i="15"/>
  <c r="N31" i="15" s="1"/>
  <c r="L23" i="15"/>
  <c r="G33" i="15"/>
  <c r="G39" i="15"/>
  <c r="L11" i="15" l="1"/>
  <c r="L50" i="15" s="1"/>
  <c r="M11" i="15"/>
  <c r="M50" i="15" s="1"/>
  <c r="M53" i="15" s="1"/>
  <c r="F29" i="15"/>
  <c r="N23" i="15"/>
  <c r="C31" i="15"/>
  <c r="G40" i="15"/>
  <c r="L53" i="15" l="1"/>
  <c r="G32" i="15"/>
  <c r="F23" i="15"/>
  <c r="F50" i="15" s="1"/>
  <c r="G29" i="15"/>
  <c r="G23" i="15" s="1"/>
  <c r="N11" i="15"/>
  <c r="N50" i="15" s="1"/>
  <c r="N53" i="15" s="1"/>
  <c r="C13" i="15" l="1"/>
  <c r="C12" i="15" s="1"/>
  <c r="G31" i="15"/>
  <c r="D13" i="15" s="1"/>
  <c r="D12" i="15" l="1"/>
  <c r="D49" i="15"/>
  <c r="E49" i="15"/>
  <c r="C11" i="15"/>
  <c r="C50" i="15" s="1"/>
  <c r="E13" i="15"/>
  <c r="E12" i="15" s="1"/>
  <c r="C49" i="15"/>
  <c r="E11" i="15" l="1"/>
  <c r="E50" i="15" s="1"/>
  <c r="D11" i="15"/>
  <c r="D50" i="15" s="1"/>
  <c r="G13" i="15"/>
  <c r="G12" i="15" s="1"/>
  <c r="G11" i="15" s="1"/>
  <c r="E30" i="15" l="1"/>
  <c r="C30" i="15" l="1"/>
  <c r="D30" i="15"/>
  <c r="G50" i="15"/>
  <c r="J54" i="15" s="1"/>
  <c r="B15" i="14"/>
  <c r="E16" i="14" l="1"/>
  <c r="D15" i="14"/>
  <c r="C15" i="14"/>
  <c r="H15" i="14" l="1"/>
  <c r="F15" i="14"/>
  <c r="F16" i="14"/>
  <c r="K16" i="14" s="1"/>
  <c r="E15" i="14"/>
  <c r="J16" i="14" l="1"/>
  <c r="G16" i="14"/>
  <c r="F64" i="13"/>
  <c r="M61" i="13"/>
  <c r="K47" i="13"/>
  <c r="L47" i="13" s="1"/>
  <c r="K46" i="13"/>
  <c r="L46" i="13" s="1"/>
  <c r="M46" i="13" s="1"/>
  <c r="C46" i="13" s="1"/>
  <c r="K45" i="13"/>
  <c r="K58" i="13" s="1"/>
  <c r="I44" i="13"/>
  <c r="K44" i="13" s="1"/>
  <c r="I43" i="13"/>
  <c r="K43" i="13" s="1"/>
  <c r="L43" i="13" s="1"/>
  <c r="K42" i="13"/>
  <c r="K55" i="13" s="1"/>
  <c r="K41" i="13"/>
  <c r="K54" i="13" s="1"/>
  <c r="K40" i="13"/>
  <c r="L40" i="13" s="1"/>
  <c r="K39" i="13"/>
  <c r="K52" i="13" s="1"/>
  <c r="J38" i="13"/>
  <c r="K38" i="13" s="1"/>
  <c r="K51" i="13" s="1"/>
  <c r="K37" i="13"/>
  <c r="K50" i="13" s="1"/>
  <c r="J36" i="13"/>
  <c r="K36" i="13" s="1"/>
  <c r="E35" i="13"/>
  <c r="E34" i="13" s="1"/>
  <c r="B35" i="13"/>
  <c r="B34" i="13" s="1"/>
  <c r="K31" i="13"/>
  <c r="D30" i="13"/>
  <c r="C30" i="13"/>
  <c r="B30" i="13"/>
  <c r="K14" i="13"/>
  <c r="K17" i="13" s="1"/>
  <c r="K13" i="13"/>
  <c r="L13" i="13" s="1"/>
  <c r="B12" i="13"/>
  <c r="L39" i="13" l="1"/>
  <c r="M39" i="13" s="1"/>
  <c r="C39" i="13" s="1"/>
  <c r="K59" i="13"/>
  <c r="L59" i="13" s="1"/>
  <c r="G15" i="14"/>
  <c r="B11" i="13"/>
  <c r="L42" i="13"/>
  <c r="M42" i="13" s="1"/>
  <c r="D42" i="13" s="1"/>
  <c r="F42" i="13" s="1"/>
  <c r="J41" i="13"/>
  <c r="B63" i="13"/>
  <c r="L52" i="13"/>
  <c r="M52" i="13" s="1"/>
  <c r="K21" i="13"/>
  <c r="L21" i="13" s="1"/>
  <c r="M21" i="13" s="1"/>
  <c r="L55" i="13"/>
  <c r="M55" i="13" s="1"/>
  <c r="K24" i="13"/>
  <c r="L24" i="13" s="1"/>
  <c r="M24" i="13" s="1"/>
  <c r="K32" i="13"/>
  <c r="L32" i="13" s="1"/>
  <c r="M32" i="13" s="1"/>
  <c r="E32" i="13" s="1"/>
  <c r="F32" i="13" s="1"/>
  <c r="M40" i="13"/>
  <c r="D40" i="13" s="1"/>
  <c r="F40" i="13" s="1"/>
  <c r="J42" i="13"/>
  <c r="L45" i="13"/>
  <c r="M45" i="13" s="1"/>
  <c r="D45" i="13" s="1"/>
  <c r="F45" i="13" s="1"/>
  <c r="M47" i="13"/>
  <c r="D47" i="13" s="1"/>
  <c r="F47" i="13" s="1"/>
  <c r="L31" i="13"/>
  <c r="M31" i="13" s="1"/>
  <c r="K20" i="13"/>
  <c r="L51" i="13"/>
  <c r="M51" i="13" s="1"/>
  <c r="M54" i="13"/>
  <c r="K23" i="13"/>
  <c r="M23" i="13" s="1"/>
  <c r="L17" i="13"/>
  <c r="M17" i="13" s="1"/>
  <c r="S11" i="13"/>
  <c r="D39" i="13"/>
  <c r="F39" i="13" s="1"/>
  <c r="K27" i="13"/>
  <c r="L58" i="13"/>
  <c r="M58" i="13" s="1"/>
  <c r="L50" i="13"/>
  <c r="M50" i="13" s="1"/>
  <c r="K19" i="13"/>
  <c r="K57" i="13"/>
  <c r="L44" i="13"/>
  <c r="M44" i="13" s="1"/>
  <c r="D44" i="13" s="1"/>
  <c r="F44" i="13" s="1"/>
  <c r="K49" i="13"/>
  <c r="L36" i="13"/>
  <c r="M36" i="13" s="1"/>
  <c r="K35" i="13"/>
  <c r="K34" i="13" s="1"/>
  <c r="D46" i="13"/>
  <c r="J13" i="13"/>
  <c r="J14" i="13"/>
  <c r="K53" i="13"/>
  <c r="K56" i="13"/>
  <c r="K60" i="13"/>
  <c r="L37" i="13"/>
  <c r="M37" i="13" s="1"/>
  <c r="M41" i="13"/>
  <c r="D41" i="13" s="1"/>
  <c r="F41" i="13" s="1"/>
  <c r="M43" i="13"/>
  <c r="D43" i="13" s="1"/>
  <c r="F43" i="13" s="1"/>
  <c r="J47" i="13"/>
  <c r="M13" i="13"/>
  <c r="K16" i="13"/>
  <c r="L14" i="13"/>
  <c r="M14" i="13" s="1"/>
  <c r="L38" i="13"/>
  <c r="M38" i="13" s="1"/>
  <c r="M59" i="13" l="1"/>
  <c r="K28" i="13"/>
  <c r="L28" i="13" s="1"/>
  <c r="M28" i="13" s="1"/>
  <c r="L30" i="13"/>
  <c r="K30" i="13"/>
  <c r="C38" i="13"/>
  <c r="C36" i="13"/>
  <c r="D36" i="13" s="1"/>
  <c r="L16" i="13"/>
  <c r="M16" i="13" s="1"/>
  <c r="M30" i="13"/>
  <c r="E31" i="13"/>
  <c r="L20" i="13"/>
  <c r="M20" i="13" s="1"/>
  <c r="F46" i="13"/>
  <c r="L53" i="13"/>
  <c r="M53" i="13" s="1"/>
  <c r="K22" i="13"/>
  <c r="K18" i="13"/>
  <c r="L49" i="13"/>
  <c r="M49" i="13" s="1"/>
  <c r="K48" i="13"/>
  <c r="L57" i="13"/>
  <c r="M57" i="13" s="1"/>
  <c r="K26" i="13"/>
  <c r="L56" i="13"/>
  <c r="M56" i="13" s="1"/>
  <c r="K25" i="13"/>
  <c r="L27" i="13"/>
  <c r="M27" i="13" s="1"/>
  <c r="L60" i="13"/>
  <c r="M60" i="13" s="1"/>
  <c r="K29" i="13"/>
  <c r="L19" i="13"/>
  <c r="M19" i="13" s="1"/>
  <c r="S10" i="13"/>
  <c r="S14" i="13" l="1"/>
  <c r="D38" i="13"/>
  <c r="L22" i="13"/>
  <c r="M22" i="13" s="1"/>
  <c r="E30" i="13"/>
  <c r="F31" i="13"/>
  <c r="F30" i="13" s="1"/>
  <c r="K15" i="13"/>
  <c r="K12" i="13" s="1"/>
  <c r="K11" i="13" s="1"/>
  <c r="K63" i="13" s="1"/>
  <c r="L29" i="13"/>
  <c r="M29" i="13" s="1"/>
  <c r="E15" i="13"/>
  <c r="E12" i="13" s="1"/>
  <c r="L25" i="13"/>
  <c r="M25" i="13" s="1"/>
  <c r="S13" i="13"/>
  <c r="L26" i="13"/>
  <c r="M26" i="13" s="1"/>
  <c r="L18" i="13"/>
  <c r="M18" i="13" s="1"/>
  <c r="F36" i="13"/>
  <c r="C35" i="13"/>
  <c r="M48" i="13"/>
  <c r="F38" i="13"/>
  <c r="D37" i="13"/>
  <c r="F37" i="13" s="1"/>
  <c r="S12" i="13"/>
  <c r="L48" i="13"/>
  <c r="L35" i="13" s="1"/>
  <c r="L34" i="13" s="1"/>
  <c r="E11" i="13" l="1"/>
  <c r="E63" i="13" s="1"/>
  <c r="M15" i="13"/>
  <c r="C34" i="13"/>
  <c r="D48" i="13"/>
  <c r="M35" i="13"/>
  <c r="M34" i="13" s="1"/>
  <c r="L15" i="13"/>
  <c r="L12" i="13" s="1"/>
  <c r="L11" i="13" s="1"/>
  <c r="L63" i="13" s="1"/>
  <c r="L66" i="13" s="1"/>
  <c r="F48" i="13" l="1"/>
  <c r="F35" i="13" s="1"/>
  <c r="C13" i="13" s="1"/>
  <c r="D35" i="13"/>
  <c r="D34" i="13" s="1"/>
  <c r="D15" i="13"/>
  <c r="M12" i="13"/>
  <c r="M11" i="13" s="1"/>
  <c r="M63" i="13" s="1"/>
  <c r="M66" i="13" s="1"/>
  <c r="F34" i="13" l="1"/>
  <c r="F15" i="13"/>
  <c r="C62" i="13" l="1"/>
  <c r="C12" i="13"/>
  <c r="C11" i="13" s="1"/>
  <c r="D14" i="13"/>
  <c r="D13" i="13"/>
  <c r="F13" i="13" s="1"/>
  <c r="D62" i="13"/>
  <c r="D12" i="13" l="1"/>
  <c r="D11" i="13" s="1"/>
  <c r="D63" i="13" s="1"/>
  <c r="C63" i="13"/>
  <c r="F14" i="13"/>
  <c r="F12" i="13" s="1"/>
  <c r="F11" i="13" s="1"/>
  <c r="F63" i="13" s="1"/>
  <c r="C33" i="13" l="1"/>
  <c r="D33" i="13"/>
  <c r="I67" i="13"/>
  <c r="J15" i="14" l="1"/>
  <c r="I16" i="14"/>
  <c r="L16" i="14" l="1"/>
  <c r="N16" i="14" s="1"/>
  <c r="M16" i="14" s="1"/>
  <c r="K15" i="14"/>
  <c r="I15" i="14"/>
  <c r="L15" i="14" l="1"/>
  <c r="N15" i="14"/>
  <c r="M15" i="14" l="1"/>
</calcChain>
</file>

<file path=xl/sharedStrings.xml><?xml version="1.0" encoding="utf-8"?>
<sst xmlns="http://schemas.openxmlformats.org/spreadsheetml/2006/main" count="196" uniqueCount="112">
  <si>
    <t>Стоимость всего</t>
  </si>
  <si>
    <t>Затраты заказчика</t>
  </si>
  <si>
    <t>тыс. руб.</t>
  </si>
  <si>
    <t>Подлежит выполнению до конца строительства в ценах соответствующих лет</t>
  </si>
  <si>
    <t>РАСЧЕТ</t>
  </si>
  <si>
    <t xml:space="preserve">стоимости вновь начинаемого объекта дорожных работ   </t>
  </si>
  <si>
    <t>Стоимость в ценах соответствующих лет</t>
  </si>
  <si>
    <t xml:space="preserve">Наименование объекта: </t>
  </si>
  <si>
    <t xml:space="preserve">Заказчик:          </t>
  </si>
  <si>
    <t xml:space="preserve">Рабочая документация </t>
  </si>
  <si>
    <t>в том числе по годам</t>
  </si>
  <si>
    <t>СМР по главам 2-7</t>
  </si>
  <si>
    <t>Оборудование</t>
  </si>
  <si>
    <t xml:space="preserve">Временные здания и сооружения </t>
  </si>
  <si>
    <t>Экономия</t>
  </si>
  <si>
    <t>Индекс фактической инфляции</t>
  </si>
  <si>
    <t xml:space="preserve">Индекс прогнозной инфляции на период выполнения работ </t>
  </si>
  <si>
    <t xml:space="preserve">НМЦК с учетом индекса прогнозной инфляции на период выполнения работ </t>
  </si>
  <si>
    <t>-</t>
  </si>
  <si>
    <t>Итого ИФИ</t>
  </si>
  <si>
    <t>Директор  филиала ФКУ Упрдор "Кавказ" в г. Нальчике</t>
  </si>
  <si>
    <t>Строительный контроль</t>
  </si>
  <si>
    <r>
      <t xml:space="preserve">   </t>
    </r>
    <r>
      <rPr>
        <b/>
        <sz val="14"/>
        <rFont val="Times New Roman"/>
        <family val="1"/>
        <charset val="204"/>
      </rPr>
      <t>индексируемые:</t>
    </r>
  </si>
  <si>
    <t>Приложение №4</t>
  </si>
  <si>
    <t>СПРАВКА</t>
  </si>
  <si>
    <t>о затратах заказчика и затратах подрядчика в составе сводного сметного расчета</t>
  </si>
  <si>
    <t>Заказчик:</t>
  </si>
  <si>
    <t>ФКУ Упрдор «Кавказ»</t>
  </si>
  <si>
    <t>Наименование объекта:</t>
  </si>
  <si>
    <t>Наименование затрат</t>
  </si>
  <si>
    <t>Обоснование</t>
  </si>
  <si>
    <t xml:space="preserve">база </t>
  </si>
  <si>
    <t>К</t>
  </si>
  <si>
    <r>
      <t xml:space="preserve">    </t>
    </r>
    <r>
      <rPr>
        <b/>
        <sz val="11"/>
        <color theme="1"/>
        <rFont val="Times New Roman"/>
        <family val="1"/>
        <charset val="204"/>
      </rPr>
      <t xml:space="preserve"> с К</t>
    </r>
  </si>
  <si>
    <t>НДС</t>
  </si>
  <si>
    <t>ВСЕГО</t>
  </si>
  <si>
    <t>1.Затраты заказчика</t>
  </si>
  <si>
    <t>-индексируемые</t>
  </si>
  <si>
    <t xml:space="preserve">Строительный контроль </t>
  </si>
  <si>
    <t>Непредвиденные затраты</t>
  </si>
  <si>
    <t>Строительный контроль 3%</t>
  </si>
  <si>
    <t>Рабочая документация 3%</t>
  </si>
  <si>
    <t>-неиндексируемые</t>
  </si>
  <si>
    <t>ПИР+Экспертиза</t>
  </si>
  <si>
    <t>Непредвиденные затраты 3%</t>
  </si>
  <si>
    <t>2.Затраты подрядчика</t>
  </si>
  <si>
    <t>Возвратные суммы (справочно)</t>
  </si>
  <si>
    <t>Суншев С.А.</t>
  </si>
  <si>
    <t xml:space="preserve">Исполнитель: Кясов З.А.                                                                                                                  8 963-167-21-22                                </t>
  </si>
  <si>
    <t>Капитальный ремонт моста (левый) через реку Малка на км 405+438 автомобильной дороги Р-217 "Кавказ" автомобильная дорога М-4 "Дон" - Владикавказ - Грозный - Махачкала - граница с Азербайджанской Республикой, Ставропольский край</t>
  </si>
  <si>
    <t>Разбивка осей опор моста</t>
  </si>
  <si>
    <t>Разборка конструкций моста</t>
  </si>
  <si>
    <t>Восстановление оси трассы</t>
  </si>
  <si>
    <t>Организация дорожного движения на период капитального ремонта</t>
  </si>
  <si>
    <t>Разборка элементов дорожной одежды</t>
  </si>
  <si>
    <t>Затраты на возмещение рыбному хозяйству</t>
  </si>
  <si>
    <t>Технологическое присоединение к электрическим сетям</t>
  </si>
  <si>
    <t>Дополнительные затраты при производстве строительно-монтажных работ в зимнее время</t>
  </si>
  <si>
    <t xml:space="preserve">Затраты на утилизацию мусора </t>
  </si>
  <si>
    <t>Распределение затрат по годам, тыс. руб. в ценах 4 кв. 2019г.           
         (в уровне цен утвержденной проектной документации)</t>
  </si>
  <si>
    <t>До 25.04.2020</t>
  </si>
  <si>
    <t>СК</t>
  </si>
  <si>
    <t>РД</t>
  </si>
  <si>
    <t xml:space="preserve">СМР </t>
  </si>
  <si>
    <t>Прочие</t>
  </si>
  <si>
    <t>Подготовительные работы</t>
  </si>
  <si>
    <t>Изыскания</t>
  </si>
  <si>
    <t xml:space="preserve">Проектные работы </t>
  </si>
  <si>
    <t>Экспертиза</t>
  </si>
  <si>
    <t>Федеральное казенное учреждение "Управление федеральных автомобильных дорог "Кавказ" Федерального дорожного агентства" (ФКУ Упрдор "Кавказ")</t>
  </si>
  <si>
    <t>Капитальный ремонт водопропускной трубы на км 1+099 автомобильной дороги Р-215 Астрахань - Кочубей - Кизляр - Махачкала, подъезд к г. Грозный, Чеченская Республика</t>
  </si>
  <si>
    <t>Устройство объездной дороги</t>
  </si>
  <si>
    <t>Капитальный ремонт водопропускной трубы на км 1+099</t>
  </si>
  <si>
    <t>Производство работ в зимнее время</t>
  </si>
  <si>
    <t>Расчет дополнительных затрат на перевозку рабочих</t>
  </si>
  <si>
    <t>Плата за негативное воздействие на атмосферный воздух</t>
  </si>
  <si>
    <t>Временные здания и сооружения</t>
  </si>
  <si>
    <t>Стоимость остатка работ в ценах утверждения ПСД</t>
  </si>
  <si>
    <t>1. Расчет индекса фактической инфляции</t>
  </si>
  <si>
    <t>2. Расчет доли сметной стоимости строительства для Заказчика и Подрядчика</t>
  </si>
  <si>
    <r>
      <t xml:space="preserve">Срок строительства по проектной документации - </t>
    </r>
    <r>
      <rPr>
        <b/>
        <sz val="16"/>
        <rFont val="Times New Roman"/>
        <family val="1"/>
        <charset val="204"/>
      </rPr>
      <t>1 мес.</t>
    </r>
  </si>
  <si>
    <t>Доля сметной стоимости, подлежащая выполнению Подрядчиком в 2026 году (1 мес/1 мес)</t>
  </si>
  <si>
    <t>Доля сметной стоимости, подлежащая выполнению Заказчиком в 2026 году (1 мес/1 мес)</t>
  </si>
  <si>
    <t>3. Расчет индекса прогнозной инфляции, мес</t>
  </si>
  <si>
    <t>Индекс-дефлятор "инвестиции в основной капитал" Минэкономразвития России на 2025 год</t>
  </si>
  <si>
    <t>Индекс-дефлятор "инвестиции в основной капитал" Минэкономразвития России на 2026 год</t>
  </si>
  <si>
    <t xml:space="preserve">Кмес на 2025 год  = </t>
  </si>
  <si>
    <t>=</t>
  </si>
  <si>
    <t>4. Расчет индекса прогнозной инфляции на период строительства</t>
  </si>
  <si>
    <t>К на 2026 год:                     (¹²√1,078)⁴ * [¹²√1,053 + (¹²√1,053)⁸] / 2  =</t>
  </si>
  <si>
    <t>Распределение затрат по годам, тыс. руб. в ценах 3 кв. 2023 г.           
         (в уровне цен утвержденной проектной документации)</t>
  </si>
  <si>
    <t>До 01.01.2026</t>
  </si>
  <si>
    <t>Приложение № 7</t>
  </si>
  <si>
    <t>Выполнено на  01.01.2026 г.</t>
  </si>
  <si>
    <t>Стоимость остатка работ на дату формирования НМЦК (август 2026 год)</t>
  </si>
  <si>
    <t>Стоимость работ по утвержденной проектной документации в ценах 3 квартала 2023 г.</t>
  </si>
  <si>
    <t>Дата определения НМЦК - август 2026 год</t>
  </si>
  <si>
    <t>Кмес на 2026 год  =                                           =</t>
  </si>
  <si>
    <t xml:space="preserve">К на 2026 год: </t>
  </si>
  <si>
    <t>ИПИ подрядчик</t>
  </si>
  <si>
    <t>ИПИ заказчик</t>
  </si>
  <si>
    <t>(должность)</t>
  </si>
  <si>
    <t>(подпись)</t>
  </si>
  <si>
    <t>(расшифровка подписи, печать)</t>
  </si>
  <si>
    <r>
      <t xml:space="preserve">Дата начала работ - </t>
    </r>
    <r>
      <rPr>
        <b/>
        <sz val="16"/>
        <rFont val="Times New Roman"/>
        <family val="1"/>
        <charset val="204"/>
      </rPr>
      <t>октябрь 2026</t>
    </r>
  </si>
  <si>
    <r>
      <t xml:space="preserve">Дата окончания работ - </t>
    </r>
    <r>
      <rPr>
        <b/>
        <sz val="16"/>
        <rFont val="Times New Roman"/>
        <family val="1"/>
        <charset val="204"/>
      </rPr>
      <t>ноябрь 2026</t>
    </r>
  </si>
  <si>
    <t>Заместитель начальника ОДС</t>
  </si>
  <si>
    <t>А.А. Цеков</t>
  </si>
  <si>
    <t xml:space="preserve">Исполнитель: Цеков А.А.                           </t>
  </si>
  <si>
    <t>(1,000*1,0090) =</t>
  </si>
  <si>
    <t>* - С НДС 22%</t>
  </si>
  <si>
    <t xml:space="preserve">Исполнитель: Цеков А.А.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</si>
</sst>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"/>
    <numFmt numFmtId="167" formatCode="#,##0.000"/>
    <numFmt numFmtId="168" formatCode="#,##0.00000"/>
    <numFmt numFmtId="169" formatCode="0.000000"/>
    <numFmt numFmtId="170" formatCode="0.00000"/>
    <numFmt numFmtId="171" formatCode="0.0000"/>
    <numFmt numFmtId="172" formatCode="#,##0.0000"/>
    <numFmt numFmtId="173" formatCode="_-* #,##0.0000_р_._-;\-* #,##0.0000_р_._-;_-* &quot;-&quot;??_р_._-;_-@_-"/>
  </numFmts>
  <fonts count="3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20"/>
      <name val="Arial Cyr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i/>
      <sz val="11"/>
      <color theme="3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2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5" fontId="3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3" fillId="0" borderId="0"/>
  </cellStyleXfs>
  <cellXfs count="293">
    <xf numFmtId="0" fontId="0" fillId="0" borderId="0" xfId="0"/>
    <xf numFmtId="0" fontId="3" fillId="0" borderId="0" xfId="0" applyFont="1"/>
    <xf numFmtId="0" fontId="7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3" fillId="2" borderId="0" xfId="0" applyFont="1" applyFill="1"/>
    <xf numFmtId="166" fontId="3" fillId="0" borderId="0" xfId="0" applyNumberFormat="1" applyFont="1"/>
    <xf numFmtId="167" fontId="8" fillId="2" borderId="5" xfId="0" applyNumberFormat="1" applyFont="1" applyFill="1" applyBorder="1" applyAlignment="1">
      <alignment horizontal="center" vertical="center" wrapText="1"/>
    </xf>
    <xf numFmtId="167" fontId="8" fillId="2" borderId="6" xfId="0" applyNumberFormat="1" applyFont="1" applyFill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3" fillId="0" borderId="0" xfId="0" applyFont="1"/>
    <xf numFmtId="0" fontId="11" fillId="0" borderId="0" xfId="0" applyFont="1"/>
    <xf numFmtId="164" fontId="12" fillId="0" borderId="0" xfId="0" applyNumberFormat="1" applyFont="1" applyAlignment="1">
      <alignment horizontal="left" vertical="top" wrapText="1"/>
    </xf>
    <xf numFmtId="0" fontId="16" fillId="0" borderId="0" xfId="0" applyFont="1"/>
    <xf numFmtId="0" fontId="2" fillId="0" borderId="23" xfId="0" applyFont="1" applyBorder="1" applyAlignment="1">
      <alignment vertical="top" wrapText="1"/>
    </xf>
    <xf numFmtId="167" fontId="8" fillId="3" borderId="5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top" wrapText="1"/>
    </xf>
    <xf numFmtId="167" fontId="8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7" fontId="2" fillId="0" borderId="14" xfId="0" applyNumberFormat="1" applyFont="1" applyBorder="1" applyAlignment="1">
      <alignment horizontal="center" vertical="center" wrapText="1"/>
    </xf>
    <xf numFmtId="167" fontId="8" fillId="3" borderId="4" xfId="0" applyNumberFormat="1" applyFont="1" applyFill="1" applyBorder="1" applyAlignment="1">
      <alignment horizontal="center" vertical="center" wrapText="1"/>
    </xf>
    <xf numFmtId="167" fontId="8" fillId="0" borderId="4" xfId="0" applyNumberFormat="1" applyFont="1" applyBorder="1" applyAlignment="1">
      <alignment horizontal="center" vertical="center" wrapText="1"/>
    </xf>
    <xf numFmtId="0" fontId="21" fillId="0" borderId="26" xfId="0" applyFont="1" applyBorder="1"/>
    <xf numFmtId="0" fontId="20" fillId="0" borderId="0" xfId="0" applyFont="1"/>
    <xf numFmtId="0" fontId="15" fillId="0" borderId="0" xfId="0" applyFont="1"/>
    <xf numFmtId="0" fontId="8" fillId="3" borderId="24" xfId="0" applyFont="1" applyFill="1" applyBorder="1" applyAlignment="1">
      <alignment vertical="top" wrapText="1"/>
    </xf>
    <xf numFmtId="17" fontId="10" fillId="0" borderId="1" xfId="0" applyNumberFormat="1" applyFont="1" applyBorder="1" applyAlignment="1">
      <alignment horizontal="left" vertical="top" wrapText="1"/>
    </xf>
    <xf numFmtId="0" fontId="16" fillId="0" borderId="0" xfId="2" applyFont="1"/>
    <xf numFmtId="0" fontId="18" fillId="0" borderId="0" xfId="2" applyFont="1" applyAlignment="1">
      <alignment horizontal="right"/>
    </xf>
    <xf numFmtId="0" fontId="16" fillId="5" borderId="0" xfId="2" applyFont="1" applyFill="1"/>
    <xf numFmtId="0" fontId="2" fillId="0" borderId="0" xfId="2" applyFont="1" applyAlignment="1">
      <alignment horizontal="left" vertical="top"/>
    </xf>
    <xf numFmtId="0" fontId="17" fillId="0" borderId="0" xfId="2" applyFont="1"/>
    <xf numFmtId="0" fontId="23" fillId="0" borderId="0" xfId="2" applyFont="1" applyAlignment="1">
      <alignment horizontal="center" vertical="center"/>
    </xf>
    <xf numFmtId="0" fontId="22" fillId="0" borderId="1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6" fillId="5" borderId="1" xfId="2" applyFont="1" applyFill="1" applyBorder="1" applyAlignment="1">
      <alignment horizontal="center" wrapText="1"/>
    </xf>
    <xf numFmtId="0" fontId="16" fillId="0" borderId="1" xfId="2" applyFont="1" applyBorder="1" applyAlignment="1">
      <alignment horizontal="center" wrapText="1"/>
    </xf>
    <xf numFmtId="0" fontId="16" fillId="0" borderId="1" xfId="2" applyFont="1" applyBorder="1"/>
    <xf numFmtId="0" fontId="22" fillId="6" borderId="4" xfId="2" applyFont="1" applyFill="1" applyBorder="1" applyAlignment="1">
      <alignment horizontal="left" vertical="top" wrapText="1"/>
    </xf>
    <xf numFmtId="166" fontId="22" fillId="6" borderId="27" xfId="2" applyNumberFormat="1" applyFont="1" applyFill="1" applyBorder="1" applyAlignment="1">
      <alignment horizontal="center" vertical="center" wrapText="1"/>
    </xf>
    <xf numFmtId="166" fontId="22" fillId="6" borderId="5" xfId="2" applyNumberFormat="1" applyFont="1" applyFill="1" applyBorder="1" applyAlignment="1">
      <alignment horizontal="center" vertical="center" wrapText="1"/>
    </xf>
    <xf numFmtId="171" fontId="16" fillId="6" borderId="28" xfId="2" applyNumberFormat="1" applyFont="1" applyFill="1" applyBorder="1"/>
    <xf numFmtId="166" fontId="16" fillId="0" borderId="0" xfId="2" applyNumberFormat="1" applyFont="1"/>
    <xf numFmtId="166" fontId="24" fillId="5" borderId="1" xfId="2" applyNumberFormat="1" applyFont="1" applyFill="1" applyBorder="1" applyAlignment="1">
      <alignment wrapText="1"/>
    </xf>
    <xf numFmtId="166" fontId="24" fillId="7" borderId="1" xfId="2" applyNumberFormat="1" applyFont="1" applyFill="1" applyBorder="1" applyAlignment="1">
      <alignment wrapText="1"/>
    </xf>
    <xf numFmtId="0" fontId="17" fillId="8" borderId="10" xfId="2" applyFont="1" applyFill="1" applyBorder="1" applyAlignment="1">
      <alignment horizontal="center" vertical="top" wrapText="1"/>
    </xf>
    <xf numFmtId="166" fontId="17" fillId="8" borderId="3" xfId="2" applyNumberFormat="1" applyFont="1" applyFill="1" applyBorder="1" applyAlignment="1">
      <alignment horizontal="center" vertical="center" wrapText="1"/>
    </xf>
    <xf numFmtId="171" fontId="17" fillId="8" borderId="11" xfId="2" applyNumberFormat="1" applyFont="1" applyFill="1" applyBorder="1" applyAlignment="1">
      <alignment horizontal="center" vertical="center" wrapText="1"/>
    </xf>
    <xf numFmtId="166" fontId="16" fillId="5" borderId="1" xfId="2" applyNumberFormat="1" applyFont="1" applyFill="1" applyBorder="1" applyAlignment="1">
      <alignment wrapText="1"/>
    </xf>
    <xf numFmtId="166" fontId="16" fillId="7" borderId="1" xfId="2" applyNumberFormat="1" applyFont="1" applyFill="1" applyBorder="1" applyAlignment="1">
      <alignment wrapText="1"/>
    </xf>
    <xf numFmtId="0" fontId="17" fillId="2" borderId="10" xfId="2" applyFont="1" applyFill="1" applyBorder="1" applyAlignment="1">
      <alignment horizontal="left" vertical="top" wrapText="1"/>
    </xf>
    <xf numFmtId="166" fontId="17" fillId="2" borderId="1" xfId="2" applyNumberFormat="1" applyFont="1" applyFill="1" applyBorder="1" applyAlignment="1">
      <alignment horizontal="center" vertical="center" wrapText="1"/>
    </xf>
    <xf numFmtId="171" fontId="17" fillId="2" borderId="11" xfId="2" applyNumberFormat="1" applyFont="1" applyFill="1" applyBorder="1" applyAlignment="1">
      <alignment horizontal="center" vertical="center" wrapText="1"/>
    </xf>
    <xf numFmtId="0" fontId="16" fillId="2" borderId="0" xfId="2" applyFont="1" applyFill="1"/>
    <xf numFmtId="166" fontId="16" fillId="2" borderId="1" xfId="2" applyNumberFormat="1" applyFont="1" applyFill="1" applyBorder="1" applyAlignment="1">
      <alignment wrapText="1"/>
    </xf>
    <xf numFmtId="166" fontId="16" fillId="2" borderId="1" xfId="2" applyNumberFormat="1" applyFont="1" applyFill="1" applyBorder="1"/>
    <xf numFmtId="166" fontId="16" fillId="2" borderId="0" xfId="2" applyNumberFormat="1" applyFont="1" applyFill="1"/>
    <xf numFmtId="166" fontId="16" fillId="5" borderId="1" xfId="3" applyNumberFormat="1" applyFont="1" applyFill="1" applyBorder="1" applyAlignment="1">
      <alignment wrapText="1"/>
    </xf>
    <xf numFmtId="166" fontId="16" fillId="2" borderId="1" xfId="3" applyNumberFormat="1" applyFont="1" applyFill="1" applyBorder="1" applyAlignment="1">
      <alignment wrapText="1"/>
    </xf>
    <xf numFmtId="0" fontId="23" fillId="2" borderId="10" xfId="2" applyFont="1" applyFill="1" applyBorder="1" applyAlignment="1">
      <alignment horizontal="left" vertical="top" wrapText="1"/>
    </xf>
    <xf numFmtId="166" fontId="23" fillId="2" borderId="1" xfId="2" applyNumberFormat="1" applyFont="1" applyFill="1" applyBorder="1" applyAlignment="1">
      <alignment horizontal="center" vertical="center" wrapText="1"/>
    </xf>
    <xf numFmtId="166" fontId="26" fillId="5" borderId="1" xfId="2" applyNumberFormat="1" applyFont="1" applyFill="1" applyBorder="1" applyAlignment="1">
      <alignment wrapText="1"/>
    </xf>
    <xf numFmtId="166" fontId="26" fillId="2" borderId="1" xfId="2" applyNumberFormat="1" applyFont="1" applyFill="1" applyBorder="1" applyAlignment="1">
      <alignment wrapText="1"/>
    </xf>
    <xf numFmtId="166" fontId="26" fillId="0" borderId="1" xfId="2" applyNumberFormat="1" applyFont="1" applyBorder="1" applyAlignment="1">
      <alignment wrapText="1"/>
    </xf>
    <xf numFmtId="0" fontId="9" fillId="2" borderId="10" xfId="2" applyFont="1" applyFill="1" applyBorder="1" applyAlignment="1">
      <alignment wrapText="1"/>
    </xf>
    <xf numFmtId="0" fontId="17" fillId="4" borderId="10" xfId="2" applyFont="1" applyFill="1" applyBorder="1" applyAlignment="1">
      <alignment horizontal="center" vertical="top" wrapText="1"/>
    </xf>
    <xf numFmtId="166" fontId="17" fillId="4" borderId="1" xfId="2" applyNumberFormat="1" applyFont="1" applyFill="1" applyBorder="1" applyAlignment="1">
      <alignment horizontal="center" vertical="center" wrapText="1"/>
    </xf>
    <xf numFmtId="171" fontId="17" fillId="4" borderId="11" xfId="2" applyNumberFormat="1" applyFont="1" applyFill="1" applyBorder="1" applyAlignment="1">
      <alignment horizontal="center" vertical="center" wrapText="1"/>
    </xf>
    <xf numFmtId="0" fontId="16" fillId="4" borderId="0" xfId="2" applyFont="1" applyFill="1"/>
    <xf numFmtId="166" fontId="16" fillId="4" borderId="1" xfId="2" applyNumberFormat="1" applyFont="1" applyFill="1" applyBorder="1" applyAlignment="1">
      <alignment wrapText="1"/>
    </xf>
    <xf numFmtId="166" fontId="2" fillId="2" borderId="1" xfId="2" applyNumberFormat="1" applyFont="1" applyFill="1" applyBorder="1" applyAlignment="1">
      <alignment horizontal="center" vertical="center" wrapText="1"/>
    </xf>
    <xf numFmtId="0" fontId="23" fillId="2" borderId="20" xfId="2" applyFont="1" applyFill="1" applyBorder="1" applyAlignment="1">
      <alignment horizontal="left" vertical="top" wrapText="1"/>
    </xf>
    <xf numFmtId="166" fontId="23" fillId="2" borderId="19" xfId="2" applyNumberFormat="1" applyFont="1" applyFill="1" applyBorder="1" applyAlignment="1">
      <alignment horizontal="center" vertical="center" wrapText="1"/>
    </xf>
    <xf numFmtId="169" fontId="2" fillId="2" borderId="1" xfId="2" applyNumberFormat="1" applyFont="1" applyFill="1" applyBorder="1" applyAlignment="1">
      <alignment horizontal="center" vertical="center" wrapText="1"/>
    </xf>
    <xf numFmtId="171" fontId="17" fillId="2" borderId="21" xfId="2" applyNumberFormat="1" applyFont="1" applyFill="1" applyBorder="1" applyAlignment="1">
      <alignment horizontal="center" vertical="center" wrapText="1"/>
    </xf>
    <xf numFmtId="166" fontId="8" fillId="6" borderId="5" xfId="2" applyNumberFormat="1" applyFont="1" applyFill="1" applyBorder="1" applyAlignment="1">
      <alignment horizontal="center" vertical="center" wrapText="1"/>
    </xf>
    <xf numFmtId="0" fontId="24" fillId="6" borderId="0" xfId="2" applyFont="1" applyFill="1"/>
    <xf numFmtId="166" fontId="24" fillId="6" borderId="1" xfId="2" applyNumberFormat="1" applyFont="1" applyFill="1" applyBorder="1" applyAlignment="1">
      <alignment wrapText="1"/>
    </xf>
    <xf numFmtId="0" fontId="17" fillId="9" borderId="13" xfId="2" applyFont="1" applyFill="1" applyBorder="1" applyAlignment="1">
      <alignment horizontal="center" vertical="top" wrapText="1"/>
    </xf>
    <xf numFmtId="166" fontId="17" fillId="9" borderId="3" xfId="2" applyNumberFormat="1" applyFont="1" applyFill="1" applyBorder="1" applyAlignment="1">
      <alignment horizontal="center" vertical="center" wrapText="1"/>
    </xf>
    <xf numFmtId="171" fontId="17" fillId="9" borderId="14" xfId="2" applyNumberFormat="1" applyFont="1" applyFill="1" applyBorder="1" applyAlignment="1">
      <alignment horizontal="center" vertical="center" wrapText="1"/>
    </xf>
    <xf numFmtId="0" fontId="16" fillId="9" borderId="0" xfId="2" applyFont="1" applyFill="1"/>
    <xf numFmtId="166" fontId="16" fillId="9" borderId="1" xfId="2" applyNumberFormat="1" applyFont="1" applyFill="1" applyBorder="1" applyAlignment="1">
      <alignment wrapText="1"/>
    </xf>
    <xf numFmtId="0" fontId="2" fillId="2" borderId="10" xfId="2" applyFont="1" applyFill="1" applyBorder="1" applyAlignment="1">
      <alignment wrapText="1"/>
    </xf>
    <xf numFmtId="0" fontId="23" fillId="0" borderId="10" xfId="2" applyFont="1" applyBorder="1" applyAlignment="1">
      <alignment horizontal="left" vertical="top" wrapText="1"/>
    </xf>
    <xf numFmtId="166" fontId="9" fillId="2" borderId="1" xfId="2" applyNumberFormat="1" applyFont="1" applyFill="1" applyBorder="1" applyAlignment="1">
      <alignment horizontal="center" vertical="center" wrapText="1"/>
    </xf>
    <xf numFmtId="166" fontId="23" fillId="0" borderId="1" xfId="2" applyNumberFormat="1" applyFont="1" applyBorder="1" applyAlignment="1">
      <alignment horizontal="center" vertical="center" wrapText="1"/>
    </xf>
    <xf numFmtId="171" fontId="17" fillId="0" borderId="11" xfId="2" applyNumberFormat="1" applyFont="1" applyBorder="1" applyAlignment="1">
      <alignment horizontal="center" vertical="center" wrapText="1"/>
    </xf>
    <xf numFmtId="166" fontId="16" fillId="0" borderId="1" xfId="2" applyNumberFormat="1" applyFont="1" applyBorder="1" applyAlignment="1">
      <alignment wrapText="1"/>
    </xf>
    <xf numFmtId="166" fontId="9" fillId="2" borderId="2" xfId="2" applyNumberFormat="1" applyFont="1" applyFill="1" applyBorder="1" applyAlignment="1">
      <alignment horizontal="center" vertical="center" wrapText="1"/>
    </xf>
    <xf numFmtId="166" fontId="23" fillId="0" borderId="2" xfId="2" applyNumberFormat="1" applyFont="1" applyBorder="1" applyAlignment="1">
      <alignment horizontal="center" vertical="center" wrapText="1"/>
    </xf>
    <xf numFmtId="166" fontId="23" fillId="2" borderId="2" xfId="2" applyNumberFormat="1" applyFont="1" applyFill="1" applyBorder="1" applyAlignment="1">
      <alignment horizontal="center" vertical="center" wrapText="1"/>
    </xf>
    <xf numFmtId="171" fontId="17" fillId="0" borderId="12" xfId="2" applyNumberFormat="1" applyFont="1" applyBorder="1" applyAlignment="1">
      <alignment horizontal="center" vertical="center" wrapText="1"/>
    </xf>
    <xf numFmtId="166" fontId="17" fillId="8" borderId="1" xfId="2" applyNumberFormat="1" applyFont="1" applyFill="1" applyBorder="1" applyAlignment="1">
      <alignment horizontal="center" vertical="center" wrapText="1"/>
    </xf>
    <xf numFmtId="0" fontId="16" fillId="5" borderId="1" xfId="2" applyFont="1" applyFill="1" applyBorder="1" applyAlignment="1">
      <alignment wrapText="1"/>
    </xf>
    <xf numFmtId="0" fontId="16" fillId="0" borderId="1" xfId="2" applyFont="1" applyBorder="1" applyAlignment="1">
      <alignment wrapText="1"/>
    </xf>
    <xf numFmtId="0" fontId="16" fillId="0" borderId="26" xfId="2" applyFont="1" applyBorder="1"/>
    <xf numFmtId="0" fontId="19" fillId="0" borderId="0" xfId="2" applyFont="1"/>
    <xf numFmtId="2" fontId="16" fillId="0" borderId="0" xfId="2" applyNumberFormat="1" applyFont="1"/>
    <xf numFmtId="0" fontId="16" fillId="0" borderId="0" xfId="2" applyFont="1" applyAlignment="1">
      <alignment wrapText="1"/>
    </xf>
    <xf numFmtId="166" fontId="20" fillId="0" borderId="0" xfId="2" applyNumberFormat="1" applyFont="1"/>
    <xf numFmtId="2" fontId="20" fillId="0" borderId="0" xfId="2" applyNumberFormat="1" applyFont="1"/>
    <xf numFmtId="0" fontId="18" fillId="0" borderId="0" xfId="0" applyFont="1" applyAlignment="1">
      <alignment horizontal="left" wrapText="1"/>
    </xf>
    <xf numFmtId="0" fontId="12" fillId="0" borderId="0" xfId="0" applyFont="1" applyAlignment="1">
      <alignment horizontal="left" indent="15"/>
    </xf>
    <xf numFmtId="0" fontId="12" fillId="0" borderId="0" xfId="0" applyFont="1"/>
    <xf numFmtId="0" fontId="13" fillId="2" borderId="0" xfId="0" applyFont="1" applyFill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7" fillId="0" borderId="0" xfId="2" applyFont="1" applyAlignment="1">
      <alignment horizontal="center"/>
    </xf>
    <xf numFmtId="0" fontId="9" fillId="0" borderId="0" xfId="0" applyFont="1" applyAlignment="1">
      <alignment vertical="top" wrapText="1"/>
    </xf>
    <xf numFmtId="167" fontId="9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2" fillId="0" borderId="24" xfId="0" applyFont="1" applyBorder="1" applyAlignment="1">
      <alignment horizontal="center" vertical="top" wrapText="1"/>
    </xf>
    <xf numFmtId="166" fontId="23" fillId="2" borderId="29" xfId="2" applyNumberFormat="1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top" wrapText="1"/>
    </xf>
    <xf numFmtId="166" fontId="2" fillId="2" borderId="29" xfId="2" applyNumberFormat="1" applyFont="1" applyFill="1" applyBorder="1" applyAlignment="1">
      <alignment horizontal="center" vertical="center" wrapText="1"/>
    </xf>
    <xf numFmtId="166" fontId="2" fillId="2" borderId="19" xfId="2" applyNumberFormat="1" applyFont="1" applyFill="1" applyBorder="1" applyAlignment="1">
      <alignment horizontal="center" vertical="center" wrapText="1"/>
    </xf>
    <xf numFmtId="171" fontId="2" fillId="2" borderId="21" xfId="2" applyNumberFormat="1" applyFont="1" applyFill="1" applyBorder="1" applyAlignment="1">
      <alignment horizontal="center" vertical="center" wrapText="1"/>
    </xf>
    <xf numFmtId="0" fontId="6" fillId="2" borderId="0" xfId="2" applyFont="1" applyFill="1"/>
    <xf numFmtId="166" fontId="6" fillId="2" borderId="1" xfId="2" applyNumberFormat="1" applyFont="1" applyFill="1" applyBorder="1" applyAlignment="1">
      <alignment wrapText="1"/>
    </xf>
    <xf numFmtId="166" fontId="6" fillId="2" borderId="1" xfId="2" applyNumberFormat="1" applyFont="1" applyFill="1" applyBorder="1"/>
    <xf numFmtId="167" fontId="8" fillId="3" borderId="0" xfId="0" applyNumberFormat="1" applyFont="1" applyFill="1" applyAlignment="1">
      <alignment horizontal="center" vertical="center" wrapText="1"/>
    </xf>
    <xf numFmtId="0" fontId="23" fillId="0" borderId="4" xfId="2" applyFont="1" applyBorder="1" applyAlignment="1">
      <alignment horizontal="left" vertical="top" wrapText="1"/>
    </xf>
    <xf numFmtId="166" fontId="17" fillId="2" borderId="5" xfId="2" applyNumberFormat="1" applyFont="1" applyFill="1" applyBorder="1" applyAlignment="1">
      <alignment horizontal="center" vertical="center" wrapText="1"/>
    </xf>
    <xf numFmtId="166" fontId="23" fillId="2" borderId="5" xfId="2" applyNumberFormat="1" applyFont="1" applyFill="1" applyBorder="1" applyAlignment="1">
      <alignment horizontal="center" vertical="center" wrapText="1"/>
    </xf>
    <xf numFmtId="0" fontId="16" fillId="2" borderId="6" xfId="2" applyFont="1" applyFill="1" applyBorder="1"/>
    <xf numFmtId="0" fontId="12" fillId="0" borderId="0" xfId="0" applyFont="1" applyAlignment="1">
      <alignment horizontal="center"/>
    </xf>
    <xf numFmtId="17" fontId="12" fillId="0" borderId="0" xfId="0" applyNumberFormat="1" applyFont="1" applyAlignment="1">
      <alignment horizontal="left" vertical="top" wrapText="1"/>
    </xf>
    <xf numFmtId="167" fontId="2" fillId="0" borderId="8" xfId="0" applyNumberFormat="1" applyFont="1" applyBorder="1" applyAlignment="1">
      <alignment horizontal="center" vertical="center" wrapText="1"/>
    </xf>
    <xf numFmtId="167" fontId="22" fillId="6" borderId="5" xfId="2" applyNumberFormat="1" applyFont="1" applyFill="1" applyBorder="1" applyAlignment="1">
      <alignment horizontal="center" vertical="center" wrapText="1"/>
    </xf>
    <xf numFmtId="167" fontId="24" fillId="0" borderId="1" xfId="2" applyNumberFormat="1" applyFont="1" applyBorder="1" applyAlignment="1">
      <alignment wrapText="1"/>
    </xf>
    <xf numFmtId="167" fontId="24" fillId="6" borderId="1" xfId="2" applyNumberFormat="1" applyFont="1" applyFill="1" applyBorder="1" applyAlignment="1">
      <alignment wrapText="1"/>
    </xf>
    <xf numFmtId="167" fontId="17" fillId="8" borderId="3" xfId="2" applyNumberFormat="1" applyFont="1" applyFill="1" applyBorder="1" applyAlignment="1">
      <alignment horizontal="center" vertical="center" wrapText="1"/>
    </xf>
    <xf numFmtId="167" fontId="24" fillId="9" borderId="1" xfId="2" applyNumberFormat="1" applyFont="1" applyFill="1" applyBorder="1" applyAlignment="1">
      <alignment wrapText="1"/>
    </xf>
    <xf numFmtId="167" fontId="17" fillId="2" borderId="1" xfId="2" applyNumberFormat="1" applyFont="1" applyFill="1" applyBorder="1" applyAlignment="1">
      <alignment horizontal="center" vertical="center" wrapText="1"/>
    </xf>
    <xf numFmtId="167" fontId="27" fillId="0" borderId="1" xfId="2" applyNumberFormat="1" applyFont="1" applyBorder="1" applyAlignment="1">
      <alignment wrapText="1"/>
    </xf>
    <xf numFmtId="167" fontId="27" fillId="10" borderId="1" xfId="2" applyNumberFormat="1" applyFont="1" applyFill="1" applyBorder="1" applyAlignment="1">
      <alignment wrapText="1"/>
    </xf>
    <xf numFmtId="167" fontId="27" fillId="10" borderId="1" xfId="2" applyNumberFormat="1" applyFont="1" applyFill="1" applyBorder="1"/>
    <xf numFmtId="167" fontId="23" fillId="2" borderId="1" xfId="2" applyNumberFormat="1" applyFont="1" applyFill="1" applyBorder="1" applyAlignment="1">
      <alignment horizontal="center" vertical="center" wrapText="1"/>
    </xf>
    <xf numFmtId="167" fontId="16" fillId="0" borderId="1" xfId="2" applyNumberFormat="1" applyFont="1" applyBorder="1" applyAlignment="1">
      <alignment wrapText="1"/>
    </xf>
    <xf numFmtId="167" fontId="24" fillId="5" borderId="1" xfId="2" applyNumberFormat="1" applyFont="1" applyFill="1" applyBorder="1" applyAlignment="1">
      <alignment wrapText="1"/>
    </xf>
    <xf numFmtId="167" fontId="26" fillId="0" borderId="1" xfId="2" applyNumberFormat="1" applyFont="1" applyBorder="1" applyAlignment="1">
      <alignment wrapText="1"/>
    </xf>
    <xf numFmtId="167" fontId="28" fillId="6" borderId="1" xfId="2" applyNumberFormat="1" applyFont="1" applyFill="1" applyBorder="1" applyAlignment="1">
      <alignment wrapText="1"/>
    </xf>
    <xf numFmtId="0" fontId="9" fillId="6" borderId="10" xfId="2" applyFont="1" applyFill="1" applyBorder="1" applyAlignment="1">
      <alignment wrapText="1"/>
    </xf>
    <xf numFmtId="167" fontId="28" fillId="0" borderId="1" xfId="2" applyNumberFormat="1" applyFont="1" applyBorder="1" applyAlignment="1">
      <alignment wrapText="1"/>
    </xf>
    <xf numFmtId="167" fontId="26" fillId="6" borderId="1" xfId="2" applyNumberFormat="1" applyFont="1" applyFill="1" applyBorder="1" applyAlignment="1">
      <alignment wrapText="1"/>
    </xf>
    <xf numFmtId="167" fontId="26" fillId="6" borderId="1" xfId="2" applyNumberFormat="1" applyFont="1" applyFill="1" applyBorder="1"/>
    <xf numFmtId="167" fontId="29" fillId="0" borderId="1" xfId="2" applyNumberFormat="1" applyFont="1" applyBorder="1" applyAlignment="1">
      <alignment wrapText="1"/>
    </xf>
    <xf numFmtId="167" fontId="16" fillId="0" borderId="1" xfId="2" applyNumberFormat="1" applyFont="1" applyBorder="1"/>
    <xf numFmtId="167" fontId="8" fillId="6" borderId="5" xfId="2" applyNumberFormat="1" applyFont="1" applyFill="1" applyBorder="1" applyAlignment="1">
      <alignment horizontal="center" vertical="center" wrapText="1"/>
    </xf>
    <xf numFmtId="167" fontId="22" fillId="6" borderId="27" xfId="2" applyNumberFormat="1" applyFont="1" applyFill="1" applyBorder="1" applyAlignment="1">
      <alignment horizontal="center" vertical="center" wrapText="1"/>
    </xf>
    <xf numFmtId="167" fontId="17" fillId="9" borderId="3" xfId="2" applyNumberFormat="1" applyFont="1" applyFill="1" applyBorder="1" applyAlignment="1">
      <alignment horizontal="center" vertical="center" wrapText="1"/>
    </xf>
    <xf numFmtId="167" fontId="16" fillId="9" borderId="1" xfId="2" applyNumberFormat="1" applyFont="1" applyFill="1" applyBorder="1" applyAlignment="1">
      <alignment wrapText="1"/>
    </xf>
    <xf numFmtId="167" fontId="17" fillId="0" borderId="1" xfId="2" applyNumberFormat="1" applyFont="1" applyBorder="1" applyAlignment="1">
      <alignment horizontal="center" vertical="center" wrapText="1"/>
    </xf>
    <xf numFmtId="167" fontId="2" fillId="0" borderId="1" xfId="2" applyNumberFormat="1" applyFont="1" applyBorder="1" applyAlignment="1">
      <alignment horizontal="center" vertical="center" wrapText="1"/>
    </xf>
    <xf numFmtId="167" fontId="6" fillId="10" borderId="1" xfId="2" applyNumberFormat="1" applyFont="1" applyFill="1" applyBorder="1" applyAlignment="1">
      <alignment wrapText="1"/>
    </xf>
    <xf numFmtId="167" fontId="16" fillId="10" borderId="1" xfId="2" applyNumberFormat="1" applyFont="1" applyFill="1" applyBorder="1" applyAlignment="1">
      <alignment wrapText="1"/>
    </xf>
    <xf numFmtId="167" fontId="6" fillId="10" borderId="1" xfId="2" applyNumberFormat="1" applyFont="1" applyFill="1" applyBorder="1"/>
    <xf numFmtId="167" fontId="2" fillId="2" borderId="1" xfId="2" applyNumberFormat="1" applyFont="1" applyFill="1" applyBorder="1" applyAlignment="1">
      <alignment horizontal="center" vertical="center" wrapText="1"/>
    </xf>
    <xf numFmtId="167" fontId="9" fillId="2" borderId="1" xfId="2" applyNumberFormat="1" applyFont="1" applyFill="1" applyBorder="1" applyAlignment="1">
      <alignment horizontal="center" vertical="center" wrapText="1"/>
    </xf>
    <xf numFmtId="167" fontId="9" fillId="2" borderId="2" xfId="2" applyNumberFormat="1" applyFont="1" applyFill="1" applyBorder="1" applyAlignment="1">
      <alignment horizontal="center" vertical="center" wrapText="1"/>
    </xf>
    <xf numFmtId="167" fontId="23" fillId="0" borderId="2" xfId="2" applyNumberFormat="1" applyFont="1" applyBorder="1" applyAlignment="1">
      <alignment horizontal="center" vertical="center" wrapText="1"/>
    </xf>
    <xf numFmtId="167" fontId="23" fillId="2" borderId="2" xfId="2" applyNumberFormat="1" applyFont="1" applyFill="1" applyBorder="1" applyAlignment="1">
      <alignment horizontal="center" vertical="center" wrapText="1"/>
    </xf>
    <xf numFmtId="167" fontId="17" fillId="8" borderId="1" xfId="2" applyNumberFormat="1" applyFont="1" applyFill="1" applyBorder="1" applyAlignment="1">
      <alignment horizontal="center" vertical="center" wrapText="1"/>
    </xf>
    <xf numFmtId="167" fontId="24" fillId="8" borderId="1" xfId="2" applyNumberFormat="1" applyFont="1" applyFill="1" applyBorder="1" applyAlignment="1">
      <alignment wrapText="1"/>
    </xf>
    <xf numFmtId="167" fontId="2" fillId="2" borderId="29" xfId="2" applyNumberFormat="1" applyFont="1" applyFill="1" applyBorder="1" applyAlignment="1">
      <alignment horizontal="center" vertical="center" wrapText="1"/>
    </xf>
    <xf numFmtId="168" fontId="2" fillId="2" borderId="1" xfId="2" applyNumberFormat="1" applyFont="1" applyFill="1" applyBorder="1" applyAlignment="1">
      <alignment horizontal="center" vertical="center" wrapText="1"/>
    </xf>
    <xf numFmtId="167" fontId="2" fillId="2" borderId="19" xfId="2" applyNumberFormat="1" applyFont="1" applyFill="1" applyBorder="1" applyAlignment="1">
      <alignment horizontal="center" vertical="center" wrapText="1"/>
    </xf>
    <xf numFmtId="166" fontId="6" fillId="0" borderId="1" xfId="2" applyNumberFormat="1" applyFont="1" applyBorder="1" applyAlignment="1">
      <alignment wrapText="1"/>
    </xf>
    <xf numFmtId="166" fontId="6" fillId="0" borderId="1" xfId="2" applyNumberFormat="1" applyFont="1" applyBorder="1"/>
    <xf numFmtId="166" fontId="24" fillId="0" borderId="1" xfId="2" applyNumberFormat="1" applyFont="1" applyBorder="1" applyAlignment="1">
      <alignment wrapText="1"/>
    </xf>
    <xf numFmtId="167" fontId="17" fillId="2" borderId="5" xfId="2" applyNumberFormat="1" applyFont="1" applyFill="1" applyBorder="1" applyAlignment="1">
      <alignment horizontal="center" vertical="center" wrapText="1"/>
    </xf>
    <xf numFmtId="167" fontId="23" fillId="2" borderId="5" xfId="2" applyNumberFormat="1" applyFont="1" applyFill="1" applyBorder="1" applyAlignment="1">
      <alignment horizontal="center" vertical="center" wrapText="1"/>
    </xf>
    <xf numFmtId="0" fontId="16" fillId="0" borderId="0" xfId="2" applyFont="1" applyAlignment="1">
      <alignment horizontal="right"/>
    </xf>
    <xf numFmtId="167" fontId="30" fillId="0" borderId="0" xfId="2" applyNumberFormat="1" applyFont="1"/>
    <xf numFmtId="167" fontId="0" fillId="0" borderId="0" xfId="0" applyNumberFormat="1"/>
    <xf numFmtId="0" fontId="0" fillId="2" borderId="0" xfId="0" applyFill="1"/>
    <xf numFmtId="0" fontId="1" fillId="0" borderId="0" xfId="0" applyFont="1"/>
    <xf numFmtId="167" fontId="17" fillId="4" borderId="1" xfId="2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center" vertical="center" wrapText="1"/>
    </xf>
    <xf numFmtId="0" fontId="19" fillId="0" borderId="0" xfId="2" applyFont="1" applyAlignment="1">
      <alignment horizontal="right"/>
    </xf>
    <xf numFmtId="0" fontId="19" fillId="0" borderId="26" xfId="2" applyFont="1" applyBorder="1"/>
    <xf numFmtId="17" fontId="12" fillId="0" borderId="1" xfId="0" applyNumberFormat="1" applyFont="1" applyBorder="1" applyAlignment="1">
      <alignment horizontal="left" vertical="top" wrapText="1"/>
    </xf>
    <xf numFmtId="17" fontId="12" fillId="0" borderId="0" xfId="0" applyNumberFormat="1" applyFont="1" applyAlignment="1">
      <alignment horizontal="left" vertical="center" wrapText="1"/>
    </xf>
    <xf numFmtId="0" fontId="2" fillId="0" borderId="10" xfId="2" applyFont="1" applyBorder="1" applyAlignment="1">
      <alignment wrapText="1"/>
    </xf>
    <xf numFmtId="0" fontId="17" fillId="0" borderId="10" xfId="2" applyFont="1" applyBorder="1" applyAlignment="1">
      <alignment horizontal="left" vertical="top" wrapText="1"/>
    </xf>
    <xf numFmtId="168" fontId="2" fillId="2" borderId="19" xfId="2" applyNumberFormat="1" applyFont="1" applyFill="1" applyBorder="1" applyAlignment="1">
      <alignment horizontal="center" vertical="center" wrapText="1"/>
    </xf>
    <xf numFmtId="170" fontId="2" fillId="2" borderId="3" xfId="2" applyNumberFormat="1" applyFont="1" applyFill="1" applyBorder="1" applyAlignment="1">
      <alignment horizontal="center" vertical="center" wrapText="1"/>
    </xf>
    <xf numFmtId="170" fontId="2" fillId="2" borderId="29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2" fillId="2" borderId="0" xfId="0" applyFont="1" applyFill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172" fontId="8" fillId="3" borderId="5" xfId="0" applyNumberFormat="1" applyFont="1" applyFill="1" applyBorder="1" applyAlignment="1">
      <alignment horizontal="center" vertical="center" wrapText="1"/>
    </xf>
    <xf numFmtId="172" fontId="8" fillId="2" borderId="5" xfId="0" applyNumberFormat="1" applyFont="1" applyFill="1" applyBorder="1" applyAlignment="1">
      <alignment horizontal="center" vertical="center" wrapText="1"/>
    </xf>
    <xf numFmtId="172" fontId="2" fillId="0" borderId="8" xfId="0" applyNumberFormat="1" applyFont="1" applyBorder="1" applyAlignment="1">
      <alignment horizontal="center" vertical="center" wrapText="1"/>
    </xf>
    <xf numFmtId="166" fontId="17" fillId="0" borderId="11" xfId="2" applyNumberFormat="1" applyFont="1" applyBorder="1" applyAlignment="1">
      <alignment horizontal="center" vertical="center" wrapText="1"/>
    </xf>
    <xf numFmtId="166" fontId="17" fillId="2" borderId="11" xfId="2" applyNumberFormat="1" applyFont="1" applyFill="1" applyBorder="1" applyAlignment="1">
      <alignment horizontal="center" vertical="center" wrapText="1"/>
    </xf>
    <xf numFmtId="173" fontId="10" fillId="0" borderId="1" xfId="1" applyNumberFormat="1" applyFont="1" applyBorder="1" applyAlignment="1">
      <alignment horizontal="right" vertical="top" wrapText="1"/>
    </xf>
    <xf numFmtId="171" fontId="12" fillId="0" borderId="1" xfId="0" applyNumberFormat="1" applyFont="1" applyBorder="1" applyAlignment="1">
      <alignment horizontal="right" vertical="top" wrapText="1"/>
    </xf>
    <xf numFmtId="17" fontId="12" fillId="0" borderId="0" xfId="0" applyNumberFormat="1" applyFont="1" applyAlignment="1">
      <alignment vertical="top"/>
    </xf>
    <xf numFmtId="171" fontId="12" fillId="0" borderId="0" xfId="0" applyNumberFormat="1" applyFont="1" applyAlignment="1">
      <alignment horizontal="left" vertical="top" wrapText="1"/>
    </xf>
    <xf numFmtId="171" fontId="12" fillId="0" borderId="0" xfId="0" applyNumberFormat="1" applyFont="1" applyAlignment="1">
      <alignment horizontal="left" vertical="center" wrapText="1"/>
    </xf>
    <xf numFmtId="171" fontId="10" fillId="0" borderId="0" xfId="0" applyNumberFormat="1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12" fillId="0" borderId="0" xfId="0" applyFont="1" applyAlignment="1">
      <alignment horizontal="left" vertical="top" wrapText="1"/>
    </xf>
    <xf numFmtId="171" fontId="12" fillId="0" borderId="0" xfId="0" applyNumberFormat="1" applyFont="1" applyAlignment="1">
      <alignment horizontal="left"/>
    </xf>
    <xf numFmtId="167" fontId="30" fillId="5" borderId="1" xfId="2" applyNumberFormat="1" applyFont="1" applyFill="1" applyBorder="1" applyAlignment="1">
      <alignment wrapText="1"/>
    </xf>
    <xf numFmtId="167" fontId="30" fillId="5" borderId="1" xfId="2" applyNumberFormat="1" applyFont="1" applyFill="1" applyBorder="1"/>
    <xf numFmtId="0" fontId="23" fillId="6" borderId="10" xfId="2" applyFont="1" applyFill="1" applyBorder="1" applyAlignment="1">
      <alignment horizontal="left" vertical="top" wrapText="1"/>
    </xf>
    <xf numFmtId="171" fontId="12" fillId="0" borderId="0" xfId="0" applyNumberFormat="1" applyFont="1" applyAlignment="1">
      <alignment wrapText="1"/>
    </xf>
    <xf numFmtId="167" fontId="16" fillId="10" borderId="1" xfId="2" applyNumberFormat="1" applyFont="1" applyFill="1" applyBorder="1"/>
    <xf numFmtId="17" fontId="10" fillId="0" borderId="0" xfId="0" applyNumberFormat="1" applyFont="1" applyAlignment="1">
      <alignment horizontal="left" vertical="top" wrapText="1"/>
    </xf>
    <xf numFmtId="17" fontId="12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166" fontId="10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171" fontId="15" fillId="0" borderId="0" xfId="0" applyNumberFormat="1" applyFont="1" applyAlignment="1">
      <alignment horizontal="center" vertical="center" wrapText="1"/>
    </xf>
    <xf numFmtId="0" fontId="17" fillId="0" borderId="0" xfId="2" applyFont="1" applyFill="1"/>
    <xf numFmtId="0" fontId="6" fillId="0" borderId="0" xfId="2" applyFont="1" applyFill="1"/>
    <xf numFmtId="0" fontId="9" fillId="0" borderId="0" xfId="2" applyFont="1" applyFill="1" applyAlignment="1">
      <alignment horizontal="center" vertical="center"/>
    </xf>
    <xf numFmtId="0" fontId="8" fillId="0" borderId="16" xfId="2" applyFont="1" applyFill="1" applyBorder="1" applyAlignment="1">
      <alignment horizontal="center" vertical="center" wrapText="1"/>
    </xf>
    <xf numFmtId="171" fontId="12" fillId="2" borderId="1" xfId="0" applyNumberFormat="1" applyFont="1" applyFill="1" applyBorder="1" applyAlignment="1">
      <alignment horizontal="left" vertical="top" wrapText="1"/>
    </xf>
    <xf numFmtId="171" fontId="12" fillId="11" borderId="0" xfId="0" applyNumberFormat="1" applyFont="1" applyFill="1" applyAlignment="1">
      <alignment horizontal="left" vertical="center" wrapText="1"/>
    </xf>
    <xf numFmtId="17" fontId="12" fillId="0" borderId="0" xfId="0" applyNumberFormat="1" applyFont="1" applyAlignment="1">
      <alignment wrapText="1"/>
    </xf>
    <xf numFmtId="167" fontId="3" fillId="2" borderId="0" xfId="0" applyNumberFormat="1" applyFont="1" applyFill="1"/>
    <xf numFmtId="0" fontId="16" fillId="5" borderId="2" xfId="2" applyFont="1" applyFill="1" applyBorder="1" applyAlignment="1">
      <alignment horizontal="center" vertical="center" wrapText="1"/>
    </xf>
    <xf numFmtId="0" fontId="16" fillId="5" borderId="3" xfId="2" applyFont="1" applyFill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0" fontId="16" fillId="0" borderId="3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25" fillId="0" borderId="2" xfId="2" applyFont="1" applyBorder="1" applyAlignment="1">
      <alignment horizontal="center"/>
    </xf>
    <xf numFmtId="0" fontId="14" fillId="0" borderId="3" xfId="2" applyBorder="1"/>
    <xf numFmtId="0" fontId="19" fillId="0" borderId="0" xfId="2" applyFont="1" applyAlignment="1">
      <alignment horizontal="right"/>
    </xf>
    <xf numFmtId="0" fontId="22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17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center" vertical="center" wrapText="1"/>
    </xf>
    <xf numFmtId="0" fontId="22" fillId="0" borderId="15" xfId="2" applyFont="1" applyBorder="1" applyAlignment="1">
      <alignment horizontal="center" vertical="center" wrapText="1"/>
    </xf>
    <xf numFmtId="0" fontId="22" fillId="0" borderId="8" xfId="2" applyFont="1" applyBorder="1" applyAlignment="1">
      <alignment horizontal="center" vertical="center" wrapText="1"/>
    </xf>
    <xf numFmtId="0" fontId="22" fillId="0" borderId="9" xfId="2" applyFont="1" applyBorder="1" applyAlignment="1">
      <alignment horizontal="center" vertical="center" wrapText="1"/>
    </xf>
    <xf numFmtId="0" fontId="22" fillId="0" borderId="17" xfId="2" applyFont="1" applyBorder="1" applyAlignment="1">
      <alignment horizontal="center" vertical="center" wrapText="1"/>
    </xf>
    <xf numFmtId="0" fontId="2" fillId="0" borderId="0" xfId="2" applyFont="1" applyFill="1" applyAlignment="1">
      <alignment horizontal="left" vertical="top" wrapText="1"/>
    </xf>
    <xf numFmtId="0" fontId="8" fillId="0" borderId="8" xfId="2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center" vertical="center" wrapText="1"/>
    </xf>
    <xf numFmtId="17" fontId="10" fillId="0" borderId="0" xfId="0" applyNumberFormat="1" applyFont="1" applyAlignment="1">
      <alignment horizontal="left" vertical="top" wrapText="1"/>
    </xf>
    <xf numFmtId="17" fontId="12" fillId="11" borderId="0" xfId="0" applyNumberFormat="1" applyFont="1" applyFill="1" applyAlignment="1">
      <alignment horizontal="left" vertical="center" wrapText="1"/>
    </xf>
    <xf numFmtId="17" fontId="12" fillId="0" borderId="0" xfId="0" applyNumberFormat="1" applyFont="1" applyAlignment="1">
      <alignment horizontal="left" vertical="top" wrapText="1"/>
    </xf>
    <xf numFmtId="17" fontId="12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right" vertical="top" wrapText="1"/>
    </xf>
    <xf numFmtId="0" fontId="12" fillId="0" borderId="0" xfId="0" applyFont="1" applyAlignment="1">
      <alignment horizontal="right" vertical="top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0" fillId="0" borderId="26" xfId="0" applyFont="1" applyBorder="1" applyAlignment="1">
      <alignment horizontal="center"/>
    </xf>
    <xf numFmtId="0" fontId="16" fillId="0" borderId="0" xfId="0" applyFont="1" applyBorder="1" applyAlignment="1">
      <alignment horizontal="center" vertical="top"/>
    </xf>
    <xf numFmtId="0" fontId="16" fillId="0" borderId="38" xfId="0" applyFont="1" applyBorder="1" applyAlignment="1">
      <alignment horizontal="center" vertical="top"/>
    </xf>
    <xf numFmtId="0" fontId="31" fillId="0" borderId="26" xfId="0" applyFont="1" applyBorder="1" applyAlignment="1">
      <alignment horizontal="center"/>
    </xf>
  </cellXfs>
  <cellStyles count="5">
    <cellStyle name="Обычный" xfId="0" builtinId="0"/>
    <cellStyle name="Обычный 2" xfId="2" xr:uid="{00000000-0005-0000-0000-000001000000}"/>
    <cellStyle name="Обычный 2 2" xfId="4" xr:uid="{10EF9123-4128-431E-ACCC-E687D8FE2FB4}"/>
    <cellStyle name="Финансовый" xfId="1" builtinId="3"/>
    <cellStyle name="Финансовый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2381250</xdr:colOff>
      <xdr:row>69</xdr:row>
      <xdr:rowOff>1</xdr:rowOff>
    </xdr:from>
    <xdr:ext cx="1384789" cy="4354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526BDD00-0A71-4E14-8377-5C8D9E3471D5}"/>
                </a:ext>
              </a:extLst>
            </xdr:cNvPr>
            <xdr:cNvSpPr txBox="1"/>
          </xdr:nvSpPr>
          <xdr:spPr>
            <a:xfrm>
              <a:off x="2381250" y="23390680"/>
              <a:ext cx="1384789" cy="4354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ctrlPr>
                          <a:rPr lang="ru-RU" sz="1400" i="1">
                            <a:latin typeface="Cambria Math" panose="02040503050406030204" pitchFamily="18" charset="0"/>
                          </a:rPr>
                        </m:ctrlPr>
                      </m:radPr>
                      <m:deg>
                        <m:r>
                          <m:rPr>
                            <m:brk m:alnAt="7"/>
                          </m:rPr>
                          <a:rPr lang="ru-RU" sz="1400" b="0" i="1">
                            <a:latin typeface="Cambria Math"/>
                          </a:rPr>
                          <m:t>1</m:t>
                        </m:r>
                        <m:r>
                          <a:rPr lang="ru-RU" sz="1400" b="0" i="1">
                            <a:latin typeface="Cambria Math"/>
                          </a:rPr>
                          <m:t>2</m:t>
                        </m:r>
                      </m:deg>
                      <m:e>
                        <m:r>
                          <a:rPr lang="ru-RU" sz="1400" b="0" i="1">
                            <a:latin typeface="Cambria Math"/>
                          </a:rPr>
                          <m:t>1,05</m:t>
                        </m:r>
                        <m:r>
                          <a:rPr lang="ru-RU" sz="1400" b="0" i="1">
                            <a:latin typeface="Cambria Math" panose="02040503050406030204" pitchFamily="18" charset="0"/>
                          </a:rPr>
                          <m:t>5</m:t>
                        </m:r>
                      </m:e>
                    </m:rad>
                  </m:oMath>
                </m:oMathPara>
              </a14:m>
              <a:endParaRPr lang="ru-RU" sz="1400"/>
            </a:p>
            <a:p>
              <a:endParaRPr lang="ru-RU" sz="14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526BDD00-0A71-4E14-8377-5C8D9E3471D5}"/>
                </a:ext>
              </a:extLst>
            </xdr:cNvPr>
            <xdr:cNvSpPr txBox="1"/>
          </xdr:nvSpPr>
          <xdr:spPr>
            <a:xfrm>
              <a:off x="2381250" y="23390680"/>
              <a:ext cx="1384789" cy="4354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i="0">
                  <a:latin typeface="Cambria Math" panose="02040503050406030204" pitchFamily="18" charset="0"/>
                </a:rPr>
                <a:t>√(</a:t>
              </a:r>
              <a:r>
                <a:rPr lang="ru-RU" sz="1400" b="0" i="0">
                  <a:latin typeface="Cambria Math"/>
                </a:rPr>
                <a:t>12</a:t>
              </a:r>
              <a:r>
                <a:rPr lang="ru-RU" sz="1400" b="0" i="0">
                  <a:latin typeface="Cambria Math" panose="02040503050406030204" pitchFamily="18" charset="0"/>
                </a:rPr>
                <a:t>&amp;</a:t>
              </a:r>
              <a:r>
                <a:rPr lang="ru-RU" sz="1400" b="0" i="0">
                  <a:latin typeface="Cambria Math"/>
                </a:rPr>
                <a:t>1,05</a:t>
              </a:r>
              <a:r>
                <a:rPr lang="ru-RU" sz="1400" b="0" i="0">
                  <a:latin typeface="Cambria Math" panose="02040503050406030204" pitchFamily="18" charset="0"/>
                </a:rPr>
                <a:t>5)</a:t>
              </a:r>
              <a:endParaRPr lang="ru-RU" sz="1400"/>
            </a:p>
            <a:p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2748643</xdr:colOff>
      <xdr:row>74</xdr:row>
      <xdr:rowOff>33618</xdr:rowOff>
    </xdr:from>
    <xdr:ext cx="3358564" cy="582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B7D16774-3E10-469D-A555-AD35F814FDDB}"/>
                </a:ext>
              </a:extLst>
            </xdr:cNvPr>
            <xdr:cNvSpPr txBox="1"/>
          </xdr:nvSpPr>
          <xdr:spPr>
            <a:xfrm>
              <a:off x="2748643" y="14606868"/>
              <a:ext cx="3358564" cy="582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lang="ru-RU" sz="180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Times New Roman" pitchFamily="18" charset="0"/>
                        </a:rPr>
                      </m:ctrlPr>
                    </m:sSubPr>
                    <m:e>
                      <m:r>
                        <a:rPr lang="ru-RU" sz="18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Times New Roman" pitchFamily="18" charset="0"/>
                        </a:rPr>
                        <m:t>К</m:t>
                      </m:r>
                    </m:e>
                    <m:sub>
                      <m:r>
                        <a:rPr lang="ru-RU" sz="18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Times New Roman" pitchFamily="18" charset="0"/>
                        </a:rPr>
                        <m:t>инфл.пер.</m:t>
                      </m:r>
                    </m:sub>
                  </m:sSub>
                  <m:r>
                    <a:rPr lang="ru-RU" sz="1800" b="0" i="1">
                      <a:solidFill>
                        <a:schemeClr val="tx1"/>
                      </a:solidFill>
                      <a:latin typeface="Cambria Math" panose="02040503050406030204" pitchFamily="18" charset="0"/>
                      <a:ea typeface="+mn-ea"/>
                      <a:cs typeface="Times New Roman" pitchFamily="18" charset="0"/>
                    </a:rPr>
                    <m:t>=(</m:t>
                  </m:r>
                  <m:f>
                    <m:fPr>
                      <m:ctrlPr>
                        <a:rPr lang="ru-RU" sz="18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Times New Roman" pitchFamily="18" charset="0"/>
                        </a:rPr>
                      </m:ctrlPr>
                    </m:fPr>
                    <m:num>
                      <m:sSup>
                        <m:sSupPr>
                          <m:ctrlPr>
                            <a:rPr lang="ru-RU" sz="18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Times New Roman" pitchFamily="18" charset="0"/>
                            </a:rPr>
                          </m:ctrlPr>
                        </m:sSupPr>
                        <m:e>
                          <m:r>
                            <a:rPr lang="en-US" sz="18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Times New Roman" pitchFamily="18" charset="0"/>
                            </a:rPr>
                            <m:t>1,0</m:t>
                          </m:r>
                          <m:r>
                            <a:rPr lang="ru-RU" sz="18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Times New Roman" pitchFamily="18" charset="0"/>
                            </a:rPr>
                            <m:t>045</m:t>
                          </m:r>
                        </m:e>
                        <m:sup>
                          <m:r>
                            <a:rPr lang="en-US" sz="18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Times New Roman" pitchFamily="18" charset="0"/>
                            </a:rPr>
                            <m:t>12−</m:t>
                          </m:r>
                          <m:r>
                            <a:rPr lang="ru-RU" sz="1800" b="0" i="1">
                              <a:solidFill>
                                <a:schemeClr val="tx1"/>
                              </a:solidFill>
                              <a:latin typeface="Cambria Math" panose="02040503050406030204" pitchFamily="18" charset="0"/>
                              <a:ea typeface="+mn-ea"/>
                              <a:cs typeface="Times New Roman" pitchFamily="18" charset="0"/>
                            </a:rPr>
                            <m:t>8</m:t>
                          </m:r>
                        </m:sup>
                      </m:sSup>
                      <m:r>
                        <a:rPr lang="en-US" sz="18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Times New Roman" pitchFamily="18" charset="0"/>
                        </a:rPr>
                        <m:t>−1</m:t>
                      </m:r>
                    </m:num>
                    <m:den>
                      <m:r>
                        <a:rPr lang="en-US" sz="18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+mn-ea"/>
                          <a:cs typeface="Times New Roman" pitchFamily="18" charset="0"/>
                        </a:rPr>
                        <m:t>2</m:t>
                      </m:r>
                    </m:den>
                  </m:f>
                </m:oMath>
              </a14:m>
              <a:r>
                <a:rPr lang="en-US" sz="1800">
                  <a:solidFill>
                    <a:schemeClr val="tx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) + 1</a:t>
              </a:r>
              <a:r>
                <a:rPr lang="ru-RU" sz="1800">
                  <a:solidFill>
                    <a:schemeClr val="tx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 =</a:t>
              </a:r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B7D16774-3E10-469D-A555-AD35F814FDDB}"/>
                </a:ext>
              </a:extLst>
            </xdr:cNvPr>
            <xdr:cNvSpPr txBox="1"/>
          </xdr:nvSpPr>
          <xdr:spPr>
            <a:xfrm>
              <a:off x="2748643" y="14606868"/>
              <a:ext cx="3358564" cy="582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К_(инфл.пер.)=((〖</a:t>
              </a:r>
              <a:r>
                <a:rPr lang="en-US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1,0</a:t>
              </a:r>
              <a:r>
                <a:rPr lang="ru-RU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045〗^(</a:t>
              </a:r>
              <a:r>
                <a:rPr lang="en-US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12−</a:t>
              </a:r>
              <a:r>
                <a:rPr lang="ru-RU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8)</a:t>
              </a:r>
              <a:r>
                <a:rPr lang="en-US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−1</a:t>
              </a:r>
              <a:r>
                <a:rPr lang="ru-RU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)/</a:t>
              </a:r>
              <a:r>
                <a:rPr lang="en-US" sz="1800" b="0" i="0">
                  <a:solidFill>
                    <a:schemeClr val="tx1"/>
                  </a:solidFill>
                  <a:latin typeface="Cambria Math" panose="02040503050406030204" pitchFamily="18" charset="0"/>
                  <a:ea typeface="+mn-ea"/>
                  <a:cs typeface="Times New Roman" pitchFamily="18" charset="0"/>
                </a:rPr>
                <a:t>2</a:t>
              </a:r>
              <a:r>
                <a:rPr lang="en-US" sz="1800">
                  <a:solidFill>
                    <a:schemeClr val="tx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) + 1</a:t>
              </a:r>
              <a:r>
                <a:rPr lang="ru-RU" sz="1800">
                  <a:solidFill>
                    <a:schemeClr val="tx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 =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9"/>
  <sheetViews>
    <sheetView view="pageBreakPreview" zoomScaleNormal="82" zoomScaleSheetLayoutView="100" workbookViewId="0">
      <selection activeCell="C47" sqref="C47"/>
    </sheetView>
  </sheetViews>
  <sheetFormatPr defaultColWidth="8.85546875" defaultRowHeight="15" x14ac:dyDescent="0.25"/>
  <cols>
    <col min="1" max="1" width="68.28515625" style="32" customWidth="1"/>
    <col min="2" max="6" width="25" style="32" customWidth="1"/>
    <col min="7" max="7" width="28.5703125" style="32" customWidth="1"/>
    <col min="8" max="8" width="17.140625" style="32" customWidth="1"/>
    <col min="9" max="9" width="15.85546875" style="34" hidden="1" customWidth="1"/>
    <col min="10" max="11" width="15.85546875" style="32" hidden="1" customWidth="1"/>
    <col min="12" max="12" width="18.28515625" style="32" hidden="1" customWidth="1"/>
    <col min="13" max="13" width="16.42578125" style="32" hidden="1" customWidth="1"/>
    <col min="14" max="16" width="8.85546875" style="32" hidden="1" customWidth="1"/>
    <col min="17" max="18" width="0" style="32" hidden="1" customWidth="1"/>
    <col min="19" max="19" width="10.42578125" style="32" hidden="1" customWidth="1"/>
    <col min="20" max="20" width="0" style="32" hidden="1" customWidth="1"/>
    <col min="21" max="16384" width="8.85546875" style="32"/>
  </cols>
  <sheetData>
    <row r="1" spans="1:19" ht="15.75" x14ac:dyDescent="0.25">
      <c r="G1" s="33" t="s">
        <v>23</v>
      </c>
    </row>
    <row r="2" spans="1:19" ht="21" customHeight="1" x14ac:dyDescent="0.3">
      <c r="A2" s="243" t="s">
        <v>24</v>
      </c>
      <c r="B2" s="243"/>
      <c r="C2" s="243"/>
      <c r="D2" s="243"/>
      <c r="E2" s="243"/>
      <c r="F2" s="243"/>
      <c r="G2" s="243"/>
    </row>
    <row r="3" spans="1:19" ht="21" customHeight="1" x14ac:dyDescent="0.3">
      <c r="A3" s="244" t="s">
        <v>25</v>
      </c>
      <c r="B3" s="244"/>
      <c r="C3" s="244"/>
      <c r="D3" s="244"/>
      <c r="E3" s="244"/>
      <c r="F3" s="244"/>
      <c r="G3" s="244"/>
    </row>
    <row r="4" spans="1:19" ht="18" customHeight="1" x14ac:dyDescent="0.3">
      <c r="A4" s="115"/>
      <c r="B4" s="115"/>
      <c r="C4" s="115"/>
      <c r="D4" s="115"/>
      <c r="E4" s="115"/>
      <c r="F4" s="115"/>
      <c r="G4" s="115"/>
    </row>
    <row r="5" spans="1:19" ht="18.75" x14ac:dyDescent="0.3">
      <c r="A5" s="35" t="s">
        <v>26</v>
      </c>
      <c r="B5" s="36" t="s">
        <v>27</v>
      </c>
      <c r="C5" s="36"/>
      <c r="D5" s="36"/>
      <c r="E5" s="36"/>
      <c r="F5" s="36"/>
      <c r="G5" s="36"/>
    </row>
    <row r="6" spans="1:19" ht="65.25" customHeight="1" x14ac:dyDescent="0.25">
      <c r="A6" s="35" t="s">
        <v>28</v>
      </c>
      <c r="B6" s="245" t="s">
        <v>49</v>
      </c>
      <c r="C6" s="245"/>
      <c r="D6" s="245"/>
      <c r="E6" s="245"/>
      <c r="F6" s="245"/>
      <c r="G6" s="245"/>
    </row>
    <row r="7" spans="1:19" ht="18.75" customHeight="1" thickBot="1" x14ac:dyDescent="0.3">
      <c r="G7" s="37" t="s">
        <v>2</v>
      </c>
    </row>
    <row r="8" spans="1:19" ht="40.5" customHeight="1" x14ac:dyDescent="0.25">
      <c r="A8" s="246" t="s">
        <v>29</v>
      </c>
      <c r="B8" s="248" t="s">
        <v>59</v>
      </c>
      <c r="C8" s="248"/>
      <c r="D8" s="248"/>
      <c r="E8" s="248"/>
      <c r="F8" s="248"/>
      <c r="G8" s="249" t="s">
        <v>30</v>
      </c>
      <c r="I8" s="235" t="s">
        <v>31</v>
      </c>
      <c r="J8" s="237" t="s">
        <v>32</v>
      </c>
      <c r="K8" s="237" t="s">
        <v>33</v>
      </c>
      <c r="L8" s="239" t="s">
        <v>34</v>
      </c>
      <c r="M8" s="240" t="s">
        <v>35</v>
      </c>
    </row>
    <row r="9" spans="1:19" ht="19.5" customHeight="1" thickBot="1" x14ac:dyDescent="0.3">
      <c r="A9" s="247"/>
      <c r="B9" s="38" t="s">
        <v>60</v>
      </c>
      <c r="C9" s="38">
        <v>2020</v>
      </c>
      <c r="D9" s="38">
        <v>2021</v>
      </c>
      <c r="E9" s="38" t="s">
        <v>14</v>
      </c>
      <c r="F9" s="38" t="s">
        <v>35</v>
      </c>
      <c r="G9" s="250"/>
      <c r="I9" s="236"/>
      <c r="J9" s="238"/>
      <c r="K9" s="238"/>
      <c r="L9" s="239"/>
      <c r="M9" s="241"/>
    </row>
    <row r="10" spans="1:19" ht="15.75" thickBot="1" x14ac:dyDescent="0.3">
      <c r="A10" s="39">
        <v>1</v>
      </c>
      <c r="B10" s="40">
        <v>2</v>
      </c>
      <c r="C10" s="40">
        <v>3</v>
      </c>
      <c r="D10" s="40">
        <v>4</v>
      </c>
      <c r="E10" s="40">
        <v>5</v>
      </c>
      <c r="F10" s="40">
        <v>6</v>
      </c>
      <c r="G10" s="41">
        <v>7</v>
      </c>
      <c r="I10" s="42"/>
      <c r="J10" s="43"/>
      <c r="K10" s="43"/>
      <c r="L10" s="43"/>
      <c r="M10" s="44"/>
      <c r="Q10" s="32" t="s">
        <v>61</v>
      </c>
      <c r="S10" s="49">
        <f>K13+K16</f>
        <v>6827.23</v>
      </c>
    </row>
    <row r="11" spans="1:19" ht="19.5" thickBot="1" x14ac:dyDescent="0.3">
      <c r="A11" s="45" t="s">
        <v>36</v>
      </c>
      <c r="B11" s="46">
        <f>B12+B30</f>
        <v>5430.6030000000001</v>
      </c>
      <c r="C11" s="47">
        <f>C12+C30</f>
        <v>2582.23</v>
      </c>
      <c r="D11" s="47">
        <f>D12+D30</f>
        <v>16318.45</v>
      </c>
      <c r="E11" s="47">
        <f>E12+E30</f>
        <v>2559.9870000000005</v>
      </c>
      <c r="F11" s="47">
        <f>F12+F30</f>
        <v>26891.27</v>
      </c>
      <c r="G11" s="48"/>
      <c r="H11" s="49"/>
      <c r="I11" s="50"/>
      <c r="J11" s="51"/>
      <c r="K11" s="51">
        <f>ROUND(K12+K30,2)</f>
        <v>22409.5</v>
      </c>
      <c r="L11" s="51">
        <f>ROUND(L12+L30,2)</f>
        <v>4481.76</v>
      </c>
      <c r="M11" s="51">
        <f>ROUND(M12+M30,2)</f>
        <v>26891.27</v>
      </c>
      <c r="Q11" s="32" t="s">
        <v>62</v>
      </c>
      <c r="S11" s="49">
        <f>K14+K17</f>
        <v>6557.1499999999987</v>
      </c>
    </row>
    <row r="12" spans="1:19" ht="18.75" x14ac:dyDescent="0.25">
      <c r="A12" s="52" t="s">
        <v>37</v>
      </c>
      <c r="B12" s="53">
        <f>B15+B14+B13</f>
        <v>0</v>
      </c>
      <c r="C12" s="53">
        <f>C15+C14+C13</f>
        <v>2582.23</v>
      </c>
      <c r="D12" s="53">
        <f>D15+D14+D13</f>
        <v>16318.45</v>
      </c>
      <c r="E12" s="53">
        <f>E15+E14+E13</f>
        <v>467.8</v>
      </c>
      <c r="F12" s="53">
        <f>F15+F14+F13</f>
        <v>19368.48</v>
      </c>
      <c r="G12" s="54"/>
      <c r="I12" s="55"/>
      <c r="J12" s="56"/>
      <c r="K12" s="56">
        <f t="shared" ref="K12" si="0">SUM(K13:K15)</f>
        <v>16140.513689320387</v>
      </c>
      <c r="L12" s="56">
        <f>SUM(L13:L15)</f>
        <v>3227.96</v>
      </c>
      <c r="M12" s="56">
        <f>SUM(M13:M15)</f>
        <v>19368.48</v>
      </c>
      <c r="Q12" s="32" t="s">
        <v>63</v>
      </c>
      <c r="S12" s="49">
        <f>K37+K39+K40+K43+K45+K46+K59+K58+K56+K53+K52+K50+K28+K27+K25+K22+K21+K19</f>
        <v>186907.53000000009</v>
      </c>
    </row>
    <row r="13" spans="1:19" s="60" customFormat="1" ht="18.75" x14ac:dyDescent="0.25">
      <c r="A13" s="57" t="s">
        <v>38</v>
      </c>
      <c r="B13" s="58">
        <v>0</v>
      </c>
      <c r="C13" s="58">
        <f>ROUND(M13*C35/F35,2)</f>
        <v>82.23</v>
      </c>
      <c r="D13" s="58">
        <f>M13-C13</f>
        <v>7871.8300000000008</v>
      </c>
      <c r="E13" s="58">
        <v>0</v>
      </c>
      <c r="F13" s="58">
        <f>SUM(B13:E13)</f>
        <v>7954.06</v>
      </c>
      <c r="G13" s="59"/>
      <c r="I13" s="55">
        <v>535.41</v>
      </c>
      <c r="J13" s="61">
        <f>K13/I13</f>
        <v>12.380005305796864</v>
      </c>
      <c r="K13" s="61">
        <f>6827.23/1.03</f>
        <v>6628.3786407766984</v>
      </c>
      <c r="L13" s="61">
        <f>ROUND(K13*20%,2)</f>
        <v>1325.68</v>
      </c>
      <c r="M13" s="62">
        <f>ROUND(K13+L13,2)</f>
        <v>7954.06</v>
      </c>
      <c r="Q13" s="60" t="s">
        <v>12</v>
      </c>
      <c r="S13" s="63">
        <f>K26+K44+K57</f>
        <v>941.19</v>
      </c>
    </row>
    <row r="14" spans="1:19" s="60" customFormat="1" ht="18.75" x14ac:dyDescent="0.25">
      <c r="A14" s="57" t="s">
        <v>9</v>
      </c>
      <c r="B14" s="58">
        <v>0</v>
      </c>
      <c r="C14" s="58">
        <v>2500</v>
      </c>
      <c r="D14" s="58">
        <f>M14-C14</f>
        <v>5139.3999999999996</v>
      </c>
      <c r="E14" s="58">
        <v>0</v>
      </c>
      <c r="F14" s="58">
        <f>SUM(B14:E14)</f>
        <v>7639.4</v>
      </c>
      <c r="G14" s="59"/>
      <c r="H14" s="63"/>
      <c r="I14" s="64">
        <v>1249.71</v>
      </c>
      <c r="J14" s="65">
        <f>K14/I14</f>
        <v>5.0941138732535451</v>
      </c>
      <c r="K14" s="61">
        <f>6557.15/1.03</f>
        <v>6366.1650485436885</v>
      </c>
      <c r="L14" s="61">
        <f>ROUND(K14*20%,2)</f>
        <v>1273.23</v>
      </c>
      <c r="M14" s="62">
        <f>ROUND(K14+L14,2)</f>
        <v>7639.4</v>
      </c>
      <c r="Q14" s="60" t="s">
        <v>64</v>
      </c>
      <c r="S14" s="63">
        <f>K13+K14+K16+K17+K18+K20+K23+K24+K29+K31+K32+K36+K38+K41+K42+K47+K49+K51+K54+K55+K60</f>
        <v>21057.518155339803</v>
      </c>
    </row>
    <row r="15" spans="1:19" s="60" customFormat="1" ht="18.75" x14ac:dyDescent="0.25">
      <c r="A15" s="66" t="s">
        <v>39</v>
      </c>
      <c r="B15" s="67">
        <v>0</v>
      </c>
      <c r="C15" s="67">
        <v>0</v>
      </c>
      <c r="D15" s="67">
        <f>M15-E15</f>
        <v>3307.22</v>
      </c>
      <c r="E15" s="67">
        <f>M16+M17</f>
        <v>467.8</v>
      </c>
      <c r="F15" s="67">
        <f>SUM(B15:E15)</f>
        <v>3775.02</v>
      </c>
      <c r="G15" s="59"/>
      <c r="I15" s="55"/>
      <c r="J15" s="61"/>
      <c r="K15" s="69">
        <f>ROUND(SUM(K16:K29),2)</f>
        <v>3145.97</v>
      </c>
      <c r="L15" s="69">
        <f>ROUND(SUM(L16:L29),2)</f>
        <v>629.04999999999995</v>
      </c>
      <c r="M15" s="69">
        <f>ROUND(SUM(M16:M29),2)</f>
        <v>3775.02</v>
      </c>
      <c r="Q15" s="60" t="s">
        <v>34</v>
      </c>
    </row>
    <row r="16" spans="1:19" s="60" customFormat="1" ht="18.75" hidden="1" x14ac:dyDescent="0.25">
      <c r="A16" s="66" t="s">
        <v>40</v>
      </c>
      <c r="B16" s="67"/>
      <c r="C16" s="67"/>
      <c r="D16" s="67"/>
      <c r="E16" s="67"/>
      <c r="F16" s="67"/>
      <c r="G16" s="59"/>
      <c r="I16" s="68"/>
      <c r="J16" s="69"/>
      <c r="K16" s="69">
        <f>K13*0.03</f>
        <v>198.85135922330093</v>
      </c>
      <c r="L16" s="70">
        <f>ROUND(K16*20%,2)</f>
        <v>39.770000000000003</v>
      </c>
      <c r="M16" s="62">
        <f>ROUND(K16+L16,2)</f>
        <v>238.62</v>
      </c>
    </row>
    <row r="17" spans="1:13" s="60" customFormat="1" ht="18.75" hidden="1" x14ac:dyDescent="0.25">
      <c r="A17" s="66" t="s">
        <v>41</v>
      </c>
      <c r="B17" s="67"/>
      <c r="C17" s="67"/>
      <c r="D17" s="67"/>
      <c r="E17" s="67"/>
      <c r="F17" s="67"/>
      <c r="G17" s="59"/>
      <c r="I17" s="68"/>
      <c r="J17" s="69"/>
      <c r="K17" s="69">
        <f>K14*0.03</f>
        <v>190.98495145631065</v>
      </c>
      <c r="L17" s="70">
        <f t="shared" ref="L17:L29" si="1">ROUND(K17*20%,2)</f>
        <v>38.200000000000003</v>
      </c>
      <c r="M17" s="62">
        <f t="shared" ref="M17:M29" si="2">ROUND(K17+L17,2)</f>
        <v>229.18</v>
      </c>
    </row>
    <row r="18" spans="1:13" s="60" customFormat="1" ht="18.75" hidden="1" x14ac:dyDescent="0.3">
      <c r="A18" s="71" t="s">
        <v>50</v>
      </c>
      <c r="B18" s="67"/>
      <c r="C18" s="67"/>
      <c r="D18" s="67"/>
      <c r="E18" s="67"/>
      <c r="F18" s="67"/>
      <c r="G18" s="59"/>
      <c r="I18" s="68"/>
      <c r="J18" s="69"/>
      <c r="K18" s="69">
        <f t="shared" ref="K18:K29" si="3">K49</f>
        <v>2.37</v>
      </c>
      <c r="L18" s="70">
        <f t="shared" si="1"/>
        <v>0.47</v>
      </c>
      <c r="M18" s="62">
        <f t="shared" si="2"/>
        <v>2.84</v>
      </c>
    </row>
    <row r="19" spans="1:13" s="60" customFormat="1" ht="18.75" hidden="1" x14ac:dyDescent="0.3">
      <c r="A19" s="71" t="s">
        <v>51</v>
      </c>
      <c r="B19" s="67"/>
      <c r="C19" s="67"/>
      <c r="D19" s="67"/>
      <c r="E19" s="67"/>
      <c r="F19" s="67"/>
      <c r="G19" s="59"/>
      <c r="I19" s="68"/>
      <c r="J19" s="69"/>
      <c r="K19" s="69">
        <f t="shared" si="3"/>
        <v>42.79</v>
      </c>
      <c r="L19" s="70">
        <f t="shared" si="1"/>
        <v>8.56</v>
      </c>
      <c r="M19" s="62">
        <f t="shared" si="2"/>
        <v>51.35</v>
      </c>
    </row>
    <row r="20" spans="1:13" s="60" customFormat="1" ht="18.75" hidden="1" x14ac:dyDescent="0.3">
      <c r="A20" s="71" t="s">
        <v>52</v>
      </c>
      <c r="B20" s="67"/>
      <c r="C20" s="67"/>
      <c r="D20" s="67"/>
      <c r="E20" s="67"/>
      <c r="F20" s="67"/>
      <c r="G20" s="59"/>
      <c r="I20" s="68"/>
      <c r="J20" s="69"/>
      <c r="K20" s="69">
        <f t="shared" si="3"/>
        <v>0.06</v>
      </c>
      <c r="L20" s="70">
        <f t="shared" si="1"/>
        <v>0.01</v>
      </c>
      <c r="M20" s="62">
        <f t="shared" si="2"/>
        <v>7.0000000000000007E-2</v>
      </c>
    </row>
    <row r="21" spans="1:13" s="60" customFormat="1" ht="37.5" hidden="1" x14ac:dyDescent="0.3">
      <c r="A21" s="71" t="s">
        <v>53</v>
      </c>
      <c r="B21" s="67"/>
      <c r="C21" s="67"/>
      <c r="D21" s="67"/>
      <c r="E21" s="67"/>
      <c r="F21" s="67"/>
      <c r="G21" s="59"/>
      <c r="I21" s="68"/>
      <c r="J21" s="69"/>
      <c r="K21" s="69">
        <f t="shared" si="3"/>
        <v>0.92</v>
      </c>
      <c r="L21" s="70">
        <f t="shared" si="1"/>
        <v>0.18</v>
      </c>
      <c r="M21" s="62">
        <f t="shared" si="2"/>
        <v>1.1000000000000001</v>
      </c>
    </row>
    <row r="22" spans="1:13" s="60" customFormat="1" ht="18.75" hidden="1" x14ac:dyDescent="0.3">
      <c r="A22" s="71" t="s">
        <v>54</v>
      </c>
      <c r="B22" s="67"/>
      <c r="C22" s="67"/>
      <c r="D22" s="67"/>
      <c r="E22" s="67"/>
      <c r="F22" s="67"/>
      <c r="G22" s="59"/>
      <c r="I22" s="68"/>
      <c r="J22" s="69"/>
      <c r="K22" s="69">
        <f t="shared" si="3"/>
        <v>21.89</v>
      </c>
      <c r="L22" s="70">
        <f t="shared" si="1"/>
        <v>4.38</v>
      </c>
      <c r="M22" s="62">
        <f t="shared" si="2"/>
        <v>26.27</v>
      </c>
    </row>
    <row r="23" spans="1:13" s="60" customFormat="1" ht="18.75" hidden="1" x14ac:dyDescent="0.3">
      <c r="A23" s="71" t="s">
        <v>55</v>
      </c>
      <c r="B23" s="67"/>
      <c r="C23" s="67"/>
      <c r="D23" s="67"/>
      <c r="E23" s="67"/>
      <c r="F23" s="67"/>
      <c r="G23" s="59"/>
      <c r="I23" s="68"/>
      <c r="J23" s="69"/>
      <c r="K23" s="69">
        <f t="shared" si="3"/>
        <v>0.68</v>
      </c>
      <c r="L23" s="70">
        <v>0</v>
      </c>
      <c r="M23" s="62">
        <f t="shared" si="2"/>
        <v>0.68</v>
      </c>
    </row>
    <row r="24" spans="1:13" s="60" customFormat="1" ht="18.75" hidden="1" x14ac:dyDescent="0.3">
      <c r="A24" s="71" t="s">
        <v>56</v>
      </c>
      <c r="B24" s="67"/>
      <c r="C24" s="67"/>
      <c r="D24" s="67"/>
      <c r="E24" s="67"/>
      <c r="F24" s="67"/>
      <c r="G24" s="59"/>
      <c r="I24" s="68"/>
      <c r="J24" s="69"/>
      <c r="K24" s="69">
        <f t="shared" si="3"/>
        <v>0.06</v>
      </c>
      <c r="L24" s="70">
        <f t="shared" si="1"/>
        <v>0.01</v>
      </c>
      <c r="M24" s="62">
        <f t="shared" si="2"/>
        <v>7.0000000000000007E-2</v>
      </c>
    </row>
    <row r="25" spans="1:13" s="60" customFormat="1" ht="18.75" hidden="1" x14ac:dyDescent="0.3">
      <c r="A25" s="71" t="s">
        <v>11</v>
      </c>
      <c r="B25" s="67"/>
      <c r="C25" s="67"/>
      <c r="D25" s="67"/>
      <c r="E25" s="67"/>
      <c r="F25" s="67"/>
      <c r="G25" s="59"/>
      <c r="I25" s="68"/>
      <c r="J25" s="69"/>
      <c r="K25" s="69">
        <f t="shared" si="3"/>
        <v>2410.3150000000001</v>
      </c>
      <c r="L25" s="70">
        <f t="shared" si="1"/>
        <v>482.06</v>
      </c>
      <c r="M25" s="62">
        <f t="shared" si="2"/>
        <v>2892.38</v>
      </c>
    </row>
    <row r="26" spans="1:13" s="60" customFormat="1" ht="18.75" hidden="1" x14ac:dyDescent="0.3">
      <c r="A26" s="71" t="s">
        <v>12</v>
      </c>
      <c r="B26" s="67"/>
      <c r="C26" s="67"/>
      <c r="D26" s="67"/>
      <c r="E26" s="67"/>
      <c r="F26" s="67"/>
      <c r="G26" s="59"/>
      <c r="I26" s="68"/>
      <c r="J26" s="69"/>
      <c r="K26" s="69">
        <f t="shared" si="3"/>
        <v>13.71</v>
      </c>
      <c r="L26" s="70">
        <f t="shared" si="1"/>
        <v>2.74</v>
      </c>
      <c r="M26" s="62">
        <f t="shared" si="2"/>
        <v>16.45</v>
      </c>
    </row>
    <row r="27" spans="1:13" s="60" customFormat="1" ht="18.75" hidden="1" x14ac:dyDescent="0.3">
      <c r="A27" s="71" t="s">
        <v>13</v>
      </c>
      <c r="B27" s="67"/>
      <c r="C27" s="67"/>
      <c r="D27" s="67"/>
      <c r="E27" s="67"/>
      <c r="F27" s="67"/>
      <c r="G27" s="59"/>
      <c r="I27" s="68"/>
      <c r="J27" s="69"/>
      <c r="K27" s="69">
        <f t="shared" si="3"/>
        <v>200.05</v>
      </c>
      <c r="L27" s="70">
        <f t="shared" si="1"/>
        <v>40.01</v>
      </c>
      <c r="M27" s="62">
        <f t="shared" si="2"/>
        <v>240.06</v>
      </c>
    </row>
    <row r="28" spans="1:13" s="60" customFormat="1" ht="37.5" hidden="1" x14ac:dyDescent="0.3">
      <c r="A28" s="71" t="s">
        <v>57</v>
      </c>
      <c r="B28" s="67"/>
      <c r="C28" s="67"/>
      <c r="D28" s="67"/>
      <c r="E28" s="67"/>
      <c r="F28" s="67"/>
      <c r="G28" s="59"/>
      <c r="I28" s="68"/>
      <c r="J28" s="69"/>
      <c r="K28" s="69">
        <f t="shared" si="3"/>
        <v>46.01</v>
      </c>
      <c r="L28" s="70">
        <f t="shared" si="1"/>
        <v>9.1999999999999993</v>
      </c>
      <c r="M28" s="62">
        <f t="shared" si="2"/>
        <v>55.21</v>
      </c>
    </row>
    <row r="29" spans="1:13" s="60" customFormat="1" ht="18.75" hidden="1" x14ac:dyDescent="0.3">
      <c r="A29" s="71" t="s">
        <v>58</v>
      </c>
      <c r="B29" s="67"/>
      <c r="C29" s="67"/>
      <c r="D29" s="67"/>
      <c r="E29" s="67"/>
      <c r="F29" s="67"/>
      <c r="G29" s="59"/>
      <c r="I29" s="68"/>
      <c r="J29" s="69"/>
      <c r="K29" s="69">
        <f t="shared" si="3"/>
        <v>17.28</v>
      </c>
      <c r="L29" s="70">
        <f t="shared" si="1"/>
        <v>3.46</v>
      </c>
      <c r="M29" s="62">
        <f t="shared" si="2"/>
        <v>20.74</v>
      </c>
    </row>
    <row r="30" spans="1:13" s="75" customFormat="1" ht="18.75" x14ac:dyDescent="0.25">
      <c r="A30" s="72" t="s">
        <v>42</v>
      </c>
      <c r="B30" s="73">
        <f>SUM(B31:B32)</f>
        <v>5430.6030000000001</v>
      </c>
      <c r="C30" s="73">
        <f>SUM(C31:C32)</f>
        <v>0</v>
      </c>
      <c r="D30" s="73">
        <f>SUM(D31:D32)</f>
        <v>0</v>
      </c>
      <c r="E30" s="73">
        <f>SUM(E31:E32)</f>
        <v>2092.1870000000004</v>
      </c>
      <c r="F30" s="73">
        <f>SUM(F31:F32)</f>
        <v>7522.79</v>
      </c>
      <c r="G30" s="74"/>
      <c r="I30" s="76"/>
      <c r="J30" s="76"/>
      <c r="K30" s="76">
        <f>ROUND(K31+K32,2)</f>
        <v>6268.99</v>
      </c>
      <c r="L30" s="76">
        <f>ROUND(L31+L32,2)</f>
        <v>1253.8</v>
      </c>
      <c r="M30" s="76">
        <f>ROUND(M31+M32,2)</f>
        <v>7522.79</v>
      </c>
    </row>
    <row r="31" spans="1:13" s="60" customFormat="1" ht="18.75" x14ac:dyDescent="0.25">
      <c r="A31" s="57" t="s">
        <v>43</v>
      </c>
      <c r="B31" s="58">
        <v>5430.6030000000001</v>
      </c>
      <c r="C31" s="77">
        <v>0</v>
      </c>
      <c r="D31" s="77">
        <v>0</v>
      </c>
      <c r="E31" s="58">
        <f>M31-B31-C31-D31</f>
        <v>1873.0770000000002</v>
      </c>
      <c r="F31" s="58">
        <f>SUM(B31:E31)</f>
        <v>7303.68</v>
      </c>
      <c r="G31" s="59"/>
      <c r="I31" s="55"/>
      <c r="J31" s="61"/>
      <c r="K31" s="61">
        <f>(4371.43+1876.96+20.6)/1.03</f>
        <v>6086.3980582524273</v>
      </c>
      <c r="L31" s="61">
        <f>ROUND(K31*20%,2)</f>
        <v>1217.28</v>
      </c>
      <c r="M31" s="62">
        <f>ROUND(K31+L31,2)</f>
        <v>7303.68</v>
      </c>
    </row>
    <row r="32" spans="1:13" s="60" customFormat="1" ht="18.75" x14ac:dyDescent="0.25">
      <c r="A32" s="66" t="s">
        <v>44</v>
      </c>
      <c r="B32" s="67">
        <v>0</v>
      </c>
      <c r="C32" s="67">
        <v>0</v>
      </c>
      <c r="D32" s="67">
        <v>0</v>
      </c>
      <c r="E32" s="67">
        <f>M32</f>
        <v>219.11</v>
      </c>
      <c r="F32" s="67">
        <f>SUM(B32:E32)</f>
        <v>219.11</v>
      </c>
      <c r="G32" s="59"/>
      <c r="I32" s="55"/>
      <c r="J32" s="61"/>
      <c r="K32" s="61">
        <f>ROUND((K31)*0.03,2)</f>
        <v>182.59</v>
      </c>
      <c r="L32" s="61">
        <f>ROUND(K32*20%,2)</f>
        <v>36.520000000000003</v>
      </c>
      <c r="M32" s="62">
        <f>K32+L32</f>
        <v>219.11</v>
      </c>
    </row>
    <row r="33" spans="1:13" s="60" customFormat="1" ht="19.5" thickBot="1" x14ac:dyDescent="0.3">
      <c r="A33" s="78"/>
      <c r="B33" s="79"/>
      <c r="C33" s="80">
        <f>ROUND(C11/(F11-B11-E11),5)</f>
        <v>0.13661999999999999</v>
      </c>
      <c r="D33" s="80">
        <f>ROUND(D11/(F11-B11-E11),5)</f>
        <v>0.86338000000000004</v>
      </c>
      <c r="E33" s="120"/>
      <c r="F33" s="79"/>
      <c r="G33" s="81"/>
      <c r="I33" s="55"/>
      <c r="J33" s="61"/>
      <c r="K33" s="61"/>
      <c r="L33" s="61"/>
      <c r="M33" s="62"/>
    </row>
    <row r="34" spans="1:13" s="83" customFormat="1" ht="19.5" thickBot="1" x14ac:dyDescent="0.3">
      <c r="A34" s="45" t="s">
        <v>45</v>
      </c>
      <c r="B34" s="47">
        <f>B35+B61</f>
        <v>0</v>
      </c>
      <c r="C34" s="82">
        <f>C35+C61</f>
        <v>2313.4839999999999</v>
      </c>
      <c r="D34" s="82">
        <f>D35+D61</f>
        <v>221473.37599999999</v>
      </c>
      <c r="E34" s="46">
        <f>E35+E61</f>
        <v>0</v>
      </c>
      <c r="F34" s="47">
        <f>F35+F61</f>
        <v>223786.86000000002</v>
      </c>
      <c r="G34" s="48"/>
      <c r="I34" s="84"/>
      <c r="J34" s="84"/>
      <c r="K34" s="84">
        <f>ROUND(K35+K61,2)</f>
        <v>4584.79</v>
      </c>
      <c r="L34" s="84">
        <f>ROUND(L35+L61,2)</f>
        <v>37290.120000000003</v>
      </c>
      <c r="M34" s="84">
        <f>ROUND(M35+M61,2)</f>
        <v>223786.86</v>
      </c>
    </row>
    <row r="35" spans="1:13" s="88" customFormat="1" ht="18.75" x14ac:dyDescent="0.25">
      <c r="A35" s="85" t="s">
        <v>37</v>
      </c>
      <c r="B35" s="86">
        <f>SUM(B36:B48)</f>
        <v>0</v>
      </c>
      <c r="C35" s="86">
        <f>SUM(C36:C48)</f>
        <v>2313.4839999999999</v>
      </c>
      <c r="D35" s="86">
        <f>SUM(D36:D48)</f>
        <v>221473.37599999999</v>
      </c>
      <c r="E35" s="86">
        <f>SUM(E36:E48)</f>
        <v>0</v>
      </c>
      <c r="F35" s="86">
        <f>SUM(F36:F48)</f>
        <v>223786.86000000002</v>
      </c>
      <c r="G35" s="87"/>
      <c r="I35" s="89"/>
      <c r="J35" s="89"/>
      <c r="K35" s="89">
        <f>SUM(K36:K42)</f>
        <v>4584.7851456310682</v>
      </c>
      <c r="L35" s="89">
        <f>SUM(L36:L48)</f>
        <v>37290.12000000001</v>
      </c>
      <c r="M35" s="89">
        <f>SUM(M36:M48)</f>
        <v>223786.86000000002</v>
      </c>
    </row>
    <row r="36" spans="1:13" s="60" customFormat="1" ht="20.25" customHeight="1" x14ac:dyDescent="0.3">
      <c r="A36" s="90" t="s">
        <v>50</v>
      </c>
      <c r="B36" s="58">
        <v>0</v>
      </c>
      <c r="C36" s="77">
        <f>M36</f>
        <v>189.66</v>
      </c>
      <c r="D36" s="77">
        <f>ROUND(M36-C36,3)</f>
        <v>0</v>
      </c>
      <c r="E36" s="58">
        <v>0</v>
      </c>
      <c r="F36" s="58">
        <f>SUM(B36:E36)</f>
        <v>189.66</v>
      </c>
      <c r="G36" s="59"/>
      <c r="I36" s="55">
        <v>28.7</v>
      </c>
      <c r="J36" s="61">
        <f>1.266*4.35</f>
        <v>5.5070999999999994</v>
      </c>
      <c r="K36" s="61">
        <f>ROUND(I36*J36,2)</f>
        <v>158.05000000000001</v>
      </c>
      <c r="L36" s="61">
        <f>ROUND(K36*20%,2)</f>
        <v>31.61</v>
      </c>
      <c r="M36" s="62">
        <f t="shared" ref="M36:M40" si="4">ROUND(K36+L36,2)</f>
        <v>189.66</v>
      </c>
    </row>
    <row r="37" spans="1:13" s="60" customFormat="1" ht="18.75" x14ac:dyDescent="0.3">
      <c r="A37" s="90" t="s">
        <v>51</v>
      </c>
      <c r="B37" s="58">
        <v>0</v>
      </c>
      <c r="C37" s="77">
        <v>229.12</v>
      </c>
      <c r="D37" s="77">
        <f t="shared" ref="D37:D48" si="5">ROUND(M37-C37,3)</f>
        <v>3194.28</v>
      </c>
      <c r="E37" s="58">
        <v>0</v>
      </c>
      <c r="F37" s="58">
        <f t="shared" ref="F37:F47" si="6">SUM(B37:E37)</f>
        <v>3423.4</v>
      </c>
      <c r="G37" s="59"/>
      <c r="I37" s="55">
        <v>350.04</v>
      </c>
      <c r="J37" s="61">
        <v>8.15</v>
      </c>
      <c r="K37" s="61">
        <f>ROUND(I37*J37,2)</f>
        <v>2852.83</v>
      </c>
      <c r="L37" s="61">
        <f t="shared" ref="L37:L47" si="7">ROUND(K37*20%,2)</f>
        <v>570.57000000000005</v>
      </c>
      <c r="M37" s="62">
        <f t="shared" si="4"/>
        <v>3423.4</v>
      </c>
    </row>
    <row r="38" spans="1:13" s="60" customFormat="1" ht="18.75" x14ac:dyDescent="0.3">
      <c r="A38" s="90" t="s">
        <v>52</v>
      </c>
      <c r="B38" s="58">
        <v>0</v>
      </c>
      <c r="C38" s="77">
        <f>M38</f>
        <v>4.6900000000000004</v>
      </c>
      <c r="D38" s="77">
        <f t="shared" si="5"/>
        <v>0</v>
      </c>
      <c r="E38" s="58">
        <v>0</v>
      </c>
      <c r="F38" s="58">
        <f t="shared" si="6"/>
        <v>4.6900000000000004</v>
      </c>
      <c r="G38" s="59"/>
      <c r="I38" s="55">
        <v>0.71</v>
      </c>
      <c r="J38" s="61">
        <f>1.266*4.35</f>
        <v>5.5070999999999994</v>
      </c>
      <c r="K38" s="61">
        <f t="shared" ref="K38" si="8">ROUND(I38*J38,2)</f>
        <v>3.91</v>
      </c>
      <c r="L38" s="61">
        <f t="shared" si="7"/>
        <v>0.78</v>
      </c>
      <c r="M38" s="62">
        <f t="shared" si="4"/>
        <v>4.6900000000000004</v>
      </c>
    </row>
    <row r="39" spans="1:13" s="60" customFormat="1" ht="37.5" x14ac:dyDescent="0.3">
      <c r="A39" s="90" t="s">
        <v>53</v>
      </c>
      <c r="B39" s="58">
        <v>0</v>
      </c>
      <c r="C39" s="77">
        <f>M39/2</f>
        <v>36.869999999999997</v>
      </c>
      <c r="D39" s="77">
        <f t="shared" si="5"/>
        <v>36.869999999999997</v>
      </c>
      <c r="E39" s="58">
        <v>0</v>
      </c>
      <c r="F39" s="58">
        <f>SUM(B39:E39)</f>
        <v>73.739999999999995</v>
      </c>
      <c r="G39" s="59"/>
      <c r="I39" s="55">
        <v>7.54</v>
      </c>
      <c r="J39" s="61">
        <v>8.15</v>
      </c>
      <c r="K39" s="61">
        <f>ROUND(I39*J39,2)</f>
        <v>61.45</v>
      </c>
      <c r="L39" s="61">
        <f t="shared" si="7"/>
        <v>12.29</v>
      </c>
      <c r="M39" s="62">
        <f t="shared" si="4"/>
        <v>73.739999999999995</v>
      </c>
    </row>
    <row r="40" spans="1:13" s="60" customFormat="1" ht="18.75" x14ac:dyDescent="0.3">
      <c r="A40" s="90" t="s">
        <v>54</v>
      </c>
      <c r="B40" s="58">
        <v>0</v>
      </c>
      <c r="C40" s="77">
        <v>1750.91</v>
      </c>
      <c r="D40" s="77">
        <f t="shared" si="5"/>
        <v>0</v>
      </c>
      <c r="E40" s="58">
        <v>0</v>
      </c>
      <c r="F40" s="58">
        <f>SUM(B40:E40)</f>
        <v>1750.91</v>
      </c>
      <c r="G40" s="59"/>
      <c r="I40" s="55">
        <v>179.03</v>
      </c>
      <c r="J40" s="61">
        <v>8.15</v>
      </c>
      <c r="K40" s="61">
        <f>ROUND(I40*J40,2)</f>
        <v>1459.09</v>
      </c>
      <c r="L40" s="61">
        <f t="shared" si="7"/>
        <v>291.82</v>
      </c>
      <c r="M40" s="62">
        <f t="shared" si="4"/>
        <v>1750.91</v>
      </c>
    </row>
    <row r="41" spans="1:13" s="60" customFormat="1" ht="20.25" customHeight="1" x14ac:dyDescent="0.3">
      <c r="A41" s="90" t="s">
        <v>55</v>
      </c>
      <c r="B41" s="58">
        <v>0</v>
      </c>
      <c r="C41" s="77">
        <v>0</v>
      </c>
      <c r="D41" s="77">
        <f t="shared" si="5"/>
        <v>45.5</v>
      </c>
      <c r="E41" s="58">
        <v>0</v>
      </c>
      <c r="F41" s="58">
        <f>SUM(B41:E41)</f>
        <v>45.5</v>
      </c>
      <c r="G41" s="59"/>
      <c r="I41" s="55">
        <v>3.95</v>
      </c>
      <c r="J41" s="61">
        <f>K41/I41</f>
        <v>11.51775838761214</v>
      </c>
      <c r="K41" s="61">
        <f>46.86/1.03</f>
        <v>45.495145631067956</v>
      </c>
      <c r="L41" s="61">
        <v>0</v>
      </c>
      <c r="M41" s="62">
        <f>ROUND(K41+L41,2)</f>
        <v>45.5</v>
      </c>
    </row>
    <row r="42" spans="1:13" s="60" customFormat="1" ht="37.5" x14ac:dyDescent="0.3">
      <c r="A42" s="90" t="s">
        <v>56</v>
      </c>
      <c r="B42" s="58">
        <v>0</v>
      </c>
      <c r="C42" s="77">
        <v>0</v>
      </c>
      <c r="D42" s="77">
        <f t="shared" si="5"/>
        <v>4.75</v>
      </c>
      <c r="E42" s="58">
        <v>0</v>
      </c>
      <c r="F42" s="58">
        <f t="shared" si="6"/>
        <v>4.75</v>
      </c>
      <c r="G42" s="59"/>
      <c r="I42" s="55">
        <v>0.32</v>
      </c>
      <c r="J42" s="61">
        <f>K42/I42</f>
        <v>12.375</v>
      </c>
      <c r="K42" s="61">
        <f>ROUND(4.08/1.03,2)</f>
        <v>3.96</v>
      </c>
      <c r="L42" s="61">
        <f t="shared" si="7"/>
        <v>0.79</v>
      </c>
      <c r="M42" s="62">
        <f t="shared" ref="M42:M47" si="9">ROUND(K42+L42,2)</f>
        <v>4.75</v>
      </c>
    </row>
    <row r="43" spans="1:13" s="60" customFormat="1" ht="18.75" x14ac:dyDescent="0.3">
      <c r="A43" s="90" t="s">
        <v>11</v>
      </c>
      <c r="B43" s="58">
        <v>0</v>
      </c>
      <c r="C43" s="77">
        <v>0</v>
      </c>
      <c r="D43" s="77">
        <f t="shared" si="5"/>
        <v>192823.66</v>
      </c>
      <c r="E43" s="58">
        <v>0</v>
      </c>
      <c r="F43" s="58">
        <f t="shared" si="6"/>
        <v>192823.66</v>
      </c>
      <c r="G43" s="59"/>
      <c r="I43" s="55">
        <f>6713.56+3253.44+807.36+75.21+4.67+7693.54+15.15+491.44+22.41+45.24+117.84+299.79+24.74+8.31+103.94+39.48</f>
        <v>19716.120000000003</v>
      </c>
      <c r="J43" s="61">
        <v>8.15</v>
      </c>
      <c r="K43" s="61">
        <f>ROUND(I43*J43,2)</f>
        <v>160686.38</v>
      </c>
      <c r="L43" s="61">
        <f>ROUND(K43*20%,2)</f>
        <v>32137.279999999999</v>
      </c>
      <c r="M43" s="62">
        <f t="shared" si="9"/>
        <v>192823.66</v>
      </c>
    </row>
    <row r="44" spans="1:13" s="60" customFormat="1" ht="18.75" x14ac:dyDescent="0.3">
      <c r="A44" s="90" t="s">
        <v>12</v>
      </c>
      <c r="B44" s="58">
        <v>0</v>
      </c>
      <c r="C44" s="77">
        <v>0</v>
      </c>
      <c r="D44" s="77">
        <f t="shared" si="5"/>
        <v>1096.52</v>
      </c>
      <c r="E44" s="58">
        <v>0</v>
      </c>
      <c r="F44" s="58">
        <f t="shared" si="6"/>
        <v>1096.52</v>
      </c>
      <c r="G44" s="59"/>
      <c r="I44" s="55">
        <f>175.54+34.04</f>
        <v>209.57999999999998</v>
      </c>
      <c r="J44" s="61">
        <v>4.3600000000000003</v>
      </c>
      <c r="K44" s="61">
        <f t="shared" ref="K44:K46" si="10">ROUND(I44*J44,2)</f>
        <v>913.77</v>
      </c>
      <c r="L44" s="61">
        <f t="shared" si="7"/>
        <v>182.75</v>
      </c>
      <c r="M44" s="62">
        <f t="shared" si="9"/>
        <v>1096.52</v>
      </c>
    </row>
    <row r="45" spans="1:13" s="60" customFormat="1" ht="18.75" x14ac:dyDescent="0.3">
      <c r="A45" s="90" t="s">
        <v>13</v>
      </c>
      <c r="B45" s="58">
        <v>0</v>
      </c>
      <c r="C45" s="77">
        <v>0</v>
      </c>
      <c r="D45" s="77">
        <f t="shared" si="5"/>
        <v>16004.19</v>
      </c>
      <c r="E45" s="58">
        <v>0</v>
      </c>
      <c r="F45" s="58">
        <f t="shared" si="6"/>
        <v>16004.19</v>
      </c>
      <c r="G45" s="59"/>
      <c r="I45" s="55">
        <v>1636.42</v>
      </c>
      <c r="J45" s="61">
        <v>8.15</v>
      </c>
      <c r="K45" s="61">
        <f t="shared" si="10"/>
        <v>13336.82</v>
      </c>
      <c r="L45" s="61">
        <f>ROUNDUP(K45*20%,2)</f>
        <v>2667.3700000000003</v>
      </c>
      <c r="M45" s="62">
        <f t="shared" si="9"/>
        <v>16004.19</v>
      </c>
    </row>
    <row r="46" spans="1:13" s="60" customFormat="1" ht="37.5" x14ac:dyDescent="0.3">
      <c r="A46" s="90" t="s">
        <v>57</v>
      </c>
      <c r="B46" s="58">
        <v>0</v>
      </c>
      <c r="C46" s="77">
        <f>ROUND(M46/36*1,3)</f>
        <v>102.23399999999999</v>
      </c>
      <c r="D46" s="77">
        <f>ROUND(M46-C46,3)</f>
        <v>3578.1860000000001</v>
      </c>
      <c r="E46" s="58">
        <v>0</v>
      </c>
      <c r="F46" s="58">
        <f t="shared" si="6"/>
        <v>3680.42</v>
      </c>
      <c r="G46" s="59"/>
      <c r="I46" s="55">
        <v>376.32</v>
      </c>
      <c r="J46" s="61">
        <v>8.15</v>
      </c>
      <c r="K46" s="61">
        <f t="shared" si="10"/>
        <v>3067.01</v>
      </c>
      <c r="L46" s="61">
        <f>ROUNDUP(K46*20%,2)</f>
        <v>613.41</v>
      </c>
      <c r="M46" s="62">
        <f t="shared" si="9"/>
        <v>3680.42</v>
      </c>
    </row>
    <row r="47" spans="1:13" s="60" customFormat="1" ht="18.75" x14ac:dyDescent="0.3">
      <c r="A47" s="90" t="s">
        <v>58</v>
      </c>
      <c r="B47" s="58">
        <v>0</v>
      </c>
      <c r="C47" s="77">
        <v>0</v>
      </c>
      <c r="D47" s="77">
        <f t="shared" si="5"/>
        <v>1382.2</v>
      </c>
      <c r="E47" s="58">
        <v>0</v>
      </c>
      <c r="F47" s="58">
        <f t="shared" si="6"/>
        <v>1382.2</v>
      </c>
      <c r="G47" s="59"/>
      <c r="I47" s="55">
        <v>93.04</v>
      </c>
      <c r="J47" s="61">
        <f>K47/I47</f>
        <v>12.379997328636186</v>
      </c>
      <c r="K47" s="61">
        <f>1186.39/1.03</f>
        <v>1151.8349514563108</v>
      </c>
      <c r="L47" s="61">
        <f t="shared" si="7"/>
        <v>230.37</v>
      </c>
      <c r="M47" s="62">
        <f t="shared" si="9"/>
        <v>1382.2</v>
      </c>
    </row>
    <row r="48" spans="1:13" ht="18.75" x14ac:dyDescent="0.25">
      <c r="A48" s="91" t="s">
        <v>39</v>
      </c>
      <c r="B48" s="67">
        <v>0</v>
      </c>
      <c r="C48" s="92">
        <v>0</v>
      </c>
      <c r="D48" s="92">
        <f t="shared" si="5"/>
        <v>3307.22</v>
      </c>
      <c r="E48" s="93">
        <v>0</v>
      </c>
      <c r="F48" s="67">
        <f>SUM(B48:E48)</f>
        <v>3307.22</v>
      </c>
      <c r="G48" s="94"/>
      <c r="I48" s="55"/>
      <c r="J48" s="95"/>
      <c r="K48" s="69">
        <f>SUM(K49:K60)</f>
        <v>2756.1350000000007</v>
      </c>
      <c r="L48" s="69">
        <f>SUM(L49:L60)</f>
        <v>551.08000000000015</v>
      </c>
      <c r="M48" s="69">
        <f>SUM(M49:M60)</f>
        <v>3307.22</v>
      </c>
    </row>
    <row r="49" spans="1:13" ht="18.75" hidden="1" x14ac:dyDescent="0.3">
      <c r="A49" s="71" t="s">
        <v>50</v>
      </c>
      <c r="B49" s="58">
        <v>0</v>
      </c>
      <c r="C49" s="96"/>
      <c r="D49" s="96"/>
      <c r="E49" s="97"/>
      <c r="F49" s="98"/>
      <c r="G49" s="99"/>
      <c r="I49" s="68"/>
      <c r="J49" s="70"/>
      <c r="K49" s="70">
        <f>ROUND(K36*0.015,2)</f>
        <v>2.37</v>
      </c>
      <c r="L49" s="70">
        <f>ROUND(K49*20%,2)</f>
        <v>0.47</v>
      </c>
      <c r="M49" s="62">
        <f>ROUND(K49+L49,2)</f>
        <v>2.84</v>
      </c>
    </row>
    <row r="50" spans="1:13" ht="18.75" hidden="1" x14ac:dyDescent="0.3">
      <c r="A50" s="71" t="s">
        <v>51</v>
      </c>
      <c r="B50" s="58">
        <v>0</v>
      </c>
      <c r="C50" s="96"/>
      <c r="D50" s="96"/>
      <c r="E50" s="97"/>
      <c r="F50" s="98"/>
      <c r="G50" s="99"/>
      <c r="I50" s="68"/>
      <c r="J50" s="70"/>
      <c r="K50" s="70">
        <f t="shared" ref="K50:K60" si="11">ROUND(K37*0.015,2)</f>
        <v>42.79</v>
      </c>
      <c r="L50" s="70">
        <f t="shared" ref="L50:L60" si="12">ROUND(K50*20%,2)</f>
        <v>8.56</v>
      </c>
      <c r="M50" s="62">
        <f t="shared" ref="M50:M61" si="13">ROUND(K50+L50,2)</f>
        <v>51.35</v>
      </c>
    </row>
    <row r="51" spans="1:13" ht="18.75" hidden="1" x14ac:dyDescent="0.3">
      <c r="A51" s="71" t="s">
        <v>52</v>
      </c>
      <c r="B51" s="58">
        <v>0</v>
      </c>
      <c r="C51" s="96"/>
      <c r="D51" s="96"/>
      <c r="E51" s="97"/>
      <c r="F51" s="98"/>
      <c r="G51" s="99"/>
      <c r="I51" s="68"/>
      <c r="J51" s="70"/>
      <c r="K51" s="70">
        <f t="shared" si="11"/>
        <v>0.06</v>
      </c>
      <c r="L51" s="70">
        <f t="shared" si="12"/>
        <v>0.01</v>
      </c>
      <c r="M51" s="62">
        <f t="shared" si="13"/>
        <v>7.0000000000000007E-2</v>
      </c>
    </row>
    <row r="52" spans="1:13" ht="37.5" hidden="1" x14ac:dyDescent="0.3">
      <c r="A52" s="71" t="s">
        <v>53</v>
      </c>
      <c r="B52" s="58">
        <v>0</v>
      </c>
      <c r="C52" s="96"/>
      <c r="D52" s="96"/>
      <c r="E52" s="97"/>
      <c r="F52" s="98"/>
      <c r="G52" s="99"/>
      <c r="I52" s="68"/>
      <c r="J52" s="70"/>
      <c r="K52" s="70">
        <f t="shared" si="11"/>
        <v>0.92</v>
      </c>
      <c r="L52" s="70">
        <f t="shared" si="12"/>
        <v>0.18</v>
      </c>
      <c r="M52" s="62">
        <f t="shared" si="13"/>
        <v>1.1000000000000001</v>
      </c>
    </row>
    <row r="53" spans="1:13" ht="18.75" hidden="1" x14ac:dyDescent="0.3">
      <c r="A53" s="71" t="s">
        <v>54</v>
      </c>
      <c r="B53" s="58">
        <v>0</v>
      </c>
      <c r="C53" s="96"/>
      <c r="D53" s="96"/>
      <c r="E53" s="97"/>
      <c r="F53" s="98"/>
      <c r="G53" s="99"/>
      <c r="I53" s="68"/>
      <c r="J53" s="70"/>
      <c r="K53" s="70">
        <f t="shared" si="11"/>
        <v>21.89</v>
      </c>
      <c r="L53" s="70">
        <f t="shared" si="12"/>
        <v>4.38</v>
      </c>
      <c r="M53" s="62">
        <f t="shared" si="13"/>
        <v>26.27</v>
      </c>
    </row>
    <row r="54" spans="1:13" ht="18.75" hidden="1" x14ac:dyDescent="0.3">
      <c r="A54" s="71" t="s">
        <v>55</v>
      </c>
      <c r="B54" s="58">
        <v>0</v>
      </c>
      <c r="C54" s="96"/>
      <c r="D54" s="96"/>
      <c r="E54" s="97"/>
      <c r="F54" s="98"/>
      <c r="G54" s="99"/>
      <c r="I54" s="68"/>
      <c r="J54" s="70"/>
      <c r="K54" s="70">
        <f t="shared" si="11"/>
        <v>0.68</v>
      </c>
      <c r="L54" s="70">
        <v>0</v>
      </c>
      <c r="M54" s="62">
        <f t="shared" si="13"/>
        <v>0.68</v>
      </c>
    </row>
    <row r="55" spans="1:13" ht="37.5" hidden="1" x14ac:dyDescent="0.3">
      <c r="A55" s="71" t="s">
        <v>56</v>
      </c>
      <c r="B55" s="58">
        <v>0</v>
      </c>
      <c r="C55" s="96"/>
      <c r="D55" s="96"/>
      <c r="E55" s="97"/>
      <c r="F55" s="98"/>
      <c r="G55" s="99"/>
      <c r="I55" s="68"/>
      <c r="J55" s="70"/>
      <c r="K55" s="70">
        <f t="shared" si="11"/>
        <v>0.06</v>
      </c>
      <c r="L55" s="70">
        <f t="shared" si="12"/>
        <v>0.01</v>
      </c>
      <c r="M55" s="62">
        <f t="shared" si="13"/>
        <v>7.0000000000000007E-2</v>
      </c>
    </row>
    <row r="56" spans="1:13" ht="18.75" hidden="1" x14ac:dyDescent="0.3">
      <c r="A56" s="71" t="s">
        <v>11</v>
      </c>
      <c r="B56" s="58">
        <v>0</v>
      </c>
      <c r="C56" s="96"/>
      <c r="D56" s="96"/>
      <c r="E56" s="97"/>
      <c r="F56" s="98"/>
      <c r="G56" s="99"/>
      <c r="I56" s="68"/>
      <c r="J56" s="70"/>
      <c r="K56" s="70">
        <f>ROUND(K43*0.015,2)+0.015</f>
        <v>2410.3150000000001</v>
      </c>
      <c r="L56" s="70">
        <f t="shared" si="12"/>
        <v>482.06</v>
      </c>
      <c r="M56" s="62">
        <f t="shared" si="13"/>
        <v>2892.38</v>
      </c>
    </row>
    <row r="57" spans="1:13" ht="18.75" hidden="1" x14ac:dyDescent="0.3">
      <c r="A57" s="71" t="s">
        <v>12</v>
      </c>
      <c r="B57" s="58">
        <v>0</v>
      </c>
      <c r="C57" s="96"/>
      <c r="D57" s="96"/>
      <c r="E57" s="97"/>
      <c r="F57" s="98"/>
      <c r="G57" s="99"/>
      <c r="I57" s="68"/>
      <c r="J57" s="70"/>
      <c r="K57" s="70">
        <f t="shared" si="11"/>
        <v>13.71</v>
      </c>
      <c r="L57" s="70">
        <f t="shared" si="12"/>
        <v>2.74</v>
      </c>
      <c r="M57" s="62">
        <f t="shared" si="13"/>
        <v>16.45</v>
      </c>
    </row>
    <row r="58" spans="1:13" ht="18.75" hidden="1" x14ac:dyDescent="0.3">
      <c r="A58" s="71" t="s">
        <v>13</v>
      </c>
      <c r="B58" s="58"/>
      <c r="C58" s="96"/>
      <c r="D58" s="96"/>
      <c r="E58" s="97"/>
      <c r="F58" s="98"/>
      <c r="G58" s="99"/>
      <c r="I58" s="68"/>
      <c r="J58" s="70"/>
      <c r="K58" s="70">
        <f t="shared" si="11"/>
        <v>200.05</v>
      </c>
      <c r="L58" s="70">
        <f t="shared" si="12"/>
        <v>40.01</v>
      </c>
      <c r="M58" s="62">
        <f t="shared" si="13"/>
        <v>240.06</v>
      </c>
    </row>
    <row r="59" spans="1:13" ht="37.5" hidden="1" x14ac:dyDescent="0.3">
      <c r="A59" s="71" t="s">
        <v>57</v>
      </c>
      <c r="B59" s="58"/>
      <c r="C59" s="96"/>
      <c r="D59" s="96"/>
      <c r="E59" s="97"/>
      <c r="F59" s="98"/>
      <c r="G59" s="99"/>
      <c r="I59" s="68"/>
      <c r="J59" s="70"/>
      <c r="K59" s="70">
        <f t="shared" si="11"/>
        <v>46.01</v>
      </c>
      <c r="L59" s="70">
        <f t="shared" si="12"/>
        <v>9.1999999999999993</v>
      </c>
      <c r="M59" s="62">
        <f t="shared" si="13"/>
        <v>55.21</v>
      </c>
    </row>
    <row r="60" spans="1:13" ht="18.75" hidden="1" x14ac:dyDescent="0.3">
      <c r="A60" s="71" t="s">
        <v>58</v>
      </c>
      <c r="B60" s="58"/>
      <c r="C60" s="96"/>
      <c r="D60" s="96"/>
      <c r="E60" s="97"/>
      <c r="F60" s="98"/>
      <c r="G60" s="99"/>
      <c r="I60" s="68"/>
      <c r="J60" s="70"/>
      <c r="K60" s="70">
        <f t="shared" si="11"/>
        <v>17.28</v>
      </c>
      <c r="L60" s="70">
        <f t="shared" si="12"/>
        <v>3.46</v>
      </c>
      <c r="M60" s="62">
        <f t="shared" si="13"/>
        <v>20.74</v>
      </c>
    </row>
    <row r="61" spans="1:13" ht="18.75" x14ac:dyDescent="0.25">
      <c r="A61" s="52" t="s">
        <v>42</v>
      </c>
      <c r="B61" s="100">
        <v>0</v>
      </c>
      <c r="C61" s="100">
        <v>0</v>
      </c>
      <c r="D61" s="100">
        <v>0</v>
      </c>
      <c r="E61" s="100">
        <v>0</v>
      </c>
      <c r="F61" s="100">
        <v>0</v>
      </c>
      <c r="G61" s="54"/>
      <c r="I61" s="55"/>
      <c r="J61" s="56"/>
      <c r="K61" s="56">
        <v>0</v>
      </c>
      <c r="L61" s="56">
        <v>0</v>
      </c>
      <c r="M61" s="62">
        <f t="shared" si="13"/>
        <v>0</v>
      </c>
    </row>
    <row r="62" spans="1:13" s="125" customFormat="1" ht="19.5" thickBot="1" x14ac:dyDescent="0.3">
      <c r="A62" s="121"/>
      <c r="B62" s="122"/>
      <c r="C62" s="80">
        <f>ROUND(C34/(F34-B34-E34),5)</f>
        <v>1.034E-2</v>
      </c>
      <c r="D62" s="80">
        <f>ROUND(D34/(F34-B34-E34),5)</f>
        <v>0.98965999999999998</v>
      </c>
      <c r="E62" s="123"/>
      <c r="F62" s="123"/>
      <c r="G62" s="124"/>
      <c r="I62" s="126"/>
      <c r="J62" s="126"/>
      <c r="K62" s="126"/>
      <c r="L62" s="126"/>
      <c r="M62" s="127"/>
    </row>
    <row r="63" spans="1:13" ht="19.5" thickBot="1" x14ac:dyDescent="0.3">
      <c r="A63" s="45" t="s">
        <v>35</v>
      </c>
      <c r="B63" s="46">
        <f>B34+B11</f>
        <v>5430.6030000000001</v>
      </c>
      <c r="C63" s="82">
        <f>C34+C11</f>
        <v>4895.7139999999999</v>
      </c>
      <c r="D63" s="82">
        <f>D34+D11</f>
        <v>237791.826</v>
      </c>
      <c r="E63" s="47">
        <f>E34+E11</f>
        <v>2559.9870000000005</v>
      </c>
      <c r="F63" s="47">
        <f>F34+F11</f>
        <v>250678.13</v>
      </c>
      <c r="G63" s="48"/>
      <c r="I63" s="50"/>
      <c r="J63" s="84"/>
      <c r="K63" s="84">
        <f>K11+K34</f>
        <v>26994.29</v>
      </c>
      <c r="L63" s="84">
        <f>L11+L34</f>
        <v>41771.880000000005</v>
      </c>
      <c r="M63" s="84">
        <f>ROUND(M11+M34,2)</f>
        <v>250678.13</v>
      </c>
    </row>
    <row r="64" spans="1:13" ht="19.5" thickBot="1" x14ac:dyDescent="0.3">
      <c r="A64" s="129" t="s">
        <v>46</v>
      </c>
      <c r="B64" s="130">
        <v>0</v>
      </c>
      <c r="C64" s="131">
        <v>0</v>
      </c>
      <c r="D64" s="131">
        <v>826.31</v>
      </c>
      <c r="E64" s="131">
        <v>0</v>
      </c>
      <c r="F64" s="131">
        <f t="shared" ref="F64" si="14">SUM(B64:E64)</f>
        <v>826.31</v>
      </c>
      <c r="G64" s="132"/>
      <c r="I64" s="101"/>
      <c r="J64" s="102"/>
      <c r="K64" s="102"/>
      <c r="L64" s="102"/>
      <c r="M64" s="44"/>
    </row>
    <row r="65" spans="1:13" ht="21.75" customHeight="1" x14ac:dyDescent="0.25"/>
    <row r="66" spans="1:13" ht="49.5" customHeight="1" x14ac:dyDescent="0.35">
      <c r="A66" s="242" t="s">
        <v>20</v>
      </c>
      <c r="B66" s="242"/>
      <c r="C66" s="242"/>
      <c r="D66" s="103"/>
      <c r="E66" s="104" t="s">
        <v>47</v>
      </c>
      <c r="L66" s="49">
        <f>L63-41771.88</f>
        <v>0</v>
      </c>
      <c r="M66" s="105">
        <f>M63-250678.13</f>
        <v>0</v>
      </c>
    </row>
    <row r="67" spans="1:13" x14ac:dyDescent="0.25">
      <c r="C67" s="105"/>
      <c r="I67" s="34">
        <f>C63*100/F63</f>
        <v>1.9529880807711466</v>
      </c>
    </row>
    <row r="68" spans="1:13" ht="78" customHeight="1" x14ac:dyDescent="0.4">
      <c r="A68" s="106" t="s">
        <v>48</v>
      </c>
      <c r="E68" s="107"/>
      <c r="F68" s="108"/>
    </row>
    <row r="69" spans="1:13" x14ac:dyDescent="0.25">
      <c r="E69" s="105"/>
    </row>
  </sheetData>
  <mergeCells count="12">
    <mergeCell ref="A66:C66"/>
    <mergeCell ref="A2:G2"/>
    <mergeCell ref="A3:G3"/>
    <mergeCell ref="B6:G6"/>
    <mergeCell ref="A8:A9"/>
    <mergeCell ref="B8:F8"/>
    <mergeCell ref="G8:G9"/>
    <mergeCell ref="I8:I9"/>
    <mergeCell ref="J8:J9"/>
    <mergeCell ref="K8:K9"/>
    <mergeCell ref="L8:L9"/>
    <mergeCell ref="M8:M9"/>
  </mergeCells>
  <printOptions horizontalCentered="1"/>
  <pageMargins left="0.31496062992125984" right="0.31496062992125984" top="0.55118110236220474" bottom="0.15748031496062992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view="pageBreakPreview" topLeftCell="A2" zoomScale="85" zoomScaleNormal="55" zoomScaleSheetLayoutView="85" workbookViewId="0">
      <selection activeCell="A6" sqref="A6:XFD6"/>
    </sheetView>
  </sheetViews>
  <sheetFormatPr defaultColWidth="8.85546875" defaultRowHeight="15" x14ac:dyDescent="0.25"/>
  <cols>
    <col min="1" max="1" width="68.28515625" style="32" customWidth="1"/>
    <col min="2" max="2" width="25" style="32" customWidth="1"/>
    <col min="3" max="3" width="22.140625" style="32" customWidth="1"/>
    <col min="4" max="4" width="25" style="32" customWidth="1"/>
    <col min="5" max="5" width="25.85546875" style="32" customWidth="1"/>
    <col min="6" max="7" width="25" style="32" customWidth="1"/>
    <col min="8" max="8" width="28.5703125" style="32" customWidth="1"/>
    <col min="9" max="9" width="10.5703125" style="32" customWidth="1"/>
    <col min="10" max="10" width="12.42578125" style="32" customWidth="1"/>
    <col min="11" max="11" width="8.85546875" style="32" customWidth="1"/>
    <col min="12" max="14" width="12" style="32" bestFit="1" customWidth="1"/>
    <col min="15" max="16384" width="8.85546875" style="32"/>
  </cols>
  <sheetData>
    <row r="1" spans="1:14" ht="15.75" x14ac:dyDescent="0.25">
      <c r="H1" s="33" t="s">
        <v>23</v>
      </c>
    </row>
    <row r="2" spans="1:14" ht="21" customHeight="1" x14ac:dyDescent="0.3">
      <c r="A2" s="243" t="s">
        <v>24</v>
      </c>
      <c r="B2" s="243"/>
      <c r="C2" s="243"/>
      <c r="D2" s="243"/>
      <c r="E2" s="243"/>
      <c r="F2" s="243"/>
      <c r="G2" s="243"/>
      <c r="H2" s="243"/>
    </row>
    <row r="3" spans="1:14" ht="21" customHeight="1" x14ac:dyDescent="0.3">
      <c r="A3" s="244" t="s">
        <v>25</v>
      </c>
      <c r="B3" s="244"/>
      <c r="C3" s="244"/>
      <c r="D3" s="244"/>
      <c r="E3" s="244"/>
      <c r="F3" s="244"/>
      <c r="G3" s="244"/>
      <c r="H3" s="244"/>
    </row>
    <row r="4" spans="1:14" ht="18" customHeight="1" x14ac:dyDescent="0.3">
      <c r="A4" s="115"/>
      <c r="B4" s="115"/>
      <c r="C4" s="115"/>
      <c r="D4" s="115"/>
      <c r="E4" s="115"/>
      <c r="F4" s="115"/>
      <c r="G4" s="115"/>
      <c r="H4" s="115"/>
    </row>
    <row r="5" spans="1:14" ht="18.75" x14ac:dyDescent="0.3">
      <c r="A5" s="35" t="s">
        <v>26</v>
      </c>
      <c r="B5" s="227" t="s">
        <v>27</v>
      </c>
      <c r="C5" s="227"/>
      <c r="D5" s="227"/>
      <c r="E5" s="227"/>
      <c r="F5" s="227"/>
      <c r="G5" s="227"/>
      <c r="H5" s="227"/>
    </row>
    <row r="6" spans="1:14" ht="39.75" customHeight="1" x14ac:dyDescent="0.25">
      <c r="A6" s="35" t="s">
        <v>28</v>
      </c>
      <c r="B6" s="251" t="s">
        <v>70</v>
      </c>
      <c r="C6" s="251"/>
      <c r="D6" s="251"/>
      <c r="E6" s="251"/>
      <c r="F6" s="251"/>
      <c r="G6" s="251"/>
      <c r="H6" s="251"/>
    </row>
    <row r="7" spans="1:14" ht="18.75" customHeight="1" thickBot="1" x14ac:dyDescent="0.3">
      <c r="B7" s="228"/>
      <c r="C7" s="228"/>
      <c r="D7" s="228"/>
      <c r="E7" s="228"/>
      <c r="F7" s="228"/>
      <c r="G7" s="228"/>
      <c r="H7" s="229" t="s">
        <v>2</v>
      </c>
    </row>
    <row r="8" spans="1:14" ht="40.5" customHeight="1" x14ac:dyDescent="0.25">
      <c r="A8" s="246" t="s">
        <v>29</v>
      </c>
      <c r="B8" s="252" t="s">
        <v>90</v>
      </c>
      <c r="C8" s="252"/>
      <c r="D8" s="252"/>
      <c r="E8" s="252"/>
      <c r="F8" s="252"/>
      <c r="G8" s="252"/>
      <c r="H8" s="253" t="s">
        <v>30</v>
      </c>
      <c r="J8" s="237" t="s">
        <v>31</v>
      </c>
      <c r="K8" s="237" t="s">
        <v>32</v>
      </c>
      <c r="L8" s="237" t="s">
        <v>33</v>
      </c>
      <c r="M8" s="239" t="s">
        <v>34</v>
      </c>
      <c r="N8" s="240" t="s">
        <v>35</v>
      </c>
    </row>
    <row r="9" spans="1:14" ht="19.5" customHeight="1" thickBot="1" x14ac:dyDescent="0.3">
      <c r="A9" s="247"/>
      <c r="B9" s="230" t="s">
        <v>91</v>
      </c>
      <c r="C9" s="230">
        <v>2026</v>
      </c>
      <c r="D9" s="230">
        <v>2027</v>
      </c>
      <c r="E9" s="230">
        <v>2028</v>
      </c>
      <c r="F9" s="230" t="s">
        <v>14</v>
      </c>
      <c r="G9" s="230" t="s">
        <v>35</v>
      </c>
      <c r="H9" s="254"/>
      <c r="J9" s="238"/>
      <c r="K9" s="238"/>
      <c r="L9" s="238"/>
      <c r="M9" s="239"/>
      <c r="N9" s="241"/>
    </row>
    <row r="10" spans="1:14" ht="15.75" thickBot="1" x14ac:dyDescent="0.3">
      <c r="A10" s="39">
        <v>1</v>
      </c>
      <c r="B10" s="40">
        <v>2</v>
      </c>
      <c r="C10" s="40">
        <v>3</v>
      </c>
      <c r="D10" s="40">
        <v>4</v>
      </c>
      <c r="E10" s="40">
        <v>5</v>
      </c>
      <c r="F10" s="40">
        <v>6</v>
      </c>
      <c r="G10" s="40">
        <v>7</v>
      </c>
      <c r="H10" s="40">
        <v>8</v>
      </c>
      <c r="J10" s="43"/>
      <c r="K10" s="43"/>
      <c r="L10" s="43"/>
      <c r="M10" s="43"/>
      <c r="N10" s="44"/>
    </row>
    <row r="11" spans="1:14" ht="19.5" thickBot="1" x14ac:dyDescent="0.3">
      <c r="A11" s="45" t="s">
        <v>36</v>
      </c>
      <c r="B11" s="136">
        <f t="shared" ref="B11:G11" si="0">B12+B23</f>
        <v>2488.7629999999999</v>
      </c>
      <c r="C11" s="136">
        <f t="shared" si="0"/>
        <v>0</v>
      </c>
      <c r="D11" s="136">
        <f t="shared" si="0"/>
        <v>0</v>
      </c>
      <c r="E11" s="136">
        <f t="shared" si="0"/>
        <v>215.464</v>
      </c>
      <c r="F11" s="136">
        <f>F12+F23</f>
        <v>232.15100000000001</v>
      </c>
      <c r="G11" s="136">
        <f t="shared" si="0"/>
        <v>2936.3780000000002</v>
      </c>
      <c r="H11" s="48"/>
      <c r="I11" s="49"/>
      <c r="J11" s="137">
        <f>J12+J23</f>
        <v>0</v>
      </c>
      <c r="K11" s="137"/>
      <c r="L11" s="138">
        <f>L12+L23</f>
        <v>2406.8610000000003</v>
      </c>
      <c r="M11" s="138">
        <f>M12+M23</f>
        <v>529.51700000000005</v>
      </c>
      <c r="N11" s="138">
        <f>N12+N23</f>
        <v>2936.3780000000002</v>
      </c>
    </row>
    <row r="12" spans="1:14" ht="18.75" x14ac:dyDescent="0.25">
      <c r="A12" s="52" t="s">
        <v>37</v>
      </c>
      <c r="B12" s="139">
        <f>B14+B13</f>
        <v>0</v>
      </c>
      <c r="C12" s="139">
        <f t="shared" ref="C12:G12" si="1">C14+C13</f>
        <v>0</v>
      </c>
      <c r="D12" s="139">
        <f t="shared" si="1"/>
        <v>0</v>
      </c>
      <c r="E12" s="139">
        <f t="shared" si="1"/>
        <v>215.464</v>
      </c>
      <c r="F12" s="139">
        <f t="shared" si="1"/>
        <v>157.48700000000002</v>
      </c>
      <c r="G12" s="139">
        <f t="shared" si="1"/>
        <v>372.95100000000002</v>
      </c>
      <c r="H12" s="54"/>
      <c r="J12" s="137">
        <f>J13+J14</f>
        <v>0</v>
      </c>
      <c r="K12" s="137"/>
      <c r="L12" s="140">
        <f>L13+L14</f>
        <v>305.697</v>
      </c>
      <c r="M12" s="140">
        <f t="shared" ref="M12:N12" si="2">M13+M14</f>
        <v>67.254000000000005</v>
      </c>
      <c r="N12" s="140">
        <f t="shared" si="2"/>
        <v>372.95100000000002</v>
      </c>
    </row>
    <row r="13" spans="1:14" s="60" customFormat="1" ht="18.75" x14ac:dyDescent="0.25">
      <c r="A13" s="192" t="s">
        <v>38</v>
      </c>
      <c r="B13" s="141">
        <v>0</v>
      </c>
      <c r="C13" s="141">
        <f>ROUND(N13*C32/G32,2)</f>
        <v>0</v>
      </c>
      <c r="D13" s="141">
        <f>ROUND(N13*D31/G31,3)</f>
        <v>0</v>
      </c>
      <c r="E13" s="160">
        <f>N13-C13-D13</f>
        <v>215.464</v>
      </c>
      <c r="F13" s="141">
        <v>0</v>
      </c>
      <c r="G13" s="141">
        <f>SUM(B13:F13)</f>
        <v>215.464</v>
      </c>
      <c r="H13" s="59"/>
      <c r="J13" s="142"/>
      <c r="K13" s="142"/>
      <c r="L13" s="143">
        <v>176.61</v>
      </c>
      <c r="M13" s="143">
        <f>ROUND(L13*0.22,3)</f>
        <v>38.853999999999999</v>
      </c>
      <c r="N13" s="144">
        <f>ROUND(L13+M13,3)</f>
        <v>215.464</v>
      </c>
    </row>
    <row r="14" spans="1:14" s="60" customFormat="1" ht="18.75" x14ac:dyDescent="0.25">
      <c r="A14" s="66" t="s">
        <v>39</v>
      </c>
      <c r="B14" s="145">
        <v>0</v>
      </c>
      <c r="C14" s="145">
        <v>0</v>
      </c>
      <c r="D14" s="145">
        <v>0</v>
      </c>
      <c r="E14" s="145">
        <f>N14-C14-D14-F14</f>
        <v>0</v>
      </c>
      <c r="F14" s="145">
        <f>N14</f>
        <v>157.48700000000002</v>
      </c>
      <c r="G14" s="145">
        <f>SUM(B14:F14)</f>
        <v>157.48700000000002</v>
      </c>
      <c r="H14" s="59"/>
      <c r="J14" s="146"/>
      <c r="K14" s="146"/>
      <c r="L14" s="147">
        <f>L15+L16+L17+L18+L19+L20+L21+L22</f>
        <v>129.08699999999999</v>
      </c>
      <c r="M14" s="147">
        <f t="shared" ref="M14:N14" si="3">M15+M16+M17+M18+M19+M20+M21+M22</f>
        <v>28.400000000000006</v>
      </c>
      <c r="N14" s="147">
        <f t="shared" si="3"/>
        <v>157.48700000000002</v>
      </c>
    </row>
    <row r="15" spans="1:14" s="60" customFormat="1" ht="18.75" hidden="1" x14ac:dyDescent="0.25">
      <c r="A15" s="215" t="s">
        <v>40</v>
      </c>
      <c r="B15" s="67"/>
      <c r="C15" s="67"/>
      <c r="D15" s="67"/>
      <c r="E15" s="67"/>
      <c r="F15" s="67"/>
      <c r="G15" s="67"/>
      <c r="H15" s="59"/>
      <c r="J15" s="151"/>
      <c r="K15" s="151"/>
      <c r="L15" s="149">
        <f>ROUND(L13*0.03,3)</f>
        <v>5.298</v>
      </c>
      <c r="M15" s="149">
        <f>ROUND(L15*0.22,3)</f>
        <v>1.1659999999999999</v>
      </c>
      <c r="N15" s="149">
        <f>ROUND(L15+M15,3)</f>
        <v>6.4640000000000004</v>
      </c>
    </row>
    <row r="16" spans="1:14" s="60" customFormat="1" ht="18.75" hidden="1" x14ac:dyDescent="0.3">
      <c r="A16" s="150" t="s">
        <v>65</v>
      </c>
      <c r="B16" s="67"/>
      <c r="C16" s="67"/>
      <c r="D16" s="67"/>
      <c r="E16" s="67"/>
      <c r="F16" s="67"/>
      <c r="G16" s="67"/>
      <c r="H16" s="59"/>
      <c r="J16" s="151"/>
      <c r="K16" s="151"/>
      <c r="L16" s="152">
        <f>ROUND(L33*0.015,3)</f>
        <v>4.2389999999999999</v>
      </c>
      <c r="M16" s="152">
        <f>ROUND(L16*0.22,3)</f>
        <v>0.93300000000000005</v>
      </c>
      <c r="N16" s="152">
        <f>ROUND(L16+M16,3)</f>
        <v>5.1719999999999997</v>
      </c>
    </row>
    <row r="17" spans="1:14" s="60" customFormat="1" ht="18.75" hidden="1" x14ac:dyDescent="0.3">
      <c r="A17" s="150" t="s">
        <v>71</v>
      </c>
      <c r="B17" s="67"/>
      <c r="C17" s="67"/>
      <c r="D17" s="67"/>
      <c r="E17" s="67"/>
      <c r="F17" s="67"/>
      <c r="G17" s="67"/>
      <c r="H17" s="59"/>
      <c r="J17" s="148"/>
      <c r="K17" s="146"/>
      <c r="L17" s="152">
        <f t="shared" ref="L17:L22" si="4">ROUND(L34*0.015,3)</f>
        <v>44.177999999999997</v>
      </c>
      <c r="M17" s="152">
        <f>ROUND(L17*0.22,2)</f>
        <v>9.7200000000000006</v>
      </c>
      <c r="N17" s="153">
        <f t="shared" ref="N17:N22" si="5">ROUND(L17+M17,3)</f>
        <v>53.898000000000003</v>
      </c>
    </row>
    <row r="18" spans="1:14" s="60" customFormat="1" ht="37.5" hidden="1" x14ac:dyDescent="0.3">
      <c r="A18" s="150" t="s">
        <v>72</v>
      </c>
      <c r="B18" s="67"/>
      <c r="C18" s="67"/>
      <c r="D18" s="67"/>
      <c r="E18" s="67"/>
      <c r="F18" s="67"/>
      <c r="G18" s="67"/>
      <c r="H18" s="59"/>
      <c r="J18" s="148"/>
      <c r="K18" s="146"/>
      <c r="L18" s="152">
        <f t="shared" si="4"/>
        <v>69.75</v>
      </c>
      <c r="M18" s="152">
        <f>ROUND(L18*0.22,3)</f>
        <v>15.345000000000001</v>
      </c>
      <c r="N18" s="153">
        <f t="shared" si="5"/>
        <v>85.094999999999999</v>
      </c>
    </row>
    <row r="19" spans="1:14" s="60" customFormat="1" ht="18.75" hidden="1" x14ac:dyDescent="0.3">
      <c r="A19" s="150" t="s">
        <v>76</v>
      </c>
      <c r="B19" s="67"/>
      <c r="C19" s="67"/>
      <c r="D19" s="67"/>
      <c r="E19" s="67"/>
      <c r="F19" s="67"/>
      <c r="G19" s="67"/>
      <c r="H19" s="59"/>
      <c r="J19" s="148"/>
      <c r="K19" s="146"/>
      <c r="L19" s="152">
        <f t="shared" si="4"/>
        <v>3.8759999999999999</v>
      </c>
      <c r="M19" s="152">
        <f t="shared" ref="M19:M22" si="6">ROUND(L19*0.22,3)</f>
        <v>0.85299999999999998</v>
      </c>
      <c r="N19" s="153">
        <f t="shared" si="5"/>
        <v>4.7290000000000001</v>
      </c>
    </row>
    <row r="20" spans="1:14" s="60" customFormat="1" ht="18.75" hidden="1" x14ac:dyDescent="0.3">
      <c r="A20" s="150" t="s">
        <v>73</v>
      </c>
      <c r="B20" s="67"/>
      <c r="C20" s="67"/>
      <c r="D20" s="67"/>
      <c r="E20" s="67"/>
      <c r="F20" s="67"/>
      <c r="G20" s="67"/>
      <c r="H20" s="59"/>
      <c r="J20" s="148"/>
      <c r="K20" s="146"/>
      <c r="L20" s="152">
        <f t="shared" si="4"/>
        <v>0.879</v>
      </c>
      <c r="M20" s="152">
        <f t="shared" si="6"/>
        <v>0.193</v>
      </c>
      <c r="N20" s="153">
        <f t="shared" si="5"/>
        <v>1.0720000000000001</v>
      </c>
    </row>
    <row r="21" spans="1:14" s="60" customFormat="1" ht="18.75" hidden="1" x14ac:dyDescent="0.3">
      <c r="A21" s="150" t="s">
        <v>74</v>
      </c>
      <c r="B21" s="67"/>
      <c r="C21" s="67"/>
      <c r="D21" s="67"/>
      <c r="E21" s="67"/>
      <c r="F21" s="67"/>
      <c r="G21" s="67"/>
      <c r="H21" s="59"/>
      <c r="J21" s="148"/>
      <c r="K21" s="146"/>
      <c r="L21" s="149">
        <f t="shared" si="4"/>
        <v>0.83799999999999997</v>
      </c>
      <c r="M21" s="149">
        <f t="shared" si="6"/>
        <v>0.184</v>
      </c>
      <c r="N21" s="149">
        <f t="shared" si="5"/>
        <v>1.022</v>
      </c>
    </row>
    <row r="22" spans="1:14" s="60" customFormat="1" ht="37.5" hidden="1" x14ac:dyDescent="0.3">
      <c r="A22" s="150" t="s">
        <v>75</v>
      </c>
      <c r="B22" s="67"/>
      <c r="C22" s="67"/>
      <c r="D22" s="67"/>
      <c r="E22" s="67"/>
      <c r="F22" s="67"/>
      <c r="G22" s="67"/>
      <c r="H22" s="59"/>
      <c r="J22" s="148"/>
      <c r="K22" s="146"/>
      <c r="L22" s="149">
        <f t="shared" si="4"/>
        <v>2.9000000000000001E-2</v>
      </c>
      <c r="M22" s="149">
        <f t="shared" si="6"/>
        <v>6.0000000000000001E-3</v>
      </c>
      <c r="N22" s="149">
        <f t="shared" si="5"/>
        <v>3.5000000000000003E-2</v>
      </c>
    </row>
    <row r="23" spans="1:14" s="75" customFormat="1" ht="18.75" x14ac:dyDescent="0.25">
      <c r="A23" s="72" t="s">
        <v>42</v>
      </c>
      <c r="B23" s="185">
        <f>SUM(B24:B29)</f>
        <v>2488.7629999999999</v>
      </c>
      <c r="C23" s="185">
        <f>SUM(C24:C29)</f>
        <v>0</v>
      </c>
      <c r="D23" s="185">
        <f>SUM(D24:D29)</f>
        <v>0</v>
      </c>
      <c r="E23" s="185"/>
      <c r="F23" s="185">
        <f>SUM(F24:F29)</f>
        <v>74.664000000000001</v>
      </c>
      <c r="G23" s="185">
        <f>SUM(G24:G29)</f>
        <v>2563.4270000000001</v>
      </c>
      <c r="H23" s="74"/>
      <c r="J23" s="137">
        <f>J24+J29</f>
        <v>0</v>
      </c>
      <c r="K23" s="137"/>
      <c r="L23" s="140">
        <f>L24+L29</f>
        <v>2101.1640000000002</v>
      </c>
      <c r="M23" s="140">
        <f>M24+M29</f>
        <v>462.26300000000003</v>
      </c>
      <c r="N23" s="140">
        <f>N24+N29</f>
        <v>2563.4270000000001</v>
      </c>
    </row>
    <row r="24" spans="1:14" s="60" customFormat="1" ht="18.75" x14ac:dyDescent="0.25">
      <c r="A24" s="192" t="s">
        <v>43</v>
      </c>
      <c r="B24" s="141">
        <f>N24</f>
        <v>2488.7629999999999</v>
      </c>
      <c r="C24" s="165">
        <v>0</v>
      </c>
      <c r="D24" s="165">
        <v>0</v>
      </c>
      <c r="E24" s="165">
        <v>0</v>
      </c>
      <c r="F24" s="141">
        <v>0</v>
      </c>
      <c r="G24" s="141">
        <f>SUM(B24:F24)</f>
        <v>2488.7629999999999</v>
      </c>
      <c r="H24" s="59"/>
      <c r="J24" s="142"/>
      <c r="K24" s="142"/>
      <c r="L24" s="143">
        <f t="shared" ref="L24:M24" si="7">L25+L26+L27+L28</f>
        <v>2039.97</v>
      </c>
      <c r="M24" s="143">
        <f t="shared" si="7"/>
        <v>448.79300000000001</v>
      </c>
      <c r="N24" s="143">
        <f>N25+N26+N27+N28</f>
        <v>2488.7629999999999</v>
      </c>
    </row>
    <row r="25" spans="1:14" s="60" customFormat="1" ht="18.75" x14ac:dyDescent="0.25">
      <c r="A25" s="192" t="s">
        <v>66</v>
      </c>
      <c r="B25" s="58"/>
      <c r="C25" s="77"/>
      <c r="D25" s="77"/>
      <c r="E25" s="77"/>
      <c r="F25" s="58"/>
      <c r="G25" s="58"/>
      <c r="H25" s="59"/>
      <c r="J25" s="142"/>
      <c r="K25" s="148"/>
      <c r="L25" s="143">
        <v>1311.46</v>
      </c>
      <c r="M25" s="143">
        <f>ROUND(L25*0.22,3)</f>
        <v>288.52100000000002</v>
      </c>
      <c r="N25" s="144">
        <f>ROUND(L25+M25,3)</f>
        <v>1599.981</v>
      </c>
    </row>
    <row r="26" spans="1:14" s="60" customFormat="1" ht="18.75" x14ac:dyDescent="0.25">
      <c r="A26" s="192" t="s">
        <v>67</v>
      </c>
      <c r="B26" s="58"/>
      <c r="C26" s="77"/>
      <c r="D26" s="77"/>
      <c r="E26" s="77"/>
      <c r="F26" s="58"/>
      <c r="G26" s="58"/>
      <c r="H26" s="59"/>
      <c r="J26" s="142"/>
      <c r="K26" s="148"/>
      <c r="L26" s="143">
        <v>212.04</v>
      </c>
      <c r="M26" s="143">
        <f t="shared" ref="M26:M28" si="8">ROUND(L26*0.22,3)</f>
        <v>46.649000000000001</v>
      </c>
      <c r="N26" s="144">
        <f>ROUND(L26+M26,3)</f>
        <v>258.68900000000002</v>
      </c>
    </row>
    <row r="27" spans="1:14" s="60" customFormat="1" ht="18.75" x14ac:dyDescent="0.25">
      <c r="A27" s="192" t="s">
        <v>68</v>
      </c>
      <c r="B27" s="58"/>
      <c r="C27" s="77"/>
      <c r="D27" s="77"/>
      <c r="E27" s="77"/>
      <c r="F27" s="58"/>
      <c r="G27" s="58"/>
      <c r="H27" s="59"/>
      <c r="J27" s="142"/>
      <c r="K27" s="148"/>
      <c r="L27" s="143">
        <v>516.47</v>
      </c>
      <c r="M27" s="143">
        <f t="shared" si="8"/>
        <v>113.623</v>
      </c>
      <c r="N27" s="144">
        <f>ROUND(L27+M27,3)</f>
        <v>630.09299999999996</v>
      </c>
    </row>
    <row r="28" spans="1:14" s="60" customFormat="1" ht="18.75" x14ac:dyDescent="0.25">
      <c r="A28" s="192" t="s">
        <v>9</v>
      </c>
      <c r="B28" s="58"/>
      <c r="C28" s="77"/>
      <c r="D28" s="77"/>
      <c r="E28" s="77"/>
      <c r="F28" s="58"/>
      <c r="G28" s="58"/>
      <c r="H28" s="59"/>
      <c r="J28" s="142"/>
      <c r="K28" s="148"/>
      <c r="L28" s="143">
        <v>0</v>
      </c>
      <c r="M28" s="143">
        <f t="shared" si="8"/>
        <v>0</v>
      </c>
      <c r="N28" s="144">
        <f>ROUND(L28+M28,3)</f>
        <v>0</v>
      </c>
    </row>
    <row r="29" spans="1:14" s="60" customFormat="1" ht="18.75" x14ac:dyDescent="0.25">
      <c r="A29" s="91" t="s">
        <v>44</v>
      </c>
      <c r="B29" s="67">
        <v>0</v>
      </c>
      <c r="C29" s="67">
        <v>0</v>
      </c>
      <c r="D29" s="67">
        <v>0</v>
      </c>
      <c r="E29" s="67">
        <v>0</v>
      </c>
      <c r="F29" s="67">
        <f>N29</f>
        <v>74.664000000000001</v>
      </c>
      <c r="G29" s="67">
        <f>SUM(B29:F29)</f>
        <v>74.664000000000001</v>
      </c>
      <c r="H29" s="59"/>
      <c r="J29" s="142"/>
      <c r="K29" s="154"/>
      <c r="L29" s="213">
        <f>ROUND(L24*0.03,3)-0.005</f>
        <v>61.193999999999996</v>
      </c>
      <c r="M29" s="213">
        <f>ROUND(L29*0.22,3)+0.007</f>
        <v>13.469999999999999</v>
      </c>
      <c r="N29" s="214">
        <f t="shared" ref="N29" si="9">ROUND(L29+M29,3)</f>
        <v>74.664000000000001</v>
      </c>
    </row>
    <row r="30" spans="1:14" s="60" customFormat="1" ht="19.5" thickBot="1" x14ac:dyDescent="0.3">
      <c r="A30" s="78"/>
      <c r="B30" s="79"/>
      <c r="C30" s="194">
        <f>ROUND(C11/(G11-B11-F11),5)</f>
        <v>0</v>
      </c>
      <c r="D30" s="195">
        <f>ROUND(D11/(G11-B11-F11),5)</f>
        <v>0</v>
      </c>
      <c r="E30" s="195">
        <f>ROUND(E11/(G11-B11-F11),5)</f>
        <v>1</v>
      </c>
      <c r="F30" s="120"/>
      <c r="G30" s="79"/>
      <c r="H30" s="81"/>
      <c r="J30" s="146"/>
      <c r="K30" s="146"/>
      <c r="L30" s="146"/>
      <c r="M30" s="146"/>
      <c r="N30" s="155"/>
    </row>
    <row r="31" spans="1:14" s="83" customFormat="1" ht="19.5" thickBot="1" x14ac:dyDescent="0.3">
      <c r="A31" s="45" t="s">
        <v>45</v>
      </c>
      <c r="B31" s="136">
        <f t="shared" ref="B31:G31" si="10">B32+B48</f>
        <v>0</v>
      </c>
      <c r="C31" s="156">
        <f t="shared" si="10"/>
        <v>0</v>
      </c>
      <c r="D31" s="156">
        <f t="shared" si="10"/>
        <v>0</v>
      </c>
      <c r="E31" s="156">
        <f t="shared" si="10"/>
        <v>10068.17</v>
      </c>
      <c r="F31" s="157">
        <f t="shared" si="10"/>
        <v>151.02199999999999</v>
      </c>
      <c r="G31" s="136">
        <f t="shared" si="10"/>
        <v>10219.192000000001</v>
      </c>
      <c r="H31" s="48"/>
      <c r="J31" s="137">
        <f>ROUND(J32+J48,2)</f>
        <v>0</v>
      </c>
      <c r="K31" s="137"/>
      <c r="L31" s="138">
        <f>ROUND(L32+L48,3)</f>
        <v>8376.3889999999992</v>
      </c>
      <c r="M31" s="138">
        <f>M32</f>
        <v>1842.8029999999999</v>
      </c>
      <c r="N31" s="138">
        <f>ROUND(N32+N48,3)</f>
        <v>10219.191999999999</v>
      </c>
    </row>
    <row r="32" spans="1:14" s="88" customFormat="1" ht="18.75" x14ac:dyDescent="0.25">
      <c r="A32" s="85" t="s">
        <v>37</v>
      </c>
      <c r="B32" s="158">
        <f t="shared" ref="B32:G32" si="11">SUM(B33:B40)</f>
        <v>0</v>
      </c>
      <c r="C32" s="158">
        <f t="shared" si="11"/>
        <v>0</v>
      </c>
      <c r="D32" s="158">
        <f t="shared" si="11"/>
        <v>0</v>
      </c>
      <c r="E32" s="158">
        <f t="shared" si="11"/>
        <v>10068.17</v>
      </c>
      <c r="F32" s="158">
        <f t="shared" si="11"/>
        <v>151.02199999999999</v>
      </c>
      <c r="G32" s="158">
        <f t="shared" si="11"/>
        <v>10219.192000000001</v>
      </c>
      <c r="H32" s="87"/>
      <c r="J32" s="146"/>
      <c r="K32" s="146"/>
      <c r="L32" s="159">
        <f>SUM(L33:L40)</f>
        <v>8376.389000000001</v>
      </c>
      <c r="M32" s="159">
        <f>SUM(M33:M40)</f>
        <v>1842.8029999999999</v>
      </c>
      <c r="N32" s="159">
        <f>SUM(N33:N40)</f>
        <v>10219.192000000001</v>
      </c>
    </row>
    <row r="33" spans="1:14" s="60" customFormat="1" ht="18.75" x14ac:dyDescent="0.3">
      <c r="A33" s="191" t="s">
        <v>65</v>
      </c>
      <c r="B33" s="160">
        <v>0</v>
      </c>
      <c r="C33" s="161">
        <v>0</v>
      </c>
      <c r="D33" s="161">
        <v>0</v>
      </c>
      <c r="E33" s="161">
        <f t="shared" ref="E33:E39" si="12">ROUND(N33-C33-D33,3)</f>
        <v>344.81</v>
      </c>
      <c r="F33" s="160">
        <v>0</v>
      </c>
      <c r="G33" s="160">
        <f t="shared" ref="G33:G40" si="13">SUM(B33:F33)</f>
        <v>344.81</v>
      </c>
      <c r="H33" s="202"/>
      <c r="J33" s="146">
        <v>27.65</v>
      </c>
      <c r="K33" s="148">
        <v>10.220000000000001</v>
      </c>
      <c r="L33" s="163">
        <v>282.63</v>
      </c>
      <c r="M33" s="163">
        <f t="shared" ref="M33:M39" si="14">ROUND(L33*0.22,2)</f>
        <v>62.18</v>
      </c>
      <c r="N33" s="163">
        <f>ROUND(L33+M33,2)</f>
        <v>344.81</v>
      </c>
    </row>
    <row r="34" spans="1:14" s="60" customFormat="1" ht="18.75" x14ac:dyDescent="0.3">
      <c r="A34" s="191" t="s">
        <v>71</v>
      </c>
      <c r="B34" s="160">
        <v>0</v>
      </c>
      <c r="C34" s="161">
        <v>0</v>
      </c>
      <c r="D34" s="161">
        <v>0</v>
      </c>
      <c r="E34" s="161">
        <f t="shared" si="12"/>
        <v>3593.17</v>
      </c>
      <c r="F34" s="160">
        <v>0</v>
      </c>
      <c r="G34" s="160">
        <f t="shared" si="13"/>
        <v>3593.17</v>
      </c>
      <c r="H34" s="202"/>
      <c r="J34" s="146">
        <v>288.18</v>
      </c>
      <c r="K34" s="148">
        <v>10.220000000000001</v>
      </c>
      <c r="L34" s="163">
        <v>2945.22</v>
      </c>
      <c r="M34" s="163">
        <f t="shared" si="14"/>
        <v>647.95000000000005</v>
      </c>
      <c r="N34" s="217">
        <f t="shared" ref="N34:N39" si="15">ROUND(L34+M34,2)</f>
        <v>3593.17</v>
      </c>
    </row>
    <row r="35" spans="1:14" s="60" customFormat="1" ht="37.5" x14ac:dyDescent="0.3">
      <c r="A35" s="191" t="s">
        <v>72</v>
      </c>
      <c r="B35" s="160">
        <v>0</v>
      </c>
      <c r="C35" s="161">
        <v>0</v>
      </c>
      <c r="D35" s="161">
        <v>0</v>
      </c>
      <c r="E35" s="161">
        <f>ROUND(N35-C35-D35,3)</f>
        <v>5672.96</v>
      </c>
      <c r="F35" s="160">
        <v>0</v>
      </c>
      <c r="G35" s="160">
        <f t="shared" si="13"/>
        <v>5672.96</v>
      </c>
      <c r="H35" s="202"/>
      <c r="J35" s="146">
        <v>454.98</v>
      </c>
      <c r="K35" s="148">
        <v>10.220000000000001</v>
      </c>
      <c r="L35" s="163">
        <v>4649.97</v>
      </c>
      <c r="M35" s="163">
        <f t="shared" si="14"/>
        <v>1022.99</v>
      </c>
      <c r="N35" s="217">
        <f t="shared" si="15"/>
        <v>5672.96</v>
      </c>
    </row>
    <row r="36" spans="1:14" s="60" customFormat="1" ht="18.75" x14ac:dyDescent="0.3">
      <c r="A36" s="191" t="s">
        <v>76</v>
      </c>
      <c r="B36" s="160">
        <v>0</v>
      </c>
      <c r="C36" s="161">
        <v>0</v>
      </c>
      <c r="D36" s="161">
        <v>0</v>
      </c>
      <c r="E36" s="161">
        <f t="shared" si="12"/>
        <v>315.24</v>
      </c>
      <c r="F36" s="160">
        <v>0</v>
      </c>
      <c r="G36" s="160">
        <f t="shared" si="13"/>
        <v>315.24</v>
      </c>
      <c r="H36" s="202"/>
      <c r="J36" s="146">
        <v>25.28</v>
      </c>
      <c r="K36" s="148">
        <v>10.220000000000001</v>
      </c>
      <c r="L36" s="162">
        <v>258.39</v>
      </c>
      <c r="M36" s="163">
        <f t="shared" si="14"/>
        <v>56.85</v>
      </c>
      <c r="N36" s="164">
        <f t="shared" si="15"/>
        <v>315.24</v>
      </c>
    </row>
    <row r="37" spans="1:14" s="60" customFormat="1" ht="18.75" x14ac:dyDescent="0.3">
      <c r="A37" s="191" t="s">
        <v>73</v>
      </c>
      <c r="B37" s="160">
        <v>0</v>
      </c>
      <c r="C37" s="161">
        <v>0</v>
      </c>
      <c r="D37" s="161">
        <v>0</v>
      </c>
      <c r="E37" s="161">
        <f t="shared" si="12"/>
        <v>71.47</v>
      </c>
      <c r="F37" s="160">
        <v>0</v>
      </c>
      <c r="G37" s="160">
        <f t="shared" si="13"/>
        <v>71.47</v>
      </c>
      <c r="H37" s="202"/>
      <c r="J37" s="146">
        <v>5.73</v>
      </c>
      <c r="K37" s="148">
        <v>10.220000000000001</v>
      </c>
      <c r="L37" s="162">
        <v>58.58</v>
      </c>
      <c r="M37" s="163">
        <f t="shared" si="14"/>
        <v>12.89</v>
      </c>
      <c r="N37" s="164">
        <f t="shared" si="15"/>
        <v>71.47</v>
      </c>
    </row>
    <row r="38" spans="1:14" s="60" customFormat="1" ht="18.75" x14ac:dyDescent="0.3">
      <c r="A38" s="191" t="s">
        <v>74</v>
      </c>
      <c r="B38" s="160">
        <v>0</v>
      </c>
      <c r="C38" s="161">
        <v>0</v>
      </c>
      <c r="D38" s="161">
        <v>0</v>
      </c>
      <c r="E38" s="161">
        <f t="shared" si="12"/>
        <v>68.17</v>
      </c>
      <c r="F38" s="160">
        <v>0</v>
      </c>
      <c r="G38" s="160">
        <f t="shared" si="13"/>
        <v>68.17</v>
      </c>
      <c r="H38" s="202"/>
      <c r="J38" s="142">
        <v>3.39</v>
      </c>
      <c r="K38" s="151">
        <v>16.47</v>
      </c>
      <c r="L38" s="143">
        <v>55.88</v>
      </c>
      <c r="M38" s="143">
        <f t="shared" si="14"/>
        <v>12.29</v>
      </c>
      <c r="N38" s="143">
        <f t="shared" si="15"/>
        <v>68.17</v>
      </c>
    </row>
    <row r="39" spans="1:14" s="60" customFormat="1" ht="37.5" x14ac:dyDescent="0.3">
      <c r="A39" s="191" t="s">
        <v>75</v>
      </c>
      <c r="B39" s="141">
        <v>0</v>
      </c>
      <c r="C39" s="161">
        <v>0</v>
      </c>
      <c r="D39" s="161">
        <v>0</v>
      </c>
      <c r="E39" s="161">
        <f t="shared" si="12"/>
        <v>2.35</v>
      </c>
      <c r="F39" s="160">
        <v>0</v>
      </c>
      <c r="G39" s="141">
        <f t="shared" si="13"/>
        <v>2.35</v>
      </c>
      <c r="H39" s="203"/>
      <c r="J39" s="142">
        <v>0.12</v>
      </c>
      <c r="K39" s="151">
        <v>16.47</v>
      </c>
      <c r="L39" s="143">
        <v>1.93</v>
      </c>
      <c r="M39" s="143">
        <f t="shared" si="14"/>
        <v>0.42</v>
      </c>
      <c r="N39" s="143">
        <f t="shared" si="15"/>
        <v>2.35</v>
      </c>
    </row>
    <row r="40" spans="1:14" ht="18.75" x14ac:dyDescent="0.25">
      <c r="A40" s="66" t="s">
        <v>39</v>
      </c>
      <c r="B40" s="145">
        <v>0</v>
      </c>
      <c r="C40" s="166">
        <v>0</v>
      </c>
      <c r="D40" s="166">
        <v>0</v>
      </c>
      <c r="E40" s="166">
        <v>0</v>
      </c>
      <c r="F40" s="160">
        <v>151.02199999999999</v>
      </c>
      <c r="G40" s="145">
        <f t="shared" si="13"/>
        <v>151.02199999999999</v>
      </c>
      <c r="H40" s="202"/>
      <c r="J40" s="137" t="e">
        <f>J41+J42+J43+J44+J45+J46+J47+#REF!</f>
        <v>#REF!</v>
      </c>
      <c r="K40" s="137"/>
      <c r="L40" s="147">
        <f>L41+L42+L43+L44+L45+L46+L47</f>
        <v>123.789</v>
      </c>
      <c r="M40" s="147">
        <f>M41+M42+M43+M44+M45+M46+M47</f>
        <v>27.233000000000004</v>
      </c>
      <c r="N40" s="147">
        <f>N41+N42+N43+N44+N45+N46+N47</f>
        <v>151.02199999999999</v>
      </c>
    </row>
    <row r="41" spans="1:14" ht="18.75" hidden="1" x14ac:dyDescent="0.3">
      <c r="A41" s="150" t="s">
        <v>65</v>
      </c>
      <c r="B41" s="141">
        <v>0</v>
      </c>
      <c r="C41" s="167"/>
      <c r="D41" s="167"/>
      <c r="E41" s="167"/>
      <c r="F41" s="168"/>
      <c r="G41" s="169"/>
      <c r="H41" s="99"/>
      <c r="J41" s="151"/>
      <c r="K41" s="151"/>
      <c r="L41" s="152">
        <f>ROUND(L33*0.015,3)</f>
        <v>4.2389999999999999</v>
      </c>
      <c r="M41" s="152">
        <f>ROUND(L41*0.22,3)</f>
        <v>0.93300000000000005</v>
      </c>
      <c r="N41" s="152">
        <f>ROUND(L41+M41,3)</f>
        <v>5.1719999999999997</v>
      </c>
    </row>
    <row r="42" spans="1:14" ht="18.75" hidden="1" x14ac:dyDescent="0.3">
      <c r="A42" s="150" t="s">
        <v>71</v>
      </c>
      <c r="B42" s="141">
        <v>0</v>
      </c>
      <c r="C42" s="167"/>
      <c r="D42" s="167"/>
      <c r="E42" s="167"/>
      <c r="F42" s="168"/>
      <c r="G42" s="169"/>
      <c r="H42" s="99"/>
      <c r="J42" s="148"/>
      <c r="K42" s="146"/>
      <c r="L42" s="152">
        <f t="shared" ref="L42:L47" si="16">ROUND(L34*0.015,3)</f>
        <v>44.177999999999997</v>
      </c>
      <c r="M42" s="152">
        <f t="shared" ref="M42:M45" si="17">ROUND(L42*0.22,3)</f>
        <v>9.7189999999999994</v>
      </c>
      <c r="N42" s="153">
        <f t="shared" ref="N42:N47" si="18">ROUND(L42+M42,3)</f>
        <v>53.896999999999998</v>
      </c>
    </row>
    <row r="43" spans="1:14" ht="37.5" hidden="1" x14ac:dyDescent="0.3">
      <c r="A43" s="150" t="s">
        <v>72</v>
      </c>
      <c r="B43" s="141">
        <v>0</v>
      </c>
      <c r="C43" s="167"/>
      <c r="D43" s="167"/>
      <c r="E43" s="167"/>
      <c r="F43" s="168"/>
      <c r="G43" s="169"/>
      <c r="H43" s="99"/>
      <c r="J43" s="151"/>
      <c r="K43" s="151"/>
      <c r="L43" s="152">
        <f t="shared" si="16"/>
        <v>69.75</v>
      </c>
      <c r="M43" s="152">
        <f t="shared" si="17"/>
        <v>15.345000000000001</v>
      </c>
      <c r="N43" s="153">
        <f t="shared" si="18"/>
        <v>85.094999999999999</v>
      </c>
    </row>
    <row r="44" spans="1:14" ht="18.75" hidden="1" x14ac:dyDescent="0.3">
      <c r="A44" s="150" t="s">
        <v>76</v>
      </c>
      <c r="B44" s="141">
        <v>0</v>
      </c>
      <c r="C44" s="167"/>
      <c r="D44" s="167"/>
      <c r="E44" s="167"/>
      <c r="F44" s="168"/>
      <c r="G44" s="169"/>
      <c r="H44" s="99"/>
      <c r="J44" s="148"/>
      <c r="K44" s="146"/>
      <c r="L44" s="152">
        <f t="shared" si="16"/>
        <v>3.8759999999999999</v>
      </c>
      <c r="M44" s="152">
        <f t="shared" si="17"/>
        <v>0.85299999999999998</v>
      </c>
      <c r="N44" s="153">
        <f t="shared" si="18"/>
        <v>4.7290000000000001</v>
      </c>
    </row>
    <row r="45" spans="1:14" ht="18.75" hidden="1" x14ac:dyDescent="0.3">
      <c r="A45" s="150" t="s">
        <v>73</v>
      </c>
      <c r="B45" s="141">
        <v>0</v>
      </c>
      <c r="C45" s="167"/>
      <c r="D45" s="167"/>
      <c r="E45" s="167"/>
      <c r="F45" s="168"/>
      <c r="G45" s="169"/>
      <c r="H45" s="99"/>
      <c r="J45" s="148"/>
      <c r="K45" s="146"/>
      <c r="L45" s="152">
        <f t="shared" si="16"/>
        <v>0.879</v>
      </c>
      <c r="M45" s="152">
        <f t="shared" si="17"/>
        <v>0.193</v>
      </c>
      <c r="N45" s="153">
        <f t="shared" si="18"/>
        <v>1.0720000000000001</v>
      </c>
    </row>
    <row r="46" spans="1:14" ht="18.75" hidden="1" x14ac:dyDescent="0.3">
      <c r="A46" s="150" t="s">
        <v>74</v>
      </c>
      <c r="B46" s="141">
        <v>0</v>
      </c>
      <c r="C46" s="167"/>
      <c r="D46" s="167"/>
      <c r="E46" s="167"/>
      <c r="F46" s="168"/>
      <c r="G46" s="169"/>
      <c r="H46" s="99"/>
      <c r="J46" s="148"/>
      <c r="K46" s="146"/>
      <c r="L46" s="149">
        <f t="shared" si="16"/>
        <v>0.83799999999999997</v>
      </c>
      <c r="M46" s="149">
        <f>ROUND(L46*0.22,3)</f>
        <v>0.184</v>
      </c>
      <c r="N46" s="149">
        <f t="shared" si="18"/>
        <v>1.022</v>
      </c>
    </row>
    <row r="47" spans="1:14" ht="37.5" hidden="1" x14ac:dyDescent="0.3">
      <c r="A47" s="150" t="s">
        <v>75</v>
      </c>
      <c r="B47" s="141">
        <v>0</v>
      </c>
      <c r="C47" s="167"/>
      <c r="D47" s="167"/>
      <c r="E47" s="167"/>
      <c r="F47" s="168"/>
      <c r="G47" s="169"/>
      <c r="H47" s="99"/>
      <c r="J47" s="148"/>
      <c r="K47" s="146"/>
      <c r="L47" s="149">
        <f t="shared" si="16"/>
        <v>2.9000000000000001E-2</v>
      </c>
      <c r="M47" s="149">
        <f>ROUND(L47*0.22,3)</f>
        <v>6.0000000000000001E-3</v>
      </c>
      <c r="N47" s="149">
        <f t="shared" si="18"/>
        <v>3.5000000000000003E-2</v>
      </c>
    </row>
    <row r="48" spans="1:14" ht="18.75" x14ac:dyDescent="0.25">
      <c r="A48" s="52" t="s">
        <v>42</v>
      </c>
      <c r="B48" s="170">
        <v>0</v>
      </c>
      <c r="C48" s="170">
        <v>0</v>
      </c>
      <c r="D48" s="170">
        <v>0</v>
      </c>
      <c r="E48" s="170"/>
      <c r="F48" s="170">
        <v>0</v>
      </c>
      <c r="G48" s="170">
        <v>0</v>
      </c>
      <c r="H48" s="54"/>
      <c r="J48" s="171">
        <v>0</v>
      </c>
      <c r="K48" s="171">
        <v>0</v>
      </c>
      <c r="L48" s="171">
        <v>0</v>
      </c>
      <c r="M48" s="171">
        <v>0</v>
      </c>
      <c r="N48" s="171">
        <v>0</v>
      </c>
    </row>
    <row r="49" spans="1:14" s="125" customFormat="1" ht="19.5" thickBot="1" x14ac:dyDescent="0.3">
      <c r="A49" s="121"/>
      <c r="B49" s="172"/>
      <c r="C49" s="173">
        <f>ROUND(C31/(G31-B31-F31),5)</f>
        <v>0</v>
      </c>
      <c r="D49" s="193">
        <f>ROUND(D31/(G31-B31-F31),5)</f>
        <v>0</v>
      </c>
      <c r="E49" s="193">
        <f>ROUND(E31/(G31-B31-F31),5)</f>
        <v>1</v>
      </c>
      <c r="F49" s="174"/>
      <c r="G49" s="174"/>
      <c r="H49" s="124"/>
      <c r="J49" s="175"/>
      <c r="K49" s="175"/>
      <c r="L49" s="175"/>
      <c r="M49" s="175"/>
      <c r="N49" s="176"/>
    </row>
    <row r="50" spans="1:14" ht="19.5" thickBot="1" x14ac:dyDescent="0.3">
      <c r="A50" s="45" t="s">
        <v>35</v>
      </c>
      <c r="B50" s="157">
        <f t="shared" ref="B50:G50" si="19">B31+B11</f>
        <v>2488.7629999999999</v>
      </c>
      <c r="C50" s="156">
        <f t="shared" si="19"/>
        <v>0</v>
      </c>
      <c r="D50" s="156">
        <f t="shared" si="19"/>
        <v>0</v>
      </c>
      <c r="E50" s="156">
        <f t="shared" si="19"/>
        <v>10283.634</v>
      </c>
      <c r="F50" s="136">
        <f t="shared" si="19"/>
        <v>383.173</v>
      </c>
      <c r="G50" s="136">
        <f t="shared" si="19"/>
        <v>13155.570000000002</v>
      </c>
      <c r="H50" s="48"/>
      <c r="J50" s="177">
        <f>J11+J31</f>
        <v>0</v>
      </c>
      <c r="K50" s="177"/>
      <c r="L50" s="138">
        <f>L11+L31</f>
        <v>10783.25</v>
      </c>
      <c r="M50" s="138">
        <f>M11+M31</f>
        <v>2372.3199999999997</v>
      </c>
      <c r="N50" s="138">
        <f>N11+N31</f>
        <v>13155.57</v>
      </c>
    </row>
    <row r="51" spans="1:14" ht="19.5" thickBot="1" x14ac:dyDescent="0.3">
      <c r="A51" s="129" t="s">
        <v>46</v>
      </c>
      <c r="B51" s="178">
        <v>0</v>
      </c>
      <c r="C51" s="179">
        <v>0</v>
      </c>
      <c r="D51" s="179">
        <v>0</v>
      </c>
      <c r="E51" s="179">
        <v>0</v>
      </c>
      <c r="F51" s="179">
        <v>0</v>
      </c>
      <c r="G51" s="179">
        <f>SUM(B51:F51)</f>
        <v>0</v>
      </c>
      <c r="H51" s="132"/>
      <c r="J51" s="102"/>
      <c r="K51" s="102"/>
      <c r="L51" s="102"/>
      <c r="M51" s="102"/>
      <c r="N51" s="44"/>
    </row>
    <row r="52" spans="1:14" ht="21.75" customHeight="1" x14ac:dyDescent="0.25">
      <c r="F52" s="49"/>
      <c r="K52" s="180"/>
      <c r="L52" s="181">
        <f>314.07-L14-L29-L40</f>
        <v>0</v>
      </c>
    </row>
    <row r="53" spans="1:14" ht="49.5" customHeight="1" x14ac:dyDescent="0.35">
      <c r="A53" s="187"/>
      <c r="B53" s="187" t="s">
        <v>106</v>
      </c>
      <c r="C53" s="188"/>
      <c r="D53" s="103"/>
      <c r="E53" s="104" t="s">
        <v>107</v>
      </c>
      <c r="F53" s="104"/>
      <c r="L53" s="49">
        <f>L50-10783.25</f>
        <v>0</v>
      </c>
      <c r="M53" s="49">
        <f>M50-2372.32</f>
        <v>0</v>
      </c>
      <c r="N53" s="49">
        <f>N50-13155.57</f>
        <v>0</v>
      </c>
    </row>
    <row r="54" spans="1:14" x14ac:dyDescent="0.25">
      <c r="C54" s="105"/>
      <c r="D54" s="105"/>
      <c r="E54" s="105"/>
      <c r="J54" s="32">
        <f>C50*100/G50</f>
        <v>0</v>
      </c>
    </row>
    <row r="55" spans="1:14" ht="75" customHeight="1" x14ac:dyDescent="0.4">
      <c r="A55" s="106" t="s">
        <v>108</v>
      </c>
      <c r="F55" s="107"/>
      <c r="G55" s="108"/>
    </row>
    <row r="56" spans="1:14" x14ac:dyDescent="0.25">
      <c r="F56" s="105"/>
    </row>
  </sheetData>
  <mergeCells count="11">
    <mergeCell ref="A2:H2"/>
    <mergeCell ref="A3:H3"/>
    <mergeCell ref="B6:H6"/>
    <mergeCell ref="A8:A9"/>
    <mergeCell ref="B8:G8"/>
    <mergeCell ref="H8:H9"/>
    <mergeCell ref="J8:J9"/>
    <mergeCell ref="K8:K9"/>
    <mergeCell ref="L8:L9"/>
    <mergeCell ref="M8:M9"/>
    <mergeCell ref="N8:N9"/>
  </mergeCells>
  <pageMargins left="0.7" right="0.7" top="0.75" bottom="0.75" header="0.3" footer="0.3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26"/>
  <sheetViews>
    <sheetView tabSelected="1" view="pageBreakPreview" zoomScale="25" zoomScaleNormal="84" zoomScaleSheetLayoutView="25" workbookViewId="0">
      <selection activeCell="E75" sqref="E75"/>
    </sheetView>
  </sheetViews>
  <sheetFormatPr defaultRowHeight="12.75" x14ac:dyDescent="0.2"/>
  <cols>
    <col min="1" max="1" width="67.5703125" style="1" customWidth="1"/>
    <col min="2" max="2" width="25.28515625" style="1" customWidth="1"/>
    <col min="3" max="3" width="20.28515625" style="1" customWidth="1"/>
    <col min="4" max="4" width="16.7109375" style="1" customWidth="1"/>
    <col min="5" max="5" width="17" style="1" customWidth="1"/>
    <col min="6" max="6" width="14.7109375" style="1" customWidth="1"/>
    <col min="7" max="7" width="19.85546875" style="1" customWidth="1"/>
    <col min="8" max="8" width="16.28515625" style="1" customWidth="1"/>
    <col min="9" max="9" width="19.28515625" style="1" customWidth="1"/>
    <col min="10" max="10" width="21" style="1" hidden="1" customWidth="1"/>
    <col min="11" max="11" width="20.85546875" style="1" hidden="1" customWidth="1"/>
    <col min="12" max="12" width="22.85546875" style="1" hidden="1" customWidth="1"/>
    <col min="13" max="14" width="18.42578125" style="1" customWidth="1"/>
    <col min="15" max="15" width="9.85546875" bestFit="1" customWidth="1"/>
    <col min="16" max="16" width="9.85546875" style="1" bestFit="1" customWidth="1"/>
    <col min="17" max="17" width="10.140625" style="1" bestFit="1" customWidth="1"/>
    <col min="18" max="18" width="18.42578125" style="1" customWidth="1"/>
    <col min="19" max="19" width="14.5703125" style="1" customWidth="1"/>
    <col min="20" max="16384" width="9.140625" style="1"/>
  </cols>
  <sheetData>
    <row r="1" spans="1:17" ht="46.5" customHeight="1" x14ac:dyDescent="0.3">
      <c r="A1" s="110"/>
      <c r="B1" s="111"/>
      <c r="C1" s="111"/>
      <c r="D1" s="111"/>
      <c r="E1" s="111"/>
      <c r="F1" s="111"/>
      <c r="G1" s="111"/>
      <c r="H1" s="111"/>
      <c r="I1" s="259" t="s">
        <v>92</v>
      </c>
      <c r="J1" s="260"/>
      <c r="K1" s="260"/>
      <c r="L1" s="260"/>
      <c r="M1" s="260"/>
      <c r="N1" s="260"/>
    </row>
    <row r="2" spans="1:17" ht="18" customHeight="1" x14ac:dyDescent="0.3">
      <c r="A2" s="133"/>
      <c r="B2" s="111"/>
      <c r="C2" s="111"/>
      <c r="D2" s="111"/>
      <c r="E2" s="111"/>
      <c r="F2" s="111"/>
      <c r="G2" s="111"/>
      <c r="H2" s="111"/>
      <c r="I2" s="13"/>
      <c r="J2" s="281"/>
      <c r="K2" s="281"/>
      <c r="L2" s="197"/>
      <c r="M2" s="112"/>
      <c r="N2" s="13"/>
    </row>
    <row r="3" spans="1:17" ht="20.25" x14ac:dyDescent="0.3">
      <c r="A3" s="283" t="s">
        <v>4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</row>
    <row r="4" spans="1:17" ht="20.25" x14ac:dyDescent="0.3">
      <c r="A4" s="284" t="s">
        <v>5</v>
      </c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</row>
    <row r="5" spans="1:17" ht="10.5" customHeight="1" x14ac:dyDescent="0.3">
      <c r="A5" s="285"/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198"/>
      <c r="M5" s="13"/>
      <c r="N5" s="13"/>
    </row>
    <row r="6" spans="1:17" ht="72.75" customHeight="1" x14ac:dyDescent="0.2">
      <c r="A6" s="113" t="s">
        <v>8</v>
      </c>
      <c r="B6" s="286" t="s">
        <v>69</v>
      </c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</row>
    <row r="7" spans="1:17" ht="54.75" customHeight="1" x14ac:dyDescent="0.2">
      <c r="A7" s="114" t="s">
        <v>7</v>
      </c>
      <c r="B7" s="282" t="s">
        <v>70</v>
      </c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</row>
    <row r="8" spans="1:17" s="3" customFormat="1" ht="19.5" thickBot="1" x14ac:dyDescent="0.35">
      <c r="A8" s="4"/>
      <c r="B8" s="5"/>
      <c r="C8" s="5"/>
      <c r="D8" s="5"/>
      <c r="E8" s="5"/>
      <c r="F8" s="5"/>
      <c r="G8" s="5"/>
      <c r="H8" s="5"/>
      <c r="I8" s="5"/>
      <c r="J8" s="5"/>
      <c r="K8" s="6"/>
      <c r="L8" s="6"/>
      <c r="N8" s="210" t="s">
        <v>2</v>
      </c>
      <c r="O8"/>
    </row>
    <row r="9" spans="1:17" s="2" customFormat="1" ht="15.75" customHeight="1" thickBot="1" x14ac:dyDescent="0.25">
      <c r="A9" s="266"/>
      <c r="B9" s="269" t="s">
        <v>95</v>
      </c>
      <c r="C9" s="269" t="s">
        <v>93</v>
      </c>
      <c r="D9" s="278" t="s">
        <v>14</v>
      </c>
      <c r="E9" s="275" t="s">
        <v>77</v>
      </c>
      <c r="F9" s="275" t="s">
        <v>15</v>
      </c>
      <c r="G9" s="269" t="s">
        <v>94</v>
      </c>
      <c r="H9" s="275" t="s">
        <v>16</v>
      </c>
      <c r="I9" s="275" t="s">
        <v>17</v>
      </c>
      <c r="J9" s="272" t="s">
        <v>10</v>
      </c>
      <c r="K9" s="273"/>
      <c r="L9" s="274"/>
      <c r="M9" s="275" t="s">
        <v>6</v>
      </c>
      <c r="N9" s="261" t="s">
        <v>3</v>
      </c>
      <c r="O9"/>
    </row>
    <row r="10" spans="1:17" s="2" customFormat="1" ht="18.75" customHeight="1" x14ac:dyDescent="0.2">
      <c r="A10" s="267"/>
      <c r="B10" s="270"/>
      <c r="C10" s="270"/>
      <c r="D10" s="279"/>
      <c r="E10" s="276"/>
      <c r="F10" s="276"/>
      <c r="G10" s="270"/>
      <c r="H10" s="276"/>
      <c r="I10" s="276"/>
      <c r="J10" s="264">
        <v>2026</v>
      </c>
      <c r="K10" s="264">
        <v>2027</v>
      </c>
      <c r="L10" s="264">
        <v>2028</v>
      </c>
      <c r="M10" s="276"/>
      <c r="N10" s="262"/>
      <c r="O10"/>
    </row>
    <row r="11" spans="1:17" s="2" customFormat="1" ht="70.5" customHeight="1" thickBot="1" x14ac:dyDescent="0.25">
      <c r="A11" s="268"/>
      <c r="B11" s="271"/>
      <c r="C11" s="271"/>
      <c r="D11" s="280"/>
      <c r="E11" s="277"/>
      <c r="F11" s="277"/>
      <c r="G11" s="271"/>
      <c r="H11" s="277"/>
      <c r="I11" s="277"/>
      <c r="J11" s="265"/>
      <c r="K11" s="265"/>
      <c r="L11" s="265"/>
      <c r="M11" s="277"/>
      <c r="N11" s="263"/>
      <c r="O11"/>
    </row>
    <row r="12" spans="1:17" s="2" customFormat="1" ht="19.5" thickBot="1" x14ac:dyDescent="0.25">
      <c r="A12" s="119">
        <v>1</v>
      </c>
      <c r="B12" s="21">
        <v>2</v>
      </c>
      <c r="C12" s="22">
        <v>3</v>
      </c>
      <c r="D12" s="22">
        <v>4</v>
      </c>
      <c r="E12" s="23">
        <v>5</v>
      </c>
      <c r="F12" s="22">
        <v>6</v>
      </c>
      <c r="G12" s="22">
        <v>7</v>
      </c>
      <c r="H12" s="22">
        <v>8</v>
      </c>
      <c r="I12" s="22">
        <v>9</v>
      </c>
      <c r="J12" s="22"/>
      <c r="K12" s="22"/>
      <c r="L12" s="22"/>
      <c r="M12" s="22">
        <v>10</v>
      </c>
      <c r="N12" s="22">
        <v>11</v>
      </c>
      <c r="O12"/>
    </row>
    <row r="13" spans="1:17" ht="19.5" thickBot="1" x14ac:dyDescent="0.25">
      <c r="A13" s="30" t="s">
        <v>0</v>
      </c>
      <c r="B13" s="25">
        <f>B14</f>
        <v>215.464</v>
      </c>
      <c r="C13" s="25">
        <f t="shared" ref="C13:E13" si="0">C14</f>
        <v>0</v>
      </c>
      <c r="D13" s="25">
        <f t="shared" si="0"/>
        <v>0</v>
      </c>
      <c r="E13" s="25">
        <f t="shared" si="0"/>
        <v>215.464</v>
      </c>
      <c r="F13" s="18" t="s">
        <v>18</v>
      </c>
      <c r="G13" s="18">
        <f>G14</f>
        <v>241.578</v>
      </c>
      <c r="H13" s="18" t="s">
        <v>18</v>
      </c>
      <c r="I13" s="18">
        <f>I14</f>
        <v>243.75200000000001</v>
      </c>
      <c r="J13" s="18">
        <f t="shared" ref="J13:N13" si="1">J14</f>
        <v>0</v>
      </c>
      <c r="K13" s="18">
        <f t="shared" si="1"/>
        <v>0</v>
      </c>
      <c r="L13" s="18">
        <f t="shared" si="1"/>
        <v>243.75200000000001</v>
      </c>
      <c r="M13" s="18">
        <f t="shared" si="1"/>
        <v>243.75200000000001</v>
      </c>
      <c r="N13" s="18">
        <f t="shared" si="1"/>
        <v>243.75200000000001</v>
      </c>
      <c r="O13" s="182"/>
      <c r="P13" s="128"/>
    </row>
    <row r="14" spans="1:17" ht="19.5" thickBot="1" x14ac:dyDescent="0.25">
      <c r="A14" s="30" t="s">
        <v>1</v>
      </c>
      <c r="B14" s="25">
        <f>B15</f>
        <v>215.464</v>
      </c>
      <c r="C14" s="25">
        <f t="shared" ref="C14:E14" si="2">C15</f>
        <v>0</v>
      </c>
      <c r="D14" s="25">
        <f t="shared" si="2"/>
        <v>0</v>
      </c>
      <c r="E14" s="25">
        <f t="shared" si="2"/>
        <v>215.464</v>
      </c>
      <c r="F14" s="199" t="s">
        <v>18</v>
      </c>
      <c r="G14" s="18">
        <f>G15</f>
        <v>241.578</v>
      </c>
      <c r="H14" s="199"/>
      <c r="I14" s="18">
        <f>I15</f>
        <v>243.75200000000001</v>
      </c>
      <c r="J14" s="18">
        <f t="shared" ref="J14:N14" si="3">J15</f>
        <v>0</v>
      </c>
      <c r="K14" s="18">
        <f t="shared" si="3"/>
        <v>0</v>
      </c>
      <c r="L14" s="18">
        <f t="shared" si="3"/>
        <v>243.75200000000001</v>
      </c>
      <c r="M14" s="18">
        <f t="shared" si="3"/>
        <v>243.75200000000001</v>
      </c>
      <c r="N14" s="18">
        <f t="shared" si="3"/>
        <v>243.75200000000001</v>
      </c>
    </row>
    <row r="15" spans="1:17" s="7" customFormat="1" ht="19.5" thickBot="1" x14ac:dyDescent="0.25">
      <c r="A15" s="19" t="s">
        <v>22</v>
      </c>
      <c r="B15" s="26">
        <f>SUM(B16:B16)</f>
        <v>215.464</v>
      </c>
      <c r="C15" s="20">
        <f>SUM(C16:C16)</f>
        <v>0</v>
      </c>
      <c r="D15" s="20">
        <f>SUM(D16:D16)</f>
        <v>0</v>
      </c>
      <c r="E15" s="20">
        <f>SUM(E16:E16)</f>
        <v>215.464</v>
      </c>
      <c r="F15" s="200">
        <f>$B$58</f>
        <v>1.1212</v>
      </c>
      <c r="G15" s="9">
        <f>SUM(G16:G16)</f>
        <v>241.578</v>
      </c>
      <c r="H15" s="200">
        <f>H16</f>
        <v>1.0089999999999999</v>
      </c>
      <c r="I15" s="9">
        <f t="shared" ref="I15:N15" si="4">SUM(I16:I16)</f>
        <v>243.75200000000001</v>
      </c>
      <c r="J15" s="9">
        <f t="shared" si="4"/>
        <v>0</v>
      </c>
      <c r="K15" s="9">
        <f t="shared" si="4"/>
        <v>0</v>
      </c>
      <c r="L15" s="9">
        <f t="shared" si="4"/>
        <v>243.75200000000001</v>
      </c>
      <c r="M15" s="9">
        <f t="shared" si="4"/>
        <v>243.75200000000001</v>
      </c>
      <c r="N15" s="10">
        <f t="shared" si="4"/>
        <v>243.75200000000001</v>
      </c>
      <c r="O15" s="183"/>
      <c r="Q15" s="234"/>
    </row>
    <row r="16" spans="1:17" ht="18.75" x14ac:dyDescent="0.2">
      <c r="A16" s="17" t="s">
        <v>21</v>
      </c>
      <c r="B16" s="186">
        <f>'Расчет Ф4'!N13</f>
        <v>215.464</v>
      </c>
      <c r="C16" s="11">
        <v>0</v>
      </c>
      <c r="D16" s="11">
        <v>0</v>
      </c>
      <c r="E16" s="11">
        <f>B16-D16-C16</f>
        <v>215.464</v>
      </c>
      <c r="F16" s="201">
        <f>$B$58</f>
        <v>1.1212</v>
      </c>
      <c r="G16" s="135">
        <f>ROUND(E16*F16,3)</f>
        <v>241.578</v>
      </c>
      <c r="H16" s="201">
        <f>$C$79</f>
        <v>1.0089999999999999</v>
      </c>
      <c r="I16" s="135">
        <f>ROUND(H16*G16,3)</f>
        <v>243.75200000000001</v>
      </c>
      <c r="J16" s="135">
        <f>ROUNDDOWN('Расчет Ф4'!D13*F16*H16,3)</f>
        <v>0</v>
      </c>
      <c r="K16" s="135">
        <f>'Расчет Ф4'!D13*'Расчет Ф7'!F16*'Расчет Ф7'!H16</f>
        <v>0</v>
      </c>
      <c r="L16" s="135">
        <f t="shared" ref="L16" si="5">I16-J16-K16</f>
        <v>243.75200000000001</v>
      </c>
      <c r="M16" s="11">
        <f>N16+C16</f>
        <v>243.75200000000001</v>
      </c>
      <c r="N16" s="24">
        <f>K16+J16+L16</f>
        <v>243.75200000000001</v>
      </c>
      <c r="P16" s="8"/>
    </row>
    <row r="17" spans="1:19" ht="18.75" x14ac:dyDescent="0.3">
      <c r="A17" s="222" t="s">
        <v>110</v>
      </c>
      <c r="B17" s="117"/>
      <c r="C17" s="117"/>
      <c r="D17" s="117"/>
      <c r="E17" s="117"/>
      <c r="F17" s="117"/>
      <c r="G17" s="117"/>
      <c r="H17" s="117"/>
      <c r="I17" s="117"/>
      <c r="J17" s="118"/>
      <c r="K17" s="118"/>
      <c r="L17" s="118"/>
      <c r="M17" s="118"/>
      <c r="N17" s="118"/>
    </row>
    <row r="18" spans="1:19" s="14" customFormat="1" ht="20.25" x14ac:dyDescent="0.3">
      <c r="A18" s="287" t="s">
        <v>96</v>
      </c>
      <c r="B18" s="287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3"/>
      <c r="R18" s="29"/>
      <c r="S18" s="29"/>
    </row>
    <row r="19" spans="1:19" s="14" customFormat="1" ht="20.25" customHeight="1" x14ac:dyDescent="0.3">
      <c r="A19" s="287" t="s">
        <v>80</v>
      </c>
      <c r="B19" s="287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3"/>
      <c r="R19" s="29"/>
      <c r="S19" s="29"/>
    </row>
    <row r="20" spans="1:19" s="14" customFormat="1" ht="20.25" x14ac:dyDescent="0.3">
      <c r="A20" s="287" t="s">
        <v>104</v>
      </c>
      <c r="B20" s="287"/>
      <c r="C20" s="12"/>
      <c r="D20" s="114"/>
      <c r="E20" s="114"/>
      <c r="F20" s="114"/>
      <c r="G20" s="114"/>
      <c r="H20" s="114"/>
      <c r="I20" s="15"/>
      <c r="J20" s="114"/>
      <c r="K20" s="114"/>
      <c r="L20" s="114"/>
      <c r="M20" s="114"/>
      <c r="N20" s="114"/>
      <c r="O20" s="114"/>
      <c r="P20" s="114"/>
      <c r="Q20" s="114"/>
      <c r="R20" s="114"/>
      <c r="S20" s="13"/>
    </row>
    <row r="21" spans="1:19" s="14" customFormat="1" ht="20.25" x14ac:dyDescent="0.3">
      <c r="A21" s="287" t="s">
        <v>105</v>
      </c>
      <c r="B21" s="287"/>
      <c r="C21" s="287"/>
      <c r="D21" s="114"/>
      <c r="E21" s="114"/>
      <c r="F21" s="114"/>
      <c r="G21" s="114"/>
      <c r="H21" s="114"/>
      <c r="I21" s="15"/>
      <c r="J21" s="114"/>
      <c r="K21" s="114"/>
      <c r="L21" s="114"/>
      <c r="M21" s="114"/>
      <c r="N21" s="114"/>
      <c r="O21" s="114"/>
      <c r="P21" s="114"/>
      <c r="Q21" s="114"/>
      <c r="R21" s="114"/>
      <c r="S21" s="13"/>
    </row>
    <row r="22" spans="1:19" ht="18.75" x14ac:dyDescent="0.3">
      <c r="A22" s="116"/>
      <c r="B22" s="117"/>
      <c r="C22" s="117"/>
      <c r="D22" s="117"/>
      <c r="E22" s="117"/>
      <c r="F22" s="117"/>
      <c r="G22" s="117"/>
      <c r="H22" s="117"/>
      <c r="I22" s="117"/>
      <c r="J22" s="118"/>
      <c r="K22" s="118"/>
      <c r="L22" s="118"/>
      <c r="M22" s="118"/>
      <c r="N22" s="118"/>
    </row>
    <row r="23" spans="1:19" s="14" customFormat="1" ht="20.25" customHeight="1" x14ac:dyDescent="0.2">
      <c r="A23" s="288" t="s">
        <v>78</v>
      </c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196"/>
    </row>
    <row r="24" spans="1:19" s="14" customFormat="1" ht="20.25" x14ac:dyDescent="0.2">
      <c r="A24" s="189">
        <v>45200</v>
      </c>
      <c r="B24" s="205">
        <v>1.0057</v>
      </c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</row>
    <row r="25" spans="1:19" s="14" customFormat="1" ht="20.25" hidden="1" x14ac:dyDescent="0.2">
      <c r="A25" s="189">
        <v>45231</v>
      </c>
      <c r="B25" s="205">
        <v>0.99970000000000003</v>
      </c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</row>
    <row r="26" spans="1:19" s="14" customFormat="1" ht="20.25" hidden="1" x14ac:dyDescent="0.2">
      <c r="A26" s="189">
        <v>45261</v>
      </c>
      <c r="B26" s="205">
        <v>1.0061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</row>
    <row r="27" spans="1:19" s="14" customFormat="1" ht="20.25" hidden="1" x14ac:dyDescent="0.2">
      <c r="A27" s="189">
        <v>45292</v>
      </c>
      <c r="B27" s="205">
        <v>1.0016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</row>
    <row r="28" spans="1:19" s="14" customFormat="1" ht="20.25" hidden="1" x14ac:dyDescent="0.2">
      <c r="A28" s="189">
        <v>45323</v>
      </c>
      <c r="B28" s="205">
        <v>1.0059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</row>
    <row r="29" spans="1:19" s="14" customFormat="1" ht="20.25" hidden="1" x14ac:dyDescent="0.2">
      <c r="A29" s="189">
        <v>45352</v>
      </c>
      <c r="B29" s="205">
        <v>1.0014000000000001</v>
      </c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</row>
    <row r="30" spans="1:19" s="14" customFormat="1" ht="20.25" hidden="1" x14ac:dyDescent="0.2">
      <c r="A30" s="189">
        <v>45383</v>
      </c>
      <c r="B30" s="205">
        <v>1.0042</v>
      </c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</row>
    <row r="31" spans="1:19" s="14" customFormat="1" ht="20.25" hidden="1" x14ac:dyDescent="0.2">
      <c r="A31" s="189">
        <v>45413</v>
      </c>
      <c r="B31" s="205">
        <v>1.0046999999999999</v>
      </c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</row>
    <row r="32" spans="1:19" s="14" customFormat="1" ht="20.25" hidden="1" x14ac:dyDescent="0.2">
      <c r="A32" s="189">
        <v>45444</v>
      </c>
      <c r="B32" s="205">
        <v>1.0021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</row>
    <row r="33" spans="1:19" s="14" customFormat="1" ht="20.25" hidden="1" x14ac:dyDescent="0.2">
      <c r="A33" s="189">
        <v>45474</v>
      </c>
      <c r="B33" s="205">
        <v>1.0044999999999999</v>
      </c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</row>
    <row r="34" spans="1:19" s="14" customFormat="1" ht="20.25" hidden="1" x14ac:dyDescent="0.2">
      <c r="A34" s="189">
        <v>45505</v>
      </c>
      <c r="B34" s="205">
        <v>1.0032000000000001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</row>
    <row r="35" spans="1:19" s="14" customFormat="1" ht="20.25" hidden="1" x14ac:dyDescent="0.2">
      <c r="A35" s="189">
        <v>45536</v>
      </c>
      <c r="B35" s="205">
        <v>1.0048999999999999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</row>
    <row r="36" spans="1:19" s="14" customFormat="1" ht="20.25" hidden="1" x14ac:dyDescent="0.2">
      <c r="A36" s="189">
        <v>45566</v>
      </c>
      <c r="B36" s="205">
        <v>1.0064</v>
      </c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</row>
    <row r="37" spans="1:19" s="14" customFormat="1" ht="20.25" hidden="1" x14ac:dyDescent="0.2">
      <c r="A37" s="189">
        <v>45597</v>
      </c>
      <c r="B37" s="205">
        <v>1.0062</v>
      </c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</row>
    <row r="38" spans="1:19" s="14" customFormat="1" ht="20.25" hidden="1" x14ac:dyDescent="0.2">
      <c r="A38" s="189">
        <v>45627</v>
      </c>
      <c r="B38" s="205">
        <v>1.0047999999999999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</row>
    <row r="39" spans="1:19" s="14" customFormat="1" ht="20.25" hidden="1" x14ac:dyDescent="0.2">
      <c r="A39" s="189">
        <v>45658</v>
      </c>
      <c r="B39" s="205">
        <v>1.0036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</row>
    <row r="40" spans="1:19" s="14" customFormat="1" ht="20.25" hidden="1" x14ac:dyDescent="0.2">
      <c r="A40" s="189">
        <v>45689</v>
      </c>
      <c r="B40" s="205">
        <v>0.99080000000000001</v>
      </c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</row>
    <row r="41" spans="1:19" s="14" customFormat="1" ht="20.25" hidden="1" x14ac:dyDescent="0.2">
      <c r="A41" s="189">
        <v>45717</v>
      </c>
      <c r="B41" s="205">
        <v>0.99870000000000003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</row>
    <row r="42" spans="1:19" s="14" customFormat="1" ht="20.25" hidden="1" x14ac:dyDescent="0.2">
      <c r="A42" s="189">
        <v>45748</v>
      </c>
      <c r="B42" s="205">
        <v>0.98370000000000002</v>
      </c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</row>
    <row r="43" spans="1:19" s="14" customFormat="1" ht="20.25" hidden="1" x14ac:dyDescent="0.2">
      <c r="A43" s="189">
        <v>45778</v>
      </c>
      <c r="B43" s="205">
        <v>1.0101</v>
      </c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</row>
    <row r="44" spans="1:19" s="14" customFormat="1" ht="20.25" hidden="1" x14ac:dyDescent="0.2">
      <c r="A44" s="189">
        <v>45809</v>
      </c>
      <c r="B44" s="205">
        <v>1.0225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</row>
    <row r="45" spans="1:19" s="14" customFormat="1" ht="20.25" hidden="1" x14ac:dyDescent="0.2">
      <c r="A45" s="189">
        <v>45839</v>
      </c>
      <c r="B45" s="205">
        <v>1.0018</v>
      </c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</row>
    <row r="46" spans="1:19" s="14" customFormat="1" ht="20.25" hidden="1" x14ac:dyDescent="0.2">
      <c r="A46" s="189">
        <v>45870</v>
      </c>
      <c r="B46" s="205">
        <v>0.99809999999999999</v>
      </c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</row>
    <row r="47" spans="1:19" s="14" customFormat="1" ht="20.25" hidden="1" x14ac:dyDescent="0.2">
      <c r="A47" s="189">
        <v>45901</v>
      </c>
      <c r="B47" s="205">
        <v>1.0127999999999999</v>
      </c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</row>
    <row r="48" spans="1:19" s="14" customFormat="1" ht="20.25" hidden="1" x14ac:dyDescent="0.2">
      <c r="A48" s="189">
        <v>45931</v>
      </c>
      <c r="B48" s="205">
        <v>1.0018</v>
      </c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</row>
    <row r="49" spans="1:19" s="14" customFormat="1" ht="20.25" hidden="1" x14ac:dyDescent="0.2">
      <c r="A49" s="189">
        <v>45962</v>
      </c>
      <c r="B49" s="205">
        <v>1.0066999999999999</v>
      </c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</row>
    <row r="50" spans="1:19" s="14" customFormat="1" ht="20.25" hidden="1" x14ac:dyDescent="0.2">
      <c r="A50" s="189">
        <v>45992</v>
      </c>
      <c r="B50" s="205">
        <v>1.0009999999999999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</row>
    <row r="51" spans="1:19" s="14" customFormat="1" ht="20.25" hidden="1" x14ac:dyDescent="0.2">
      <c r="A51" s="189">
        <v>46023</v>
      </c>
      <c r="B51" s="205">
        <v>1.0072000000000001</v>
      </c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</row>
    <row r="52" spans="1:19" s="14" customFormat="1" ht="20.25" hidden="1" x14ac:dyDescent="0.2">
      <c r="A52" s="189">
        <v>46054</v>
      </c>
      <c r="B52" s="205">
        <v>1.0007999999999999</v>
      </c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</row>
    <row r="53" spans="1:19" s="14" customFormat="1" ht="20.25" hidden="1" x14ac:dyDescent="0.2">
      <c r="A53" s="189">
        <v>46082</v>
      </c>
      <c r="B53" s="205">
        <v>1.0168999999999999</v>
      </c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</row>
    <row r="54" spans="1:19" s="14" customFormat="1" ht="20.25" hidden="1" x14ac:dyDescent="0.2">
      <c r="A54" s="189">
        <v>46113</v>
      </c>
      <c r="B54" s="205">
        <v>0.98740000000000006</v>
      </c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</row>
    <row r="55" spans="1:19" s="14" customFormat="1" ht="20.25" hidden="1" x14ac:dyDescent="0.2">
      <c r="A55" s="189">
        <v>46143</v>
      </c>
      <c r="B55" s="205">
        <v>1.0013000000000001</v>
      </c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</row>
    <row r="56" spans="1:19" s="14" customFormat="1" ht="20.25" hidden="1" x14ac:dyDescent="0.2">
      <c r="A56" s="189">
        <v>46174</v>
      </c>
      <c r="B56" s="205">
        <v>1.0087999999999999</v>
      </c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</row>
    <row r="57" spans="1:19" s="14" customFormat="1" ht="20.25" x14ac:dyDescent="0.2">
      <c r="A57" s="189">
        <v>46204</v>
      </c>
      <c r="B57" s="205">
        <v>1</v>
      </c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</row>
    <row r="58" spans="1:19" s="14" customFormat="1" ht="20.25" x14ac:dyDescent="0.3">
      <c r="A58" s="31" t="s">
        <v>19</v>
      </c>
      <c r="B58" s="204">
        <f>ROUND(B24*B25*B26*B27*B28*B29*B30*B31*B32*B33*B34*B35*B36*B37*B38*B39*B40*B41*B42*B43*B44*B45*B46*B47*B48*B49*B50*B51*B52*B53*B54*B55*B56*B57,4)</f>
        <v>1.1212</v>
      </c>
      <c r="C58" s="134"/>
      <c r="D58" s="114"/>
      <c r="E58" s="114"/>
      <c r="F58" s="114"/>
      <c r="G58" s="114"/>
      <c r="H58" s="114"/>
      <c r="I58" s="15"/>
      <c r="J58" s="114"/>
      <c r="K58" s="114"/>
      <c r="L58" s="114"/>
      <c r="M58" s="114"/>
      <c r="N58" s="114"/>
      <c r="O58" s="114"/>
      <c r="P58" s="114"/>
      <c r="Q58" s="114"/>
      <c r="R58" s="114"/>
      <c r="S58" s="13"/>
    </row>
    <row r="59" spans="1:19" s="14" customFormat="1" ht="17.25" customHeight="1" x14ac:dyDescent="0.2">
      <c r="O59" s="184"/>
    </row>
    <row r="60" spans="1:19" s="14" customFormat="1" ht="20.25" x14ac:dyDescent="0.2">
      <c r="A60" s="255" t="s">
        <v>79</v>
      </c>
      <c r="B60" s="255"/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</row>
    <row r="61" spans="1:19" s="14" customFormat="1" ht="20.25" x14ac:dyDescent="0.2">
      <c r="A61" s="134"/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</row>
    <row r="62" spans="1:19" s="14" customFormat="1" ht="20.25" customHeight="1" x14ac:dyDescent="0.2">
      <c r="A62" s="257" t="s">
        <v>81</v>
      </c>
      <c r="B62" s="257"/>
      <c r="C62" s="257"/>
      <c r="D62" s="257"/>
      <c r="E62" s="224">
        <f>1/1</f>
        <v>1</v>
      </c>
      <c r="G62" s="206"/>
      <c r="H62" s="206"/>
      <c r="I62" s="206"/>
      <c r="J62" s="206"/>
      <c r="K62" s="206"/>
      <c r="L62" s="206"/>
      <c r="M62" s="224"/>
    </row>
    <row r="63" spans="1:19" s="14" customFormat="1" ht="20.25" customHeight="1" x14ac:dyDescent="0.2">
      <c r="A63" s="257" t="s">
        <v>82</v>
      </c>
      <c r="B63" s="257"/>
      <c r="C63" s="257"/>
      <c r="D63" s="257"/>
      <c r="E63" s="224">
        <f>1/1</f>
        <v>1</v>
      </c>
      <c r="G63" s="206"/>
      <c r="H63" s="206"/>
      <c r="I63" s="206"/>
      <c r="J63" s="206"/>
      <c r="K63" s="206"/>
      <c r="L63" s="206"/>
      <c r="M63" s="224"/>
    </row>
    <row r="64" spans="1:19" s="14" customFormat="1" ht="20.25" x14ac:dyDescent="0.2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</row>
    <row r="65" spans="1:19" s="14" customFormat="1" ht="20.25" x14ac:dyDescent="0.2">
      <c r="A65" s="255" t="s">
        <v>83</v>
      </c>
      <c r="B65" s="255"/>
      <c r="C65" s="255"/>
      <c r="D65" s="255"/>
      <c r="E65" s="255"/>
      <c r="F65" s="255"/>
      <c r="G65" s="255"/>
      <c r="H65" s="255"/>
      <c r="I65" s="255"/>
      <c r="J65" s="255"/>
      <c r="K65" s="255"/>
      <c r="L65" s="255"/>
      <c r="M65" s="255"/>
      <c r="N65" s="255"/>
      <c r="O65" s="255"/>
    </row>
    <row r="66" spans="1:19" s="14" customFormat="1" ht="20.25" x14ac:dyDescent="0.2">
      <c r="A66" s="218"/>
      <c r="B66" s="218"/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</row>
    <row r="67" spans="1:19" s="14" customFormat="1" ht="20.25" hidden="1" x14ac:dyDescent="0.2">
      <c r="A67" s="258" t="s">
        <v>84</v>
      </c>
      <c r="B67" s="258"/>
      <c r="C67" s="258"/>
      <c r="D67" s="258"/>
      <c r="E67" s="206"/>
      <c r="F67" s="220">
        <v>1.0780000000000001</v>
      </c>
      <c r="G67" s="207"/>
      <c r="H67" s="220"/>
      <c r="I67" s="15"/>
      <c r="J67" s="15"/>
      <c r="K67" s="206"/>
      <c r="L67" s="220"/>
      <c r="M67" s="220"/>
      <c r="N67" s="220"/>
      <c r="O67" s="220"/>
    </row>
    <row r="68" spans="1:19" s="14" customFormat="1" ht="20.25" x14ac:dyDescent="0.2">
      <c r="A68" s="258" t="s">
        <v>85</v>
      </c>
      <c r="B68" s="258"/>
      <c r="C68" s="258"/>
      <c r="D68" s="258"/>
      <c r="E68" s="220">
        <v>1.0549999999999999</v>
      </c>
      <c r="G68" s="207"/>
      <c r="H68" s="220"/>
      <c r="I68" s="15"/>
      <c r="J68" s="15"/>
      <c r="K68" s="206"/>
      <c r="L68" s="220"/>
      <c r="M68" s="220"/>
      <c r="N68" s="220"/>
      <c r="O68" s="220"/>
    </row>
    <row r="69" spans="1:19" s="14" customFormat="1" ht="20.25" x14ac:dyDescent="0.2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</row>
    <row r="70" spans="1:19" s="14" customFormat="1" ht="27.75" hidden="1" customHeight="1" x14ac:dyDescent="0.2">
      <c r="A70" s="190" t="s">
        <v>86</v>
      </c>
      <c r="B70" s="225" t="s">
        <v>87</v>
      </c>
      <c r="C70" s="226">
        <f>F67^(1/12)</f>
        <v>1.0062785842352273</v>
      </c>
      <c r="D70" s="220"/>
      <c r="E70" s="220"/>
      <c r="F70" s="220"/>
      <c r="G70" s="220"/>
      <c r="N70" s="220"/>
      <c r="O70" s="220"/>
    </row>
    <row r="71" spans="1:19" s="14" customFormat="1" ht="27.75" customHeight="1" x14ac:dyDescent="0.2">
      <c r="A71" s="190" t="s">
        <v>97</v>
      </c>
      <c r="B71" s="226">
        <f>E68^(1/12)</f>
        <v>1.004471698917043</v>
      </c>
      <c r="D71" s="220"/>
      <c r="E71" s="220"/>
      <c r="F71" s="220"/>
      <c r="G71" s="220"/>
      <c r="N71" s="220"/>
      <c r="O71" s="220"/>
    </row>
    <row r="72" spans="1:19" s="14" customFormat="1" ht="20.25" x14ac:dyDescent="0.2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</row>
    <row r="73" spans="1:19" s="14" customFormat="1" ht="20.25" x14ac:dyDescent="0.2">
      <c r="A73" s="255" t="s">
        <v>88</v>
      </c>
      <c r="B73" s="255"/>
      <c r="C73" s="255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</row>
    <row r="74" spans="1:19" s="14" customFormat="1" ht="20.25" x14ac:dyDescent="0.2">
      <c r="A74" s="219"/>
      <c r="B74" s="220"/>
      <c r="C74" s="219"/>
      <c r="D74" s="220"/>
      <c r="E74" s="220"/>
      <c r="F74" s="220"/>
      <c r="G74" s="220"/>
      <c r="N74" s="220"/>
      <c r="O74" s="220"/>
    </row>
    <row r="75" spans="1:19" s="14" customFormat="1" ht="47.25" customHeight="1" x14ac:dyDescent="0.2">
      <c r="A75" s="190" t="s">
        <v>98</v>
      </c>
      <c r="B75" s="219"/>
      <c r="C75" s="208">
        <f>Q75</f>
        <v>1.0090035651406206</v>
      </c>
      <c r="E75" s="220"/>
      <c r="H75" s="220"/>
      <c r="I75" s="15"/>
      <c r="J75" s="15"/>
      <c r="K75" s="220"/>
      <c r="L75" s="220"/>
      <c r="M75" s="220"/>
      <c r="N75" s="220"/>
      <c r="O75" s="231">
        <f>B71</f>
        <v>1.004471698917043</v>
      </c>
      <c r="P75" s="231">
        <f>POWER(B71,(12-8))</f>
        <v>1.0180071302812412</v>
      </c>
      <c r="Q75" s="231">
        <f>((P75-1)/2)+1</f>
        <v>1.0090035651406206</v>
      </c>
    </row>
    <row r="76" spans="1:19" s="14" customFormat="1" ht="40.5" hidden="1" customHeight="1" x14ac:dyDescent="0.2">
      <c r="A76" s="256" t="s">
        <v>89</v>
      </c>
      <c r="B76" s="256"/>
      <c r="C76" s="256"/>
      <c r="D76" s="232">
        <f>ROUND(D136*(C70+D138)/2,4)</f>
        <v>0</v>
      </c>
      <c r="E76" s="220"/>
      <c r="F76" s="221"/>
      <c r="O76" s="231">
        <f>B76</f>
        <v>0</v>
      </c>
      <c r="P76" s="231">
        <f>POWER(O76,(12-11))</f>
        <v>0</v>
      </c>
      <c r="Q76" s="231">
        <f>ROUND(P75*(O76+P76)/2,4)</f>
        <v>0</v>
      </c>
    </row>
    <row r="77" spans="1:19" s="14" customFormat="1" ht="20.25" x14ac:dyDescent="0.3">
      <c r="A77" s="12"/>
      <c r="B77" s="12"/>
      <c r="C77" s="12"/>
      <c r="D77" s="12"/>
      <c r="E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3"/>
    </row>
    <row r="78" spans="1:19" s="14" customFormat="1" ht="20.25" x14ac:dyDescent="0.3">
      <c r="A78" s="233" t="s">
        <v>99</v>
      </c>
      <c r="B78" s="216" t="s">
        <v>109</v>
      </c>
      <c r="C78" s="209">
        <f>ROUND((E62*C75),4)</f>
        <v>1.0089999999999999</v>
      </c>
      <c r="E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3"/>
    </row>
    <row r="79" spans="1:19" s="14" customFormat="1" ht="20.25" customHeight="1" x14ac:dyDescent="0.3">
      <c r="A79" s="12" t="s">
        <v>100</v>
      </c>
      <c r="B79" s="216" t="s">
        <v>109</v>
      </c>
      <c r="C79" s="209">
        <f>ROUND((E63*C75),4)</f>
        <v>1.0089999999999999</v>
      </c>
      <c r="E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3"/>
    </row>
    <row r="80" spans="1:19" s="14" customFormat="1" ht="20.25" x14ac:dyDescent="0.3">
      <c r="A80" s="12"/>
      <c r="B80" s="12"/>
      <c r="C80" s="12"/>
      <c r="D80" s="12"/>
      <c r="E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3"/>
    </row>
    <row r="81" spans="1:19" s="14" customFormat="1" ht="20.25" x14ac:dyDescent="0.3">
      <c r="A81" s="12"/>
      <c r="B81" s="12"/>
      <c r="C81" s="12"/>
      <c r="D81" s="12"/>
      <c r="E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3"/>
    </row>
    <row r="82" spans="1:19" s="14" customFormat="1" ht="20.25" x14ac:dyDescent="0.3">
      <c r="A82" s="12"/>
      <c r="B82" s="12"/>
      <c r="C82" s="12"/>
      <c r="D82" s="12"/>
      <c r="E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3"/>
    </row>
    <row r="83" spans="1:19" s="14" customFormat="1" ht="20.25" x14ac:dyDescent="0.3">
      <c r="A83" s="12"/>
      <c r="B83" s="12"/>
      <c r="C83" s="12"/>
      <c r="D83" s="12"/>
      <c r="E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3"/>
    </row>
    <row r="84" spans="1:19" s="14" customFormat="1" ht="20.25" x14ac:dyDescent="0.3">
      <c r="A84" s="12"/>
      <c r="B84" s="12"/>
      <c r="C84" s="12"/>
      <c r="D84" s="12"/>
      <c r="E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3"/>
    </row>
    <row r="85" spans="1:19" s="14" customFormat="1" ht="20.25" x14ac:dyDescent="0.3">
      <c r="A85" s="12"/>
      <c r="B85" s="12"/>
      <c r="C85" s="12"/>
      <c r="D85" s="12"/>
      <c r="E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3"/>
    </row>
    <row r="86" spans="1:19" s="14" customFormat="1" ht="20.25" x14ac:dyDescent="0.3">
      <c r="A86" s="12"/>
      <c r="B86" s="12"/>
      <c r="C86" s="12"/>
      <c r="D86" s="12"/>
      <c r="E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3"/>
    </row>
    <row r="87" spans="1:19" s="14" customFormat="1" ht="20.25" x14ac:dyDescent="0.3">
      <c r="A87" s="12"/>
      <c r="B87" s="12"/>
      <c r="C87" s="12"/>
      <c r="D87" s="12"/>
      <c r="E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3"/>
    </row>
    <row r="88" spans="1:19" s="14" customFormat="1" ht="26.25" x14ac:dyDescent="0.4">
      <c r="A88" s="289" t="s">
        <v>106</v>
      </c>
      <c r="B88" s="289"/>
      <c r="C88" s="289"/>
      <c r="D88" s="289"/>
      <c r="E88" s="28"/>
      <c r="F88" s="27"/>
      <c r="G88" s="27"/>
      <c r="I88" s="292" t="s">
        <v>107</v>
      </c>
      <c r="J88" s="292"/>
      <c r="K88" s="292"/>
      <c r="L88" s="292"/>
      <c r="M88" s="292"/>
      <c r="N88" s="292"/>
      <c r="O88" s="12"/>
    </row>
    <row r="89" spans="1:19" ht="15" x14ac:dyDescent="0.25">
      <c r="A89" s="291" t="s">
        <v>101</v>
      </c>
      <c r="B89" s="291"/>
      <c r="C89" s="291"/>
      <c r="D89" s="291"/>
      <c r="E89" s="16"/>
      <c r="F89" s="291" t="s">
        <v>102</v>
      </c>
      <c r="G89" s="291"/>
      <c r="H89" s="16"/>
      <c r="I89" s="290" t="s">
        <v>103</v>
      </c>
      <c r="J89" s="290"/>
      <c r="K89" s="290"/>
      <c r="L89" s="290"/>
      <c r="M89" s="290"/>
      <c r="N89" s="290"/>
    </row>
    <row r="90" spans="1:19" s="14" customFormat="1" ht="24.7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84"/>
    </row>
    <row r="91" spans="1:19" s="14" customFormat="1" ht="24.7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84"/>
    </row>
    <row r="92" spans="1:19" s="14" customFormat="1" ht="24.7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84"/>
    </row>
    <row r="93" spans="1:19" s="14" customFormat="1" ht="24.7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84"/>
    </row>
    <row r="94" spans="1:19" s="14" customFormat="1" ht="24.7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84"/>
    </row>
    <row r="95" spans="1:19" s="14" customFormat="1" ht="24.7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84"/>
    </row>
    <row r="96" spans="1:19" s="14" customFormat="1" ht="24.7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84"/>
    </row>
    <row r="97" spans="1:15" s="14" customFormat="1" ht="24.7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84"/>
    </row>
    <row r="98" spans="1:15" s="14" customFormat="1" ht="24.7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84"/>
    </row>
    <row r="99" spans="1:15" s="14" customFormat="1" ht="24.7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84"/>
    </row>
    <row r="100" spans="1:15" s="14" customFormat="1" ht="24.7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84"/>
    </row>
    <row r="101" spans="1:15" s="14" customFormat="1" ht="24.7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84"/>
    </row>
    <row r="102" spans="1:15" s="14" customFormat="1" ht="24.75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84"/>
    </row>
    <row r="103" spans="1:15" s="14" customFormat="1" ht="24.75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84"/>
    </row>
    <row r="104" spans="1:15" s="14" customFormat="1" ht="24.75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84"/>
    </row>
    <row r="105" spans="1:15" s="14" customFormat="1" ht="24.75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84"/>
    </row>
    <row r="106" spans="1:15" s="14" customFormat="1" ht="24.75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84"/>
    </row>
    <row r="107" spans="1:15" s="14" customFormat="1" ht="24.75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84"/>
    </row>
    <row r="108" spans="1:15" s="14" customFormat="1" ht="24.75" customHeight="1" x14ac:dyDescent="0.25">
      <c r="A108" s="109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84"/>
    </row>
    <row r="109" spans="1:15" s="14" customFormat="1" ht="24.75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84"/>
    </row>
    <row r="110" spans="1:15" s="14" customFormat="1" ht="24.75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84"/>
    </row>
    <row r="111" spans="1:15" s="14" customFormat="1" ht="24.75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84"/>
    </row>
    <row r="112" spans="1:15" s="14" customFormat="1" ht="24.75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84"/>
    </row>
    <row r="113" spans="1:15" s="14" customFormat="1" ht="24.75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84"/>
    </row>
    <row r="114" spans="1:15" s="14" customFormat="1" ht="24.75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84"/>
    </row>
    <row r="115" spans="1:15" s="14" customFormat="1" ht="36.75" customHeight="1" x14ac:dyDescent="0.25">
      <c r="A115" s="109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84"/>
    </row>
    <row r="116" spans="1:15" ht="20.25" x14ac:dyDescent="0.2">
      <c r="C116" s="208"/>
      <c r="D116" s="208"/>
      <c r="E116" s="208"/>
      <c r="F116" s="208"/>
    </row>
    <row r="117" spans="1:15" ht="20.25" x14ac:dyDescent="0.2">
      <c r="C117" s="208"/>
      <c r="D117" s="208"/>
      <c r="E117" s="208"/>
      <c r="F117" s="208"/>
    </row>
    <row r="118" spans="1:15" ht="20.25" x14ac:dyDescent="0.2">
      <c r="C118" s="208"/>
      <c r="D118" s="208"/>
      <c r="E118" s="208"/>
      <c r="F118" s="208"/>
    </row>
    <row r="119" spans="1:15" ht="20.25" x14ac:dyDescent="0.3">
      <c r="C119" s="212"/>
      <c r="D119" s="212"/>
      <c r="E119" s="208"/>
      <c r="F119" s="208"/>
    </row>
    <row r="126" spans="1:15" ht="15.75" x14ac:dyDescent="0.25">
      <c r="A126" s="109" t="s">
        <v>111</v>
      </c>
    </row>
  </sheetData>
  <mergeCells count="40">
    <mergeCell ref="A88:D88"/>
    <mergeCell ref="I89:N89"/>
    <mergeCell ref="A89:D89"/>
    <mergeCell ref="F89:G89"/>
    <mergeCell ref="I88:N88"/>
    <mergeCell ref="A18:B18"/>
    <mergeCell ref="A19:B19"/>
    <mergeCell ref="A20:B20"/>
    <mergeCell ref="A21:C21"/>
    <mergeCell ref="A23:R23"/>
    <mergeCell ref="H9:H11"/>
    <mergeCell ref="J2:K2"/>
    <mergeCell ref="B7:N7"/>
    <mergeCell ref="A3:N3"/>
    <mergeCell ref="A4:N4"/>
    <mergeCell ref="A5:K5"/>
    <mergeCell ref="B6:N6"/>
    <mergeCell ref="I1:N1"/>
    <mergeCell ref="A60:S60"/>
    <mergeCell ref="N9:N11"/>
    <mergeCell ref="J10:J11"/>
    <mergeCell ref="K10:K11"/>
    <mergeCell ref="A9:A11"/>
    <mergeCell ref="B9:B11"/>
    <mergeCell ref="C9:C11"/>
    <mergeCell ref="J9:L9"/>
    <mergeCell ref="L10:L11"/>
    <mergeCell ref="I9:I11"/>
    <mergeCell ref="M9:M11"/>
    <mergeCell ref="D9:D11"/>
    <mergeCell ref="E9:E11"/>
    <mergeCell ref="F9:F11"/>
    <mergeCell ref="G9:G11"/>
    <mergeCell ref="A73:O73"/>
    <mergeCell ref="A76:C76"/>
    <mergeCell ref="A65:O65"/>
    <mergeCell ref="A62:D62"/>
    <mergeCell ref="A63:D63"/>
    <mergeCell ref="A67:D67"/>
    <mergeCell ref="A68:D68"/>
  </mergeCells>
  <printOptions horizontalCentered="1"/>
  <pageMargins left="0" right="0" top="0" bottom="0" header="0.31496062992125984" footer="0.31496062992125984"/>
  <pageSetup paperSize="9" scale="4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Ф4 для расчета</vt:lpstr>
      <vt:lpstr>Расчет Ф4</vt:lpstr>
      <vt:lpstr>Расчет Ф7</vt:lpstr>
      <vt:lpstr>'Расчет Ф4'!Область_печати</vt:lpstr>
      <vt:lpstr>'Расчет Ф7'!Область_печати</vt:lpstr>
      <vt:lpstr>'Ф4 для расчета'!Область_печати</vt:lpstr>
    </vt:vector>
  </TitlesOfParts>
  <Company>ГУ "Дагестанавтодор"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Гаджимирзаев Зиябутдин</dc:creator>
  <cp:lastModifiedBy>Амаль Цеков</cp:lastModifiedBy>
  <cp:lastPrinted>2026-08-20T10:31:44Z</cp:lastPrinted>
  <dcterms:created xsi:type="dcterms:W3CDTF">2006-01-12T06:57:39Z</dcterms:created>
  <dcterms:modified xsi:type="dcterms:W3CDTF">2026-08-20T10:40:42Z</dcterms:modified>
</cp:coreProperties>
</file>