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sarevan\Desktop\Новая папка\Мои документы\Контракты\26г\Электрика КТ КДЦ\"/>
    </mc:Choice>
  </mc:AlternateContent>
  <xr:revisionPtr revIDLastSave="0" documentId="13_ncr:1_{38A26698-FEA5-4CE3-958E-DDB1BC35E483}" xr6:coauthVersionLast="36" xr6:coauthVersionMax="36" xr10:uidLastSave="{00000000-0000-0000-0000-000000000000}"/>
  <bookViews>
    <workbookView xWindow="32760" yWindow="32760" windowWidth="32760" windowHeight="32760" xr2:uid="{00000000-000D-0000-FFFF-FFFF00000000}"/>
  </bookViews>
  <sheets>
    <sheet name="Смета по ФСНБ 421+557прРИМ" sheetId="7" r:id="rId1"/>
    <sheet name="Дефектная ведомость" sheetId="8" r:id="rId2"/>
    <sheet name="Source" sheetId="1" r:id="rId3"/>
    <sheet name="SourceObSm" sheetId="2" r:id="rId4"/>
    <sheet name="SmtRes" sheetId="3" r:id="rId5"/>
    <sheet name="EtalonRes" sheetId="4" r:id="rId6"/>
    <sheet name="SrcPoprs" sheetId="5" r:id="rId7"/>
    <sheet name="SrcKA" sheetId="6" r:id="rId8"/>
  </sheets>
  <definedNames>
    <definedName name="_xlnm.Print_Titles" localSheetId="1">'Дефектная ведомость'!$12:$12</definedName>
    <definedName name="_xlnm.Print_Titles" localSheetId="0">'Смета по ФСНБ 421+557прРИМ'!$59:$59</definedName>
    <definedName name="_xlnm.Print_Area" localSheetId="1">'Дефектная ведомость'!$A$1:$E$83</definedName>
    <definedName name="_xlnm.Print_Area" localSheetId="0">'Смета по ФСНБ 421+557прРИМ'!$A$1:$L$528</definedName>
  </definedNames>
  <calcPr calcId="191029"/>
</workbook>
</file>

<file path=xl/calcChain.xml><?xml version="1.0" encoding="utf-8"?>
<calcChain xmlns="http://schemas.openxmlformats.org/spreadsheetml/2006/main">
  <c r="C529" i="7" l="1"/>
  <c r="L520" i="7"/>
  <c r="L519" i="7"/>
  <c r="D72" i="8"/>
  <c r="C72" i="8"/>
  <c r="B72" i="8"/>
  <c r="D71" i="8"/>
  <c r="C71" i="8"/>
  <c r="B71" i="8"/>
  <c r="D70" i="8"/>
  <c r="C70" i="8"/>
  <c r="B70" i="8"/>
  <c r="A69" i="8"/>
  <c r="D68" i="8"/>
  <c r="C68" i="8"/>
  <c r="B68" i="8"/>
  <c r="D67" i="8"/>
  <c r="C67" i="8"/>
  <c r="B67" i="8"/>
  <c r="D66" i="8"/>
  <c r="C66" i="8"/>
  <c r="B66" i="8"/>
  <c r="D65" i="8"/>
  <c r="C65" i="8"/>
  <c r="B65" i="8"/>
  <c r="D64" i="8"/>
  <c r="C64" i="8"/>
  <c r="B64" i="8"/>
  <c r="D63" i="8"/>
  <c r="C63" i="8"/>
  <c r="B63" i="8"/>
  <c r="D62" i="8"/>
  <c r="C62" i="8"/>
  <c r="B62" i="8"/>
  <c r="D61" i="8"/>
  <c r="C61" i="8"/>
  <c r="B61" i="8"/>
  <c r="D60" i="8"/>
  <c r="C60" i="8"/>
  <c r="B60" i="8"/>
  <c r="D59" i="8"/>
  <c r="C59" i="8"/>
  <c r="B59" i="8"/>
  <c r="D58" i="8"/>
  <c r="C58" i="8"/>
  <c r="B58" i="8"/>
  <c r="D57" i="8"/>
  <c r="C57" i="8"/>
  <c r="B57" i="8"/>
  <c r="D56" i="8"/>
  <c r="C56" i="8"/>
  <c r="B56" i="8"/>
  <c r="D55" i="8"/>
  <c r="C55" i="8"/>
  <c r="B55" i="8"/>
  <c r="D54" i="8"/>
  <c r="C54" i="8"/>
  <c r="B54" i="8"/>
  <c r="D53" i="8"/>
  <c r="C53" i="8"/>
  <c r="B53" i="8"/>
  <c r="D52" i="8"/>
  <c r="C52" i="8"/>
  <c r="B52" i="8"/>
  <c r="D51" i="8"/>
  <c r="C51" i="8"/>
  <c r="B51" i="8"/>
  <c r="D50" i="8"/>
  <c r="C50" i="8"/>
  <c r="B50" i="8"/>
  <c r="D49" i="8"/>
  <c r="C49" i="8"/>
  <c r="B49" i="8"/>
  <c r="D48" i="8"/>
  <c r="C48" i="8"/>
  <c r="B48" i="8"/>
  <c r="D47" i="8"/>
  <c r="C47" i="8"/>
  <c r="B47" i="8"/>
  <c r="D46" i="8"/>
  <c r="C46" i="8"/>
  <c r="B46" i="8"/>
  <c r="D45" i="8"/>
  <c r="C45" i="8"/>
  <c r="B45" i="8"/>
  <c r="D44" i="8"/>
  <c r="C44" i="8"/>
  <c r="B44" i="8"/>
  <c r="D43" i="8"/>
  <c r="C43" i="8"/>
  <c r="B43" i="8"/>
  <c r="D42" i="8"/>
  <c r="C42" i="8"/>
  <c r="B42" i="8"/>
  <c r="D41" i="8"/>
  <c r="C41" i="8"/>
  <c r="B41" i="8"/>
  <c r="D40" i="8"/>
  <c r="C40" i="8"/>
  <c r="B40" i="8"/>
  <c r="D39" i="8"/>
  <c r="C39" i="8"/>
  <c r="B39" i="8"/>
  <c r="D38" i="8"/>
  <c r="C38" i="8"/>
  <c r="B38" i="8"/>
  <c r="D37" i="8"/>
  <c r="C37" i="8"/>
  <c r="B37" i="8"/>
  <c r="D36" i="8"/>
  <c r="C36" i="8"/>
  <c r="B36" i="8"/>
  <c r="D35" i="8"/>
  <c r="C35" i="8"/>
  <c r="B35" i="8"/>
  <c r="D34" i="8"/>
  <c r="C34" i="8"/>
  <c r="B34" i="8"/>
  <c r="D33" i="8"/>
  <c r="C33" i="8"/>
  <c r="B33" i="8"/>
  <c r="D32" i="8"/>
  <c r="C32" i="8"/>
  <c r="B32" i="8"/>
  <c r="D31" i="8"/>
  <c r="C31" i="8"/>
  <c r="B31" i="8"/>
  <c r="D30" i="8"/>
  <c r="C30" i="8"/>
  <c r="B30" i="8"/>
  <c r="D29" i="8"/>
  <c r="C29" i="8"/>
  <c r="B29" i="8"/>
  <c r="D28" i="8"/>
  <c r="C28" i="8"/>
  <c r="B28" i="8"/>
  <c r="D27" i="8"/>
  <c r="C27" i="8"/>
  <c r="B27" i="8"/>
  <c r="D26" i="8"/>
  <c r="C26" i="8"/>
  <c r="B26" i="8"/>
  <c r="D25" i="8"/>
  <c r="C25" i="8"/>
  <c r="B25" i="8"/>
  <c r="D24" i="8"/>
  <c r="C24" i="8"/>
  <c r="B24" i="8"/>
  <c r="D23" i="8"/>
  <c r="C23" i="8"/>
  <c r="B23" i="8"/>
  <c r="D22" i="8"/>
  <c r="C22" i="8"/>
  <c r="B22" i="8"/>
  <c r="D21" i="8"/>
  <c r="C21" i="8"/>
  <c r="B21" i="8"/>
  <c r="D20" i="8"/>
  <c r="C20" i="8"/>
  <c r="B20" i="8"/>
  <c r="D19" i="8"/>
  <c r="C19" i="8"/>
  <c r="B19" i="8"/>
  <c r="D18" i="8"/>
  <c r="C18" i="8"/>
  <c r="B18" i="8"/>
  <c r="D17" i="8"/>
  <c r="C17" i="8"/>
  <c r="B17" i="8"/>
  <c r="D16" i="8"/>
  <c r="C16" i="8"/>
  <c r="B16" i="8"/>
  <c r="D15" i="8"/>
  <c r="C15" i="8"/>
  <c r="B15" i="8"/>
  <c r="A14" i="8"/>
  <c r="A13" i="8"/>
  <c r="A1" i="8"/>
  <c r="C526" i="7"/>
  <c r="C523" i="7"/>
  <c r="C51" i="7"/>
  <c r="C520" i="7"/>
  <c r="L518" i="7"/>
  <c r="C518" i="7"/>
  <c r="L514" i="7"/>
  <c r="L513" i="7"/>
  <c r="L510" i="7"/>
  <c r="L503" i="7"/>
  <c r="L502" i="7"/>
  <c r="L498" i="7"/>
  <c r="L486" i="7"/>
  <c r="L485" i="7"/>
  <c r="L484" i="7"/>
  <c r="L483" i="7"/>
  <c r="L482" i="7"/>
  <c r="L481" i="7"/>
  <c r="L479" i="7" s="1"/>
  <c r="L478" i="7"/>
  <c r="L477" i="7"/>
  <c r="L475" i="7"/>
  <c r="L472" i="7"/>
  <c r="L467" i="7"/>
  <c r="L466" i="7"/>
  <c r="L465" i="7"/>
  <c r="L460" i="7"/>
  <c r="L452" i="7"/>
  <c r="L451" i="7"/>
  <c r="L447" i="7"/>
  <c r="L432" i="7"/>
  <c r="L431" i="7"/>
  <c r="L427" i="7"/>
  <c r="L410" i="7"/>
  <c r="L409" i="7"/>
  <c r="L406" i="7"/>
  <c r="L405" i="7"/>
  <c r="L403" i="7"/>
  <c r="L402" i="7"/>
  <c r="L396" i="7"/>
  <c r="L395" i="7"/>
  <c r="L391" i="7"/>
  <c r="AW381" i="7"/>
  <c r="AT381" i="7"/>
  <c r="AR381" i="7"/>
  <c r="AO381" i="7"/>
  <c r="BA381" i="7"/>
  <c r="AZ381" i="7"/>
  <c r="AE381" i="7"/>
  <c r="AD381" i="7"/>
  <c r="L380" i="7"/>
  <c r="K381" i="7" s="1"/>
  <c r="H380" i="7"/>
  <c r="E380" i="7"/>
  <c r="I381" i="7" s="1"/>
  <c r="G380" i="7"/>
  <c r="D380" i="7"/>
  <c r="C380" i="7"/>
  <c r="B380" i="7"/>
  <c r="AE379" i="7"/>
  <c r="AD379" i="7"/>
  <c r="G378" i="7"/>
  <c r="E378" i="7"/>
  <c r="G377" i="7"/>
  <c r="E377" i="7"/>
  <c r="G374" i="7"/>
  <c r="E374" i="7"/>
  <c r="D374" i="7"/>
  <c r="C374" i="7"/>
  <c r="B374" i="7"/>
  <c r="G373" i="7"/>
  <c r="E373" i="7"/>
  <c r="D373" i="7"/>
  <c r="C373" i="7"/>
  <c r="B373" i="7"/>
  <c r="L372" i="7"/>
  <c r="I372" i="7"/>
  <c r="H372" i="7"/>
  <c r="J372" i="7" s="1"/>
  <c r="G372" i="7"/>
  <c r="L371" i="7"/>
  <c r="J371" i="7"/>
  <c r="G371" i="7"/>
  <c r="L370" i="7"/>
  <c r="I370" i="7"/>
  <c r="H370" i="7"/>
  <c r="J370" i="7" s="1"/>
  <c r="G370" i="7"/>
  <c r="L369" i="7"/>
  <c r="I369" i="7"/>
  <c r="H369" i="7"/>
  <c r="J369" i="7" s="1"/>
  <c r="G369" i="7"/>
  <c r="L368" i="7"/>
  <c r="L367" i="7" s="1"/>
  <c r="AW379" i="7" s="1"/>
  <c r="J368" i="7"/>
  <c r="G368" i="7"/>
  <c r="L366" i="7"/>
  <c r="J366" i="7"/>
  <c r="E366" i="7"/>
  <c r="G366" i="7" s="1"/>
  <c r="L365" i="7"/>
  <c r="J365" i="7"/>
  <c r="G365" i="7"/>
  <c r="L364" i="7"/>
  <c r="J364" i="7"/>
  <c r="E364" i="7"/>
  <c r="L363" i="7"/>
  <c r="I363" i="7"/>
  <c r="H363" i="7"/>
  <c r="J363" i="7" s="1"/>
  <c r="G363" i="7"/>
  <c r="L362" i="7"/>
  <c r="L360" i="7" s="1"/>
  <c r="L359" i="7" s="1"/>
  <c r="AO379" i="7" s="1"/>
  <c r="L388" i="7" s="1"/>
  <c r="J362" i="7"/>
  <c r="E362" i="7"/>
  <c r="L361" i="7"/>
  <c r="J361" i="7"/>
  <c r="G361" i="7"/>
  <c r="L358" i="7"/>
  <c r="L357" i="7" s="1"/>
  <c r="J358" i="7"/>
  <c r="G358" i="7"/>
  <c r="C356" i="7"/>
  <c r="E355" i="7"/>
  <c r="G355" i="7"/>
  <c r="D355" i="7"/>
  <c r="C355" i="7"/>
  <c r="L349" i="7"/>
  <c r="L348" i="7"/>
  <c r="L345" i="7"/>
  <c r="L344" i="7"/>
  <c r="L342" i="7"/>
  <c r="L335" i="7"/>
  <c r="L334" i="7"/>
  <c r="L330" i="7"/>
  <c r="AW320" i="7"/>
  <c r="AT320" i="7"/>
  <c r="AR320" i="7"/>
  <c r="AO320" i="7"/>
  <c r="BA320" i="7"/>
  <c r="AZ320" i="7"/>
  <c r="AE320" i="7"/>
  <c r="AD320" i="7"/>
  <c r="L319" i="7"/>
  <c r="BK320" i="7" s="1"/>
  <c r="I319" i="7"/>
  <c r="H319" i="7"/>
  <c r="J319" i="7" s="1"/>
  <c r="E319" i="7"/>
  <c r="G319" i="7"/>
  <c r="D319" i="7"/>
  <c r="B319" i="7"/>
  <c r="AT318" i="7"/>
  <c r="AR318" i="7"/>
  <c r="AO318" i="7"/>
  <c r="BA318" i="7"/>
  <c r="AZ318" i="7"/>
  <c r="AE318" i="7"/>
  <c r="AD318" i="7"/>
  <c r="L317" i="7"/>
  <c r="BK318" i="7" s="1"/>
  <c r="I317" i="7"/>
  <c r="H317" i="7"/>
  <c r="E317" i="7"/>
  <c r="G317" i="7"/>
  <c r="D317" i="7"/>
  <c r="B317" i="7"/>
  <c r="BK316" i="7"/>
  <c r="AW316" i="7"/>
  <c r="AT316" i="7"/>
  <c r="AR316" i="7"/>
  <c r="AO316" i="7"/>
  <c r="BA316" i="7"/>
  <c r="AZ316" i="7"/>
  <c r="AE316" i="7"/>
  <c r="AD316" i="7"/>
  <c r="L315" i="7"/>
  <c r="AN316" i="7" s="1"/>
  <c r="I315" i="7"/>
  <c r="H315" i="7"/>
  <c r="J315" i="7" s="1"/>
  <c r="E315" i="7"/>
  <c r="G315" i="7"/>
  <c r="D315" i="7"/>
  <c r="B315" i="7"/>
  <c r="AW314" i="7"/>
  <c r="AT314" i="7"/>
  <c r="AR314" i="7"/>
  <c r="AO314" i="7"/>
  <c r="BA314" i="7"/>
  <c r="AZ314" i="7"/>
  <c r="AE314" i="7"/>
  <c r="AD314" i="7"/>
  <c r="L313" i="7"/>
  <c r="K314" i="7" s="1"/>
  <c r="I313" i="7"/>
  <c r="H313" i="7"/>
  <c r="J313" i="7" s="1"/>
  <c r="E313" i="7"/>
  <c r="I314" i="7" s="1"/>
  <c r="G313" i="7"/>
  <c r="D313" i="7"/>
  <c r="C313" i="7"/>
  <c r="B313" i="7"/>
  <c r="AE312" i="7"/>
  <c r="AD312" i="7"/>
  <c r="G311" i="7"/>
  <c r="E311" i="7"/>
  <c r="G310" i="7"/>
  <c r="E310" i="7"/>
  <c r="BA308" i="7"/>
  <c r="AZ308" i="7"/>
  <c r="AE308" i="7"/>
  <c r="AD308" i="7"/>
  <c r="E308" i="7"/>
  <c r="G308" i="7"/>
  <c r="D308" i="7"/>
  <c r="C308" i="7"/>
  <c r="B308" i="7"/>
  <c r="L306" i="7"/>
  <c r="I306" i="7"/>
  <c r="H306" i="7"/>
  <c r="J306" i="7" s="1"/>
  <c r="G306" i="7"/>
  <c r="L305" i="7"/>
  <c r="I305" i="7"/>
  <c r="H305" i="7"/>
  <c r="J305" i="7" s="1"/>
  <c r="G305" i="7"/>
  <c r="L304" i="7"/>
  <c r="I304" i="7"/>
  <c r="H304" i="7"/>
  <c r="J304" i="7" s="1"/>
  <c r="G304" i="7"/>
  <c r="L303" i="7"/>
  <c r="I303" i="7"/>
  <c r="H303" i="7"/>
  <c r="J303" i="7" s="1"/>
  <c r="G303" i="7"/>
  <c r="L302" i="7"/>
  <c r="I302" i="7"/>
  <c r="H302" i="7"/>
  <c r="J302" i="7" s="1"/>
  <c r="G302" i="7"/>
  <c r="L301" i="7"/>
  <c r="I301" i="7"/>
  <c r="H301" i="7"/>
  <c r="G301" i="7"/>
  <c r="L300" i="7"/>
  <c r="I300" i="7"/>
  <c r="H300" i="7"/>
  <c r="J300" i="7" s="1"/>
  <c r="G300" i="7"/>
  <c r="L299" i="7"/>
  <c r="I299" i="7"/>
  <c r="H299" i="7"/>
  <c r="J299" i="7" s="1"/>
  <c r="G299" i="7"/>
  <c r="L298" i="7"/>
  <c r="I298" i="7"/>
  <c r="H298" i="7"/>
  <c r="J298" i="7" s="1"/>
  <c r="G298" i="7"/>
  <c r="L297" i="7"/>
  <c r="J297" i="7"/>
  <c r="G297" i="7"/>
  <c r="L296" i="7"/>
  <c r="I296" i="7"/>
  <c r="H296" i="7"/>
  <c r="J296" i="7" s="1"/>
  <c r="G296" i="7"/>
  <c r="L295" i="7"/>
  <c r="I295" i="7"/>
  <c r="H295" i="7"/>
  <c r="J295" i="7" s="1"/>
  <c r="G295" i="7"/>
  <c r="L292" i="7"/>
  <c r="AT312" i="7" s="1"/>
  <c r="L293" i="7"/>
  <c r="L291" i="7" s="1"/>
  <c r="J293" i="7"/>
  <c r="G293" i="7"/>
  <c r="L290" i="7"/>
  <c r="L289" i="7" s="1"/>
  <c r="AR312" i="7" s="1"/>
  <c r="L309" i="7" s="1"/>
  <c r="J290" i="7"/>
  <c r="G290" i="7"/>
  <c r="E288" i="7"/>
  <c r="G288" i="7"/>
  <c r="D288" i="7"/>
  <c r="C288" i="7"/>
  <c r="AT287" i="7"/>
  <c r="AR287" i="7"/>
  <c r="AO287" i="7"/>
  <c r="BA287" i="7"/>
  <c r="AZ287" i="7"/>
  <c r="AE287" i="7"/>
  <c r="AD287" i="7"/>
  <c r="L286" i="7"/>
  <c r="AN287" i="7" s="1"/>
  <c r="I286" i="7"/>
  <c r="H286" i="7"/>
  <c r="E286" i="7"/>
  <c r="G286" i="7"/>
  <c r="D286" i="7"/>
  <c r="C286" i="7"/>
  <c r="B286" i="7"/>
  <c r="AE285" i="7"/>
  <c r="AD285" i="7"/>
  <c r="G284" i="7"/>
  <c r="E284" i="7"/>
  <c r="G283" i="7"/>
  <c r="E283" i="7"/>
  <c r="BA281" i="7"/>
  <c r="AZ281" i="7"/>
  <c r="AE281" i="7"/>
  <c r="AD281" i="7"/>
  <c r="E281" i="7"/>
  <c r="G281" i="7"/>
  <c r="D281" i="7"/>
  <c r="C281" i="7"/>
  <c r="B281" i="7"/>
  <c r="L279" i="7"/>
  <c r="J279" i="7"/>
  <c r="G279" i="7"/>
  <c r="L278" i="7"/>
  <c r="L276" i="7" s="1"/>
  <c r="AW285" i="7" s="1"/>
  <c r="J278" i="7"/>
  <c r="G278" i="7"/>
  <c r="L277" i="7"/>
  <c r="I277" i="7"/>
  <c r="H277" i="7"/>
  <c r="J277" i="7" s="1"/>
  <c r="G277" i="7"/>
  <c r="L275" i="7"/>
  <c r="J275" i="7"/>
  <c r="G275" i="7"/>
  <c r="L274" i="7"/>
  <c r="J274" i="7"/>
  <c r="E274" i="7"/>
  <c r="L273" i="7"/>
  <c r="J273" i="7"/>
  <c r="G273" i="7"/>
  <c r="L272" i="7"/>
  <c r="L270" i="7" s="1"/>
  <c r="L269" i="7" s="1"/>
  <c r="AO285" i="7" s="1"/>
  <c r="J272" i="7"/>
  <c r="E272" i="7"/>
  <c r="G272" i="7" s="1"/>
  <c r="L271" i="7"/>
  <c r="J271" i="7"/>
  <c r="G271" i="7"/>
  <c r="L267" i="7"/>
  <c r="AR285" i="7" s="1"/>
  <c r="L268" i="7"/>
  <c r="J268" i="7"/>
  <c r="G268" i="7"/>
  <c r="C266" i="7"/>
  <c r="E265" i="7"/>
  <c r="G265" i="7"/>
  <c r="G274" i="7" s="1"/>
  <c r="D265" i="7"/>
  <c r="C265" i="7"/>
  <c r="AW264" i="7"/>
  <c r="AT264" i="7"/>
  <c r="AR264" i="7"/>
  <c r="AO264" i="7"/>
  <c r="BA264" i="7"/>
  <c r="AZ264" i="7"/>
  <c r="AE264" i="7"/>
  <c r="AD264" i="7"/>
  <c r="L263" i="7"/>
  <c r="K264" i="7" s="1"/>
  <c r="I263" i="7"/>
  <c r="H263" i="7"/>
  <c r="J263" i="7" s="1"/>
  <c r="E263" i="7"/>
  <c r="G263" i="7"/>
  <c r="D263" i="7"/>
  <c r="C263" i="7"/>
  <c r="B263" i="7"/>
  <c r="AT262" i="7"/>
  <c r="AR262" i="7"/>
  <c r="AO262" i="7"/>
  <c r="BA262" i="7"/>
  <c r="AZ262" i="7"/>
  <c r="AE262" i="7"/>
  <c r="AD262" i="7"/>
  <c r="L261" i="7"/>
  <c r="AW262" i="7" s="1"/>
  <c r="I261" i="7"/>
  <c r="H261" i="7"/>
  <c r="E261" i="7"/>
  <c r="G261" i="7"/>
  <c r="D261" i="7"/>
  <c r="C261" i="7"/>
  <c r="B261" i="7"/>
  <c r="AE260" i="7"/>
  <c r="AD260" i="7"/>
  <c r="G259" i="7"/>
  <c r="E259" i="7"/>
  <c r="G258" i="7"/>
  <c r="E258" i="7"/>
  <c r="BA256" i="7"/>
  <c r="AZ256" i="7"/>
  <c r="AE256" i="7"/>
  <c r="AD256" i="7"/>
  <c r="E256" i="7"/>
  <c r="G256" i="7"/>
  <c r="D256" i="7"/>
  <c r="C256" i="7"/>
  <c r="B256" i="7"/>
  <c r="L254" i="7"/>
  <c r="I254" i="7"/>
  <c r="H254" i="7"/>
  <c r="J254" i="7" s="1"/>
  <c r="G254" i="7"/>
  <c r="L253" i="7"/>
  <c r="I253" i="7"/>
  <c r="H253" i="7"/>
  <c r="J253" i="7" s="1"/>
  <c r="G253" i="7"/>
  <c r="L252" i="7"/>
  <c r="I252" i="7"/>
  <c r="H252" i="7"/>
  <c r="J252" i="7" s="1"/>
  <c r="G252" i="7"/>
  <c r="L251" i="7"/>
  <c r="I251" i="7"/>
  <c r="H251" i="7"/>
  <c r="J251" i="7" s="1"/>
  <c r="G251" i="7"/>
  <c r="L249" i="7"/>
  <c r="J249" i="7"/>
  <c r="E249" i="7"/>
  <c r="L248" i="7"/>
  <c r="J248" i="7"/>
  <c r="G248" i="7"/>
  <c r="L247" i="7"/>
  <c r="J247" i="7"/>
  <c r="E247" i="7"/>
  <c r="G247" i="7" s="1"/>
  <c r="L246" i="7"/>
  <c r="J246" i="7"/>
  <c r="G246" i="7"/>
  <c r="L243" i="7"/>
  <c r="L242" i="7" s="1"/>
  <c r="J243" i="7"/>
  <c r="G243" i="7"/>
  <c r="C241" i="7"/>
  <c r="E240" i="7"/>
  <c r="G240" i="7"/>
  <c r="D240" i="7"/>
  <c r="C240" i="7"/>
  <c r="AT239" i="7"/>
  <c r="AR239" i="7"/>
  <c r="AO239" i="7"/>
  <c r="AN239" i="7"/>
  <c r="BA239" i="7"/>
  <c r="AZ239" i="7"/>
  <c r="AE239" i="7"/>
  <c r="AD239" i="7"/>
  <c r="C238" i="7"/>
  <c r="L237" i="7"/>
  <c r="AW239" i="7" s="1"/>
  <c r="I237" i="7"/>
  <c r="H237" i="7"/>
  <c r="J237" i="7" s="1"/>
  <c r="E237" i="7"/>
  <c r="G237" i="7"/>
  <c r="D237" i="7"/>
  <c r="C237" i="7"/>
  <c r="B237" i="7"/>
  <c r="AT236" i="7"/>
  <c r="AR236" i="7"/>
  <c r="AO236" i="7"/>
  <c r="BA236" i="7"/>
  <c r="AZ236" i="7"/>
  <c r="AE236" i="7"/>
  <c r="AD236" i="7"/>
  <c r="L235" i="7"/>
  <c r="AW236" i="7" s="1"/>
  <c r="I235" i="7"/>
  <c r="H235" i="7"/>
  <c r="E235" i="7"/>
  <c r="G235" i="7"/>
  <c r="D235" i="7"/>
  <c r="C235" i="7"/>
  <c r="B235" i="7"/>
  <c r="AW234" i="7"/>
  <c r="AT234" i="7"/>
  <c r="AR234" i="7"/>
  <c r="AO234" i="7"/>
  <c r="BA234" i="7"/>
  <c r="AZ234" i="7"/>
  <c r="AE234" i="7"/>
  <c r="AD234" i="7"/>
  <c r="L233" i="7"/>
  <c r="AN234" i="7" s="1"/>
  <c r="I233" i="7"/>
  <c r="H233" i="7"/>
  <c r="J233" i="7" s="1"/>
  <c r="E233" i="7"/>
  <c r="G233" i="7"/>
  <c r="D233" i="7"/>
  <c r="C233" i="7"/>
  <c r="B233" i="7"/>
  <c r="AT232" i="7"/>
  <c r="AO232" i="7"/>
  <c r="AE232" i="7"/>
  <c r="AD232" i="7"/>
  <c r="G231" i="7"/>
  <c r="E231" i="7"/>
  <c r="G230" i="7"/>
  <c r="E230" i="7"/>
  <c r="BA228" i="7"/>
  <c r="AZ228" i="7"/>
  <c r="AE228" i="7"/>
  <c r="AD228" i="7"/>
  <c r="E228" i="7"/>
  <c r="G228" i="7"/>
  <c r="D228" i="7"/>
  <c r="C228" i="7"/>
  <c r="B228" i="7"/>
  <c r="L226" i="7"/>
  <c r="I226" i="7"/>
  <c r="H226" i="7"/>
  <c r="J226" i="7" s="1"/>
  <c r="G226" i="7"/>
  <c r="L225" i="7"/>
  <c r="I225" i="7"/>
  <c r="H225" i="7"/>
  <c r="G225" i="7"/>
  <c r="L224" i="7"/>
  <c r="I224" i="7"/>
  <c r="H224" i="7"/>
  <c r="J224" i="7" s="1"/>
  <c r="G224" i="7"/>
  <c r="L222" i="7"/>
  <c r="L221" i="7" s="1"/>
  <c r="J222" i="7"/>
  <c r="G222" i="7"/>
  <c r="E220" i="7"/>
  <c r="G220" i="7"/>
  <c r="D220" i="7"/>
  <c r="C220" i="7"/>
  <c r="AT219" i="7"/>
  <c r="AR219" i="7"/>
  <c r="AO219" i="7"/>
  <c r="AN219" i="7"/>
  <c r="BA219" i="7"/>
  <c r="AZ219" i="7"/>
  <c r="AE219" i="7"/>
  <c r="AD219" i="7"/>
  <c r="C218" i="7"/>
  <c r="L217" i="7"/>
  <c r="AW219" i="7" s="1"/>
  <c r="I217" i="7"/>
  <c r="H217" i="7"/>
  <c r="J217" i="7" s="1"/>
  <c r="E217" i="7"/>
  <c r="G217" i="7"/>
  <c r="D217" i="7"/>
  <c r="C217" i="7"/>
  <c r="B217" i="7"/>
  <c r="AW216" i="7"/>
  <c r="AT216" i="7"/>
  <c r="AR216" i="7"/>
  <c r="AO216" i="7"/>
  <c r="BA216" i="7"/>
  <c r="AZ216" i="7"/>
  <c r="AE216" i="7"/>
  <c r="AD216" i="7"/>
  <c r="C215" i="7"/>
  <c r="L214" i="7"/>
  <c r="AN216" i="7" s="1"/>
  <c r="I214" i="7"/>
  <c r="H214" i="7"/>
  <c r="J214" i="7" s="1"/>
  <c r="E214" i="7"/>
  <c r="G214" i="7"/>
  <c r="D214" i="7"/>
  <c r="C214" i="7"/>
  <c r="B214" i="7"/>
  <c r="AT213" i="7"/>
  <c r="AR213" i="7"/>
  <c r="AO213" i="7"/>
  <c r="AN213" i="7"/>
  <c r="BA213" i="7"/>
  <c r="AZ213" i="7"/>
  <c r="AE213" i="7"/>
  <c r="AD213" i="7"/>
  <c r="C212" i="7"/>
  <c r="L211" i="7"/>
  <c r="AW213" i="7" s="1"/>
  <c r="I211" i="7"/>
  <c r="H211" i="7"/>
  <c r="J211" i="7" s="1"/>
  <c r="E211" i="7"/>
  <c r="G211" i="7"/>
  <c r="D211" i="7"/>
  <c r="C211" i="7"/>
  <c r="B211" i="7"/>
  <c r="AT210" i="7"/>
  <c r="AO210" i="7"/>
  <c r="AE210" i="7"/>
  <c r="AD210" i="7"/>
  <c r="G209" i="7"/>
  <c r="E209" i="7"/>
  <c r="G208" i="7"/>
  <c r="E208" i="7"/>
  <c r="AW206" i="7"/>
  <c r="BA206" i="7"/>
  <c r="AZ206" i="7"/>
  <c r="AE206" i="7"/>
  <c r="AD206" i="7"/>
  <c r="L206" i="7"/>
  <c r="AN206" i="7" s="1"/>
  <c r="H206" i="7"/>
  <c r="E206" i="7"/>
  <c r="G206" i="7"/>
  <c r="D206" i="7"/>
  <c r="C206" i="7"/>
  <c r="B206" i="7"/>
  <c r="BA205" i="7"/>
  <c r="AZ205" i="7"/>
  <c r="AE205" i="7"/>
  <c r="AD205" i="7"/>
  <c r="E205" i="7"/>
  <c r="G205" i="7"/>
  <c r="D205" i="7"/>
  <c r="C205" i="7"/>
  <c r="B205" i="7"/>
  <c r="L202" i="7"/>
  <c r="AW210" i="7" s="1"/>
  <c r="L203" i="7"/>
  <c r="I203" i="7"/>
  <c r="H203" i="7"/>
  <c r="J203" i="7" s="1"/>
  <c r="G203" i="7"/>
  <c r="L201" i="7"/>
  <c r="L200" i="7" s="1"/>
  <c r="J201" i="7"/>
  <c r="G201" i="7"/>
  <c r="C199" i="7"/>
  <c r="E198" i="7"/>
  <c r="G198" i="7"/>
  <c r="D198" i="7"/>
  <c r="C198" i="7"/>
  <c r="AT197" i="7"/>
  <c r="AR197" i="7"/>
  <c r="AO197" i="7"/>
  <c r="BA197" i="7"/>
  <c r="AZ197" i="7"/>
  <c r="AE197" i="7"/>
  <c r="AD197" i="7"/>
  <c r="C196" i="7"/>
  <c r="L195" i="7"/>
  <c r="K197" i="7" s="1"/>
  <c r="I195" i="7"/>
  <c r="H195" i="7"/>
  <c r="J195" i="7" s="1"/>
  <c r="E195" i="7"/>
  <c r="G195" i="7"/>
  <c r="D195" i="7"/>
  <c r="C195" i="7"/>
  <c r="B195" i="7"/>
  <c r="AT194" i="7"/>
  <c r="AR194" i="7"/>
  <c r="AO194" i="7"/>
  <c r="AN194" i="7"/>
  <c r="BA194" i="7"/>
  <c r="AZ194" i="7"/>
  <c r="AE194" i="7"/>
  <c r="AD194" i="7"/>
  <c r="L193" i="7"/>
  <c r="AW194" i="7" s="1"/>
  <c r="I193" i="7"/>
  <c r="H193" i="7"/>
  <c r="J193" i="7" s="1"/>
  <c r="E193" i="7"/>
  <c r="G193" i="7"/>
  <c r="D193" i="7"/>
  <c r="C193" i="7"/>
  <c r="B193" i="7"/>
  <c r="AT192" i="7"/>
  <c r="AO192" i="7"/>
  <c r="AE192" i="7"/>
  <c r="AD192" i="7"/>
  <c r="G191" i="7"/>
  <c r="E191" i="7"/>
  <c r="G190" i="7"/>
  <c r="E190" i="7"/>
  <c r="BA188" i="7"/>
  <c r="AZ188" i="7"/>
  <c r="AE188" i="7"/>
  <c r="AD188" i="7"/>
  <c r="L188" i="7"/>
  <c r="AW188" i="7" s="1"/>
  <c r="H188" i="7"/>
  <c r="E188" i="7"/>
  <c r="G188" i="7"/>
  <c r="D188" i="7"/>
  <c r="C188" i="7"/>
  <c r="B188" i="7"/>
  <c r="BA187" i="7"/>
  <c r="AZ187" i="7"/>
  <c r="AE187" i="7"/>
  <c r="AD187" i="7"/>
  <c r="E187" i="7"/>
  <c r="G187" i="7"/>
  <c r="D187" i="7"/>
  <c r="C187" i="7"/>
  <c r="B187" i="7"/>
  <c r="L185" i="7"/>
  <c r="L184" i="7" s="1"/>
  <c r="AW192" i="7" s="1"/>
  <c r="J185" i="7"/>
  <c r="G185" i="7"/>
  <c r="L183" i="7"/>
  <c r="L182" i="7" s="1"/>
  <c r="AR192" i="7" s="1"/>
  <c r="L189" i="7" s="1"/>
  <c r="J183" i="7"/>
  <c r="G183" i="7"/>
  <c r="E181" i="7"/>
  <c r="G181" i="7"/>
  <c r="D181" i="7"/>
  <c r="C181" i="7"/>
  <c r="AW180" i="7"/>
  <c r="AT180" i="7"/>
  <c r="AR180" i="7"/>
  <c r="AO180" i="7"/>
  <c r="BA180" i="7"/>
  <c r="AZ180" i="7"/>
  <c r="AE180" i="7"/>
  <c r="AD180" i="7"/>
  <c r="L179" i="7"/>
  <c r="K180" i="7" s="1"/>
  <c r="I179" i="7"/>
  <c r="H179" i="7"/>
  <c r="J179" i="7" s="1"/>
  <c r="E179" i="7"/>
  <c r="I180" i="7" s="1"/>
  <c r="G179" i="7"/>
  <c r="D179" i="7"/>
  <c r="C179" i="7"/>
  <c r="B179" i="7"/>
  <c r="AW178" i="7"/>
  <c r="AT178" i="7"/>
  <c r="AR178" i="7"/>
  <c r="AO178" i="7"/>
  <c r="BA178" i="7"/>
  <c r="AZ178" i="7"/>
  <c r="AE178" i="7"/>
  <c r="AD178" i="7"/>
  <c r="L177" i="7"/>
  <c r="AN178" i="7" s="1"/>
  <c r="I177" i="7"/>
  <c r="H177" i="7"/>
  <c r="J177" i="7" s="1"/>
  <c r="E177" i="7"/>
  <c r="G177" i="7"/>
  <c r="D177" i="7"/>
  <c r="C177" i="7"/>
  <c r="B177" i="7"/>
  <c r="AW176" i="7"/>
  <c r="AT176" i="7"/>
  <c r="AR176" i="7"/>
  <c r="AO176" i="7"/>
  <c r="BA176" i="7"/>
  <c r="AZ176" i="7"/>
  <c r="AE176" i="7"/>
  <c r="AD176" i="7"/>
  <c r="L175" i="7"/>
  <c r="AN176" i="7" s="1"/>
  <c r="I175" i="7"/>
  <c r="H175" i="7"/>
  <c r="E175" i="7"/>
  <c r="G175" i="7"/>
  <c r="D175" i="7"/>
  <c r="C175" i="7"/>
  <c r="B175" i="7"/>
  <c r="AE174" i="7"/>
  <c r="AD174" i="7"/>
  <c r="G173" i="7"/>
  <c r="E173" i="7"/>
  <c r="G172" i="7"/>
  <c r="E172" i="7"/>
  <c r="BA170" i="7"/>
  <c r="AZ170" i="7"/>
  <c r="AE170" i="7"/>
  <c r="AD170" i="7"/>
  <c r="E170" i="7"/>
  <c r="G170" i="7"/>
  <c r="D170" i="7"/>
  <c r="C170" i="7"/>
  <c r="B170" i="7"/>
  <c r="L168" i="7"/>
  <c r="I168" i="7"/>
  <c r="H168" i="7"/>
  <c r="J168" i="7" s="1"/>
  <c r="G168" i="7"/>
  <c r="L167" i="7"/>
  <c r="I167" i="7"/>
  <c r="J167" i="7" s="1"/>
  <c r="H167" i="7"/>
  <c r="G167" i="7"/>
  <c r="L166" i="7"/>
  <c r="I166" i="7"/>
  <c r="H166" i="7"/>
  <c r="J166" i="7" s="1"/>
  <c r="G166" i="7"/>
  <c r="L164" i="7"/>
  <c r="L160" i="7" s="1"/>
  <c r="J164" i="7"/>
  <c r="E164" i="7"/>
  <c r="G164" i="7" s="1"/>
  <c r="L163" i="7"/>
  <c r="J163" i="7"/>
  <c r="G163" i="7"/>
  <c r="L162" i="7"/>
  <c r="J162" i="7"/>
  <c r="E162" i="7"/>
  <c r="G162" i="7" s="1"/>
  <c r="L161" i="7"/>
  <c r="J161" i="7"/>
  <c r="G161" i="7"/>
  <c r="L158" i="7"/>
  <c r="L157" i="7" s="1"/>
  <c r="J158" i="7"/>
  <c r="G158" i="7"/>
  <c r="C156" i="7"/>
  <c r="E155" i="7"/>
  <c r="G155" i="7"/>
  <c r="D155" i="7"/>
  <c r="C155" i="7"/>
  <c r="AW154" i="7"/>
  <c r="AT154" i="7"/>
  <c r="AR154" i="7"/>
  <c r="AO154" i="7"/>
  <c r="BA154" i="7"/>
  <c r="AZ154" i="7"/>
  <c r="AE154" i="7"/>
  <c r="AD154" i="7"/>
  <c r="C153" i="7"/>
  <c r="L152" i="7"/>
  <c r="AN154" i="7" s="1"/>
  <c r="I152" i="7"/>
  <c r="H152" i="7"/>
  <c r="E152" i="7"/>
  <c r="G152" i="7"/>
  <c r="D152" i="7"/>
  <c r="C152" i="7"/>
  <c r="B152" i="7"/>
  <c r="AW151" i="7"/>
  <c r="AT151" i="7"/>
  <c r="AR151" i="7"/>
  <c r="AO151" i="7"/>
  <c r="BA151" i="7"/>
  <c r="AZ151" i="7"/>
  <c r="AE151" i="7"/>
  <c r="AD151" i="7"/>
  <c r="L150" i="7"/>
  <c r="K151" i="7" s="1"/>
  <c r="H150" i="7"/>
  <c r="E150" i="7"/>
  <c r="I151" i="7" s="1"/>
  <c r="G150" i="7"/>
  <c r="D150" i="7"/>
  <c r="C150" i="7"/>
  <c r="B150" i="7"/>
  <c r="AT149" i="7"/>
  <c r="AR149" i="7"/>
  <c r="AO149" i="7"/>
  <c r="BA149" i="7"/>
  <c r="AZ149" i="7"/>
  <c r="AE149" i="7"/>
  <c r="AD149" i="7"/>
  <c r="L148" i="7"/>
  <c r="AN149" i="7" s="1"/>
  <c r="H148" i="7"/>
  <c r="E148" i="7"/>
  <c r="G148" i="7"/>
  <c r="D148" i="7"/>
  <c r="C148" i="7"/>
  <c r="B148" i="7"/>
  <c r="AT147" i="7"/>
  <c r="AR147" i="7"/>
  <c r="AO147" i="7"/>
  <c r="AN147" i="7"/>
  <c r="BA147" i="7"/>
  <c r="AZ147" i="7"/>
  <c r="AE147" i="7"/>
  <c r="AD147" i="7"/>
  <c r="L146" i="7"/>
  <c r="K147" i="7" s="1"/>
  <c r="H146" i="7"/>
  <c r="E146" i="7"/>
  <c r="I147" i="7" s="1"/>
  <c r="G146" i="7"/>
  <c r="D146" i="7"/>
  <c r="C146" i="7"/>
  <c r="B146" i="7"/>
  <c r="AW145" i="7"/>
  <c r="AT145" i="7"/>
  <c r="AR145" i="7"/>
  <c r="AO145" i="7"/>
  <c r="BA145" i="7"/>
  <c r="AZ145" i="7"/>
  <c r="AE145" i="7"/>
  <c r="AD145" i="7"/>
  <c r="L144" i="7"/>
  <c r="AN145" i="7" s="1"/>
  <c r="H144" i="7"/>
  <c r="E144" i="7"/>
  <c r="G144" i="7"/>
  <c r="D144" i="7"/>
  <c r="C144" i="7"/>
  <c r="B144" i="7"/>
  <c r="AE143" i="7"/>
  <c r="AD143" i="7"/>
  <c r="G142" i="7"/>
  <c r="E142" i="7"/>
  <c r="G141" i="7"/>
  <c r="E141" i="7"/>
  <c r="BA139" i="7"/>
  <c r="AZ139" i="7"/>
  <c r="AE139" i="7"/>
  <c r="AD139" i="7"/>
  <c r="E139" i="7"/>
  <c r="G139" i="7"/>
  <c r="D139" i="7"/>
  <c r="C139" i="7"/>
  <c r="B139" i="7"/>
  <c r="L137" i="7"/>
  <c r="I137" i="7"/>
  <c r="H137" i="7"/>
  <c r="J137" i="7" s="1"/>
  <c r="G137" i="7"/>
  <c r="L136" i="7"/>
  <c r="I136" i="7"/>
  <c r="J136" i="7" s="1"/>
  <c r="H136" i="7"/>
  <c r="G136" i="7"/>
  <c r="L135" i="7"/>
  <c r="I135" i="7"/>
  <c r="H135" i="7"/>
  <c r="J135" i="7" s="1"/>
  <c r="G135" i="7"/>
  <c r="L134" i="7"/>
  <c r="I134" i="7"/>
  <c r="H134" i="7"/>
  <c r="J134" i="7" s="1"/>
  <c r="G134" i="7"/>
  <c r="L133" i="7"/>
  <c r="L132" i="7" s="1"/>
  <c r="AW143" i="7" s="1"/>
  <c r="I133" i="7"/>
  <c r="J133" i="7" s="1"/>
  <c r="H133" i="7"/>
  <c r="G133" i="7"/>
  <c r="L131" i="7"/>
  <c r="J131" i="7"/>
  <c r="E131" i="7"/>
  <c r="L130" i="7"/>
  <c r="J130" i="7"/>
  <c r="G130" i="7"/>
  <c r="L129" i="7"/>
  <c r="J129" i="7"/>
  <c r="E129" i="7"/>
  <c r="G129" i="7" s="1"/>
  <c r="L128" i="7"/>
  <c r="J128" i="7"/>
  <c r="G128" i="7"/>
  <c r="L125" i="7"/>
  <c r="L124" i="7" s="1"/>
  <c r="J125" i="7"/>
  <c r="G125" i="7"/>
  <c r="C123" i="7"/>
  <c r="E122" i="7"/>
  <c r="G122" i="7"/>
  <c r="D122" i="7"/>
  <c r="C122" i="7"/>
  <c r="AT121" i="7"/>
  <c r="AR121" i="7"/>
  <c r="AO121" i="7"/>
  <c r="BA121" i="7"/>
  <c r="AZ121" i="7"/>
  <c r="AE121" i="7"/>
  <c r="AD121" i="7"/>
  <c r="C120" i="7"/>
  <c r="L119" i="7"/>
  <c r="K121" i="7" s="1"/>
  <c r="I119" i="7"/>
  <c r="H119" i="7"/>
  <c r="E119" i="7"/>
  <c r="G119" i="7"/>
  <c r="D119" i="7"/>
  <c r="C119" i="7"/>
  <c r="B119" i="7"/>
  <c r="AT118" i="7"/>
  <c r="AR118" i="7"/>
  <c r="AO118" i="7"/>
  <c r="AN118" i="7"/>
  <c r="BA118" i="7"/>
  <c r="AZ118" i="7"/>
  <c r="AE118" i="7"/>
  <c r="AD118" i="7"/>
  <c r="C117" i="7"/>
  <c r="L116" i="7"/>
  <c r="AW118" i="7" s="1"/>
  <c r="I116" i="7"/>
  <c r="H116" i="7"/>
  <c r="E116" i="7"/>
  <c r="G116" i="7"/>
  <c r="D116" i="7"/>
  <c r="C116" i="7"/>
  <c r="B116" i="7"/>
  <c r="AT115" i="7"/>
  <c r="AR115" i="7"/>
  <c r="AO115" i="7"/>
  <c r="BA115" i="7"/>
  <c r="AZ115" i="7"/>
  <c r="AE115" i="7"/>
  <c r="AD115" i="7"/>
  <c r="C114" i="7"/>
  <c r="L113" i="7"/>
  <c r="AN115" i="7" s="1"/>
  <c r="I113" i="7"/>
  <c r="H113" i="7"/>
  <c r="J113" i="7" s="1"/>
  <c r="E113" i="7"/>
  <c r="G113" i="7"/>
  <c r="D113" i="7"/>
  <c r="C113" i="7"/>
  <c r="B113" i="7"/>
  <c r="AW112" i="7"/>
  <c r="AT112" i="7"/>
  <c r="AR112" i="7"/>
  <c r="AO112" i="7"/>
  <c r="BA112" i="7"/>
  <c r="AZ112" i="7"/>
  <c r="AE112" i="7"/>
  <c r="AD112" i="7"/>
  <c r="C111" i="7"/>
  <c r="L110" i="7"/>
  <c r="AN112" i="7" s="1"/>
  <c r="I110" i="7"/>
  <c r="H110" i="7"/>
  <c r="E110" i="7"/>
  <c r="G110" i="7"/>
  <c r="D110" i="7"/>
  <c r="C110" i="7"/>
  <c r="B110" i="7"/>
  <c r="AT109" i="7"/>
  <c r="AR109" i="7"/>
  <c r="AO109" i="7"/>
  <c r="BA109" i="7"/>
  <c r="AZ109" i="7"/>
  <c r="AE109" i="7"/>
  <c r="AD109" i="7"/>
  <c r="C108" i="7"/>
  <c r="L107" i="7"/>
  <c r="K109" i="7" s="1"/>
  <c r="I107" i="7"/>
  <c r="H107" i="7"/>
  <c r="J107" i="7" s="1"/>
  <c r="E107" i="7"/>
  <c r="G107" i="7"/>
  <c r="D107" i="7"/>
  <c r="C107" i="7"/>
  <c r="B107" i="7"/>
  <c r="AT106" i="7"/>
  <c r="AR106" i="7"/>
  <c r="AO106" i="7"/>
  <c r="AN106" i="7"/>
  <c r="BA106" i="7"/>
  <c r="AZ106" i="7"/>
  <c r="AE106" i="7"/>
  <c r="AD106" i="7"/>
  <c r="C105" i="7"/>
  <c r="L104" i="7"/>
  <c r="AW106" i="7" s="1"/>
  <c r="I104" i="7"/>
  <c r="H104" i="7"/>
  <c r="J104" i="7" s="1"/>
  <c r="E104" i="7"/>
  <c r="G104" i="7"/>
  <c r="D104" i="7"/>
  <c r="C104" i="7"/>
  <c r="B104" i="7"/>
  <c r="AE103" i="7"/>
  <c r="AD103" i="7"/>
  <c r="G102" i="7"/>
  <c r="E102" i="7"/>
  <c r="G101" i="7"/>
  <c r="E101" i="7"/>
  <c r="BA99" i="7"/>
  <c r="AZ99" i="7"/>
  <c r="AE99" i="7"/>
  <c r="AD99" i="7"/>
  <c r="E99" i="7"/>
  <c r="G99" i="7"/>
  <c r="D99" i="7"/>
  <c r="C99" i="7"/>
  <c r="B99" i="7"/>
  <c r="L97" i="7"/>
  <c r="I97" i="7"/>
  <c r="H97" i="7"/>
  <c r="J97" i="7" s="1"/>
  <c r="G97" i="7"/>
  <c r="L96" i="7"/>
  <c r="I96" i="7"/>
  <c r="H96" i="7"/>
  <c r="J96" i="7" s="1"/>
  <c r="G96" i="7"/>
  <c r="L95" i="7"/>
  <c r="J95" i="7"/>
  <c r="G95" i="7"/>
  <c r="L93" i="7"/>
  <c r="L91" i="7" s="1"/>
  <c r="J93" i="7"/>
  <c r="E93" i="7"/>
  <c r="G93" i="7" s="1"/>
  <c r="L92" i="7"/>
  <c r="I92" i="7"/>
  <c r="H92" i="7"/>
  <c r="G92" i="7"/>
  <c r="L89" i="7"/>
  <c r="L88" i="7" s="1"/>
  <c r="J89" i="7"/>
  <c r="G89" i="7"/>
  <c r="C87" i="7"/>
  <c r="E86" i="7"/>
  <c r="G86" i="7"/>
  <c r="D86" i="7"/>
  <c r="C86" i="7"/>
  <c r="AW85" i="7"/>
  <c r="AT85" i="7"/>
  <c r="AR85" i="7"/>
  <c r="AO85" i="7"/>
  <c r="BA85" i="7"/>
  <c r="AZ85" i="7"/>
  <c r="AE85" i="7"/>
  <c r="AD85" i="7"/>
  <c r="C84" i="7"/>
  <c r="L83" i="7"/>
  <c r="K85" i="7" s="1"/>
  <c r="I83" i="7"/>
  <c r="H83" i="7"/>
  <c r="E83" i="7"/>
  <c r="G83" i="7"/>
  <c r="D83" i="7"/>
  <c r="C83" i="7"/>
  <c r="B83" i="7"/>
  <c r="AW82" i="7"/>
  <c r="AT82" i="7"/>
  <c r="AR82" i="7"/>
  <c r="AO82" i="7"/>
  <c r="AN82" i="7"/>
  <c r="BA82" i="7"/>
  <c r="AZ82" i="7"/>
  <c r="AE82" i="7"/>
  <c r="AD82" i="7"/>
  <c r="L81" i="7"/>
  <c r="K82" i="7" s="1"/>
  <c r="J81" i="7"/>
  <c r="E81" i="7"/>
  <c r="I82" i="7" s="1"/>
  <c r="G81" i="7"/>
  <c r="D81" i="7"/>
  <c r="C81" i="7"/>
  <c r="B81" i="7"/>
  <c r="AE80" i="7"/>
  <c r="AD80" i="7"/>
  <c r="G79" i="7"/>
  <c r="E79" i="7"/>
  <c r="G78" i="7"/>
  <c r="E78" i="7"/>
  <c r="BA76" i="7"/>
  <c r="AZ76" i="7"/>
  <c r="AE76" i="7"/>
  <c r="AD76" i="7"/>
  <c r="E76" i="7"/>
  <c r="G76" i="7"/>
  <c r="D76" i="7"/>
  <c r="C76" i="7"/>
  <c r="B76" i="7"/>
  <c r="L74" i="7"/>
  <c r="I74" i="7"/>
  <c r="H74" i="7"/>
  <c r="G74" i="7"/>
  <c r="L73" i="7"/>
  <c r="L72" i="7" s="1"/>
  <c r="AW80" i="7" s="1"/>
  <c r="J73" i="7"/>
  <c r="G73" i="7"/>
  <c r="L71" i="7"/>
  <c r="L69" i="7" s="1"/>
  <c r="J71" i="7"/>
  <c r="E71" i="7"/>
  <c r="G71" i="7" s="1"/>
  <c r="L70" i="7"/>
  <c r="J70" i="7"/>
  <c r="G70" i="7"/>
  <c r="L67" i="7"/>
  <c r="J67" i="7"/>
  <c r="G67" i="7"/>
  <c r="L66" i="7"/>
  <c r="J66" i="7"/>
  <c r="G66" i="7"/>
  <c r="L65" i="7"/>
  <c r="J65" i="7"/>
  <c r="G65" i="7"/>
  <c r="C63" i="7"/>
  <c r="E62" i="7"/>
  <c r="G62" i="7"/>
  <c r="D62" i="7"/>
  <c r="C62" i="7"/>
  <c r="A33" i="7"/>
  <c r="F24" i="7"/>
  <c r="F22" i="7"/>
  <c r="CO14" i="7"/>
  <c r="F14" i="7"/>
  <c r="CO12" i="7"/>
  <c r="F12" i="7"/>
  <c r="A1" i="7"/>
  <c r="K262" i="7" l="1"/>
  <c r="I262" i="7" s="1"/>
  <c r="L294" i="7"/>
  <c r="AW312" i="7" s="1"/>
  <c r="I85" i="7"/>
  <c r="K178" i="7"/>
  <c r="I178" i="7" s="1"/>
  <c r="K236" i="7"/>
  <c r="I236" i="7" s="1"/>
  <c r="I219" i="7"/>
  <c r="L509" i="7"/>
  <c r="L507" i="7" s="1"/>
  <c r="AN262" i="7"/>
  <c r="G364" i="7"/>
  <c r="AN121" i="7"/>
  <c r="L94" i="7"/>
  <c r="AW103" i="7" s="1"/>
  <c r="L127" i="7"/>
  <c r="L126" i="7" s="1"/>
  <c r="AO143" i="7" s="1"/>
  <c r="AN236" i="7"/>
  <c r="AN320" i="7"/>
  <c r="L473" i="7"/>
  <c r="L470" i="7" s="1"/>
  <c r="L64" i="7"/>
  <c r="K118" i="7"/>
  <c r="I118" i="7" s="1"/>
  <c r="J152" i="7"/>
  <c r="AN314" i="7"/>
  <c r="K106" i="7"/>
  <c r="K112" i="7"/>
  <c r="I112" i="7" s="1"/>
  <c r="I121" i="7"/>
  <c r="AW149" i="7"/>
  <c r="AN151" i="7"/>
  <c r="K194" i="7"/>
  <c r="I194" i="7" s="1"/>
  <c r="K219" i="7"/>
  <c r="J261" i="7"/>
  <c r="AN264" i="7"/>
  <c r="J317" i="7"/>
  <c r="J301" i="7"/>
  <c r="K318" i="7"/>
  <c r="I318" i="7" s="1"/>
  <c r="J83" i="7"/>
  <c r="L424" i="7"/>
  <c r="J74" i="7"/>
  <c r="I106" i="7"/>
  <c r="J110" i="7"/>
  <c r="G131" i="7"/>
  <c r="L245" i="7"/>
  <c r="J175" i="7"/>
  <c r="J225" i="7"/>
  <c r="K234" i="7"/>
  <c r="I234" i="7" s="1"/>
  <c r="AW287" i="7"/>
  <c r="J92" i="7"/>
  <c r="I109" i="7"/>
  <c r="AW109" i="7"/>
  <c r="AW115" i="7"/>
  <c r="J119" i="7"/>
  <c r="AW121" i="7"/>
  <c r="J235" i="7"/>
  <c r="G249" i="7"/>
  <c r="J286" i="7"/>
  <c r="G362" i="7"/>
  <c r="AR80" i="7"/>
  <c r="AR260" i="7"/>
  <c r="L386" i="7"/>
  <c r="AR210" i="7"/>
  <c r="L207" i="7" s="1"/>
  <c r="L204" i="7"/>
  <c r="AR379" i="7"/>
  <c r="L421" i="7" s="1"/>
  <c r="L375" i="7"/>
  <c r="AR143" i="7"/>
  <c r="AR103" i="7"/>
  <c r="AR232" i="7"/>
  <c r="L229" i="7" s="1"/>
  <c r="AO312" i="7"/>
  <c r="I287" i="7"/>
  <c r="AT103" i="7"/>
  <c r="L90" i="7"/>
  <c r="AO103" i="7" s="1"/>
  <c r="AR174" i="7"/>
  <c r="L171" i="7" s="1"/>
  <c r="L159" i="7"/>
  <c r="AO174" i="7" s="1"/>
  <c r="AT174" i="7"/>
  <c r="AN188" i="7"/>
  <c r="K216" i="7"/>
  <c r="I216" i="7" s="1"/>
  <c r="K145" i="7"/>
  <c r="I145" i="7" s="1"/>
  <c r="AW147" i="7"/>
  <c r="L430" i="7" s="1"/>
  <c r="L428" i="7" s="1"/>
  <c r="L165" i="7"/>
  <c r="AW174" i="7" s="1"/>
  <c r="I197" i="7"/>
  <c r="K213" i="7"/>
  <c r="I213" i="7" s="1"/>
  <c r="AT379" i="7"/>
  <c r="L390" i="7" s="1"/>
  <c r="K149" i="7"/>
  <c r="I149" i="7" s="1"/>
  <c r="K154" i="7"/>
  <c r="I154" i="7" s="1"/>
  <c r="L280" i="7"/>
  <c r="K316" i="7"/>
  <c r="I316" i="7" s="1"/>
  <c r="AN85" i="7"/>
  <c r="K115" i="7"/>
  <c r="I115" i="7" s="1"/>
  <c r="L223" i="7"/>
  <c r="AW232" i="7" s="1"/>
  <c r="K287" i="7"/>
  <c r="L394" i="7"/>
  <c r="L392" i="7" s="1"/>
  <c r="AN381" i="7"/>
  <c r="L186" i="7"/>
  <c r="I239" i="7"/>
  <c r="K176" i="7"/>
  <c r="I176" i="7" s="1"/>
  <c r="AN197" i="7"/>
  <c r="AT285" i="7"/>
  <c r="L282" i="7" s="1"/>
  <c r="AW197" i="7"/>
  <c r="AT260" i="7"/>
  <c r="L244" i="7"/>
  <c r="AO260" i="7" s="1"/>
  <c r="AW318" i="7"/>
  <c r="AN318" i="7"/>
  <c r="I320" i="7"/>
  <c r="L68" i="7"/>
  <c r="AO80" i="7" s="1"/>
  <c r="AT80" i="7"/>
  <c r="L307" i="7"/>
  <c r="L341" i="7"/>
  <c r="L339" i="7" s="1"/>
  <c r="L459" i="7"/>
  <c r="L457" i="7" s="1"/>
  <c r="AN109" i="7"/>
  <c r="J116" i="7"/>
  <c r="AN180" i="7"/>
  <c r="L250" i="7"/>
  <c r="AW260" i="7" s="1"/>
  <c r="I264" i="7"/>
  <c r="L400" i="7"/>
  <c r="K239" i="7"/>
  <c r="K320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" i="3"/>
  <c r="Y1" i="3"/>
  <c r="CU1" i="3"/>
  <c r="P29" i="1" s="1"/>
  <c r="CV1" i="3"/>
  <c r="CY1" i="3"/>
  <c r="CZ1" i="3"/>
  <c r="DA1" i="3"/>
  <c r="DB1" i="3"/>
  <c r="DC1" i="3"/>
  <c r="A2" i="3"/>
  <c r="Y2" i="3"/>
  <c r="CU2" i="3"/>
  <c r="CV2" i="3"/>
  <c r="CX2" i="3"/>
  <c r="CY2" i="3"/>
  <c r="CZ2" i="3"/>
  <c r="DB2" i="3" s="1"/>
  <c r="DA2" i="3"/>
  <c r="DC2" i="3"/>
  <c r="DG2" i="3"/>
  <c r="DH2" i="3"/>
  <c r="A3" i="3"/>
  <c r="Y3" i="3"/>
  <c r="CU3" i="3"/>
  <c r="CY3" i="3"/>
  <c r="CZ3" i="3"/>
  <c r="DA3" i="3"/>
  <c r="DB3" i="3"/>
  <c r="DC3" i="3"/>
  <c r="A4" i="3"/>
  <c r="Y4" i="3"/>
  <c r="CX4" i="3" s="1"/>
  <c r="CY4" i="3"/>
  <c r="CZ4" i="3"/>
  <c r="DA4" i="3"/>
  <c r="DB4" i="3"/>
  <c r="DC4" i="3"/>
  <c r="DF4" i="3"/>
  <c r="DG4" i="3"/>
  <c r="DH4" i="3"/>
  <c r="DI4" i="3"/>
  <c r="DJ4" i="3" s="1"/>
  <c r="A5" i="3"/>
  <c r="Y5" i="3"/>
  <c r="CY5" i="3"/>
  <c r="CZ5" i="3"/>
  <c r="DA5" i="3"/>
  <c r="DB5" i="3"/>
  <c r="DC5" i="3"/>
  <c r="A6" i="3"/>
  <c r="Y6" i="3"/>
  <c r="CX6" i="3"/>
  <c r="CY6" i="3"/>
  <c r="CZ6" i="3"/>
  <c r="DA6" i="3"/>
  <c r="DB6" i="3"/>
  <c r="DC6" i="3"/>
  <c r="A7" i="3"/>
  <c r="Y7" i="3"/>
  <c r="CX7" i="3" s="1"/>
  <c r="CY7" i="3"/>
  <c r="CZ7" i="3"/>
  <c r="DB7" i="3" s="1"/>
  <c r="DA7" i="3"/>
  <c r="DC7" i="3"/>
  <c r="A8" i="3"/>
  <c r="Y8" i="3"/>
  <c r="CX8" i="3" s="1"/>
  <c r="CY8" i="3"/>
  <c r="CZ8" i="3"/>
  <c r="DB8" i="3" s="1"/>
  <c r="DA8" i="3"/>
  <c r="DC8" i="3"/>
  <c r="A9" i="3"/>
  <c r="Y9" i="3"/>
  <c r="CY9" i="3"/>
  <c r="CZ9" i="3"/>
  <c r="DB9" i="3" s="1"/>
  <c r="DA9" i="3"/>
  <c r="DC9" i="3"/>
  <c r="A10" i="3"/>
  <c r="Y10" i="3"/>
  <c r="CY10" i="3"/>
  <c r="CZ10" i="3"/>
  <c r="DA10" i="3"/>
  <c r="DB10" i="3"/>
  <c r="DC10" i="3"/>
  <c r="A11" i="3"/>
  <c r="Y11" i="3"/>
  <c r="CY11" i="3"/>
  <c r="CZ11" i="3"/>
  <c r="DA11" i="3"/>
  <c r="DB11" i="3"/>
  <c r="DC11" i="3"/>
  <c r="A12" i="3"/>
  <c r="Y12" i="3"/>
  <c r="CY12" i="3"/>
  <c r="CZ12" i="3"/>
  <c r="DA12" i="3"/>
  <c r="DB12" i="3"/>
  <c r="DC12" i="3"/>
  <c r="A13" i="3"/>
  <c r="Y13" i="3"/>
  <c r="CY13" i="3"/>
  <c r="CZ13" i="3"/>
  <c r="DB13" i="3" s="1"/>
  <c r="DA13" i="3"/>
  <c r="DC13" i="3"/>
  <c r="A14" i="3"/>
  <c r="Y14" i="3"/>
  <c r="CY14" i="3"/>
  <c r="CZ14" i="3"/>
  <c r="DA14" i="3"/>
  <c r="DB14" i="3"/>
  <c r="DC14" i="3"/>
  <c r="A15" i="3"/>
  <c r="Y15" i="3"/>
  <c r="CX15" i="3"/>
  <c r="CY15" i="3"/>
  <c r="CZ15" i="3"/>
  <c r="DA15" i="3"/>
  <c r="DB15" i="3"/>
  <c r="DC15" i="3"/>
  <c r="A16" i="3"/>
  <c r="Y16" i="3"/>
  <c r="CV16" i="3" s="1"/>
  <c r="CU16" i="3"/>
  <c r="CX16" i="3"/>
  <c r="CY16" i="3"/>
  <c r="CZ16" i="3"/>
  <c r="DB16" i="3" s="1"/>
  <c r="DA16" i="3"/>
  <c r="DC16" i="3"/>
  <c r="DI16" i="3"/>
  <c r="A17" i="3"/>
  <c r="Y17" i="3"/>
  <c r="CX17" i="3" s="1"/>
  <c r="CY17" i="3"/>
  <c r="CZ17" i="3"/>
  <c r="DB17" i="3" s="1"/>
  <c r="DA17" i="3"/>
  <c r="DC17" i="3"/>
  <c r="DH17" i="3"/>
  <c r="DI17" i="3"/>
  <c r="DJ17" i="3" s="1"/>
  <c r="A18" i="3"/>
  <c r="Y18" i="3"/>
  <c r="CW18" i="3" s="1"/>
  <c r="CX18" i="3"/>
  <c r="CY18" i="3"/>
  <c r="CZ18" i="3"/>
  <c r="DA18" i="3"/>
  <c r="DB18" i="3"/>
  <c r="DC18" i="3"/>
  <c r="DG18" i="3"/>
  <c r="DI18" i="3"/>
  <c r="A19" i="3"/>
  <c r="Y19" i="3"/>
  <c r="CY19" i="3"/>
  <c r="CZ19" i="3"/>
  <c r="DA19" i="3"/>
  <c r="DB19" i="3"/>
  <c r="DC19" i="3"/>
  <c r="A20" i="3"/>
  <c r="Y20" i="3"/>
  <c r="CX20" i="3" s="1"/>
  <c r="CY20" i="3"/>
  <c r="CZ20" i="3"/>
  <c r="DA20" i="3"/>
  <c r="DB20" i="3"/>
  <c r="DC20" i="3"/>
  <c r="A21" i="3"/>
  <c r="Y21" i="3"/>
  <c r="CX21" i="3"/>
  <c r="DI21" i="3" s="1"/>
  <c r="CY21" i="3"/>
  <c r="CZ21" i="3"/>
  <c r="DB21" i="3" s="1"/>
  <c r="DA21" i="3"/>
  <c r="DC21" i="3"/>
  <c r="DF21" i="3"/>
  <c r="DJ21" i="3" s="1"/>
  <c r="DG21" i="3"/>
  <c r="DH21" i="3"/>
  <c r="A22" i="3"/>
  <c r="Y22" i="3"/>
  <c r="CX22" i="3"/>
  <c r="DH22" i="3" s="1"/>
  <c r="CY22" i="3"/>
  <c r="CZ22" i="3"/>
  <c r="DA22" i="3"/>
  <c r="DB22" i="3"/>
  <c r="DC22" i="3"/>
  <c r="DF22" i="3"/>
  <c r="DJ22" i="3" s="1"/>
  <c r="DG22" i="3"/>
  <c r="A23" i="3"/>
  <c r="Y23" i="3"/>
  <c r="CX23" i="3"/>
  <c r="CY23" i="3"/>
  <c r="CZ23" i="3"/>
  <c r="DA23" i="3"/>
  <c r="DB23" i="3"/>
  <c r="DC23" i="3"/>
  <c r="DF23" i="3"/>
  <c r="DJ23" i="3" s="1"/>
  <c r="A24" i="3"/>
  <c r="Y24" i="3"/>
  <c r="CY24" i="3"/>
  <c r="CZ24" i="3"/>
  <c r="DB24" i="3" s="1"/>
  <c r="DA24" i="3"/>
  <c r="DC24" i="3"/>
  <c r="A25" i="3"/>
  <c r="Y25" i="3"/>
  <c r="CX25" i="3" s="1"/>
  <c r="CY25" i="3"/>
  <c r="CZ25" i="3"/>
  <c r="DB25" i="3" s="1"/>
  <c r="DA25" i="3"/>
  <c r="DC25" i="3"/>
  <c r="A26" i="3"/>
  <c r="Y26" i="3"/>
  <c r="CY26" i="3"/>
  <c r="CZ26" i="3"/>
  <c r="DA26" i="3"/>
  <c r="DB26" i="3"/>
  <c r="DC26" i="3"/>
  <c r="A27" i="3"/>
  <c r="Y27" i="3"/>
  <c r="CY27" i="3"/>
  <c r="CZ27" i="3"/>
  <c r="DA27" i="3"/>
  <c r="DB27" i="3"/>
  <c r="DC27" i="3"/>
  <c r="A28" i="3"/>
  <c r="Y28" i="3"/>
  <c r="CX28" i="3" s="1"/>
  <c r="CY28" i="3"/>
  <c r="CZ28" i="3"/>
  <c r="DA28" i="3"/>
  <c r="DB28" i="3"/>
  <c r="DC28" i="3"/>
  <c r="A29" i="3"/>
  <c r="Y29" i="3"/>
  <c r="CY29" i="3"/>
  <c r="CZ29" i="3"/>
  <c r="DA29" i="3"/>
  <c r="DB29" i="3"/>
  <c r="DC29" i="3"/>
  <c r="A30" i="3"/>
  <c r="Y30" i="3"/>
  <c r="CY30" i="3"/>
  <c r="CZ30" i="3"/>
  <c r="DA30" i="3"/>
  <c r="DB30" i="3"/>
  <c r="DC30" i="3"/>
  <c r="A31" i="3"/>
  <c r="Y31" i="3"/>
  <c r="CY31" i="3"/>
  <c r="CZ31" i="3"/>
  <c r="DA31" i="3"/>
  <c r="DB31" i="3"/>
  <c r="DC31" i="3"/>
  <c r="A32" i="3"/>
  <c r="Y32" i="3"/>
  <c r="CX32" i="3"/>
  <c r="CY32" i="3"/>
  <c r="CZ32" i="3"/>
  <c r="DA32" i="3"/>
  <c r="DB32" i="3"/>
  <c r="DC32" i="3"/>
  <c r="A33" i="3"/>
  <c r="Y33" i="3"/>
  <c r="CY33" i="3"/>
  <c r="CZ33" i="3"/>
  <c r="DA33" i="3"/>
  <c r="DB33" i="3"/>
  <c r="DC33" i="3"/>
  <c r="A34" i="3"/>
  <c r="Y34" i="3"/>
  <c r="CV34" i="3"/>
  <c r="U49" i="1" s="1"/>
  <c r="G157" i="7" s="1"/>
  <c r="CX34" i="3"/>
  <c r="CY34" i="3"/>
  <c r="CZ34" i="3"/>
  <c r="DA34" i="3"/>
  <c r="DB34" i="3"/>
  <c r="DC34" i="3"/>
  <c r="A35" i="3"/>
  <c r="Y35" i="3"/>
  <c r="CX35" i="3"/>
  <c r="CY35" i="3"/>
  <c r="CZ35" i="3"/>
  <c r="DA35" i="3"/>
  <c r="DB35" i="3"/>
  <c r="DC35" i="3"/>
  <c r="A36" i="3"/>
  <c r="Y36" i="3"/>
  <c r="CY36" i="3"/>
  <c r="CZ36" i="3"/>
  <c r="DA36" i="3"/>
  <c r="DB36" i="3"/>
  <c r="DC36" i="3"/>
  <c r="A37" i="3"/>
  <c r="Y37" i="3"/>
  <c r="CY37" i="3"/>
  <c r="CZ37" i="3"/>
  <c r="DA37" i="3"/>
  <c r="DB37" i="3"/>
  <c r="DC37" i="3"/>
  <c r="A38" i="3"/>
  <c r="Y38" i="3"/>
  <c r="CY38" i="3"/>
  <c r="CZ38" i="3"/>
  <c r="DA38" i="3"/>
  <c r="DB38" i="3"/>
  <c r="DC38" i="3"/>
  <c r="A39" i="3"/>
  <c r="Y39" i="3"/>
  <c r="CY39" i="3"/>
  <c r="CZ39" i="3"/>
  <c r="DA39" i="3"/>
  <c r="DB39" i="3"/>
  <c r="DC39" i="3"/>
  <c r="DF39" i="3"/>
  <c r="DJ39" i="3" s="1"/>
  <c r="A40" i="3"/>
  <c r="Y40" i="3"/>
  <c r="CX40" i="3"/>
  <c r="CY40" i="3"/>
  <c r="CZ40" i="3"/>
  <c r="DA40" i="3"/>
  <c r="DB40" i="3"/>
  <c r="DC40" i="3"/>
  <c r="A41" i="3"/>
  <c r="Y41" i="3"/>
  <c r="CX41" i="3"/>
  <c r="CY41" i="3"/>
  <c r="CZ41" i="3"/>
  <c r="DA41" i="3"/>
  <c r="DB41" i="3"/>
  <c r="DC41" i="3"/>
  <c r="A42" i="3"/>
  <c r="Y42" i="3"/>
  <c r="CU42" i="3"/>
  <c r="CV42" i="3"/>
  <c r="U54" i="1" s="1"/>
  <c r="G182" i="7" s="1"/>
  <c r="CX42" i="3"/>
  <c r="CY42" i="3"/>
  <c r="CZ42" i="3"/>
  <c r="DA42" i="3"/>
  <c r="DB42" i="3"/>
  <c r="DC42" i="3"/>
  <c r="A43" i="3"/>
  <c r="Y43" i="3"/>
  <c r="CX43" i="3"/>
  <c r="CY43" i="3"/>
  <c r="CZ43" i="3"/>
  <c r="DA43" i="3"/>
  <c r="DB43" i="3"/>
  <c r="DC43" i="3"/>
  <c r="DF43" i="3"/>
  <c r="DJ43" i="3" s="1"/>
  <c r="A44" i="3"/>
  <c r="Y44" i="3"/>
  <c r="CX44" i="3" s="1"/>
  <c r="CY44" i="3"/>
  <c r="CZ44" i="3"/>
  <c r="DA44" i="3"/>
  <c r="DB44" i="3"/>
  <c r="DC44" i="3"/>
  <c r="DF44" i="3"/>
  <c r="DJ44" i="3" s="1"/>
  <c r="A45" i="3"/>
  <c r="Y45" i="3"/>
  <c r="CX45" i="3"/>
  <c r="CY45" i="3"/>
  <c r="CZ45" i="3"/>
  <c r="DA45" i="3"/>
  <c r="DB45" i="3"/>
  <c r="DC45" i="3"/>
  <c r="DF45" i="3"/>
  <c r="DG45" i="3"/>
  <c r="DH45" i="3"/>
  <c r="DI45" i="3"/>
  <c r="DJ45" i="3"/>
  <c r="A46" i="3"/>
  <c r="Y46" i="3"/>
  <c r="CY46" i="3"/>
  <c r="CZ46" i="3"/>
  <c r="DA46" i="3"/>
  <c r="DB46" i="3"/>
  <c r="DC46" i="3"/>
  <c r="A47" i="3"/>
  <c r="Y47" i="3"/>
  <c r="CY47" i="3"/>
  <c r="CZ47" i="3"/>
  <c r="DB47" i="3" s="1"/>
  <c r="DA47" i="3"/>
  <c r="DC47" i="3"/>
  <c r="A48" i="3"/>
  <c r="Y48" i="3"/>
  <c r="CY48" i="3"/>
  <c r="CZ48" i="3"/>
  <c r="DA48" i="3"/>
  <c r="DB48" i="3"/>
  <c r="DC48" i="3"/>
  <c r="A49" i="3"/>
  <c r="Y49" i="3"/>
  <c r="CX49" i="3"/>
  <c r="CY49" i="3"/>
  <c r="CZ49" i="3"/>
  <c r="DB49" i="3" s="1"/>
  <c r="DA49" i="3"/>
  <c r="DC49" i="3"/>
  <c r="A50" i="3"/>
  <c r="Y50" i="3"/>
  <c r="CX50" i="3" s="1"/>
  <c r="CU50" i="3"/>
  <c r="CV50" i="3"/>
  <c r="CY50" i="3"/>
  <c r="CZ50" i="3"/>
  <c r="DA50" i="3"/>
  <c r="DB50" i="3"/>
  <c r="DC50" i="3"/>
  <c r="DI50" i="3"/>
  <c r="S65" i="1" s="1"/>
  <c r="DJ50" i="3"/>
  <c r="A51" i="3"/>
  <c r="Y51" i="3"/>
  <c r="CX51" i="3" s="1"/>
  <c r="CY51" i="3"/>
  <c r="CZ51" i="3"/>
  <c r="DA51" i="3"/>
  <c r="DB51" i="3"/>
  <c r="DC51" i="3"/>
  <c r="DH51" i="3"/>
  <c r="DI51" i="3"/>
  <c r="A52" i="3"/>
  <c r="Y52" i="3"/>
  <c r="CX52" i="3" s="1"/>
  <c r="DF52" i="3" s="1"/>
  <c r="DJ52" i="3" s="1"/>
  <c r="CY52" i="3"/>
  <c r="CZ52" i="3"/>
  <c r="DA52" i="3"/>
  <c r="DB52" i="3"/>
  <c r="DC52" i="3"/>
  <c r="DH52" i="3"/>
  <c r="DI52" i="3"/>
  <c r="A53" i="3"/>
  <c r="Y53" i="3"/>
  <c r="CX53" i="3"/>
  <c r="CY53" i="3"/>
  <c r="CZ53" i="3"/>
  <c r="DA53" i="3"/>
  <c r="DB53" i="3"/>
  <c r="DC53" i="3"/>
  <c r="DF53" i="3"/>
  <c r="DG53" i="3"/>
  <c r="DH53" i="3"/>
  <c r="DI53" i="3"/>
  <c r="DJ53" i="3"/>
  <c r="A54" i="3"/>
  <c r="Y54" i="3"/>
  <c r="CX54" i="3"/>
  <c r="CY54" i="3"/>
  <c r="CZ54" i="3"/>
  <c r="DA54" i="3"/>
  <c r="DB54" i="3"/>
  <c r="DC54" i="3"/>
  <c r="DF54" i="3"/>
  <c r="DJ54" i="3" s="1"/>
  <c r="DG54" i="3"/>
  <c r="DH54" i="3"/>
  <c r="DI54" i="3"/>
  <c r="A55" i="3"/>
  <c r="Y55" i="3"/>
  <c r="CX55" i="3"/>
  <c r="CY55" i="3"/>
  <c r="CZ55" i="3"/>
  <c r="DA55" i="3"/>
  <c r="DB55" i="3"/>
  <c r="DC55" i="3"/>
  <c r="A56" i="3"/>
  <c r="Y56" i="3"/>
  <c r="CX56" i="3"/>
  <c r="CY56" i="3"/>
  <c r="CZ56" i="3"/>
  <c r="DB56" i="3" s="1"/>
  <c r="DA56" i="3"/>
  <c r="DC56" i="3"/>
  <c r="A57" i="3"/>
  <c r="Y57" i="3"/>
  <c r="CY57" i="3"/>
  <c r="CZ57" i="3"/>
  <c r="DB57" i="3" s="1"/>
  <c r="DA57" i="3"/>
  <c r="DC57" i="3"/>
  <c r="A58" i="3"/>
  <c r="Y58" i="3"/>
  <c r="CY58" i="3"/>
  <c r="CZ58" i="3"/>
  <c r="DA58" i="3"/>
  <c r="DB58" i="3"/>
  <c r="DC58" i="3"/>
  <c r="A59" i="3"/>
  <c r="Y59" i="3"/>
  <c r="CY59" i="3"/>
  <c r="CZ59" i="3"/>
  <c r="DA59" i="3"/>
  <c r="DB59" i="3"/>
  <c r="DC59" i="3"/>
  <c r="A60" i="3"/>
  <c r="Y60" i="3"/>
  <c r="CY60" i="3"/>
  <c r="CZ60" i="3"/>
  <c r="DA60" i="3"/>
  <c r="DB60" i="3"/>
  <c r="DC60" i="3"/>
  <c r="A61" i="3"/>
  <c r="Y61" i="3"/>
  <c r="CY61" i="3"/>
  <c r="CZ61" i="3"/>
  <c r="DA61" i="3"/>
  <c r="DB61" i="3"/>
  <c r="DC61" i="3"/>
  <c r="A62" i="3"/>
  <c r="Y62" i="3"/>
  <c r="CY62" i="3"/>
  <c r="CZ62" i="3"/>
  <c r="DA62" i="3"/>
  <c r="DB62" i="3"/>
  <c r="DC62" i="3"/>
  <c r="A63" i="3"/>
  <c r="Y63" i="3"/>
  <c r="CY63" i="3"/>
  <c r="CZ63" i="3"/>
  <c r="DA63" i="3"/>
  <c r="DB63" i="3"/>
  <c r="DC63" i="3"/>
  <c r="A64" i="3"/>
  <c r="Y64" i="3"/>
  <c r="CY64" i="3"/>
  <c r="CZ64" i="3"/>
  <c r="DA64" i="3"/>
  <c r="DB64" i="3"/>
  <c r="DC64" i="3"/>
  <c r="A65" i="3"/>
  <c r="Y65" i="3"/>
  <c r="CX65" i="3"/>
  <c r="CY65" i="3"/>
  <c r="CZ65" i="3"/>
  <c r="DB65" i="3" s="1"/>
  <c r="DA65" i="3"/>
  <c r="DC65" i="3"/>
  <c r="A66" i="3"/>
  <c r="Y66" i="3"/>
  <c r="CY66" i="3"/>
  <c r="CZ66" i="3"/>
  <c r="DB66" i="3" s="1"/>
  <c r="DA66" i="3"/>
  <c r="DC66" i="3"/>
  <c r="A67" i="3"/>
  <c r="Y67" i="3"/>
  <c r="CW67" i="3"/>
  <c r="CX67" i="3"/>
  <c r="CY67" i="3"/>
  <c r="CZ67" i="3"/>
  <c r="DA67" i="3"/>
  <c r="DB67" i="3"/>
  <c r="DC67" i="3"/>
  <c r="A68" i="3"/>
  <c r="Y68" i="3"/>
  <c r="CY68" i="3"/>
  <c r="CZ68" i="3"/>
  <c r="DA68" i="3"/>
  <c r="DB68" i="3"/>
  <c r="DC68" i="3"/>
  <c r="A69" i="3"/>
  <c r="Y69" i="3"/>
  <c r="CY69" i="3"/>
  <c r="CZ69" i="3"/>
  <c r="DA69" i="3"/>
  <c r="DB69" i="3"/>
  <c r="DC69" i="3"/>
  <c r="A70" i="3"/>
  <c r="Y70" i="3"/>
  <c r="CY70" i="3"/>
  <c r="CZ70" i="3"/>
  <c r="DA70" i="3"/>
  <c r="DB70" i="3"/>
  <c r="DC70" i="3"/>
  <c r="A71" i="3"/>
  <c r="Y71" i="3"/>
  <c r="CY71" i="3"/>
  <c r="CZ71" i="3"/>
  <c r="DA71" i="3"/>
  <c r="DB71" i="3"/>
  <c r="DC71" i="3"/>
  <c r="A72" i="3"/>
  <c r="Y72" i="3"/>
  <c r="CY72" i="3"/>
  <c r="CZ72" i="3"/>
  <c r="DA72" i="3"/>
  <c r="DB72" i="3"/>
  <c r="DC72" i="3"/>
  <c r="A73" i="3"/>
  <c r="Y73" i="3"/>
  <c r="CU73" i="3"/>
  <c r="CY73" i="3"/>
  <c r="CZ73" i="3"/>
  <c r="DB73" i="3" s="1"/>
  <c r="DA73" i="3"/>
  <c r="DC73" i="3"/>
  <c r="A74" i="3"/>
  <c r="Y74" i="3"/>
  <c r="CW74" i="3"/>
  <c r="V77" i="1" s="1"/>
  <c r="G292" i="7" s="1"/>
  <c r="CX74" i="3"/>
  <c r="CY74" i="3"/>
  <c r="CZ74" i="3"/>
  <c r="DA74" i="3"/>
  <c r="DB74" i="3"/>
  <c r="DC74" i="3"/>
  <c r="A75" i="3"/>
  <c r="Y75" i="3"/>
  <c r="CX75" i="3"/>
  <c r="CY75" i="3"/>
  <c r="CZ75" i="3"/>
  <c r="DA75" i="3"/>
  <c r="DB75" i="3"/>
  <c r="DC75" i="3"/>
  <c r="A76" i="3"/>
  <c r="Y76" i="3"/>
  <c r="CX76" i="3" s="1"/>
  <c r="CY76" i="3"/>
  <c r="CZ76" i="3"/>
  <c r="DA76" i="3"/>
  <c r="DB76" i="3"/>
  <c r="DC76" i="3"/>
  <c r="A77" i="3"/>
  <c r="Y77" i="3"/>
  <c r="CX77" i="3"/>
  <c r="CY77" i="3"/>
  <c r="CZ77" i="3"/>
  <c r="DA77" i="3"/>
  <c r="DB77" i="3"/>
  <c r="DC77" i="3"/>
  <c r="DF77" i="3"/>
  <c r="DG77" i="3"/>
  <c r="DH77" i="3"/>
  <c r="DI77" i="3"/>
  <c r="DJ77" i="3"/>
  <c r="A78" i="3"/>
  <c r="Y78" i="3"/>
  <c r="CX78" i="3"/>
  <c r="CY78" i="3"/>
  <c r="CZ78" i="3"/>
  <c r="DA78" i="3"/>
  <c r="DB78" i="3"/>
  <c r="DC78" i="3"/>
  <c r="DF78" i="3"/>
  <c r="DJ78" i="3" s="1"/>
  <c r="DG78" i="3"/>
  <c r="DH78" i="3"/>
  <c r="DI78" i="3"/>
  <c r="A79" i="3"/>
  <c r="Y79" i="3"/>
  <c r="CX79" i="3"/>
  <c r="DI79" i="3" s="1"/>
  <c r="CY79" i="3"/>
  <c r="CZ79" i="3"/>
  <c r="DA79" i="3"/>
  <c r="DB79" i="3"/>
  <c r="DC79" i="3"/>
  <c r="DF79" i="3"/>
  <c r="DJ79" i="3" s="1"/>
  <c r="DG79" i="3"/>
  <c r="DH79" i="3"/>
  <c r="A80" i="3"/>
  <c r="Y80" i="3"/>
  <c r="CX80" i="3"/>
  <c r="DH80" i="3" s="1"/>
  <c r="CY80" i="3"/>
  <c r="CZ80" i="3"/>
  <c r="DA80" i="3"/>
  <c r="DB80" i="3"/>
  <c r="DC80" i="3"/>
  <c r="DF80" i="3"/>
  <c r="DJ80" i="3" s="1"/>
  <c r="DG80" i="3"/>
  <c r="A81" i="3"/>
  <c r="Y81" i="3"/>
  <c r="CX81" i="3"/>
  <c r="CY81" i="3"/>
  <c r="CZ81" i="3"/>
  <c r="DB81" i="3" s="1"/>
  <c r="DA81" i="3"/>
  <c r="DC81" i="3"/>
  <c r="A82" i="3"/>
  <c r="Y82" i="3"/>
  <c r="CX82" i="3"/>
  <c r="CY82" i="3"/>
  <c r="CZ82" i="3"/>
  <c r="DA82" i="3"/>
  <c r="DB82" i="3"/>
  <c r="DC82" i="3"/>
  <c r="A83" i="3"/>
  <c r="Y83" i="3"/>
  <c r="CX83" i="3"/>
  <c r="CY83" i="3"/>
  <c r="CZ83" i="3"/>
  <c r="DA83" i="3"/>
  <c r="DB83" i="3"/>
  <c r="DC83" i="3"/>
  <c r="DI83" i="3"/>
  <c r="A84" i="3"/>
  <c r="Y84" i="3"/>
  <c r="CX84" i="3"/>
  <c r="CY84" i="3"/>
  <c r="CZ84" i="3"/>
  <c r="DB84" i="3" s="1"/>
  <c r="DA84" i="3"/>
  <c r="DC84" i="3"/>
  <c r="DH84" i="3"/>
  <c r="DI84" i="3"/>
  <c r="A85" i="3"/>
  <c r="Y85" i="3"/>
  <c r="CX85" i="3"/>
  <c r="CY85" i="3"/>
  <c r="CZ85" i="3"/>
  <c r="DB85" i="3" s="1"/>
  <c r="DA85" i="3"/>
  <c r="DC85" i="3"/>
  <c r="DG85" i="3"/>
  <c r="A86" i="3"/>
  <c r="Y86" i="3"/>
  <c r="CX86" i="3"/>
  <c r="CY86" i="3"/>
  <c r="CZ86" i="3"/>
  <c r="DA86" i="3"/>
  <c r="DB86" i="3"/>
  <c r="DC86" i="3"/>
  <c r="A87" i="3"/>
  <c r="Y87" i="3"/>
  <c r="CX87" i="3"/>
  <c r="CY87" i="3"/>
  <c r="CZ87" i="3"/>
  <c r="DA87" i="3"/>
  <c r="DB87" i="3"/>
  <c r="DC87" i="3"/>
  <c r="A88" i="3"/>
  <c r="Y88" i="3"/>
  <c r="CY88" i="3"/>
  <c r="CZ88" i="3"/>
  <c r="DA88" i="3"/>
  <c r="DB88" i="3"/>
  <c r="DC88" i="3"/>
  <c r="A89" i="3"/>
  <c r="Y89" i="3"/>
  <c r="CY89" i="3"/>
  <c r="CZ89" i="3"/>
  <c r="DA89" i="3"/>
  <c r="DB89" i="3"/>
  <c r="DC89" i="3"/>
  <c r="A90" i="3"/>
  <c r="Y90" i="3"/>
  <c r="CY90" i="3"/>
  <c r="CZ90" i="3"/>
  <c r="DA90" i="3"/>
  <c r="DB90" i="3"/>
  <c r="DC90" i="3"/>
  <c r="A91" i="3"/>
  <c r="Y91" i="3"/>
  <c r="CY91" i="3"/>
  <c r="CZ91" i="3"/>
  <c r="DB91" i="3" s="1"/>
  <c r="DA91" i="3"/>
  <c r="DC91" i="3"/>
  <c r="A92" i="3"/>
  <c r="Y92" i="3"/>
  <c r="CY92" i="3"/>
  <c r="CZ92" i="3"/>
  <c r="DB92" i="3" s="1"/>
  <c r="DA92" i="3"/>
  <c r="DC92" i="3"/>
  <c r="A93" i="3"/>
  <c r="Y93" i="3"/>
  <c r="CY93" i="3"/>
  <c r="CZ93" i="3"/>
  <c r="DA93" i="3"/>
  <c r="DB93" i="3"/>
  <c r="DC93" i="3"/>
  <c r="A94" i="3"/>
  <c r="Y94" i="3"/>
  <c r="CY94" i="3"/>
  <c r="CZ94" i="3"/>
  <c r="DA94" i="3"/>
  <c r="DB94" i="3"/>
  <c r="DC94" i="3"/>
  <c r="A95" i="3"/>
  <c r="Y95" i="3"/>
  <c r="CY95" i="3"/>
  <c r="CZ95" i="3"/>
  <c r="DA95" i="3"/>
  <c r="DB95" i="3"/>
  <c r="DC95" i="3"/>
  <c r="A96" i="3"/>
  <c r="Y96" i="3"/>
  <c r="CY96" i="3"/>
  <c r="CZ96" i="3"/>
  <c r="DA96" i="3"/>
  <c r="DB96" i="3"/>
  <c r="DC96" i="3"/>
  <c r="A97" i="3"/>
  <c r="Y97" i="3"/>
  <c r="CY97" i="3"/>
  <c r="CZ97" i="3"/>
  <c r="DA97" i="3"/>
  <c r="DB97" i="3"/>
  <c r="DC97" i="3"/>
  <c r="A98" i="3"/>
  <c r="Y98" i="3"/>
  <c r="CY98" i="3"/>
  <c r="CZ98" i="3"/>
  <c r="DA98" i="3"/>
  <c r="DB98" i="3"/>
  <c r="DC98" i="3"/>
  <c r="A99" i="3"/>
  <c r="Y99" i="3"/>
  <c r="CY99" i="3"/>
  <c r="CZ99" i="3"/>
  <c r="DB99" i="3" s="1"/>
  <c r="DA99" i="3"/>
  <c r="DC99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G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D24" i="1"/>
  <c r="C26" i="1"/>
  <c r="E26" i="1"/>
  <c r="G26" i="1"/>
  <c r="Z26" i="1"/>
  <c r="AA26" i="1"/>
  <c r="AM26" i="1"/>
  <c r="AN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C28" i="1"/>
  <c r="D28" i="1"/>
  <c r="I28" i="1"/>
  <c r="CW5" i="3" s="1"/>
  <c r="V28" i="1" s="1"/>
  <c r="G69" i="7" s="1"/>
  <c r="K28" i="1"/>
  <c r="AC28" i="1"/>
  <c r="AE28" i="1"/>
  <c r="AD28" i="1" s="1"/>
  <c r="AF28" i="1"/>
  <c r="AG28" i="1"/>
  <c r="CU28" i="1" s="1"/>
  <c r="T28" i="1" s="1"/>
  <c r="AH28" i="1"/>
  <c r="AI28" i="1"/>
  <c r="AJ28" i="1"/>
  <c r="CQ28" i="1"/>
  <c r="CR28" i="1"/>
  <c r="CS28" i="1"/>
  <c r="CT28" i="1"/>
  <c r="CV28" i="1"/>
  <c r="CW28" i="1"/>
  <c r="CX28" i="1"/>
  <c r="W28" i="1" s="1"/>
  <c r="GL28" i="1"/>
  <c r="GN28" i="1"/>
  <c r="GP28" i="1"/>
  <c r="GV28" i="1"/>
  <c r="HC28" i="1"/>
  <c r="GX28" i="1" s="1"/>
  <c r="I29" i="1"/>
  <c r="Q29" i="1"/>
  <c r="R29" i="1"/>
  <c r="T29" i="1"/>
  <c r="U29" i="1"/>
  <c r="W29" i="1"/>
  <c r="AC29" i="1"/>
  <c r="AE29" i="1"/>
  <c r="AD29" i="1" s="1"/>
  <c r="AF29" i="1"/>
  <c r="AG29" i="1"/>
  <c r="AH29" i="1"/>
  <c r="AI29" i="1"/>
  <c r="AJ29" i="1"/>
  <c r="CP29" i="1"/>
  <c r="CQ29" i="1"/>
  <c r="CR29" i="1"/>
  <c r="CS29" i="1"/>
  <c r="CT29" i="1"/>
  <c r="S29" i="1" s="1"/>
  <c r="CU29" i="1"/>
  <c r="CV29" i="1"/>
  <c r="CW29" i="1"/>
  <c r="V29" i="1" s="1"/>
  <c r="CX29" i="1"/>
  <c r="CY29" i="1"/>
  <c r="X29" i="1" s="1"/>
  <c r="CZ29" i="1"/>
  <c r="Y29" i="1" s="1"/>
  <c r="GL29" i="1"/>
  <c r="GN29" i="1"/>
  <c r="GP29" i="1"/>
  <c r="GV29" i="1"/>
  <c r="HC29" i="1"/>
  <c r="GX29" i="1" s="1"/>
  <c r="Q30" i="1"/>
  <c r="R30" i="1"/>
  <c r="T30" i="1"/>
  <c r="AC30" i="1"/>
  <c r="AB30" i="1" s="1"/>
  <c r="AE30" i="1"/>
  <c r="AD30" i="1" s="1"/>
  <c r="AF30" i="1"/>
  <c r="AG30" i="1"/>
  <c r="CU30" i="1" s="1"/>
  <c r="AH30" i="1"/>
  <c r="AI30" i="1"/>
  <c r="CW30" i="1" s="1"/>
  <c r="V30" i="1" s="1"/>
  <c r="AJ30" i="1"/>
  <c r="CX30" i="1" s="1"/>
  <c r="W30" i="1" s="1"/>
  <c r="CQ30" i="1"/>
  <c r="P30" i="1" s="1"/>
  <c r="CR30" i="1"/>
  <c r="CS30" i="1"/>
  <c r="CT30" i="1"/>
  <c r="S30" i="1" s="1"/>
  <c r="CV30" i="1"/>
  <c r="U30" i="1" s="1"/>
  <c r="CY30" i="1"/>
  <c r="X30" i="1" s="1"/>
  <c r="CZ30" i="1"/>
  <c r="Y30" i="1" s="1"/>
  <c r="GL30" i="1"/>
  <c r="GO30" i="1"/>
  <c r="GP30" i="1"/>
  <c r="GV30" i="1"/>
  <c r="HC30" i="1"/>
  <c r="GX30" i="1" s="1"/>
  <c r="I31" i="1"/>
  <c r="K31" i="1"/>
  <c r="Y31" i="1"/>
  <c r="AC31" i="1"/>
  <c r="AE31" i="1"/>
  <c r="AD31" i="1" s="1"/>
  <c r="AF31" i="1"/>
  <c r="AG31" i="1"/>
  <c r="AH31" i="1"/>
  <c r="AI31" i="1"/>
  <c r="AJ31" i="1"/>
  <c r="CQ31" i="1"/>
  <c r="CR31" i="1"/>
  <c r="CS31" i="1"/>
  <c r="R31" i="1" s="1"/>
  <c r="CT31" i="1"/>
  <c r="S31" i="1" s="1"/>
  <c r="CU31" i="1"/>
  <c r="T31" i="1" s="1"/>
  <c r="CV31" i="1"/>
  <c r="U31" i="1" s="1"/>
  <c r="CW31" i="1"/>
  <c r="V31" i="1" s="1"/>
  <c r="CX31" i="1"/>
  <c r="W31" i="1" s="1"/>
  <c r="CY31" i="1"/>
  <c r="X31" i="1" s="1"/>
  <c r="CZ31" i="1"/>
  <c r="GL31" i="1"/>
  <c r="GO31" i="1"/>
  <c r="GP31" i="1"/>
  <c r="GV31" i="1"/>
  <c r="HC31" i="1"/>
  <c r="GX31" i="1" s="1"/>
  <c r="C32" i="1"/>
  <c r="D32" i="1"/>
  <c r="I32" i="1"/>
  <c r="K32" i="1"/>
  <c r="AC32" i="1"/>
  <c r="AE32" i="1"/>
  <c r="AD32" i="1" s="1"/>
  <c r="AF32" i="1"/>
  <c r="AG32" i="1"/>
  <c r="CU32" i="1" s="1"/>
  <c r="AH32" i="1"/>
  <c r="AI32" i="1"/>
  <c r="AJ32" i="1"/>
  <c r="CX32" i="1" s="1"/>
  <c r="CQ32" i="1"/>
  <c r="CR32" i="1"/>
  <c r="CS32" i="1"/>
  <c r="CT32" i="1"/>
  <c r="CV32" i="1"/>
  <c r="CW32" i="1"/>
  <c r="GL32" i="1"/>
  <c r="GN32" i="1"/>
  <c r="GP32" i="1"/>
  <c r="GV32" i="1"/>
  <c r="HC32" i="1"/>
  <c r="I33" i="1"/>
  <c r="S33" i="1"/>
  <c r="T33" i="1"/>
  <c r="U33" i="1"/>
  <c r="V33" i="1"/>
  <c r="W33" i="1"/>
  <c r="X33" i="1"/>
  <c r="Y33" i="1"/>
  <c r="AB33" i="1"/>
  <c r="AC33" i="1"/>
  <c r="AE33" i="1"/>
  <c r="AD33" i="1" s="1"/>
  <c r="AF33" i="1"/>
  <c r="AG33" i="1"/>
  <c r="AH33" i="1"/>
  <c r="AI33" i="1"/>
  <c r="AJ33" i="1"/>
  <c r="CP33" i="1"/>
  <c r="CQ33" i="1"/>
  <c r="CR33" i="1"/>
  <c r="Q33" i="1" s="1"/>
  <c r="CS33" i="1"/>
  <c r="R33" i="1" s="1"/>
  <c r="CT33" i="1"/>
  <c r="CU33" i="1"/>
  <c r="CV33" i="1"/>
  <c r="CW33" i="1"/>
  <c r="CX33" i="1"/>
  <c r="CY33" i="1"/>
  <c r="CZ33" i="1"/>
  <c r="GL33" i="1"/>
  <c r="GN33" i="1"/>
  <c r="GP33" i="1"/>
  <c r="GV33" i="1"/>
  <c r="HC33" i="1"/>
  <c r="I34" i="1"/>
  <c r="K34" i="1"/>
  <c r="P34" i="1"/>
  <c r="Q34" i="1"/>
  <c r="AC34" i="1"/>
  <c r="AB34" i="1" s="1"/>
  <c r="AE34" i="1"/>
  <c r="AD34" i="1" s="1"/>
  <c r="AF34" i="1"/>
  <c r="AG34" i="1"/>
  <c r="AH34" i="1"/>
  <c r="CV34" i="1" s="1"/>
  <c r="U34" i="1" s="1"/>
  <c r="AI34" i="1"/>
  <c r="CW34" i="1" s="1"/>
  <c r="V34" i="1" s="1"/>
  <c r="AJ34" i="1"/>
  <c r="CQ34" i="1"/>
  <c r="CR34" i="1"/>
  <c r="CS34" i="1"/>
  <c r="R34" i="1" s="1"/>
  <c r="CT34" i="1"/>
  <c r="S34" i="1" s="1"/>
  <c r="CU34" i="1"/>
  <c r="T34" i="1" s="1"/>
  <c r="CX34" i="1"/>
  <c r="W34" i="1" s="1"/>
  <c r="CY34" i="1"/>
  <c r="X34" i="1" s="1"/>
  <c r="CZ34" i="1"/>
  <c r="Y34" i="1" s="1"/>
  <c r="GL34" i="1"/>
  <c r="GN34" i="1"/>
  <c r="GP34" i="1"/>
  <c r="GV34" i="1"/>
  <c r="HC34" i="1"/>
  <c r="GX34" i="1" s="1"/>
  <c r="I35" i="1"/>
  <c r="U35" i="1" s="1"/>
  <c r="K35" i="1"/>
  <c r="V35" i="1"/>
  <c r="W35" i="1"/>
  <c r="X35" i="1"/>
  <c r="Y35" i="1"/>
  <c r="AC35" i="1"/>
  <c r="AB35" i="1" s="1"/>
  <c r="AD35" i="1"/>
  <c r="AE35" i="1"/>
  <c r="AF35" i="1"/>
  <c r="AG35" i="1"/>
  <c r="AH35" i="1"/>
  <c r="CV35" i="1" s="1"/>
  <c r="AI35" i="1"/>
  <c r="CW35" i="1" s="1"/>
  <c r="AJ35" i="1"/>
  <c r="CX35" i="1" s="1"/>
  <c r="CQ35" i="1"/>
  <c r="P35" i="1" s="1"/>
  <c r="CP35" i="1" s="1"/>
  <c r="O35" i="1" s="1"/>
  <c r="GM35" i="1" s="1"/>
  <c r="GO35" i="1" s="1"/>
  <c r="CR35" i="1"/>
  <c r="Q35" i="1" s="1"/>
  <c r="CS35" i="1"/>
  <c r="R35" i="1" s="1"/>
  <c r="CT35" i="1"/>
  <c r="S35" i="1" s="1"/>
  <c r="CU35" i="1"/>
  <c r="T35" i="1" s="1"/>
  <c r="CY35" i="1"/>
  <c r="CZ35" i="1"/>
  <c r="GL35" i="1"/>
  <c r="GN35" i="1"/>
  <c r="GP35" i="1"/>
  <c r="GV35" i="1"/>
  <c r="HC35" i="1" s="1"/>
  <c r="GX35" i="1"/>
  <c r="I36" i="1"/>
  <c r="K36" i="1"/>
  <c r="P36" i="1"/>
  <c r="Q36" i="1"/>
  <c r="R36" i="1"/>
  <c r="S36" i="1"/>
  <c r="AC36" i="1"/>
  <c r="AE36" i="1"/>
  <c r="AD36" i="1" s="1"/>
  <c r="AF36" i="1"/>
  <c r="AG36" i="1"/>
  <c r="CU36" i="1" s="1"/>
  <c r="T36" i="1" s="1"/>
  <c r="AH36" i="1"/>
  <c r="CV36" i="1" s="1"/>
  <c r="U36" i="1" s="1"/>
  <c r="AI36" i="1"/>
  <c r="AJ36" i="1"/>
  <c r="CQ36" i="1"/>
  <c r="CR36" i="1"/>
  <c r="CS36" i="1"/>
  <c r="CT36" i="1"/>
  <c r="CW36" i="1"/>
  <c r="V36" i="1" s="1"/>
  <c r="CX36" i="1"/>
  <c r="W36" i="1" s="1"/>
  <c r="CY36" i="1"/>
  <c r="X36" i="1" s="1"/>
  <c r="CZ36" i="1"/>
  <c r="Y36" i="1" s="1"/>
  <c r="GL36" i="1"/>
  <c r="GN36" i="1"/>
  <c r="GP36" i="1"/>
  <c r="GV36" i="1"/>
  <c r="HC36" i="1"/>
  <c r="GX36" i="1" s="1"/>
  <c r="I37" i="1"/>
  <c r="W37" i="1" s="1"/>
  <c r="K37" i="1"/>
  <c r="P37" i="1"/>
  <c r="X37" i="1"/>
  <c r="Y37" i="1"/>
  <c r="AC37" i="1"/>
  <c r="AB37" i="1" s="1"/>
  <c r="AE37" i="1"/>
  <c r="AD37" i="1" s="1"/>
  <c r="AF37" i="1"/>
  <c r="AG37" i="1"/>
  <c r="AH37" i="1"/>
  <c r="AI37" i="1"/>
  <c r="AJ37" i="1"/>
  <c r="CX37" i="1" s="1"/>
  <c r="CQ37" i="1"/>
  <c r="CR37" i="1"/>
  <c r="Q37" i="1" s="1"/>
  <c r="CS37" i="1"/>
  <c r="R37" i="1" s="1"/>
  <c r="CT37" i="1"/>
  <c r="S37" i="1" s="1"/>
  <c r="CU37" i="1"/>
  <c r="T37" i="1" s="1"/>
  <c r="CV37" i="1"/>
  <c r="CW37" i="1"/>
  <c r="CY37" i="1"/>
  <c r="CZ37" i="1"/>
  <c r="GL37" i="1"/>
  <c r="GN37" i="1"/>
  <c r="GP37" i="1"/>
  <c r="GV37" i="1"/>
  <c r="HC37" i="1"/>
  <c r="GX37" i="1" s="1"/>
  <c r="I38" i="1"/>
  <c r="K38" i="1"/>
  <c r="AC38" i="1"/>
  <c r="AE38" i="1"/>
  <c r="AD38" i="1" s="1"/>
  <c r="AF38" i="1"/>
  <c r="AG38" i="1"/>
  <c r="CU38" i="1" s="1"/>
  <c r="T38" i="1" s="1"/>
  <c r="AH38" i="1"/>
  <c r="CV38" i="1" s="1"/>
  <c r="U38" i="1" s="1"/>
  <c r="AI38" i="1"/>
  <c r="CW38" i="1" s="1"/>
  <c r="V38" i="1" s="1"/>
  <c r="AJ38" i="1"/>
  <c r="CQ38" i="1"/>
  <c r="CR38" i="1"/>
  <c r="CS38" i="1"/>
  <c r="CT38" i="1"/>
  <c r="CX38" i="1"/>
  <c r="CY38" i="1"/>
  <c r="X38" i="1" s="1"/>
  <c r="CZ38" i="1"/>
  <c r="Y38" i="1" s="1"/>
  <c r="GL38" i="1"/>
  <c r="GN38" i="1"/>
  <c r="GP38" i="1"/>
  <c r="GV38" i="1"/>
  <c r="HC38" i="1"/>
  <c r="I39" i="1"/>
  <c r="K39" i="1"/>
  <c r="P39" i="1"/>
  <c r="Q39" i="1"/>
  <c r="R39" i="1"/>
  <c r="S39" i="1"/>
  <c r="Y39" i="1"/>
  <c r="AC39" i="1"/>
  <c r="AE39" i="1"/>
  <c r="AD39" i="1" s="1"/>
  <c r="AF39" i="1"/>
  <c r="AG39" i="1"/>
  <c r="CU39" i="1" s="1"/>
  <c r="T39" i="1" s="1"/>
  <c r="AH39" i="1"/>
  <c r="AI39" i="1"/>
  <c r="AJ39" i="1"/>
  <c r="CQ39" i="1"/>
  <c r="CR39" i="1"/>
  <c r="CS39" i="1"/>
  <c r="CT39" i="1"/>
  <c r="CV39" i="1"/>
  <c r="U39" i="1" s="1"/>
  <c r="CW39" i="1"/>
  <c r="V39" i="1" s="1"/>
  <c r="CX39" i="1"/>
  <c r="W39" i="1" s="1"/>
  <c r="CY39" i="1"/>
  <c r="X39" i="1" s="1"/>
  <c r="CZ39" i="1"/>
  <c r="GL39" i="1"/>
  <c r="GN39" i="1"/>
  <c r="GP39" i="1"/>
  <c r="GV39" i="1"/>
  <c r="HC39" i="1"/>
  <c r="GX39" i="1" s="1"/>
  <c r="C40" i="1"/>
  <c r="D40" i="1"/>
  <c r="T40" i="1"/>
  <c r="U40" i="1"/>
  <c r="AC40" i="1"/>
  <c r="AE40" i="1"/>
  <c r="AD40" i="1" s="1"/>
  <c r="AF40" i="1"/>
  <c r="AG40" i="1"/>
  <c r="CU40" i="1" s="1"/>
  <c r="AH40" i="1"/>
  <c r="AI40" i="1"/>
  <c r="AJ40" i="1"/>
  <c r="CX40" i="1" s="1"/>
  <c r="W40" i="1" s="1"/>
  <c r="CQ40" i="1"/>
  <c r="CR40" i="1"/>
  <c r="CS40" i="1"/>
  <c r="CT40" i="1"/>
  <c r="CV40" i="1"/>
  <c r="CW40" i="1"/>
  <c r="GL40" i="1"/>
  <c r="GN40" i="1"/>
  <c r="GP40" i="1"/>
  <c r="GV40" i="1"/>
  <c r="HC40" i="1" s="1"/>
  <c r="GX40" i="1" s="1"/>
  <c r="I41" i="1"/>
  <c r="P41" i="1"/>
  <c r="O41" i="1" s="1"/>
  <c r="Q41" i="1"/>
  <c r="R41" i="1"/>
  <c r="S41" i="1"/>
  <c r="T41" i="1"/>
  <c r="U41" i="1"/>
  <c r="V41" i="1"/>
  <c r="W41" i="1"/>
  <c r="AC41" i="1"/>
  <c r="AE41" i="1"/>
  <c r="AD41" i="1" s="1"/>
  <c r="AF41" i="1"/>
  <c r="AG41" i="1"/>
  <c r="AH41" i="1"/>
  <c r="AI41" i="1"/>
  <c r="AJ41" i="1"/>
  <c r="CP41" i="1"/>
  <c r="CQ41" i="1"/>
  <c r="CR41" i="1"/>
  <c r="CS41" i="1"/>
  <c r="CT41" i="1"/>
  <c r="CU41" i="1"/>
  <c r="CV41" i="1"/>
  <c r="CW41" i="1"/>
  <c r="CX41" i="1"/>
  <c r="CY41" i="1"/>
  <c r="X41" i="1" s="1"/>
  <c r="CZ41" i="1"/>
  <c r="Y41" i="1" s="1"/>
  <c r="GL41" i="1"/>
  <c r="GN41" i="1"/>
  <c r="GP41" i="1"/>
  <c r="GV41" i="1"/>
  <c r="GX41" i="1"/>
  <c r="HC41" i="1"/>
  <c r="C42" i="1"/>
  <c r="D42" i="1"/>
  <c r="I42" i="1"/>
  <c r="CW26" i="3" s="1"/>
  <c r="K42" i="1"/>
  <c r="W42" i="1"/>
  <c r="AC42" i="1"/>
  <c r="AE42" i="1"/>
  <c r="AD42" i="1" s="1"/>
  <c r="AF42" i="1"/>
  <c r="AG42" i="1"/>
  <c r="AH42" i="1"/>
  <c r="AI42" i="1"/>
  <c r="AJ42" i="1"/>
  <c r="CX42" i="1" s="1"/>
  <c r="CQ42" i="1"/>
  <c r="CR42" i="1"/>
  <c r="CS42" i="1"/>
  <c r="CT42" i="1"/>
  <c r="CU42" i="1"/>
  <c r="CV42" i="1"/>
  <c r="CW42" i="1"/>
  <c r="GL42" i="1"/>
  <c r="GN42" i="1"/>
  <c r="GP42" i="1"/>
  <c r="GV42" i="1"/>
  <c r="HC42" i="1" s="1"/>
  <c r="GX42" i="1"/>
  <c r="I43" i="1"/>
  <c r="Q43" i="1"/>
  <c r="R43" i="1"/>
  <c r="S43" i="1"/>
  <c r="T43" i="1"/>
  <c r="V43" i="1"/>
  <c r="X43" i="1"/>
  <c r="AC43" i="1"/>
  <c r="AE43" i="1"/>
  <c r="AD43" i="1" s="1"/>
  <c r="AF43" i="1"/>
  <c r="AG43" i="1"/>
  <c r="AH43" i="1"/>
  <c r="AI43" i="1"/>
  <c r="AJ43" i="1"/>
  <c r="CP43" i="1"/>
  <c r="CQ43" i="1"/>
  <c r="CR43" i="1"/>
  <c r="CS43" i="1"/>
  <c r="CT43" i="1"/>
  <c r="CU43" i="1"/>
  <c r="CV43" i="1"/>
  <c r="U43" i="1" s="1"/>
  <c r="CW43" i="1"/>
  <c r="CX43" i="1"/>
  <c r="W43" i="1" s="1"/>
  <c r="CY43" i="1"/>
  <c r="CZ43" i="1"/>
  <c r="Y43" i="1" s="1"/>
  <c r="GL43" i="1"/>
  <c r="GN43" i="1"/>
  <c r="GP43" i="1"/>
  <c r="GV43" i="1"/>
  <c r="HC43" i="1"/>
  <c r="GX43" i="1" s="1"/>
  <c r="P44" i="1"/>
  <c r="Q44" i="1"/>
  <c r="R44" i="1"/>
  <c r="AC44" i="1"/>
  <c r="AE44" i="1"/>
  <c r="AD44" i="1" s="1"/>
  <c r="AF44" i="1"/>
  <c r="AG44" i="1"/>
  <c r="AH44" i="1"/>
  <c r="CV44" i="1" s="1"/>
  <c r="U44" i="1" s="1"/>
  <c r="AI44" i="1"/>
  <c r="CW44" i="1" s="1"/>
  <c r="V44" i="1" s="1"/>
  <c r="AJ44" i="1"/>
  <c r="CQ44" i="1"/>
  <c r="CR44" i="1"/>
  <c r="CS44" i="1"/>
  <c r="CT44" i="1"/>
  <c r="S44" i="1" s="1"/>
  <c r="CU44" i="1"/>
  <c r="T44" i="1" s="1"/>
  <c r="CX44" i="1"/>
  <c r="W44" i="1" s="1"/>
  <c r="GL44" i="1"/>
  <c r="GO44" i="1"/>
  <c r="GP44" i="1"/>
  <c r="GV44" i="1"/>
  <c r="HC44" i="1"/>
  <c r="GX44" i="1" s="1"/>
  <c r="P45" i="1"/>
  <c r="W45" i="1"/>
  <c r="AC45" i="1"/>
  <c r="AE45" i="1"/>
  <c r="AD45" i="1" s="1"/>
  <c r="AB45" i="1" s="1"/>
  <c r="AF45" i="1"/>
  <c r="AG45" i="1"/>
  <c r="AH45" i="1"/>
  <c r="AI45" i="1"/>
  <c r="AJ45" i="1"/>
  <c r="CX45" i="1" s="1"/>
  <c r="CQ45" i="1"/>
  <c r="CR45" i="1"/>
  <c r="Q45" i="1" s="1"/>
  <c r="CS45" i="1"/>
  <c r="R45" i="1" s="1"/>
  <c r="CT45" i="1"/>
  <c r="S45" i="1" s="1"/>
  <c r="CU45" i="1"/>
  <c r="T45" i="1" s="1"/>
  <c r="CV45" i="1"/>
  <c r="U45" i="1" s="1"/>
  <c r="CW45" i="1"/>
  <c r="V45" i="1" s="1"/>
  <c r="GL45" i="1"/>
  <c r="GO45" i="1"/>
  <c r="GP45" i="1"/>
  <c r="GV45" i="1"/>
  <c r="HC45" i="1"/>
  <c r="GX45" i="1" s="1"/>
  <c r="T46" i="1"/>
  <c r="U46" i="1"/>
  <c r="V46" i="1"/>
  <c r="W46" i="1"/>
  <c r="AB46" i="1"/>
  <c r="AC46" i="1"/>
  <c r="AE46" i="1"/>
  <c r="AD46" i="1" s="1"/>
  <c r="AF46" i="1"/>
  <c r="AG46" i="1"/>
  <c r="CU46" i="1" s="1"/>
  <c r="AH46" i="1"/>
  <c r="CV46" i="1" s="1"/>
  <c r="AI46" i="1"/>
  <c r="CW46" i="1" s="1"/>
  <c r="AJ46" i="1"/>
  <c r="CQ46" i="1"/>
  <c r="P46" i="1" s="1"/>
  <c r="CP46" i="1" s="1"/>
  <c r="O46" i="1" s="1"/>
  <c r="CR46" i="1"/>
  <c r="Q46" i="1" s="1"/>
  <c r="CS46" i="1"/>
  <c r="R46" i="1" s="1"/>
  <c r="CT46" i="1"/>
  <c r="S46" i="1" s="1"/>
  <c r="CX46" i="1"/>
  <c r="GL46" i="1"/>
  <c r="GO46" i="1"/>
  <c r="GP46" i="1"/>
  <c r="GV46" i="1"/>
  <c r="HC46" i="1" s="1"/>
  <c r="GX46" i="1" s="1"/>
  <c r="P47" i="1"/>
  <c r="Q47" i="1"/>
  <c r="CP47" i="1" s="1"/>
  <c r="O47" i="1" s="1"/>
  <c r="GM47" i="1" s="1"/>
  <c r="GN47" i="1" s="1"/>
  <c r="R47" i="1"/>
  <c r="S47" i="1"/>
  <c r="AC47" i="1"/>
  <c r="AE47" i="1"/>
  <c r="AD47" i="1" s="1"/>
  <c r="AF47" i="1"/>
  <c r="AG47" i="1"/>
  <c r="CU47" i="1" s="1"/>
  <c r="T47" i="1" s="1"/>
  <c r="AH47" i="1"/>
  <c r="CV47" i="1" s="1"/>
  <c r="U47" i="1" s="1"/>
  <c r="AI47" i="1"/>
  <c r="CW47" i="1" s="1"/>
  <c r="V47" i="1" s="1"/>
  <c r="AJ47" i="1"/>
  <c r="CX47" i="1" s="1"/>
  <c r="W47" i="1" s="1"/>
  <c r="CQ47" i="1"/>
  <c r="CR47" i="1"/>
  <c r="CS47" i="1"/>
  <c r="CT47" i="1"/>
  <c r="CY47" i="1"/>
  <c r="X47" i="1" s="1"/>
  <c r="CZ47" i="1"/>
  <c r="Y47" i="1" s="1"/>
  <c r="GL47" i="1"/>
  <c r="GO47" i="1"/>
  <c r="GP47" i="1"/>
  <c r="GV47" i="1"/>
  <c r="HC47" i="1"/>
  <c r="GX47" i="1" s="1"/>
  <c r="I48" i="1"/>
  <c r="K48" i="1"/>
  <c r="P48" i="1"/>
  <c r="Q48" i="1"/>
  <c r="X48" i="1"/>
  <c r="Y48" i="1"/>
  <c r="AB48" i="1"/>
  <c r="AC48" i="1"/>
  <c r="AE48" i="1"/>
  <c r="AD48" i="1" s="1"/>
  <c r="AF48" i="1"/>
  <c r="AG48" i="1"/>
  <c r="CU48" i="1" s="1"/>
  <c r="T48" i="1" s="1"/>
  <c r="AH48" i="1"/>
  <c r="AI48" i="1"/>
  <c r="AJ48" i="1"/>
  <c r="CQ48" i="1"/>
  <c r="CR48" i="1"/>
  <c r="CS48" i="1"/>
  <c r="R48" i="1" s="1"/>
  <c r="CT48" i="1"/>
  <c r="S48" i="1" s="1"/>
  <c r="CV48" i="1"/>
  <c r="CW48" i="1"/>
  <c r="V48" i="1" s="1"/>
  <c r="CX48" i="1"/>
  <c r="W48" i="1" s="1"/>
  <c r="CY48" i="1"/>
  <c r="CZ48" i="1"/>
  <c r="GL48" i="1"/>
  <c r="GN48" i="1"/>
  <c r="GP48" i="1"/>
  <c r="GV48" i="1"/>
  <c r="HC48" i="1"/>
  <c r="GX48" i="1" s="1"/>
  <c r="C49" i="1"/>
  <c r="D49" i="1"/>
  <c r="I49" i="1"/>
  <c r="CX39" i="3" s="1"/>
  <c r="K49" i="1"/>
  <c r="W49" i="1"/>
  <c r="AC49" i="1"/>
  <c r="AE49" i="1"/>
  <c r="AD49" i="1" s="1"/>
  <c r="AF49" i="1"/>
  <c r="AG49" i="1"/>
  <c r="AH49" i="1"/>
  <c r="AI49" i="1"/>
  <c r="AJ49" i="1"/>
  <c r="CX49" i="1" s="1"/>
  <c r="CQ49" i="1"/>
  <c r="CR49" i="1"/>
  <c r="CS49" i="1"/>
  <c r="CT49" i="1"/>
  <c r="CU49" i="1"/>
  <c r="T49" i="1" s="1"/>
  <c r="CV49" i="1"/>
  <c r="CW49" i="1"/>
  <c r="GL49" i="1"/>
  <c r="GN49" i="1"/>
  <c r="GP49" i="1"/>
  <c r="GV49" i="1"/>
  <c r="HC49" i="1"/>
  <c r="GX49" i="1" s="1"/>
  <c r="I50" i="1"/>
  <c r="R50" i="1"/>
  <c r="T50" i="1"/>
  <c r="W50" i="1"/>
  <c r="Y50" i="1"/>
  <c r="AC50" i="1"/>
  <c r="AB50" i="1" s="1"/>
  <c r="AE50" i="1"/>
  <c r="AD50" i="1" s="1"/>
  <c r="AF50" i="1"/>
  <c r="AG50" i="1"/>
  <c r="AH50" i="1"/>
  <c r="AI50" i="1"/>
  <c r="AJ50" i="1"/>
  <c r="CP50" i="1"/>
  <c r="CQ50" i="1"/>
  <c r="CR50" i="1"/>
  <c r="Q50" i="1" s="1"/>
  <c r="CS50" i="1"/>
  <c r="CT50" i="1"/>
  <c r="S50" i="1" s="1"/>
  <c r="CU50" i="1"/>
  <c r="CV50" i="1"/>
  <c r="U50" i="1" s="1"/>
  <c r="CW50" i="1"/>
  <c r="V50" i="1" s="1"/>
  <c r="CX50" i="1"/>
  <c r="CY50" i="1"/>
  <c r="X50" i="1" s="1"/>
  <c r="CZ50" i="1"/>
  <c r="GL50" i="1"/>
  <c r="GN50" i="1"/>
  <c r="GP50" i="1"/>
  <c r="GV50" i="1"/>
  <c r="HC50" i="1"/>
  <c r="GX50" i="1" s="1"/>
  <c r="Q51" i="1"/>
  <c r="T51" i="1"/>
  <c r="U51" i="1"/>
  <c r="AC51" i="1"/>
  <c r="AE51" i="1"/>
  <c r="AD51" i="1" s="1"/>
  <c r="AB51" i="1" s="1"/>
  <c r="AF51" i="1"/>
  <c r="AG51" i="1"/>
  <c r="CU51" i="1" s="1"/>
  <c r="AH51" i="1"/>
  <c r="CV51" i="1" s="1"/>
  <c r="AI51" i="1"/>
  <c r="CW51" i="1" s="1"/>
  <c r="V51" i="1" s="1"/>
  <c r="AJ51" i="1"/>
  <c r="CX51" i="1" s="1"/>
  <c r="W51" i="1" s="1"/>
  <c r="CQ51" i="1"/>
  <c r="P51" i="1" s="1"/>
  <c r="CP51" i="1" s="1"/>
  <c r="O51" i="1" s="1"/>
  <c r="GM51" i="1" s="1"/>
  <c r="GO51" i="1" s="1"/>
  <c r="CR51" i="1"/>
  <c r="CS51" i="1"/>
  <c r="R51" i="1" s="1"/>
  <c r="CT51" i="1"/>
  <c r="S51" i="1" s="1"/>
  <c r="CY51" i="1"/>
  <c r="X51" i="1" s="1"/>
  <c r="CZ51" i="1"/>
  <c r="Y51" i="1" s="1"/>
  <c r="GL51" i="1"/>
  <c r="GN51" i="1"/>
  <c r="GP51" i="1"/>
  <c r="GV51" i="1"/>
  <c r="HC51" i="1" s="1"/>
  <c r="GX51" i="1" s="1"/>
  <c r="R52" i="1"/>
  <c r="S52" i="1"/>
  <c r="AC52" i="1"/>
  <c r="AE52" i="1"/>
  <c r="AD52" i="1" s="1"/>
  <c r="AF52" i="1"/>
  <c r="AG52" i="1"/>
  <c r="CU52" i="1" s="1"/>
  <c r="T52" i="1" s="1"/>
  <c r="AH52" i="1"/>
  <c r="CV52" i="1" s="1"/>
  <c r="U52" i="1" s="1"/>
  <c r="AI52" i="1"/>
  <c r="AJ52" i="1"/>
  <c r="CQ52" i="1"/>
  <c r="P52" i="1" s="1"/>
  <c r="CR52" i="1"/>
  <c r="Q52" i="1" s="1"/>
  <c r="CS52" i="1"/>
  <c r="CT52" i="1"/>
  <c r="CW52" i="1"/>
  <c r="V52" i="1" s="1"/>
  <c r="CX52" i="1"/>
  <c r="W52" i="1" s="1"/>
  <c r="CY52" i="1"/>
  <c r="X52" i="1" s="1"/>
  <c r="CZ52" i="1"/>
  <c r="Y52" i="1" s="1"/>
  <c r="GL52" i="1"/>
  <c r="GN52" i="1"/>
  <c r="GP52" i="1"/>
  <c r="GV52" i="1"/>
  <c r="HC52" i="1"/>
  <c r="GX52" i="1" s="1"/>
  <c r="P53" i="1"/>
  <c r="Q53" i="1"/>
  <c r="R53" i="1"/>
  <c r="S53" i="1"/>
  <c r="AC53" i="1"/>
  <c r="AE53" i="1"/>
  <c r="AD53" i="1" s="1"/>
  <c r="AF53" i="1"/>
  <c r="AG53" i="1"/>
  <c r="CU53" i="1" s="1"/>
  <c r="T53" i="1" s="1"/>
  <c r="AH53" i="1"/>
  <c r="CV53" i="1" s="1"/>
  <c r="U53" i="1" s="1"/>
  <c r="AI53" i="1"/>
  <c r="CW53" i="1" s="1"/>
  <c r="V53" i="1" s="1"/>
  <c r="AJ53" i="1"/>
  <c r="CX53" i="1" s="1"/>
  <c r="W53" i="1" s="1"/>
  <c r="CP53" i="1"/>
  <c r="O53" i="1" s="1"/>
  <c r="GM53" i="1" s="1"/>
  <c r="GO53" i="1" s="1"/>
  <c r="CQ53" i="1"/>
  <c r="CR53" i="1"/>
  <c r="CS53" i="1"/>
  <c r="CT53" i="1"/>
  <c r="CY53" i="1"/>
  <c r="X53" i="1" s="1"/>
  <c r="CZ53" i="1"/>
  <c r="Y53" i="1" s="1"/>
  <c r="GL53" i="1"/>
  <c r="GN53" i="1"/>
  <c r="GP53" i="1"/>
  <c r="GV53" i="1"/>
  <c r="HC53" i="1"/>
  <c r="GX53" i="1" s="1"/>
  <c r="C54" i="1"/>
  <c r="D54" i="1"/>
  <c r="V54" i="1"/>
  <c r="AC54" i="1"/>
  <c r="AE54" i="1"/>
  <c r="AD54" i="1" s="1"/>
  <c r="AF54" i="1"/>
  <c r="AG54" i="1"/>
  <c r="CU54" i="1" s="1"/>
  <c r="T54" i="1" s="1"/>
  <c r="AH54" i="1"/>
  <c r="AI54" i="1"/>
  <c r="AJ54" i="1"/>
  <c r="CQ54" i="1"/>
  <c r="CR54" i="1"/>
  <c r="CS54" i="1"/>
  <c r="CT54" i="1"/>
  <c r="CV54" i="1"/>
  <c r="CW54" i="1"/>
  <c r="CX54" i="1"/>
  <c r="W54" i="1" s="1"/>
  <c r="GL54" i="1"/>
  <c r="GN54" i="1"/>
  <c r="GP54" i="1"/>
  <c r="GV54" i="1"/>
  <c r="HC54" i="1" s="1"/>
  <c r="GX54" i="1"/>
  <c r="I55" i="1"/>
  <c r="P55" i="1" s="1"/>
  <c r="L187" i="7" s="1"/>
  <c r="T55" i="1"/>
  <c r="U55" i="1"/>
  <c r="V55" i="1"/>
  <c r="W55" i="1"/>
  <c r="X55" i="1"/>
  <c r="Y55" i="1"/>
  <c r="AC55" i="1"/>
  <c r="AB55" i="1" s="1"/>
  <c r="AE55" i="1"/>
  <c r="AD55" i="1" s="1"/>
  <c r="AF55" i="1"/>
  <c r="AG55" i="1"/>
  <c r="AH55" i="1"/>
  <c r="AI55" i="1"/>
  <c r="AJ55" i="1"/>
  <c r="CP55" i="1"/>
  <c r="CQ55" i="1"/>
  <c r="CR55" i="1"/>
  <c r="Q55" i="1" s="1"/>
  <c r="CS55" i="1"/>
  <c r="R55" i="1" s="1"/>
  <c r="CT55" i="1"/>
  <c r="S55" i="1" s="1"/>
  <c r="CU55" i="1"/>
  <c r="CV55" i="1"/>
  <c r="CW55" i="1"/>
  <c r="CX55" i="1"/>
  <c r="CY55" i="1"/>
  <c r="CZ55" i="1"/>
  <c r="GL55" i="1"/>
  <c r="GN55" i="1"/>
  <c r="GP55" i="1"/>
  <c r="GV55" i="1"/>
  <c r="HC55" i="1"/>
  <c r="GX55" i="1" s="1"/>
  <c r="I56" i="1"/>
  <c r="P56" i="1"/>
  <c r="Q56" i="1"/>
  <c r="R56" i="1"/>
  <c r="S56" i="1"/>
  <c r="CY56" i="1" s="1"/>
  <c r="X56" i="1" s="1"/>
  <c r="U56" i="1"/>
  <c r="V56" i="1"/>
  <c r="W56" i="1"/>
  <c r="AC56" i="1"/>
  <c r="AE56" i="1"/>
  <c r="AD56" i="1" s="1"/>
  <c r="AB56" i="1" s="1"/>
  <c r="AF56" i="1"/>
  <c r="AG56" i="1"/>
  <c r="AH56" i="1"/>
  <c r="AI56" i="1"/>
  <c r="AJ56" i="1"/>
  <c r="CX56" i="1" s="1"/>
  <c r="CP56" i="1"/>
  <c r="O56" i="1" s="1"/>
  <c r="CQ56" i="1"/>
  <c r="CR56" i="1"/>
  <c r="CS56" i="1"/>
  <c r="CT56" i="1"/>
  <c r="CU56" i="1"/>
  <c r="T56" i="1" s="1"/>
  <c r="CV56" i="1"/>
  <c r="CW56" i="1"/>
  <c r="CZ56" i="1"/>
  <c r="Y56" i="1" s="1"/>
  <c r="GL56" i="1"/>
  <c r="GN56" i="1"/>
  <c r="GP56" i="1"/>
  <c r="GV56" i="1"/>
  <c r="HC56" i="1"/>
  <c r="GX56" i="1" s="1"/>
  <c r="P57" i="1"/>
  <c r="Y57" i="1"/>
  <c r="AC57" i="1"/>
  <c r="AE57" i="1"/>
  <c r="AD57" i="1" s="1"/>
  <c r="AF57" i="1"/>
  <c r="AG57" i="1"/>
  <c r="CU57" i="1" s="1"/>
  <c r="T57" i="1" s="1"/>
  <c r="AH57" i="1"/>
  <c r="CV57" i="1" s="1"/>
  <c r="U57" i="1" s="1"/>
  <c r="AI57" i="1"/>
  <c r="AJ57" i="1"/>
  <c r="CQ57" i="1"/>
  <c r="CR57" i="1"/>
  <c r="Q57" i="1" s="1"/>
  <c r="CS57" i="1"/>
  <c r="R57" i="1" s="1"/>
  <c r="CT57" i="1"/>
  <c r="S57" i="1" s="1"/>
  <c r="CW57" i="1"/>
  <c r="V57" i="1" s="1"/>
  <c r="CX57" i="1"/>
  <c r="W57" i="1" s="1"/>
  <c r="CY57" i="1"/>
  <c r="X57" i="1" s="1"/>
  <c r="CZ57" i="1"/>
  <c r="GL57" i="1"/>
  <c r="GN57" i="1"/>
  <c r="GP57" i="1"/>
  <c r="GV57" i="1"/>
  <c r="HC57" i="1"/>
  <c r="GX57" i="1" s="1"/>
  <c r="I58" i="1"/>
  <c r="K58" i="1"/>
  <c r="U58" i="1"/>
  <c r="AC58" i="1"/>
  <c r="AE58" i="1"/>
  <c r="AD58" i="1" s="1"/>
  <c r="AF58" i="1"/>
  <c r="AG58" i="1"/>
  <c r="CU58" i="1" s="1"/>
  <c r="T58" i="1" s="1"/>
  <c r="AH58" i="1"/>
  <c r="CV58" i="1" s="1"/>
  <c r="AI58" i="1"/>
  <c r="CW58" i="1" s="1"/>
  <c r="AJ58" i="1"/>
  <c r="CX58" i="1" s="1"/>
  <c r="CQ58" i="1"/>
  <c r="CR58" i="1"/>
  <c r="CS58" i="1"/>
  <c r="CT58" i="1"/>
  <c r="CY58" i="1"/>
  <c r="X58" i="1" s="1"/>
  <c r="CZ58" i="1"/>
  <c r="Y58" i="1" s="1"/>
  <c r="GL58" i="1"/>
  <c r="GN58" i="1"/>
  <c r="GP58" i="1"/>
  <c r="GV58" i="1"/>
  <c r="HC58" i="1" s="1"/>
  <c r="C59" i="1"/>
  <c r="D59" i="1"/>
  <c r="I59" i="1"/>
  <c r="K59" i="1"/>
  <c r="V59" i="1"/>
  <c r="AC59" i="1"/>
  <c r="AE59" i="1"/>
  <c r="AD59" i="1" s="1"/>
  <c r="AF59" i="1"/>
  <c r="AG59" i="1"/>
  <c r="CU59" i="1" s="1"/>
  <c r="T59" i="1" s="1"/>
  <c r="AH59" i="1"/>
  <c r="AI59" i="1"/>
  <c r="AJ59" i="1"/>
  <c r="CQ59" i="1"/>
  <c r="CR59" i="1"/>
  <c r="CS59" i="1"/>
  <c r="CT59" i="1"/>
  <c r="CV59" i="1"/>
  <c r="CW59" i="1"/>
  <c r="CX59" i="1"/>
  <c r="W59" i="1" s="1"/>
  <c r="GL59" i="1"/>
  <c r="GN59" i="1"/>
  <c r="GP59" i="1"/>
  <c r="GV59" i="1"/>
  <c r="HC59" i="1" s="1"/>
  <c r="GX59" i="1" s="1"/>
  <c r="I60" i="1"/>
  <c r="GX60" i="1" s="1"/>
  <c r="U60" i="1"/>
  <c r="V60" i="1"/>
  <c r="W60" i="1"/>
  <c r="X60" i="1"/>
  <c r="AC60" i="1"/>
  <c r="AB60" i="1" s="1"/>
  <c r="AD60" i="1"/>
  <c r="AE60" i="1"/>
  <c r="AF60" i="1"/>
  <c r="AG60" i="1"/>
  <c r="AH60" i="1"/>
  <c r="AI60" i="1"/>
  <c r="AJ60" i="1"/>
  <c r="CP60" i="1"/>
  <c r="CQ60" i="1"/>
  <c r="CR60" i="1"/>
  <c r="Q60" i="1" s="1"/>
  <c r="CS60" i="1"/>
  <c r="R60" i="1" s="1"/>
  <c r="CT60" i="1"/>
  <c r="S60" i="1" s="1"/>
  <c r="CU60" i="1"/>
  <c r="CV60" i="1"/>
  <c r="CW60" i="1"/>
  <c r="CX60" i="1"/>
  <c r="CY60" i="1"/>
  <c r="CZ60" i="1"/>
  <c r="Y60" i="1" s="1"/>
  <c r="GL60" i="1"/>
  <c r="GN60" i="1"/>
  <c r="GP60" i="1"/>
  <c r="GV60" i="1"/>
  <c r="HC60" i="1"/>
  <c r="AC61" i="1"/>
  <c r="AE61" i="1"/>
  <c r="AD61" i="1" s="1"/>
  <c r="AB61" i="1" s="1"/>
  <c r="AF61" i="1"/>
  <c r="AG61" i="1"/>
  <c r="CU61" i="1" s="1"/>
  <c r="AH61" i="1"/>
  <c r="AI61" i="1"/>
  <c r="AJ61" i="1"/>
  <c r="CX61" i="1" s="1"/>
  <c r="CQ61" i="1"/>
  <c r="CR61" i="1"/>
  <c r="CS61" i="1"/>
  <c r="CT61" i="1"/>
  <c r="CV61" i="1"/>
  <c r="CW61" i="1"/>
  <c r="GL61" i="1"/>
  <c r="GN61" i="1"/>
  <c r="GP61" i="1"/>
  <c r="GV61" i="1"/>
  <c r="HC61" i="1"/>
  <c r="I62" i="1"/>
  <c r="K62" i="1"/>
  <c r="X62" i="1"/>
  <c r="Y62" i="1"/>
  <c r="AC62" i="1"/>
  <c r="AE62" i="1"/>
  <c r="AD62" i="1" s="1"/>
  <c r="AF62" i="1"/>
  <c r="AG62" i="1"/>
  <c r="CU62" i="1" s="1"/>
  <c r="T62" i="1" s="1"/>
  <c r="AH62" i="1"/>
  <c r="AI62" i="1"/>
  <c r="AJ62" i="1"/>
  <c r="CQ62" i="1"/>
  <c r="P62" i="1" s="1"/>
  <c r="CR62" i="1"/>
  <c r="Q62" i="1" s="1"/>
  <c r="CS62" i="1"/>
  <c r="R62" i="1" s="1"/>
  <c r="CT62" i="1"/>
  <c r="CV62" i="1"/>
  <c r="CW62" i="1"/>
  <c r="CX62" i="1"/>
  <c r="CY62" i="1"/>
  <c r="CZ62" i="1"/>
  <c r="GL62" i="1"/>
  <c r="GN62" i="1"/>
  <c r="GP62" i="1"/>
  <c r="GV62" i="1"/>
  <c r="HC62" i="1" s="1"/>
  <c r="GX62" i="1" s="1"/>
  <c r="I63" i="1"/>
  <c r="K63" i="1"/>
  <c r="S63" i="1"/>
  <c r="AC63" i="1"/>
  <c r="AE63" i="1"/>
  <c r="AD63" i="1" s="1"/>
  <c r="AB63" i="1" s="1"/>
  <c r="AF63" i="1"/>
  <c r="AG63" i="1"/>
  <c r="CU63" i="1" s="1"/>
  <c r="T63" i="1" s="1"/>
  <c r="AH63" i="1"/>
  <c r="CV63" i="1" s="1"/>
  <c r="U63" i="1" s="1"/>
  <c r="AI63" i="1"/>
  <c r="CW63" i="1" s="1"/>
  <c r="V63" i="1" s="1"/>
  <c r="AJ63" i="1"/>
  <c r="CQ63" i="1"/>
  <c r="CR63" i="1"/>
  <c r="CS63" i="1"/>
  <c r="CT63" i="1"/>
  <c r="CX63" i="1"/>
  <c r="W63" i="1" s="1"/>
  <c r="CY63" i="1"/>
  <c r="X63" i="1" s="1"/>
  <c r="CZ63" i="1"/>
  <c r="Y63" i="1" s="1"/>
  <c r="GL63" i="1"/>
  <c r="GN63" i="1"/>
  <c r="GP63" i="1"/>
  <c r="GV63" i="1"/>
  <c r="HC63" i="1"/>
  <c r="I64" i="1"/>
  <c r="K64" i="1"/>
  <c r="P64" i="1"/>
  <c r="Q64" i="1"/>
  <c r="R64" i="1"/>
  <c r="S64" i="1"/>
  <c r="T64" i="1"/>
  <c r="AC64" i="1"/>
  <c r="AE64" i="1"/>
  <c r="AD64" i="1" s="1"/>
  <c r="AF64" i="1"/>
  <c r="AG64" i="1"/>
  <c r="CU64" i="1" s="1"/>
  <c r="AH64" i="1"/>
  <c r="CV64" i="1" s="1"/>
  <c r="U64" i="1" s="1"/>
  <c r="AI64" i="1"/>
  <c r="CW64" i="1" s="1"/>
  <c r="V64" i="1" s="1"/>
  <c r="AJ64" i="1"/>
  <c r="CQ64" i="1"/>
  <c r="CR64" i="1"/>
  <c r="CS64" i="1"/>
  <c r="CT64" i="1"/>
  <c r="CX64" i="1"/>
  <c r="W64" i="1" s="1"/>
  <c r="CY64" i="1"/>
  <c r="X64" i="1" s="1"/>
  <c r="CZ64" i="1"/>
  <c r="Y64" i="1" s="1"/>
  <c r="GL64" i="1"/>
  <c r="GN64" i="1"/>
  <c r="GP64" i="1"/>
  <c r="GV64" i="1"/>
  <c r="HC64" i="1" s="1"/>
  <c r="GX64" i="1" s="1"/>
  <c r="C65" i="1"/>
  <c r="D65" i="1"/>
  <c r="U65" i="1"/>
  <c r="G221" i="7" s="1"/>
  <c r="V65" i="1"/>
  <c r="W65" i="1"/>
  <c r="AC65" i="1"/>
  <c r="AD65" i="1"/>
  <c r="AE65" i="1"/>
  <c r="AF65" i="1"/>
  <c r="AG65" i="1"/>
  <c r="AH65" i="1"/>
  <c r="AI65" i="1"/>
  <c r="AJ65" i="1"/>
  <c r="CX65" i="1" s="1"/>
  <c r="CQ65" i="1"/>
  <c r="CR65" i="1"/>
  <c r="CS65" i="1"/>
  <c r="CT65" i="1"/>
  <c r="CU65" i="1"/>
  <c r="T65" i="1" s="1"/>
  <c r="CV65" i="1"/>
  <c r="CW65" i="1"/>
  <c r="GL65" i="1"/>
  <c r="GN65" i="1"/>
  <c r="GP65" i="1"/>
  <c r="GV65" i="1"/>
  <c r="HC65" i="1" s="1"/>
  <c r="GX65" i="1"/>
  <c r="I66" i="1"/>
  <c r="P66" i="1" s="1"/>
  <c r="Q66" i="1"/>
  <c r="R66" i="1"/>
  <c r="S66" i="1"/>
  <c r="T66" i="1"/>
  <c r="W66" i="1"/>
  <c r="X66" i="1"/>
  <c r="AC66" i="1"/>
  <c r="AE66" i="1"/>
  <c r="AD66" i="1" s="1"/>
  <c r="AF66" i="1"/>
  <c r="AG66" i="1"/>
  <c r="AH66" i="1"/>
  <c r="AI66" i="1"/>
  <c r="AJ66" i="1"/>
  <c r="CP66" i="1"/>
  <c r="CQ66" i="1"/>
  <c r="CR66" i="1"/>
  <c r="CS66" i="1"/>
  <c r="CT66" i="1"/>
  <c r="CU66" i="1"/>
  <c r="CV66" i="1"/>
  <c r="U66" i="1" s="1"/>
  <c r="CW66" i="1"/>
  <c r="V66" i="1" s="1"/>
  <c r="CX66" i="1"/>
  <c r="CY66" i="1"/>
  <c r="CZ66" i="1"/>
  <c r="Y66" i="1" s="1"/>
  <c r="GL66" i="1"/>
  <c r="GN66" i="1"/>
  <c r="GP66" i="1"/>
  <c r="GV66" i="1"/>
  <c r="HC66" i="1"/>
  <c r="GX66" i="1" s="1"/>
  <c r="P67" i="1"/>
  <c r="Q67" i="1"/>
  <c r="AC67" i="1"/>
  <c r="AE67" i="1"/>
  <c r="AD67" i="1" s="1"/>
  <c r="AF67" i="1"/>
  <c r="AG67" i="1"/>
  <c r="AH67" i="1"/>
  <c r="CV67" i="1" s="1"/>
  <c r="U67" i="1" s="1"/>
  <c r="AI67" i="1"/>
  <c r="CW67" i="1" s="1"/>
  <c r="V67" i="1" s="1"/>
  <c r="AJ67" i="1"/>
  <c r="CQ67" i="1"/>
  <c r="CR67" i="1"/>
  <c r="CS67" i="1"/>
  <c r="R67" i="1" s="1"/>
  <c r="CT67" i="1"/>
  <c r="S67" i="1" s="1"/>
  <c r="CU67" i="1"/>
  <c r="T67" i="1" s="1"/>
  <c r="CX67" i="1"/>
  <c r="W67" i="1" s="1"/>
  <c r="CY67" i="1"/>
  <c r="X67" i="1" s="1"/>
  <c r="CZ67" i="1"/>
  <c r="Y67" i="1" s="1"/>
  <c r="GL67" i="1"/>
  <c r="GN67" i="1"/>
  <c r="GP67" i="1"/>
  <c r="GV67" i="1"/>
  <c r="HC67" i="1"/>
  <c r="GX67" i="1" s="1"/>
  <c r="P68" i="1"/>
  <c r="R68" i="1"/>
  <c r="X68" i="1"/>
  <c r="Y68" i="1"/>
  <c r="AC68" i="1"/>
  <c r="AE68" i="1"/>
  <c r="AD68" i="1" s="1"/>
  <c r="AF68" i="1"/>
  <c r="AG68" i="1"/>
  <c r="AH68" i="1"/>
  <c r="AI68" i="1"/>
  <c r="AJ68" i="1"/>
  <c r="CX68" i="1" s="1"/>
  <c r="W68" i="1" s="1"/>
  <c r="CQ68" i="1"/>
  <c r="CR68" i="1"/>
  <c r="Q68" i="1" s="1"/>
  <c r="CS68" i="1"/>
  <c r="CT68" i="1"/>
  <c r="S68" i="1" s="1"/>
  <c r="CU68" i="1"/>
  <c r="T68" i="1" s="1"/>
  <c r="CV68" i="1"/>
  <c r="U68" i="1" s="1"/>
  <c r="CW68" i="1"/>
  <c r="V68" i="1" s="1"/>
  <c r="CY68" i="1"/>
  <c r="CZ68" i="1"/>
  <c r="GL68" i="1"/>
  <c r="GN68" i="1"/>
  <c r="GP68" i="1"/>
  <c r="GV68" i="1"/>
  <c r="HC68" i="1"/>
  <c r="GX68" i="1" s="1"/>
  <c r="I69" i="1"/>
  <c r="K69" i="1"/>
  <c r="R69" i="1"/>
  <c r="S69" i="1"/>
  <c r="T69" i="1"/>
  <c r="U69" i="1"/>
  <c r="V69" i="1"/>
  <c r="X69" i="1"/>
  <c r="AC69" i="1"/>
  <c r="AD69" i="1"/>
  <c r="AE69" i="1"/>
  <c r="AF69" i="1"/>
  <c r="AG69" i="1"/>
  <c r="CU69" i="1" s="1"/>
  <c r="AH69" i="1"/>
  <c r="CV69" i="1" s="1"/>
  <c r="AI69" i="1"/>
  <c r="CW69" i="1" s="1"/>
  <c r="AJ69" i="1"/>
  <c r="CX69" i="1" s="1"/>
  <c r="W69" i="1" s="1"/>
  <c r="CQ69" i="1"/>
  <c r="P69" i="1" s="1"/>
  <c r="CP69" i="1" s="1"/>
  <c r="O69" i="1" s="1"/>
  <c r="GM69" i="1" s="1"/>
  <c r="GO69" i="1" s="1"/>
  <c r="CR69" i="1"/>
  <c r="Q69" i="1" s="1"/>
  <c r="CS69" i="1"/>
  <c r="CT69" i="1"/>
  <c r="CY69" i="1"/>
  <c r="CZ69" i="1"/>
  <c r="Y69" i="1" s="1"/>
  <c r="GL69" i="1"/>
  <c r="GN69" i="1"/>
  <c r="GP69" i="1"/>
  <c r="GV69" i="1"/>
  <c r="HC69" i="1" s="1"/>
  <c r="GX69" i="1" s="1"/>
  <c r="C70" i="1"/>
  <c r="D70" i="1"/>
  <c r="I70" i="1"/>
  <c r="K70" i="1"/>
  <c r="W70" i="1"/>
  <c r="AC70" i="1"/>
  <c r="AE70" i="1"/>
  <c r="AD70" i="1" s="1"/>
  <c r="AF70" i="1"/>
  <c r="AG70" i="1"/>
  <c r="AH70" i="1"/>
  <c r="AI70" i="1"/>
  <c r="AJ70" i="1"/>
  <c r="CX70" i="1" s="1"/>
  <c r="CQ70" i="1"/>
  <c r="CR70" i="1"/>
  <c r="CS70" i="1"/>
  <c r="CT70" i="1"/>
  <c r="CU70" i="1"/>
  <c r="CV70" i="1"/>
  <c r="CW70" i="1"/>
  <c r="GL70" i="1"/>
  <c r="GN70" i="1"/>
  <c r="GP70" i="1"/>
  <c r="GV70" i="1"/>
  <c r="HC70" i="1"/>
  <c r="GX70" i="1" s="1"/>
  <c r="I71" i="1"/>
  <c r="S71" i="1"/>
  <c r="T71" i="1"/>
  <c r="U71" i="1"/>
  <c r="V71" i="1"/>
  <c r="W71" i="1"/>
  <c r="X71" i="1"/>
  <c r="Y71" i="1"/>
  <c r="AC71" i="1"/>
  <c r="AE71" i="1"/>
  <c r="AD71" i="1" s="1"/>
  <c r="AB71" i="1" s="1"/>
  <c r="AF71" i="1"/>
  <c r="AG71" i="1"/>
  <c r="AH71" i="1"/>
  <c r="AI71" i="1"/>
  <c r="AJ71" i="1"/>
  <c r="CP71" i="1"/>
  <c r="CQ71" i="1"/>
  <c r="CR71" i="1"/>
  <c r="Q71" i="1" s="1"/>
  <c r="CS71" i="1"/>
  <c r="R71" i="1" s="1"/>
  <c r="CT71" i="1"/>
  <c r="CU71" i="1"/>
  <c r="CV71" i="1"/>
  <c r="CW71" i="1"/>
  <c r="CX71" i="1"/>
  <c r="CY71" i="1"/>
  <c r="CZ71" i="1"/>
  <c r="GL71" i="1"/>
  <c r="GN71" i="1"/>
  <c r="GP71" i="1"/>
  <c r="GV71" i="1"/>
  <c r="HC71" i="1"/>
  <c r="P72" i="1"/>
  <c r="Q72" i="1"/>
  <c r="R72" i="1"/>
  <c r="S72" i="1"/>
  <c r="W72" i="1"/>
  <c r="AC72" i="1"/>
  <c r="AE72" i="1"/>
  <c r="AD72" i="1" s="1"/>
  <c r="AB72" i="1" s="1"/>
  <c r="AF72" i="1"/>
  <c r="AG72" i="1"/>
  <c r="AH72" i="1"/>
  <c r="CV72" i="1" s="1"/>
  <c r="U72" i="1" s="1"/>
  <c r="AI72" i="1"/>
  <c r="AJ72" i="1"/>
  <c r="CQ72" i="1"/>
  <c r="CR72" i="1"/>
  <c r="CS72" i="1"/>
  <c r="CT72" i="1"/>
  <c r="CU72" i="1"/>
  <c r="T72" i="1" s="1"/>
  <c r="CW72" i="1"/>
  <c r="V72" i="1" s="1"/>
  <c r="CX72" i="1"/>
  <c r="CY72" i="1"/>
  <c r="X72" i="1" s="1"/>
  <c r="CZ72" i="1"/>
  <c r="Y72" i="1" s="1"/>
  <c r="GL72" i="1"/>
  <c r="GN72" i="1"/>
  <c r="GP72" i="1"/>
  <c r="GV72" i="1"/>
  <c r="HC72" i="1"/>
  <c r="GX72" i="1" s="1"/>
  <c r="P73" i="1"/>
  <c r="Q73" i="1"/>
  <c r="R73" i="1"/>
  <c r="Y73" i="1"/>
  <c r="AC73" i="1"/>
  <c r="AE73" i="1"/>
  <c r="AD73" i="1" s="1"/>
  <c r="AF73" i="1"/>
  <c r="AG73" i="1"/>
  <c r="CU73" i="1" s="1"/>
  <c r="T73" i="1" s="1"/>
  <c r="AH73" i="1"/>
  <c r="CV73" i="1" s="1"/>
  <c r="U73" i="1" s="1"/>
  <c r="AI73" i="1"/>
  <c r="AJ73" i="1"/>
  <c r="CQ73" i="1"/>
  <c r="CR73" i="1"/>
  <c r="CS73" i="1"/>
  <c r="CT73" i="1"/>
  <c r="S73" i="1" s="1"/>
  <c r="CW73" i="1"/>
  <c r="V73" i="1" s="1"/>
  <c r="CX73" i="1"/>
  <c r="W73" i="1" s="1"/>
  <c r="CY73" i="1"/>
  <c r="X73" i="1" s="1"/>
  <c r="CZ73" i="1"/>
  <c r="GL73" i="1"/>
  <c r="GN73" i="1"/>
  <c r="GP73" i="1"/>
  <c r="GV73" i="1"/>
  <c r="HC73" i="1"/>
  <c r="GX73" i="1" s="1"/>
  <c r="C74" i="1"/>
  <c r="D74" i="1"/>
  <c r="I74" i="1"/>
  <c r="K74" i="1"/>
  <c r="T74" i="1"/>
  <c r="AC74" i="1"/>
  <c r="AE74" i="1"/>
  <c r="AD74" i="1" s="1"/>
  <c r="AF74" i="1"/>
  <c r="AG74" i="1"/>
  <c r="CU74" i="1" s="1"/>
  <c r="AH74" i="1"/>
  <c r="AI74" i="1"/>
  <c r="AJ74" i="1"/>
  <c r="CQ74" i="1"/>
  <c r="CR74" i="1"/>
  <c r="CS74" i="1"/>
  <c r="CT74" i="1"/>
  <c r="CV74" i="1"/>
  <c r="CW74" i="1"/>
  <c r="CX74" i="1"/>
  <c r="W74" i="1" s="1"/>
  <c r="GL74" i="1"/>
  <c r="GN74" i="1"/>
  <c r="GP74" i="1"/>
  <c r="GV74" i="1"/>
  <c r="HC74" i="1" s="1"/>
  <c r="I75" i="1"/>
  <c r="T75" i="1" s="1"/>
  <c r="Q75" i="1"/>
  <c r="R75" i="1"/>
  <c r="S75" i="1"/>
  <c r="AC75" i="1"/>
  <c r="AE75" i="1"/>
  <c r="AD75" i="1" s="1"/>
  <c r="AF75" i="1"/>
  <c r="AG75" i="1"/>
  <c r="AH75" i="1"/>
  <c r="AI75" i="1"/>
  <c r="AJ75" i="1"/>
  <c r="CP75" i="1"/>
  <c r="CQ75" i="1"/>
  <c r="CR75" i="1"/>
  <c r="CS75" i="1"/>
  <c r="CT75" i="1"/>
  <c r="CU75" i="1"/>
  <c r="CV75" i="1"/>
  <c r="CW75" i="1"/>
  <c r="CX75" i="1"/>
  <c r="CY75" i="1"/>
  <c r="X75" i="1" s="1"/>
  <c r="CZ75" i="1"/>
  <c r="Y75" i="1" s="1"/>
  <c r="GL75" i="1"/>
  <c r="GN75" i="1"/>
  <c r="GP75" i="1"/>
  <c r="GV75" i="1"/>
  <c r="HC75" i="1"/>
  <c r="GX75" i="1" s="1"/>
  <c r="W76" i="1"/>
  <c r="X76" i="1"/>
  <c r="Y76" i="1"/>
  <c r="AC76" i="1"/>
  <c r="AB76" i="1" s="1"/>
  <c r="AE76" i="1"/>
  <c r="AD76" i="1" s="1"/>
  <c r="AF76" i="1"/>
  <c r="AG76" i="1"/>
  <c r="AH76" i="1"/>
  <c r="AI76" i="1"/>
  <c r="AJ76" i="1"/>
  <c r="CX76" i="1" s="1"/>
  <c r="CQ76" i="1"/>
  <c r="P76" i="1" s="1"/>
  <c r="CR76" i="1"/>
  <c r="Q76" i="1" s="1"/>
  <c r="CS76" i="1"/>
  <c r="R76" i="1" s="1"/>
  <c r="CT76" i="1"/>
  <c r="S76" i="1" s="1"/>
  <c r="CU76" i="1"/>
  <c r="T76" i="1" s="1"/>
  <c r="CV76" i="1"/>
  <c r="U76" i="1" s="1"/>
  <c r="CW76" i="1"/>
  <c r="V76" i="1" s="1"/>
  <c r="CY76" i="1"/>
  <c r="CZ76" i="1"/>
  <c r="GL76" i="1"/>
  <c r="GO76" i="1"/>
  <c r="GP76" i="1"/>
  <c r="GV76" i="1"/>
  <c r="HC76" i="1" s="1"/>
  <c r="GX76" i="1"/>
  <c r="C77" i="1"/>
  <c r="D77" i="1"/>
  <c r="T77" i="1"/>
  <c r="W77" i="1"/>
  <c r="AC77" i="1"/>
  <c r="AE77" i="1"/>
  <c r="AD77" i="1" s="1"/>
  <c r="AF77" i="1"/>
  <c r="AG77" i="1"/>
  <c r="CU77" i="1" s="1"/>
  <c r="AH77" i="1"/>
  <c r="AI77" i="1"/>
  <c r="AJ77" i="1"/>
  <c r="CX77" i="1" s="1"/>
  <c r="CQ77" i="1"/>
  <c r="CR77" i="1"/>
  <c r="CS77" i="1"/>
  <c r="CT77" i="1"/>
  <c r="CV77" i="1"/>
  <c r="CW77" i="1"/>
  <c r="GL77" i="1"/>
  <c r="GN77" i="1"/>
  <c r="GP77" i="1"/>
  <c r="GV77" i="1"/>
  <c r="HC77" i="1"/>
  <c r="GX77" i="1" s="1"/>
  <c r="I78" i="1"/>
  <c r="P78" i="1"/>
  <c r="S78" i="1"/>
  <c r="T78" i="1"/>
  <c r="U78" i="1"/>
  <c r="W78" i="1"/>
  <c r="X78" i="1"/>
  <c r="Y78" i="1"/>
  <c r="AC78" i="1"/>
  <c r="AE78" i="1"/>
  <c r="AD78" i="1" s="1"/>
  <c r="AB78" i="1" s="1"/>
  <c r="AF78" i="1"/>
  <c r="AG78" i="1"/>
  <c r="AH78" i="1"/>
  <c r="AI78" i="1"/>
  <c r="AJ78" i="1"/>
  <c r="CP78" i="1"/>
  <c r="CQ78" i="1"/>
  <c r="CR78" i="1"/>
  <c r="Q78" i="1" s="1"/>
  <c r="CS78" i="1"/>
  <c r="R78" i="1" s="1"/>
  <c r="CT78" i="1"/>
  <c r="CU78" i="1"/>
  <c r="CV78" i="1"/>
  <c r="CW78" i="1"/>
  <c r="V78" i="1" s="1"/>
  <c r="CX78" i="1"/>
  <c r="CY78" i="1"/>
  <c r="CZ78" i="1"/>
  <c r="GL78" i="1"/>
  <c r="GN78" i="1"/>
  <c r="GP78" i="1"/>
  <c r="GV78" i="1"/>
  <c r="HC78" i="1"/>
  <c r="GX78" i="1" s="1"/>
  <c r="Q79" i="1"/>
  <c r="R79" i="1"/>
  <c r="T79" i="1"/>
  <c r="AC79" i="1"/>
  <c r="AE79" i="1"/>
  <c r="AD79" i="1" s="1"/>
  <c r="AF79" i="1"/>
  <c r="AG79" i="1"/>
  <c r="AH79" i="1"/>
  <c r="CV79" i="1" s="1"/>
  <c r="U79" i="1" s="1"/>
  <c r="AI79" i="1"/>
  <c r="CW79" i="1" s="1"/>
  <c r="V79" i="1" s="1"/>
  <c r="AJ79" i="1"/>
  <c r="CX79" i="1" s="1"/>
  <c r="W79" i="1" s="1"/>
  <c r="CQ79" i="1"/>
  <c r="P79" i="1" s="1"/>
  <c r="CP79" i="1" s="1"/>
  <c r="O79" i="1" s="1"/>
  <c r="GM79" i="1" s="1"/>
  <c r="GN79" i="1" s="1"/>
  <c r="CR79" i="1"/>
  <c r="CS79" i="1"/>
  <c r="CT79" i="1"/>
  <c r="S79" i="1" s="1"/>
  <c r="CU79" i="1"/>
  <c r="CY79" i="1"/>
  <c r="X79" i="1" s="1"/>
  <c r="CZ79" i="1"/>
  <c r="Y79" i="1" s="1"/>
  <c r="GL79" i="1"/>
  <c r="GO79" i="1"/>
  <c r="GP79" i="1"/>
  <c r="GV79" i="1"/>
  <c r="GX79" i="1"/>
  <c r="HC79" i="1"/>
  <c r="Q80" i="1"/>
  <c r="R80" i="1"/>
  <c r="S80" i="1"/>
  <c r="T80" i="1"/>
  <c r="U80" i="1"/>
  <c r="V80" i="1"/>
  <c r="AC80" i="1"/>
  <c r="AE80" i="1"/>
  <c r="AD80" i="1" s="1"/>
  <c r="AF80" i="1"/>
  <c r="AG80" i="1"/>
  <c r="CU80" i="1" s="1"/>
  <c r="AH80" i="1"/>
  <c r="CV80" i="1" s="1"/>
  <c r="AI80" i="1"/>
  <c r="CW80" i="1" s="1"/>
  <c r="AJ80" i="1"/>
  <c r="CX80" i="1" s="1"/>
  <c r="W80" i="1" s="1"/>
  <c r="CQ80" i="1"/>
  <c r="P80" i="1" s="1"/>
  <c r="CP80" i="1" s="1"/>
  <c r="O80" i="1" s="1"/>
  <c r="GM80" i="1" s="1"/>
  <c r="CR80" i="1"/>
  <c r="CS80" i="1"/>
  <c r="CT80" i="1"/>
  <c r="CY80" i="1"/>
  <c r="X80" i="1" s="1"/>
  <c r="CZ80" i="1"/>
  <c r="Y80" i="1" s="1"/>
  <c r="GL80" i="1"/>
  <c r="GN80" i="1"/>
  <c r="GO80" i="1"/>
  <c r="GP80" i="1"/>
  <c r="GV80" i="1"/>
  <c r="HC80" i="1"/>
  <c r="GX80" i="1" s="1"/>
  <c r="P81" i="1"/>
  <c r="Q81" i="1"/>
  <c r="R81" i="1"/>
  <c r="S81" i="1"/>
  <c r="AC81" i="1"/>
  <c r="AE81" i="1"/>
  <c r="AD81" i="1" s="1"/>
  <c r="AF81" i="1"/>
  <c r="AG81" i="1"/>
  <c r="CU81" i="1" s="1"/>
  <c r="T81" i="1" s="1"/>
  <c r="AH81" i="1"/>
  <c r="CV81" i="1" s="1"/>
  <c r="U81" i="1" s="1"/>
  <c r="AI81" i="1"/>
  <c r="AJ81" i="1"/>
  <c r="CQ81" i="1"/>
  <c r="CR81" i="1"/>
  <c r="CS81" i="1"/>
  <c r="CT81" i="1"/>
  <c r="CW81" i="1"/>
  <c r="V81" i="1" s="1"/>
  <c r="CX81" i="1"/>
  <c r="W81" i="1" s="1"/>
  <c r="CY81" i="1"/>
  <c r="X81" i="1" s="1"/>
  <c r="CZ81" i="1"/>
  <c r="Y81" i="1" s="1"/>
  <c r="FR81" i="1"/>
  <c r="GL81" i="1"/>
  <c r="GN81" i="1"/>
  <c r="GO81" i="1"/>
  <c r="GP81" i="1"/>
  <c r="GV81" i="1"/>
  <c r="HC81" i="1"/>
  <c r="GX81" i="1" s="1"/>
  <c r="P82" i="1"/>
  <c r="Q82" i="1"/>
  <c r="R82" i="1"/>
  <c r="X82" i="1"/>
  <c r="Y82" i="1"/>
  <c r="AC82" i="1"/>
  <c r="AE82" i="1"/>
  <c r="AD82" i="1" s="1"/>
  <c r="AF82" i="1"/>
  <c r="AG82" i="1"/>
  <c r="CU82" i="1" s="1"/>
  <c r="T82" i="1" s="1"/>
  <c r="AH82" i="1"/>
  <c r="AI82" i="1"/>
  <c r="AJ82" i="1"/>
  <c r="CQ82" i="1"/>
  <c r="CR82" i="1"/>
  <c r="CS82" i="1"/>
  <c r="CT82" i="1"/>
  <c r="S82" i="1" s="1"/>
  <c r="CV82" i="1"/>
  <c r="U82" i="1" s="1"/>
  <c r="CW82" i="1"/>
  <c r="V82" i="1" s="1"/>
  <c r="CX82" i="1"/>
  <c r="W82" i="1" s="1"/>
  <c r="CY82" i="1"/>
  <c r="CZ82" i="1"/>
  <c r="GL82" i="1"/>
  <c r="GN82" i="1"/>
  <c r="GO82" i="1"/>
  <c r="GP82" i="1"/>
  <c r="GV82" i="1"/>
  <c r="HC82" i="1"/>
  <c r="GX82" i="1" s="1"/>
  <c r="B84" i="1"/>
  <c r="B26" i="1" s="1"/>
  <c r="C84" i="1"/>
  <c r="D84" i="1"/>
  <c r="D26" i="1" s="1"/>
  <c r="F84" i="1"/>
  <c r="F26" i="1" s="1"/>
  <c r="G84" i="1"/>
  <c r="AO84" i="1"/>
  <c r="BB84" i="1"/>
  <c r="BX84" i="1"/>
  <c r="BX26" i="1" s="1"/>
  <c r="CK84" i="1"/>
  <c r="CK26" i="1" s="1"/>
  <c r="CL84" i="1"/>
  <c r="CL26" i="1" s="1"/>
  <c r="CM84" i="1"/>
  <c r="D114" i="1"/>
  <c r="B116" i="1"/>
  <c r="C116" i="1"/>
  <c r="D116" i="1"/>
  <c r="E116" i="1"/>
  <c r="F116" i="1"/>
  <c r="G116" i="1"/>
  <c r="Z116" i="1"/>
  <c r="AA116" i="1"/>
  <c r="AM116" i="1"/>
  <c r="AN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BQ116" i="1"/>
  <c r="BR116" i="1"/>
  <c r="BS116" i="1"/>
  <c r="BT116" i="1"/>
  <c r="BU116" i="1"/>
  <c r="BV116" i="1"/>
  <c r="BW116" i="1"/>
  <c r="CN116" i="1"/>
  <c r="CO116" i="1"/>
  <c r="CP116" i="1"/>
  <c r="CQ116" i="1"/>
  <c r="CR116" i="1"/>
  <c r="CS116" i="1"/>
  <c r="CT116" i="1"/>
  <c r="CU116" i="1"/>
  <c r="CV116" i="1"/>
  <c r="CW116" i="1"/>
  <c r="CX116" i="1"/>
  <c r="CY116" i="1"/>
  <c r="CZ116" i="1"/>
  <c r="DA116" i="1"/>
  <c r="DB116" i="1"/>
  <c r="DC116" i="1"/>
  <c r="DD116" i="1"/>
  <c r="DE116" i="1"/>
  <c r="DF116" i="1"/>
  <c r="DG116" i="1"/>
  <c r="DH116" i="1"/>
  <c r="DI116" i="1"/>
  <c r="DJ116" i="1"/>
  <c r="DK116" i="1"/>
  <c r="DL116" i="1"/>
  <c r="DM116" i="1"/>
  <c r="DN116" i="1"/>
  <c r="DO116" i="1"/>
  <c r="DP116" i="1"/>
  <c r="DQ116" i="1"/>
  <c r="DR116" i="1"/>
  <c r="DS116" i="1"/>
  <c r="DT116" i="1"/>
  <c r="DU116" i="1"/>
  <c r="DV116" i="1"/>
  <c r="DW116" i="1"/>
  <c r="DX116" i="1"/>
  <c r="DY116" i="1"/>
  <c r="DZ116" i="1"/>
  <c r="EA116" i="1"/>
  <c r="EB116" i="1"/>
  <c r="EC116" i="1"/>
  <c r="ED116" i="1"/>
  <c r="EE116" i="1"/>
  <c r="EF116" i="1"/>
  <c r="EG116" i="1"/>
  <c r="EH116" i="1"/>
  <c r="EI116" i="1"/>
  <c r="EJ116" i="1"/>
  <c r="EK116" i="1"/>
  <c r="EL116" i="1"/>
  <c r="EM116" i="1"/>
  <c r="EN116" i="1"/>
  <c r="EO116" i="1"/>
  <c r="EP116" i="1"/>
  <c r="EQ116" i="1"/>
  <c r="ER116" i="1"/>
  <c r="ES116" i="1"/>
  <c r="ET116" i="1"/>
  <c r="EU116" i="1"/>
  <c r="EV116" i="1"/>
  <c r="EW116" i="1"/>
  <c r="EX116" i="1"/>
  <c r="EY116" i="1"/>
  <c r="EZ116" i="1"/>
  <c r="FA116" i="1"/>
  <c r="FB116" i="1"/>
  <c r="FC116" i="1"/>
  <c r="FD116" i="1"/>
  <c r="FE116" i="1"/>
  <c r="FF116" i="1"/>
  <c r="FG116" i="1"/>
  <c r="FH116" i="1"/>
  <c r="FI116" i="1"/>
  <c r="FJ116" i="1"/>
  <c r="FK116" i="1"/>
  <c r="FL116" i="1"/>
  <c r="FM116" i="1"/>
  <c r="FN116" i="1"/>
  <c r="FO116" i="1"/>
  <c r="FP116" i="1"/>
  <c r="FQ116" i="1"/>
  <c r="FR116" i="1"/>
  <c r="FS116" i="1"/>
  <c r="FT116" i="1"/>
  <c r="FU116" i="1"/>
  <c r="FV116" i="1"/>
  <c r="FW116" i="1"/>
  <c r="FX116" i="1"/>
  <c r="FY116" i="1"/>
  <c r="FZ116" i="1"/>
  <c r="GA116" i="1"/>
  <c r="GB116" i="1"/>
  <c r="GC116" i="1"/>
  <c r="GD116" i="1"/>
  <c r="GE116" i="1"/>
  <c r="GF116" i="1"/>
  <c r="GG116" i="1"/>
  <c r="GH116" i="1"/>
  <c r="GI116" i="1"/>
  <c r="GJ116" i="1"/>
  <c r="GK116" i="1"/>
  <c r="GL116" i="1"/>
  <c r="GM116" i="1"/>
  <c r="GN116" i="1"/>
  <c r="GO116" i="1"/>
  <c r="GP116" i="1"/>
  <c r="GQ116" i="1"/>
  <c r="GR116" i="1"/>
  <c r="GS116" i="1"/>
  <c r="GT116" i="1"/>
  <c r="GU116" i="1"/>
  <c r="GV116" i="1"/>
  <c r="GW116" i="1"/>
  <c r="GX116" i="1"/>
  <c r="C118" i="1"/>
  <c r="D118" i="1"/>
  <c r="I118" i="1"/>
  <c r="CX99" i="3" s="1"/>
  <c r="K118" i="1"/>
  <c r="AC118" i="1"/>
  <c r="AE118" i="1"/>
  <c r="AD118" i="1" s="1"/>
  <c r="AF118" i="1"/>
  <c r="AG118" i="1"/>
  <c r="AH118" i="1"/>
  <c r="AI118" i="1"/>
  <c r="AJ118" i="1"/>
  <c r="CX118" i="1" s="1"/>
  <c r="CQ118" i="1"/>
  <c r="CR118" i="1"/>
  <c r="CS118" i="1"/>
  <c r="CT118" i="1"/>
  <c r="CU118" i="1"/>
  <c r="CV118" i="1"/>
  <c r="CW118" i="1"/>
  <c r="GL118" i="1"/>
  <c r="BZ123" i="1" s="1"/>
  <c r="GO118" i="1"/>
  <c r="CC123" i="1" s="1"/>
  <c r="CC116" i="1" s="1"/>
  <c r="GP118" i="1"/>
  <c r="CD123" i="1" s="1"/>
  <c r="CD116" i="1" s="1"/>
  <c r="GV118" i="1"/>
  <c r="HC118" i="1"/>
  <c r="GX118" i="1" s="1"/>
  <c r="AC119" i="1"/>
  <c r="AE119" i="1"/>
  <c r="AD119" i="1" s="1"/>
  <c r="AB119" i="1" s="1"/>
  <c r="AF119" i="1"/>
  <c r="AG119" i="1"/>
  <c r="CU119" i="1" s="1"/>
  <c r="AH119" i="1"/>
  <c r="CV119" i="1" s="1"/>
  <c r="AI119" i="1"/>
  <c r="CW119" i="1" s="1"/>
  <c r="AJ119" i="1"/>
  <c r="CX119" i="1" s="1"/>
  <c r="CQ119" i="1"/>
  <c r="CR119" i="1"/>
  <c r="CS119" i="1"/>
  <c r="CT119" i="1"/>
  <c r="GL119" i="1"/>
  <c r="GO119" i="1"/>
  <c r="GP119" i="1"/>
  <c r="GV119" i="1"/>
  <c r="HC119" i="1" s="1"/>
  <c r="AC120" i="1"/>
  <c r="AE120" i="1"/>
  <c r="AD120" i="1" s="1"/>
  <c r="AF120" i="1"/>
  <c r="AG120" i="1"/>
  <c r="AH120" i="1"/>
  <c r="CV120" i="1" s="1"/>
  <c r="AI120" i="1"/>
  <c r="CW120" i="1" s="1"/>
  <c r="AJ120" i="1"/>
  <c r="CX120" i="1" s="1"/>
  <c r="CQ120" i="1"/>
  <c r="CR120" i="1"/>
  <c r="CS120" i="1"/>
  <c r="CT120" i="1"/>
  <c r="CU120" i="1"/>
  <c r="GL120" i="1"/>
  <c r="GO120" i="1"/>
  <c r="GP120" i="1"/>
  <c r="GV120" i="1"/>
  <c r="HC120" i="1"/>
  <c r="R121" i="1"/>
  <c r="S121" i="1"/>
  <c r="CY121" i="1" s="1"/>
  <c r="X121" i="1" s="1"/>
  <c r="T121" i="1"/>
  <c r="U121" i="1"/>
  <c r="V121" i="1"/>
  <c r="AC121" i="1"/>
  <c r="AE121" i="1"/>
  <c r="AD121" i="1" s="1"/>
  <c r="AF121" i="1"/>
  <c r="AG121" i="1"/>
  <c r="CU121" i="1" s="1"/>
  <c r="AH121" i="1"/>
  <c r="CV121" i="1" s="1"/>
  <c r="AI121" i="1"/>
  <c r="CW121" i="1" s="1"/>
  <c r="AJ121" i="1"/>
  <c r="CX121" i="1" s="1"/>
  <c r="W121" i="1" s="1"/>
  <c r="CQ121" i="1"/>
  <c r="P121" i="1" s="1"/>
  <c r="CR121" i="1"/>
  <c r="Q121" i="1" s="1"/>
  <c r="CS121" i="1"/>
  <c r="CT121" i="1"/>
  <c r="GL121" i="1"/>
  <c r="GO121" i="1"/>
  <c r="GP121" i="1"/>
  <c r="GV121" i="1"/>
  <c r="HC121" i="1"/>
  <c r="GX121" i="1" s="1"/>
  <c r="B123" i="1"/>
  <c r="C123" i="1"/>
  <c r="D123" i="1"/>
  <c r="F123" i="1"/>
  <c r="G123" i="1"/>
  <c r="AP123" i="1"/>
  <c r="AP116" i="1" s="1"/>
  <c r="BD123" i="1"/>
  <c r="BD116" i="1" s="1"/>
  <c r="BX123" i="1"/>
  <c r="BX116" i="1" s="1"/>
  <c r="BY123" i="1"/>
  <c r="BY116" i="1" s="1"/>
  <c r="CK123" i="1"/>
  <c r="BB123" i="1" s="1"/>
  <c r="BB116" i="1" s="1"/>
  <c r="CL123" i="1"/>
  <c r="BC123" i="1" s="1"/>
  <c r="CM123" i="1"/>
  <c r="CM116" i="1" s="1"/>
  <c r="F132" i="1"/>
  <c r="F148" i="1"/>
  <c r="B153" i="1"/>
  <c r="B22" i="1" s="1"/>
  <c r="C153" i="1"/>
  <c r="C22" i="1" s="1"/>
  <c r="D153" i="1"/>
  <c r="D22" i="1" s="1"/>
  <c r="F153" i="1"/>
  <c r="F22" i="1" s="1"/>
  <c r="G153" i="1"/>
  <c r="B187" i="1"/>
  <c r="B18" i="1" s="1"/>
  <c r="C187" i="1"/>
  <c r="C18" i="1" s="1"/>
  <c r="D187" i="1"/>
  <c r="D18" i="1" s="1"/>
  <c r="F187" i="1"/>
  <c r="F18" i="1" s="1"/>
  <c r="G187" i="1"/>
  <c r="G18" i="1" s="1"/>
  <c r="F12" i="6"/>
  <c r="G12" i="6"/>
  <c r="O66" i="1" l="1"/>
  <c r="L228" i="7"/>
  <c r="GM41" i="1"/>
  <c r="GO41" i="1" s="1"/>
  <c r="O55" i="1"/>
  <c r="GM55" i="1" s="1"/>
  <c r="GO55" i="1" s="1"/>
  <c r="O29" i="1"/>
  <c r="GM29" i="1" s="1"/>
  <c r="GO29" i="1" s="1"/>
  <c r="L76" i="7"/>
  <c r="AW187" i="7"/>
  <c r="AN187" i="7"/>
  <c r="O78" i="1"/>
  <c r="GM78" i="1" s="1"/>
  <c r="GO78" i="1" s="1"/>
  <c r="L308" i="7"/>
  <c r="L468" i="7"/>
  <c r="L462" i="7"/>
  <c r="L511" i="7" s="1"/>
  <c r="L255" i="7"/>
  <c r="L257" i="7"/>
  <c r="AT143" i="7"/>
  <c r="L329" i="7" s="1"/>
  <c r="L138" i="7"/>
  <c r="L169" i="7"/>
  <c r="L98" i="7"/>
  <c r="L75" i="7"/>
  <c r="L227" i="7"/>
  <c r="L376" i="7"/>
  <c r="L385" i="7"/>
  <c r="L383" i="7" s="1"/>
  <c r="L397" i="7"/>
  <c r="L426" i="7"/>
  <c r="L422" i="7" s="1"/>
  <c r="L419" i="7" s="1"/>
  <c r="L324" i="7"/>
  <c r="L492" i="7"/>
  <c r="L77" i="7"/>
  <c r="K47" i="7"/>
  <c r="L453" i="7"/>
  <c r="L336" i="7"/>
  <c r="L441" i="7"/>
  <c r="L327" i="7"/>
  <c r="L444" i="7"/>
  <c r="L495" i="7"/>
  <c r="L100" i="7"/>
  <c r="L140" i="7"/>
  <c r="L433" i="7"/>
  <c r="BZ84" i="1"/>
  <c r="CG84" i="1" s="1"/>
  <c r="AB118" i="1"/>
  <c r="AB42" i="1"/>
  <c r="AB65" i="1"/>
  <c r="AB77" i="1"/>
  <c r="AB74" i="1"/>
  <c r="AB32" i="1"/>
  <c r="AU123" i="1"/>
  <c r="F142" i="1" s="1"/>
  <c r="GM66" i="1"/>
  <c r="GO66" i="1" s="1"/>
  <c r="AB40" i="1"/>
  <c r="AT123" i="1"/>
  <c r="AB70" i="1"/>
  <c r="CP76" i="1"/>
  <c r="O76" i="1" s="1"/>
  <c r="GM76" i="1" s="1"/>
  <c r="GN76" i="1" s="1"/>
  <c r="CP68" i="1"/>
  <c r="O68" i="1" s="1"/>
  <c r="GM68" i="1" s="1"/>
  <c r="GO68" i="1" s="1"/>
  <c r="AB31" i="1"/>
  <c r="DH99" i="3"/>
  <c r="DI99" i="3"/>
  <c r="DG99" i="3"/>
  <c r="DF99" i="3"/>
  <c r="DJ99" i="3" s="1"/>
  <c r="W120" i="1"/>
  <c r="R119" i="1"/>
  <c r="AB62" i="1"/>
  <c r="AB82" i="1"/>
  <c r="CP121" i="1"/>
  <c r="O121" i="1" s="1"/>
  <c r="AB57" i="1"/>
  <c r="BC116" i="1"/>
  <c r="F139" i="1"/>
  <c r="U120" i="1"/>
  <c r="AQ123" i="1"/>
  <c r="CI123" i="1"/>
  <c r="BZ116" i="1"/>
  <c r="DI87" i="3"/>
  <c r="DG87" i="3"/>
  <c r="DH87" i="3"/>
  <c r="DF87" i="3"/>
  <c r="DJ87" i="3" s="1"/>
  <c r="DF56" i="3"/>
  <c r="DG56" i="3"/>
  <c r="DH56" i="3"/>
  <c r="DI56" i="3"/>
  <c r="DJ56" i="3" s="1"/>
  <c r="AB58" i="1"/>
  <c r="DF28" i="3"/>
  <c r="DJ28" i="3" s="1"/>
  <c r="DG28" i="3"/>
  <c r="DH28" i="3"/>
  <c r="DI28" i="3"/>
  <c r="CP72" i="1"/>
  <c r="O72" i="1" s="1"/>
  <c r="GM72" i="1" s="1"/>
  <c r="GO72" i="1" s="1"/>
  <c r="CY46" i="1"/>
  <c r="X46" i="1" s="1"/>
  <c r="GM46" i="1" s="1"/>
  <c r="GN46" i="1" s="1"/>
  <c r="CZ46" i="1"/>
  <c r="Y46" i="1" s="1"/>
  <c r="CX69" i="3"/>
  <c r="CX70" i="3"/>
  <c r="CU64" i="3"/>
  <c r="P75" i="1" s="1"/>
  <c r="CX71" i="3"/>
  <c r="CV64" i="3"/>
  <c r="U74" i="1" s="1"/>
  <c r="G267" i="7" s="1"/>
  <c r="CX64" i="3"/>
  <c r="CX72" i="3"/>
  <c r="CX66" i="3"/>
  <c r="R38" i="1"/>
  <c r="S38" i="1"/>
  <c r="CP34" i="1"/>
  <c r="O34" i="1" s="1"/>
  <c r="GM34" i="1" s="1"/>
  <c r="GO34" i="1" s="1"/>
  <c r="GX32" i="1"/>
  <c r="DG35" i="3"/>
  <c r="DH35" i="3"/>
  <c r="DI35" i="3"/>
  <c r="DJ35" i="3" s="1"/>
  <c r="DF35" i="3"/>
  <c r="AB67" i="1"/>
  <c r="DF25" i="3"/>
  <c r="DG25" i="3"/>
  <c r="DH25" i="3"/>
  <c r="DI25" i="3"/>
  <c r="DJ25" i="3" s="1"/>
  <c r="CK116" i="1"/>
  <c r="AB54" i="1"/>
  <c r="W119" i="1"/>
  <c r="T118" i="1"/>
  <c r="DF34" i="3"/>
  <c r="DH34" i="3"/>
  <c r="DI34" i="3"/>
  <c r="AB73" i="1"/>
  <c r="W62" i="1"/>
  <c r="FR80" i="1"/>
  <c r="BY84" i="1" s="1"/>
  <c r="V75" i="1"/>
  <c r="V62" i="1"/>
  <c r="AB52" i="1"/>
  <c r="CY44" i="1"/>
  <c r="X44" i="1" s="1"/>
  <c r="CZ44" i="1"/>
  <c r="Y44" i="1" s="1"/>
  <c r="W32" i="1"/>
  <c r="DF76" i="3"/>
  <c r="DJ76" i="3" s="1"/>
  <c r="DG76" i="3"/>
  <c r="DH76" i="3"/>
  <c r="DI76" i="3"/>
  <c r="CX73" i="3"/>
  <c r="CV73" i="3"/>
  <c r="U77" i="1" s="1"/>
  <c r="G289" i="7" s="1"/>
  <c r="CW68" i="3"/>
  <c r="CX68" i="3"/>
  <c r="DF41" i="3"/>
  <c r="DJ41" i="3" s="1"/>
  <c r="DG41" i="3"/>
  <c r="DH41" i="3"/>
  <c r="DI41" i="3"/>
  <c r="DF32" i="3"/>
  <c r="DJ32" i="3" s="1"/>
  <c r="DG32" i="3"/>
  <c r="DH32" i="3"/>
  <c r="DI32" i="3"/>
  <c r="AO26" i="1"/>
  <c r="F88" i="1"/>
  <c r="AB64" i="1"/>
  <c r="CU88" i="3"/>
  <c r="CX96" i="3"/>
  <c r="CX97" i="3"/>
  <c r="CX89" i="3"/>
  <c r="CX98" i="3"/>
  <c r="CX94" i="3"/>
  <c r="CW90" i="3"/>
  <c r="CX90" i="3"/>
  <c r="I119" i="1"/>
  <c r="CW92" i="3"/>
  <c r="I120" i="1"/>
  <c r="CX92" i="3"/>
  <c r="AB39" i="1"/>
  <c r="CM26" i="1"/>
  <c r="BD84" i="1"/>
  <c r="DF67" i="3"/>
  <c r="DG67" i="3"/>
  <c r="DH67" i="3"/>
  <c r="DI67" i="3"/>
  <c r="AB81" i="1"/>
  <c r="DG6" i="3"/>
  <c r="DH6" i="3"/>
  <c r="DI6" i="3"/>
  <c r="DF6" i="3"/>
  <c r="DJ6" i="3" s="1"/>
  <c r="CP64" i="1"/>
  <c r="O64" i="1" s="1"/>
  <c r="GM64" i="1" s="1"/>
  <c r="GO64" i="1" s="1"/>
  <c r="CP48" i="1"/>
  <c r="O48" i="1" s="1"/>
  <c r="GM48" i="1" s="1"/>
  <c r="GO48" i="1" s="1"/>
  <c r="AB44" i="1"/>
  <c r="CZ121" i="1"/>
  <c r="Y121" i="1" s="1"/>
  <c r="W118" i="1"/>
  <c r="U75" i="1"/>
  <c r="U62" i="1"/>
  <c r="AB59" i="1"/>
  <c r="W58" i="1"/>
  <c r="CP44" i="1"/>
  <c r="O44" i="1" s="1"/>
  <c r="AB43" i="1"/>
  <c r="CP37" i="1"/>
  <c r="O37" i="1" s="1"/>
  <c r="GM37" i="1" s="1"/>
  <c r="GO37" i="1" s="1"/>
  <c r="CD84" i="1"/>
  <c r="DG86" i="3"/>
  <c r="DH86" i="3"/>
  <c r="DI86" i="3"/>
  <c r="DF86" i="3"/>
  <c r="DJ86" i="3" s="1"/>
  <c r="DG55" i="3"/>
  <c r="DH55" i="3"/>
  <c r="DI55" i="3"/>
  <c r="DF55" i="3"/>
  <c r="DF17" i="3"/>
  <c r="DG17" i="3"/>
  <c r="BB153" i="1"/>
  <c r="F136" i="1"/>
  <c r="P119" i="1"/>
  <c r="FR82" i="1"/>
  <c r="CP82" i="1"/>
  <c r="O82" i="1" s="1"/>
  <c r="GM82" i="1" s="1"/>
  <c r="CP67" i="1"/>
  <c r="O67" i="1" s="1"/>
  <c r="GM67" i="1" s="1"/>
  <c r="GO67" i="1" s="1"/>
  <c r="CP52" i="1"/>
  <c r="O52" i="1" s="1"/>
  <c r="GM52" i="1" s="1"/>
  <c r="GO52" i="1" s="1"/>
  <c r="GM56" i="1"/>
  <c r="GO56" i="1" s="1"/>
  <c r="CX93" i="3"/>
  <c r="DF75" i="3"/>
  <c r="DJ75" i="3" s="1"/>
  <c r="DG75" i="3"/>
  <c r="DH75" i="3"/>
  <c r="DI75" i="3"/>
  <c r="BB26" i="1"/>
  <c r="F97" i="1"/>
  <c r="AB41" i="1"/>
  <c r="CW91" i="3"/>
  <c r="CX91" i="3"/>
  <c r="AB49" i="1"/>
  <c r="CW11" i="3"/>
  <c r="V32" i="1" s="1"/>
  <c r="G91" i="7" s="1"/>
  <c r="CX11" i="3"/>
  <c r="AB79" i="1"/>
  <c r="AB68" i="1"/>
  <c r="W75" i="1"/>
  <c r="CG123" i="1"/>
  <c r="AO123" i="1"/>
  <c r="AB80" i="1"/>
  <c r="AB75" i="1"/>
  <c r="V58" i="1"/>
  <c r="DF42" i="3"/>
  <c r="P54" i="1" s="1"/>
  <c r="DH42" i="3"/>
  <c r="DI42" i="3"/>
  <c r="DG42" i="3"/>
  <c r="DG34" i="3"/>
  <c r="CL116" i="1"/>
  <c r="DG15" i="3"/>
  <c r="DH15" i="3"/>
  <c r="DI15" i="3"/>
  <c r="DF15" i="3"/>
  <c r="DJ15" i="3" s="1"/>
  <c r="AB66" i="1"/>
  <c r="CP36" i="1"/>
  <c r="O36" i="1" s="1"/>
  <c r="GM36" i="1" s="1"/>
  <c r="GO36" i="1" s="1"/>
  <c r="CX12" i="3"/>
  <c r="CX13" i="3"/>
  <c r="CX14" i="3"/>
  <c r="CU9" i="3"/>
  <c r="CV9" i="3"/>
  <c r="U32" i="1" s="1"/>
  <c r="G88" i="7" s="1"/>
  <c r="CX9" i="3"/>
  <c r="T32" i="1"/>
  <c r="U28" i="1"/>
  <c r="G64" i="7" s="1"/>
  <c r="AB120" i="1"/>
  <c r="DF65" i="3"/>
  <c r="DG65" i="3"/>
  <c r="DH65" i="3"/>
  <c r="DI65" i="3"/>
  <c r="DJ65" i="3" s="1"/>
  <c r="AB121" i="1"/>
  <c r="CP81" i="1"/>
  <c r="O81" i="1" s="1"/>
  <c r="GM81" i="1" s="1"/>
  <c r="CP73" i="1"/>
  <c r="O73" i="1" s="1"/>
  <c r="GM73" i="1" s="1"/>
  <c r="GO73" i="1" s="1"/>
  <c r="S62" i="1"/>
  <c r="CP62" i="1" s="1"/>
  <c r="O62" i="1" s="1"/>
  <c r="GM62" i="1" s="1"/>
  <c r="GO62" i="1" s="1"/>
  <c r="CP57" i="1"/>
  <c r="O57" i="1" s="1"/>
  <c r="GM57" i="1" s="1"/>
  <c r="GO57" i="1" s="1"/>
  <c r="CP45" i="1"/>
  <c r="O45" i="1" s="1"/>
  <c r="GM45" i="1" s="1"/>
  <c r="GN45" i="1" s="1"/>
  <c r="DF74" i="3"/>
  <c r="DG74" i="3"/>
  <c r="DH74" i="3"/>
  <c r="DI74" i="3"/>
  <c r="DF49" i="3"/>
  <c r="DJ49" i="3" s="1"/>
  <c r="DG49" i="3"/>
  <c r="DH49" i="3"/>
  <c r="DI49" i="3"/>
  <c r="GX74" i="1"/>
  <c r="R63" i="1"/>
  <c r="S58" i="1"/>
  <c r="CP39" i="1"/>
  <c r="O39" i="1" s="1"/>
  <c r="GM39" i="1" s="1"/>
  <c r="GO39" i="1" s="1"/>
  <c r="W38" i="1"/>
  <c r="AB38" i="1"/>
  <c r="AB36" i="1"/>
  <c r="DG81" i="3"/>
  <c r="DH81" i="3"/>
  <c r="DI81" i="3"/>
  <c r="DF81" i="3"/>
  <c r="DJ81" i="3" s="1"/>
  <c r="CV24" i="3"/>
  <c r="U42" i="1" s="1"/>
  <c r="G124" i="7" s="1"/>
  <c r="CX24" i="3"/>
  <c r="DF20" i="3"/>
  <c r="DJ20" i="3" s="1"/>
  <c r="DG20" i="3"/>
  <c r="DH20" i="3"/>
  <c r="DI20" i="3"/>
  <c r="DF2" i="3"/>
  <c r="DI2" i="3"/>
  <c r="DJ2" i="3" s="1"/>
  <c r="GX63" i="1"/>
  <c r="Q63" i="1"/>
  <c r="CU46" i="3"/>
  <c r="P60" i="1" s="1"/>
  <c r="CV46" i="3"/>
  <c r="U59" i="1" s="1"/>
  <c r="G200" i="7" s="1"/>
  <c r="CX46" i="3"/>
  <c r="CX48" i="3"/>
  <c r="I61" i="1"/>
  <c r="P61" i="1" s="1"/>
  <c r="R58" i="1"/>
  <c r="P31" i="1"/>
  <c r="CP31" i="1" s="1"/>
  <c r="O31" i="1" s="1"/>
  <c r="GM31" i="1" s="1"/>
  <c r="GN31" i="1" s="1"/>
  <c r="Q31" i="1"/>
  <c r="CV88" i="3"/>
  <c r="U118" i="1" s="1"/>
  <c r="G357" i="7" s="1"/>
  <c r="CX88" i="3"/>
  <c r="CW66" i="3"/>
  <c r="CX61" i="3"/>
  <c r="CX62" i="3"/>
  <c r="CU55" i="3"/>
  <c r="CX63" i="3"/>
  <c r="CV55" i="3"/>
  <c r="U70" i="1" s="1"/>
  <c r="G242" i="7" s="1"/>
  <c r="CW58" i="3"/>
  <c r="CX58" i="3"/>
  <c r="CX59" i="3"/>
  <c r="CW57" i="3"/>
  <c r="P63" i="1"/>
  <c r="Q58" i="1"/>
  <c r="AB53" i="1"/>
  <c r="DG39" i="3"/>
  <c r="DH39" i="3"/>
  <c r="DI39" i="3"/>
  <c r="CX95" i="3"/>
  <c r="DF85" i="3"/>
  <c r="DJ85" i="3" s="1"/>
  <c r="DH85" i="3"/>
  <c r="DI85" i="3"/>
  <c r="CX47" i="3"/>
  <c r="T70" i="1"/>
  <c r="AB69" i="1"/>
  <c r="P58" i="1"/>
  <c r="U48" i="1"/>
  <c r="V37" i="1"/>
  <c r="CP30" i="1"/>
  <c r="O30" i="1" s="1"/>
  <c r="GM30" i="1" s="1"/>
  <c r="GN30" i="1" s="1"/>
  <c r="DG43" i="3"/>
  <c r="DH43" i="3"/>
  <c r="DI43" i="3"/>
  <c r="BC84" i="1"/>
  <c r="P71" i="1"/>
  <c r="GX71" i="1"/>
  <c r="T60" i="1"/>
  <c r="GX58" i="1"/>
  <c r="GX38" i="1"/>
  <c r="U37" i="1"/>
  <c r="CX57" i="3"/>
  <c r="AB47" i="1"/>
  <c r="Q38" i="1"/>
  <c r="P33" i="1"/>
  <c r="DF82" i="3"/>
  <c r="DJ82" i="3" s="1"/>
  <c r="DG82" i="3"/>
  <c r="DH82" i="3"/>
  <c r="DI82" i="3"/>
  <c r="CW36" i="3"/>
  <c r="CX36" i="3"/>
  <c r="DF7" i="3"/>
  <c r="DJ7" i="3" s="1"/>
  <c r="DG7" i="3"/>
  <c r="DH7" i="3"/>
  <c r="DI7" i="3"/>
  <c r="P38" i="1"/>
  <c r="CP38" i="1" s="1"/>
  <c r="O38" i="1" s="1"/>
  <c r="GM38" i="1" s="1"/>
  <c r="GO38" i="1" s="1"/>
  <c r="AB29" i="1"/>
  <c r="DF50" i="3"/>
  <c r="DG50" i="3"/>
  <c r="Q65" i="1" s="1"/>
  <c r="DH50" i="3"/>
  <c r="R65" i="1" s="1"/>
  <c r="CY65" i="1" s="1"/>
  <c r="X65" i="1" s="1"/>
  <c r="AZ232" i="7" s="1"/>
  <c r="L230" i="7" s="1"/>
  <c r="CX26" i="3"/>
  <c r="DH18" i="3"/>
  <c r="DJ18" i="3" s="1"/>
  <c r="DF18" i="3"/>
  <c r="DJ16" i="3"/>
  <c r="CX29" i="3"/>
  <c r="CX30" i="3"/>
  <c r="CU24" i="3"/>
  <c r="P43" i="1" s="1"/>
  <c r="CX31" i="3"/>
  <c r="DF51" i="3"/>
  <c r="DJ51" i="3" s="1"/>
  <c r="DG51" i="3"/>
  <c r="DF40" i="3"/>
  <c r="DJ40" i="3" s="1"/>
  <c r="DG40" i="3"/>
  <c r="DH40" i="3"/>
  <c r="DI40" i="3"/>
  <c r="CX33" i="3"/>
  <c r="CX10" i="3"/>
  <c r="CY45" i="1"/>
  <c r="X45" i="1" s="1"/>
  <c r="CZ45" i="1"/>
  <c r="Y45" i="1" s="1"/>
  <c r="T42" i="1"/>
  <c r="GX33" i="1"/>
  <c r="DG44" i="3"/>
  <c r="DH44" i="3"/>
  <c r="DI44" i="3"/>
  <c r="CW27" i="3"/>
  <c r="V42" i="1" s="1"/>
  <c r="G127" i="7" s="1"/>
  <c r="CX27" i="3"/>
  <c r="CW19" i="3"/>
  <c r="V40" i="1" s="1"/>
  <c r="CX19" i="3"/>
  <c r="AB28" i="1"/>
  <c r="DF83" i="3"/>
  <c r="DJ83" i="3" s="1"/>
  <c r="DG83" i="3"/>
  <c r="DH83" i="3"/>
  <c r="DG52" i="3"/>
  <c r="CU34" i="3"/>
  <c r="P50" i="1" s="1"/>
  <c r="DG23" i="3"/>
  <c r="DH23" i="3"/>
  <c r="DI23" i="3"/>
  <c r="DF8" i="3"/>
  <c r="DJ8" i="3" s="1"/>
  <c r="DG8" i="3"/>
  <c r="DH8" i="3"/>
  <c r="DI8" i="3"/>
  <c r="CX60" i="3"/>
  <c r="DF16" i="3"/>
  <c r="DG16" i="3"/>
  <c r="DH16" i="3"/>
  <c r="CV3" i="3"/>
  <c r="CX3" i="3"/>
  <c r="DF84" i="3"/>
  <c r="DJ84" i="3" s="1"/>
  <c r="DG84" i="3"/>
  <c r="CW37" i="3"/>
  <c r="CX37" i="3"/>
  <c r="CX38" i="3"/>
  <c r="CX1" i="3"/>
  <c r="CX5" i="3"/>
  <c r="DI80" i="3"/>
  <c r="DI22" i="3"/>
  <c r="AQ84" i="1" l="1"/>
  <c r="AQ153" i="1" s="1"/>
  <c r="O75" i="1"/>
  <c r="GM75" i="1" s="1"/>
  <c r="GO75" i="1" s="1"/>
  <c r="L281" i="7"/>
  <c r="BZ26" i="1"/>
  <c r="AN308" i="7"/>
  <c r="AW308" i="7"/>
  <c r="O43" i="1"/>
  <c r="GM43" i="1" s="1"/>
  <c r="GO43" i="1" s="1"/>
  <c r="L139" i="7"/>
  <c r="O60" i="1"/>
  <c r="GM60" i="1" s="1"/>
  <c r="GO60" i="1" s="1"/>
  <c r="L205" i="7"/>
  <c r="AW76" i="7"/>
  <c r="AN76" i="7"/>
  <c r="O50" i="1"/>
  <c r="GM50" i="1" s="1"/>
  <c r="GO50" i="1" s="1"/>
  <c r="L170" i="7"/>
  <c r="O71" i="1"/>
  <c r="GM71" i="1" s="1"/>
  <c r="GO71" i="1" s="1"/>
  <c r="L256" i="7"/>
  <c r="AN228" i="7"/>
  <c r="AW228" i="7"/>
  <c r="O33" i="1"/>
  <c r="GM33" i="1" s="1"/>
  <c r="GO33" i="1" s="1"/>
  <c r="L99" i="7"/>
  <c r="L497" i="7"/>
  <c r="L493" i="7" s="1"/>
  <c r="L504" i="7"/>
  <c r="L446" i="7"/>
  <c r="K48" i="7"/>
  <c r="L442" i="7"/>
  <c r="L325" i="7"/>
  <c r="AU116" i="1"/>
  <c r="F141" i="1"/>
  <c r="AT116" i="1"/>
  <c r="DG47" i="3"/>
  <c r="DH47" i="3"/>
  <c r="DI47" i="3"/>
  <c r="DF47" i="3"/>
  <c r="DJ47" i="3" s="1"/>
  <c r="AO116" i="1"/>
  <c r="F127" i="1"/>
  <c r="AO153" i="1"/>
  <c r="DF58" i="3"/>
  <c r="P70" i="1" s="1"/>
  <c r="DG58" i="3"/>
  <c r="DH58" i="3"/>
  <c r="DI58" i="3"/>
  <c r="BD26" i="1"/>
  <c r="F109" i="1"/>
  <c r="BD153" i="1"/>
  <c r="DH71" i="3"/>
  <c r="DI71" i="3"/>
  <c r="DF71" i="3"/>
  <c r="DJ71" i="3" s="1"/>
  <c r="DG71" i="3"/>
  <c r="AZ123" i="1"/>
  <c r="CI116" i="1"/>
  <c r="DG31" i="3"/>
  <c r="DH31" i="3"/>
  <c r="DI31" i="3"/>
  <c r="DF31" i="3"/>
  <c r="DJ31" i="3" s="1"/>
  <c r="DF68" i="3"/>
  <c r="DG68" i="3"/>
  <c r="DH68" i="3"/>
  <c r="DI68" i="3"/>
  <c r="Q40" i="1"/>
  <c r="DF11" i="3"/>
  <c r="DG11" i="3"/>
  <c r="DH11" i="3"/>
  <c r="DI11" i="3"/>
  <c r="CZ65" i="1"/>
  <c r="Y65" i="1" s="1"/>
  <c r="BA232" i="7" s="1"/>
  <c r="L231" i="7" s="1"/>
  <c r="AN232" i="7" s="1"/>
  <c r="Q120" i="1"/>
  <c r="R120" i="1"/>
  <c r="T120" i="1"/>
  <c r="AG123" i="1" s="1"/>
  <c r="DF60" i="3"/>
  <c r="DJ60" i="3" s="1"/>
  <c r="DG60" i="3"/>
  <c r="DH60" i="3"/>
  <c r="DI60" i="3"/>
  <c r="DI29" i="3"/>
  <c r="DG29" i="3"/>
  <c r="DH29" i="3"/>
  <c r="DF29" i="3"/>
  <c r="DJ29" i="3" s="1"/>
  <c r="DF62" i="3"/>
  <c r="DJ62" i="3" s="1"/>
  <c r="DI62" i="3"/>
  <c r="DG62" i="3"/>
  <c r="DH62" i="3"/>
  <c r="CG26" i="1"/>
  <c r="AX84" i="1"/>
  <c r="DH38" i="3"/>
  <c r="DI38" i="3"/>
  <c r="DF38" i="3"/>
  <c r="DJ38" i="3" s="1"/>
  <c r="DG38" i="3"/>
  <c r="DF33" i="3"/>
  <c r="DJ33" i="3" s="1"/>
  <c r="DG33" i="3"/>
  <c r="DH33" i="3"/>
  <c r="DI33" i="3"/>
  <c r="CP58" i="1"/>
  <c r="O58" i="1" s="1"/>
  <c r="GM58" i="1" s="1"/>
  <c r="GO58" i="1" s="1"/>
  <c r="V74" i="1"/>
  <c r="G270" i="7" s="1"/>
  <c r="DF91" i="3"/>
  <c r="DG91" i="3"/>
  <c r="DH91" i="3"/>
  <c r="DI91" i="3"/>
  <c r="DJ55" i="3"/>
  <c r="DG90" i="3"/>
  <c r="DH90" i="3"/>
  <c r="DI90" i="3"/>
  <c r="DF90" i="3"/>
  <c r="V120" i="1"/>
  <c r="AH84" i="1"/>
  <c r="DF9" i="3"/>
  <c r="DI9" i="3"/>
  <c r="DH9" i="3"/>
  <c r="DG9" i="3"/>
  <c r="AQ116" i="1"/>
  <c r="F133" i="1"/>
  <c r="DF69" i="3"/>
  <c r="DJ69" i="3" s="1"/>
  <c r="DG69" i="3"/>
  <c r="DH69" i="3"/>
  <c r="DI69" i="3"/>
  <c r="P40" i="1"/>
  <c r="DH30" i="3"/>
  <c r="DI30" i="3"/>
  <c r="DG30" i="3"/>
  <c r="DF30" i="3"/>
  <c r="DJ30" i="3" s="1"/>
  <c r="DH14" i="3"/>
  <c r="DI14" i="3"/>
  <c r="DF14" i="3"/>
  <c r="DJ14" i="3" s="1"/>
  <c r="DG14" i="3"/>
  <c r="DF93" i="3"/>
  <c r="DJ93" i="3" s="1"/>
  <c r="DG93" i="3"/>
  <c r="DH93" i="3"/>
  <c r="DI93" i="3"/>
  <c r="DF73" i="3"/>
  <c r="P77" i="1" s="1"/>
  <c r="DG73" i="3"/>
  <c r="Q77" i="1" s="1"/>
  <c r="DH73" i="3"/>
  <c r="R77" i="1" s="1"/>
  <c r="DI73" i="3"/>
  <c r="DH10" i="3"/>
  <c r="DI10" i="3"/>
  <c r="DJ10" i="3" s="1"/>
  <c r="DF10" i="3"/>
  <c r="DG10" i="3"/>
  <c r="DG36" i="3"/>
  <c r="DH36" i="3"/>
  <c r="R49" i="1" s="1"/>
  <c r="DI36" i="3"/>
  <c r="S49" i="1" s="1"/>
  <c r="DF36" i="3"/>
  <c r="DH88" i="3"/>
  <c r="DI88" i="3"/>
  <c r="DG88" i="3"/>
  <c r="DF88" i="3"/>
  <c r="V118" i="1"/>
  <c r="DF66" i="3"/>
  <c r="DG66" i="3"/>
  <c r="DH66" i="3"/>
  <c r="DI66" i="3"/>
  <c r="GM121" i="1"/>
  <c r="GN121" i="1" s="1"/>
  <c r="DF3" i="3"/>
  <c r="DI3" i="3"/>
  <c r="DJ3" i="3" s="1"/>
  <c r="DG3" i="3"/>
  <c r="DH3" i="3"/>
  <c r="CG116" i="1"/>
  <c r="AX123" i="1"/>
  <c r="P65" i="1"/>
  <c r="CP65" i="1" s="1"/>
  <c r="O65" i="1" s="1"/>
  <c r="Q61" i="1"/>
  <c r="CP61" i="1" s="1"/>
  <c r="O61" i="1" s="1"/>
  <c r="R61" i="1"/>
  <c r="S61" i="1"/>
  <c r="V61" i="1"/>
  <c r="W61" i="1"/>
  <c r="AJ84" i="1" s="1"/>
  <c r="U61" i="1"/>
  <c r="T61" i="1"/>
  <c r="AG84" i="1" s="1"/>
  <c r="BB22" i="1"/>
  <c r="BB187" i="1"/>
  <c r="F166" i="1"/>
  <c r="DF96" i="3"/>
  <c r="DJ96" i="3" s="1"/>
  <c r="DG96" i="3"/>
  <c r="DH96" i="3"/>
  <c r="DI96" i="3"/>
  <c r="DF24" i="3"/>
  <c r="DG24" i="3"/>
  <c r="DH24" i="3"/>
  <c r="DI24" i="3"/>
  <c r="CD26" i="1"/>
  <c r="AU84" i="1"/>
  <c r="DH46" i="3"/>
  <c r="DI46" i="3"/>
  <c r="DF46" i="3"/>
  <c r="DG46" i="3"/>
  <c r="Q59" i="1" s="1"/>
  <c r="Q54" i="1"/>
  <c r="BY26" i="1"/>
  <c r="AP84" i="1"/>
  <c r="CI84" i="1"/>
  <c r="DH5" i="3"/>
  <c r="DI5" i="3"/>
  <c r="DG5" i="3"/>
  <c r="DF5" i="3"/>
  <c r="DF57" i="3"/>
  <c r="DG57" i="3"/>
  <c r="DH57" i="3"/>
  <c r="R70" i="1" s="1"/>
  <c r="DI57" i="3"/>
  <c r="S70" i="1" s="1"/>
  <c r="DI13" i="3"/>
  <c r="DF13" i="3"/>
  <c r="DJ13" i="3" s="1"/>
  <c r="DG13" i="3"/>
  <c r="DH13" i="3"/>
  <c r="GM44" i="1"/>
  <c r="GN44" i="1" s="1"/>
  <c r="CB84" i="1" s="1"/>
  <c r="DF1" i="3"/>
  <c r="P28" i="1" s="1"/>
  <c r="DG1" i="3"/>
  <c r="Q28" i="1" s="1"/>
  <c r="DH1" i="3"/>
  <c r="DI1" i="3"/>
  <c r="DF19" i="3"/>
  <c r="DG19" i="3"/>
  <c r="DH19" i="3"/>
  <c r="R40" i="1" s="1"/>
  <c r="DI19" i="3"/>
  <c r="S40" i="1" s="1"/>
  <c r="V49" i="1"/>
  <c r="CP63" i="1"/>
  <c r="O63" i="1" s="1"/>
  <c r="GM63" i="1" s="1"/>
  <c r="GO63" i="1" s="1"/>
  <c r="AH123" i="1"/>
  <c r="DJ74" i="3"/>
  <c r="DF94" i="3"/>
  <c r="DJ94" i="3" s="1"/>
  <c r="DG94" i="3"/>
  <c r="DH94" i="3"/>
  <c r="DI94" i="3"/>
  <c r="GX61" i="1"/>
  <c r="CJ84" i="1" s="1"/>
  <c r="DG72" i="3"/>
  <c r="DH72" i="3"/>
  <c r="DI72" i="3"/>
  <c r="DF72" i="3"/>
  <c r="DJ72" i="3" s="1"/>
  <c r="DF59" i="3"/>
  <c r="DJ59" i="3" s="1"/>
  <c r="DG59" i="3"/>
  <c r="DH59" i="3"/>
  <c r="DI59" i="3"/>
  <c r="DI89" i="3"/>
  <c r="DJ89" i="3" s="1"/>
  <c r="DG89" i="3"/>
  <c r="DH89" i="3"/>
  <c r="DF89" i="3"/>
  <c r="BC26" i="1"/>
  <c r="F100" i="1"/>
  <c r="BC153" i="1"/>
  <c r="DF97" i="3"/>
  <c r="DJ97" i="3" s="1"/>
  <c r="DG97" i="3"/>
  <c r="DH97" i="3"/>
  <c r="DI97" i="3"/>
  <c r="DF48" i="3"/>
  <c r="DJ48" i="3" s="1"/>
  <c r="DG48" i="3"/>
  <c r="DH48" i="3"/>
  <c r="DI48" i="3"/>
  <c r="DI70" i="3"/>
  <c r="DG70" i="3"/>
  <c r="DH70" i="3"/>
  <c r="DF70" i="3"/>
  <c r="DJ70" i="3" s="1"/>
  <c r="DF95" i="3"/>
  <c r="DJ95" i="3" s="1"/>
  <c r="DG95" i="3"/>
  <c r="DH95" i="3"/>
  <c r="DI95" i="3"/>
  <c r="DI63" i="3"/>
  <c r="DG63" i="3"/>
  <c r="DH63" i="3"/>
  <c r="DF63" i="3"/>
  <c r="DJ63" i="3" s="1"/>
  <c r="DF92" i="3"/>
  <c r="DG92" i="3"/>
  <c r="DH92" i="3"/>
  <c r="DI92" i="3"/>
  <c r="S54" i="1"/>
  <c r="DJ42" i="3"/>
  <c r="R54" i="1"/>
  <c r="DF61" i="3"/>
  <c r="DJ61" i="3" s="1"/>
  <c r="DG61" i="3"/>
  <c r="DH61" i="3"/>
  <c r="DI61" i="3"/>
  <c r="DF12" i="3"/>
  <c r="DJ12" i="3" s="1"/>
  <c r="DG12" i="3"/>
  <c r="DH12" i="3"/>
  <c r="DI12" i="3"/>
  <c r="S119" i="1"/>
  <c r="GX119" i="1"/>
  <c r="V119" i="1"/>
  <c r="T119" i="1"/>
  <c r="U119" i="1"/>
  <c r="GX120" i="1"/>
  <c r="DI37" i="3"/>
  <c r="DG37" i="3"/>
  <c r="DH37" i="3"/>
  <c r="DF37" i="3"/>
  <c r="P49" i="1" s="1"/>
  <c r="DF27" i="3"/>
  <c r="DG27" i="3"/>
  <c r="DH27" i="3"/>
  <c r="DI27" i="3"/>
  <c r="DH26" i="3"/>
  <c r="DF26" i="3"/>
  <c r="DG26" i="3"/>
  <c r="DJ26" i="3" s="1"/>
  <c r="DI26" i="3"/>
  <c r="S120" i="1"/>
  <c r="V70" i="1"/>
  <c r="G245" i="7" s="1"/>
  <c r="P120" i="1"/>
  <c r="CP120" i="1" s="1"/>
  <c r="O120" i="1" s="1"/>
  <c r="AJ123" i="1"/>
  <c r="DJ67" i="3"/>
  <c r="DI98" i="3"/>
  <c r="DF98" i="3"/>
  <c r="DJ98" i="3" s="1"/>
  <c r="DG98" i="3"/>
  <c r="DH98" i="3"/>
  <c r="DJ34" i="3"/>
  <c r="DF64" i="3"/>
  <c r="DG64" i="3"/>
  <c r="DH64" i="3"/>
  <c r="DI64" i="3"/>
  <c r="Q119" i="1"/>
  <c r="CP119" i="1" s="1"/>
  <c r="O119" i="1" s="1"/>
  <c r="AQ26" i="1" l="1"/>
  <c r="F94" i="1"/>
  <c r="AN99" i="7"/>
  <c r="AW99" i="7"/>
  <c r="AN205" i="7"/>
  <c r="AW205" i="7"/>
  <c r="AN139" i="7"/>
  <c r="AW139" i="7"/>
  <c r="AI84" i="1"/>
  <c r="AI26" i="1" s="1"/>
  <c r="G160" i="7"/>
  <c r="AW256" i="7"/>
  <c r="L501" i="7" s="1"/>
  <c r="L499" i="7" s="1"/>
  <c r="L490" i="7" s="1"/>
  <c r="AN256" i="7"/>
  <c r="AI123" i="1"/>
  <c r="V123" i="1" s="1"/>
  <c r="G360" i="7"/>
  <c r="AW170" i="7"/>
  <c r="AN170" i="7"/>
  <c r="AW281" i="7"/>
  <c r="AN281" i="7"/>
  <c r="L450" i="7"/>
  <c r="L448" i="7" s="1"/>
  <c r="L439" i="7" s="1"/>
  <c r="K232" i="7"/>
  <c r="I232" i="7" s="1"/>
  <c r="CP54" i="1"/>
  <c r="O54" i="1" s="1"/>
  <c r="GM65" i="1"/>
  <c r="GO65" i="1" s="1"/>
  <c r="CY70" i="1"/>
  <c r="X70" i="1" s="1"/>
  <c r="AZ260" i="7" s="1"/>
  <c r="L258" i="7" s="1"/>
  <c r="CZ70" i="1"/>
  <c r="Y70" i="1" s="1"/>
  <c r="BA260" i="7" s="1"/>
  <c r="L259" i="7" s="1"/>
  <c r="T84" i="1"/>
  <c r="AG26" i="1"/>
  <c r="CY49" i="1"/>
  <c r="X49" i="1" s="1"/>
  <c r="AZ174" i="7" s="1"/>
  <c r="L172" i="7" s="1"/>
  <c r="CZ49" i="1"/>
  <c r="Y49" i="1" s="1"/>
  <c r="BA174" i="7" s="1"/>
  <c r="L173" i="7" s="1"/>
  <c r="CJ26" i="1"/>
  <c r="BA84" i="1"/>
  <c r="CB26" i="1"/>
  <c r="AS84" i="1"/>
  <c r="AJ26" i="1"/>
  <c r="W84" i="1"/>
  <c r="T123" i="1"/>
  <c r="AG116" i="1"/>
  <c r="CP40" i="1"/>
  <c r="O40" i="1" s="1"/>
  <c r="P42" i="1"/>
  <c r="AX26" i="1"/>
  <c r="AX153" i="1"/>
  <c r="F91" i="1"/>
  <c r="R42" i="1"/>
  <c r="Q42" i="1"/>
  <c r="AO22" i="1"/>
  <c r="F157" i="1"/>
  <c r="AO187" i="1"/>
  <c r="DJ1" i="3"/>
  <c r="S28" i="1"/>
  <c r="R59" i="1"/>
  <c r="BB18" i="1"/>
  <c r="F200" i="1"/>
  <c r="Q118" i="1"/>
  <c r="AD123" i="1" s="1"/>
  <c r="DJ73" i="3"/>
  <c r="S77" i="1"/>
  <c r="CP77" i="1" s="1"/>
  <c r="O77" i="1" s="1"/>
  <c r="Q32" i="1"/>
  <c r="AQ22" i="1"/>
  <c r="AQ187" i="1"/>
  <c r="F163" i="1"/>
  <c r="DJ27" i="3"/>
  <c r="BC22" i="1"/>
  <c r="F169" i="1"/>
  <c r="BC187" i="1"/>
  <c r="DJ92" i="3"/>
  <c r="AP26" i="1"/>
  <c r="AP153" i="1"/>
  <c r="F93" i="1"/>
  <c r="CY61" i="1"/>
  <c r="X61" i="1" s="1"/>
  <c r="GM61" i="1" s="1"/>
  <c r="GO61" i="1" s="1"/>
  <c r="CZ61" i="1"/>
  <c r="Y61" i="1" s="1"/>
  <c r="DJ64" i="3"/>
  <c r="S74" i="1"/>
  <c r="CY40" i="1"/>
  <c r="X40" i="1" s="1"/>
  <c r="CZ40" i="1"/>
  <c r="Y40" i="1" s="1"/>
  <c r="AH26" i="1"/>
  <c r="U84" i="1"/>
  <c r="DJ68" i="3"/>
  <c r="P74" i="1"/>
  <c r="P59" i="1"/>
  <c r="F130" i="1"/>
  <c r="AX116" i="1"/>
  <c r="DJ46" i="3"/>
  <c r="S59" i="1"/>
  <c r="R28" i="1"/>
  <c r="AU26" i="1"/>
  <c r="F103" i="1"/>
  <c r="AU153" i="1"/>
  <c r="DJ88" i="3"/>
  <c r="S118" i="1"/>
  <c r="R32" i="1"/>
  <c r="DJ90" i="3"/>
  <c r="U123" i="1"/>
  <c r="AH116" i="1"/>
  <c r="F134" i="1"/>
  <c r="AZ116" i="1"/>
  <c r="DJ91" i="3"/>
  <c r="DJ66" i="3"/>
  <c r="Q74" i="1"/>
  <c r="BD22" i="1"/>
  <c r="BD187" i="1"/>
  <c r="F178" i="1"/>
  <c r="DJ57" i="3"/>
  <c r="DJ5" i="3"/>
  <c r="R118" i="1"/>
  <c r="AE123" i="1" s="1"/>
  <c r="S32" i="1"/>
  <c r="DJ9" i="3"/>
  <c r="CY119" i="1"/>
  <c r="X119" i="1" s="1"/>
  <c r="GM119" i="1" s="1"/>
  <c r="GN119" i="1" s="1"/>
  <c r="CZ119" i="1"/>
  <c r="Y119" i="1" s="1"/>
  <c r="CI26" i="1"/>
  <c r="AZ84" i="1"/>
  <c r="DJ36" i="3"/>
  <c r="W123" i="1"/>
  <c r="AJ116" i="1"/>
  <c r="R74" i="1"/>
  <c r="Q49" i="1"/>
  <c r="CP49" i="1" s="1"/>
  <c r="O49" i="1" s="1"/>
  <c r="DJ37" i="3"/>
  <c r="AI116" i="1"/>
  <c r="CZ120" i="1"/>
  <c r="Y120" i="1" s="1"/>
  <c r="CY120" i="1"/>
  <c r="X120" i="1" s="1"/>
  <c r="GM120" i="1" s="1"/>
  <c r="GN120" i="1" s="1"/>
  <c r="DJ19" i="3"/>
  <c r="P118" i="1"/>
  <c r="CJ123" i="1"/>
  <c r="CY54" i="1"/>
  <c r="X54" i="1" s="1"/>
  <c r="AZ192" i="7" s="1"/>
  <c r="L190" i="7" s="1"/>
  <c r="CZ54" i="1"/>
  <c r="Y54" i="1" s="1"/>
  <c r="BA192" i="7" s="1"/>
  <c r="L191" i="7" s="1"/>
  <c r="Q70" i="1"/>
  <c r="CP70" i="1" s="1"/>
  <c r="O70" i="1" s="1"/>
  <c r="GM70" i="1" s="1"/>
  <c r="GO70" i="1" s="1"/>
  <c r="S42" i="1"/>
  <c r="DJ24" i="3"/>
  <c r="P32" i="1"/>
  <c r="DJ11" i="3"/>
  <c r="DJ58" i="3"/>
  <c r="L333" i="7" l="1"/>
  <c r="L331" i="7" s="1"/>
  <c r="L322" i="7" s="1"/>
  <c r="V84" i="1"/>
  <c r="K260" i="7"/>
  <c r="I260" i="7" s="1"/>
  <c r="AN260" i="7"/>
  <c r="K174" i="7"/>
  <c r="I174" i="7" s="1"/>
  <c r="AN174" i="7"/>
  <c r="K192" i="7"/>
  <c r="I192" i="7" s="1"/>
  <c r="AN192" i="7"/>
  <c r="CP42" i="1"/>
  <c r="O42" i="1" s="1"/>
  <c r="GM54" i="1"/>
  <c r="GO54" i="1" s="1"/>
  <c r="GM40" i="1"/>
  <c r="GO40" i="1" s="1"/>
  <c r="CP32" i="1"/>
  <c r="O32" i="1" s="1"/>
  <c r="AD84" i="1"/>
  <c r="AD26" i="1" s="1"/>
  <c r="CY118" i="1"/>
  <c r="X118" i="1" s="1"/>
  <c r="CZ118" i="1"/>
  <c r="Y118" i="1" s="1"/>
  <c r="AF123" i="1"/>
  <c r="AF84" i="1"/>
  <c r="CZ28" i="1"/>
  <c r="Y28" i="1" s="1"/>
  <c r="BA80" i="7" s="1"/>
  <c r="CY28" i="1"/>
  <c r="X28" i="1" s="1"/>
  <c r="AZ80" i="7" s="1"/>
  <c r="GM49" i="1"/>
  <c r="GO49" i="1" s="1"/>
  <c r="AO18" i="1"/>
  <c r="F191" i="1"/>
  <c r="CY32" i="1"/>
  <c r="X32" i="1" s="1"/>
  <c r="AZ103" i="7" s="1"/>
  <c r="L101" i="7" s="1"/>
  <c r="CZ32" i="1"/>
  <c r="Y32" i="1" s="1"/>
  <c r="BA103" i="7" s="1"/>
  <c r="L102" i="7" s="1"/>
  <c r="AQ18" i="1"/>
  <c r="F197" i="1"/>
  <c r="AC84" i="1"/>
  <c r="F101" i="1"/>
  <c r="AS26" i="1"/>
  <c r="CP118" i="1"/>
  <c r="O118" i="1" s="1"/>
  <c r="AC123" i="1"/>
  <c r="U26" i="1"/>
  <c r="U153" i="1"/>
  <c r="F106" i="1"/>
  <c r="G350" i="7" s="1"/>
  <c r="AU22" i="1"/>
  <c r="F172" i="1"/>
  <c r="C52" i="7" s="1"/>
  <c r="AU187" i="1"/>
  <c r="AE84" i="1"/>
  <c r="T116" i="1"/>
  <c r="F144" i="1"/>
  <c r="AE116" i="1"/>
  <c r="R123" i="1"/>
  <c r="CY77" i="1"/>
  <c r="X77" i="1" s="1"/>
  <c r="CZ77" i="1"/>
  <c r="Y77" i="1" s="1"/>
  <c r="BA312" i="7" s="1"/>
  <c r="L311" i="7" s="1"/>
  <c r="BA123" i="1"/>
  <c r="BA153" i="1" s="1"/>
  <c r="CJ116" i="1"/>
  <c r="V26" i="1"/>
  <c r="F107" i="1"/>
  <c r="G351" i="7" s="1"/>
  <c r="V153" i="1"/>
  <c r="BC18" i="1"/>
  <c r="F203" i="1"/>
  <c r="CY74" i="1"/>
  <c r="X74" i="1" s="1"/>
  <c r="AZ285" i="7" s="1"/>
  <c r="L283" i="7" s="1"/>
  <c r="CZ74" i="1"/>
  <c r="Y74" i="1" s="1"/>
  <c r="BA285" i="7" s="1"/>
  <c r="L284" i="7" s="1"/>
  <c r="CY42" i="1"/>
  <c r="X42" i="1" s="1"/>
  <c r="AZ143" i="7" s="1"/>
  <c r="L141" i="7" s="1"/>
  <c r="CZ42" i="1"/>
  <c r="Y42" i="1" s="1"/>
  <c r="BA143" i="7" s="1"/>
  <c r="L142" i="7" s="1"/>
  <c r="V116" i="1"/>
  <c r="F146" i="1"/>
  <c r="G412" i="7" s="1"/>
  <c r="CP59" i="1"/>
  <c r="O59" i="1" s="1"/>
  <c r="AP22" i="1"/>
  <c r="AP187" i="1"/>
  <c r="F162" i="1"/>
  <c r="G16" i="2" s="1"/>
  <c r="BA26" i="1"/>
  <c r="F104" i="1"/>
  <c r="BD18" i="1"/>
  <c r="F212" i="1"/>
  <c r="AZ26" i="1"/>
  <c r="F95" i="1"/>
  <c r="AZ153" i="1"/>
  <c r="CZ59" i="1"/>
  <c r="Y59" i="1" s="1"/>
  <c r="BA210" i="7" s="1"/>
  <c r="L209" i="7" s="1"/>
  <c r="CY59" i="1"/>
  <c r="X59" i="1" s="1"/>
  <c r="AZ210" i="7" s="1"/>
  <c r="L208" i="7" s="1"/>
  <c r="W26" i="1"/>
  <c r="F108" i="1"/>
  <c r="W153" i="1"/>
  <c r="T26" i="1"/>
  <c r="F105" i="1"/>
  <c r="T153" i="1"/>
  <c r="CP28" i="1"/>
  <c r="O28" i="1" s="1"/>
  <c r="U116" i="1"/>
  <c r="F145" i="1"/>
  <c r="G411" i="7" s="1"/>
  <c r="F147" i="1"/>
  <c r="W116" i="1"/>
  <c r="CP74" i="1"/>
  <c r="O74" i="1" s="1"/>
  <c r="AD116" i="1"/>
  <c r="Q123" i="1"/>
  <c r="AX22" i="1"/>
  <c r="F160" i="1"/>
  <c r="AX187" i="1"/>
  <c r="GM32" i="1" l="1"/>
  <c r="GO32" i="1" s="1"/>
  <c r="K103" i="7"/>
  <c r="I103" i="7" s="1"/>
  <c r="AN103" i="7"/>
  <c r="L79" i="7"/>
  <c r="L506" i="7"/>
  <c r="L455" i="7"/>
  <c r="L338" i="7"/>
  <c r="AN143" i="7"/>
  <c r="K143" i="7"/>
  <c r="I143" i="7" s="1"/>
  <c r="L78" i="7"/>
  <c r="L454" i="7"/>
  <c r="L437" i="7" s="1"/>
  <c r="L505" i="7"/>
  <c r="K285" i="7"/>
  <c r="I285" i="7" s="1"/>
  <c r="AN285" i="7"/>
  <c r="AL123" i="1"/>
  <c r="AL116" i="1" s="1"/>
  <c r="BA379" i="7"/>
  <c r="K210" i="7"/>
  <c r="I210" i="7" s="1"/>
  <c r="AN210" i="7"/>
  <c r="GM77" i="1"/>
  <c r="GO77" i="1" s="1"/>
  <c r="AZ312" i="7"/>
  <c r="L310" i="7" s="1"/>
  <c r="AK123" i="1"/>
  <c r="X123" i="1" s="1"/>
  <c r="AZ379" i="7"/>
  <c r="Q84" i="1"/>
  <c r="Q153" i="1" s="1"/>
  <c r="GM42" i="1"/>
  <c r="GO42" i="1" s="1"/>
  <c r="F173" i="1"/>
  <c r="BA22" i="1"/>
  <c r="BA187" i="1"/>
  <c r="GM28" i="1"/>
  <c r="AB84" i="1"/>
  <c r="T187" i="1"/>
  <c r="F174" i="1"/>
  <c r="T22" i="1"/>
  <c r="AL84" i="1"/>
  <c r="AF116" i="1"/>
  <c r="S123" i="1"/>
  <c r="CE123" i="1"/>
  <c r="AC116" i="1"/>
  <c r="CF123" i="1"/>
  <c r="CH123" i="1"/>
  <c r="P123" i="1"/>
  <c r="AX18" i="1"/>
  <c r="F194" i="1"/>
  <c r="R116" i="1"/>
  <c r="F137" i="1"/>
  <c r="S84" i="1"/>
  <c r="AF26" i="1"/>
  <c r="AC26" i="1"/>
  <c r="P84" i="1"/>
  <c r="CE84" i="1"/>
  <c r="CH84" i="1"/>
  <c r="CF84" i="1"/>
  <c r="F143" i="1"/>
  <c r="BA116" i="1"/>
  <c r="AB123" i="1"/>
  <c r="GM118" i="1"/>
  <c r="AP18" i="1"/>
  <c r="F196" i="1"/>
  <c r="GM74" i="1"/>
  <c r="GO74" i="1" s="1"/>
  <c r="V22" i="1"/>
  <c r="F176" i="1"/>
  <c r="V187" i="1"/>
  <c r="AU18" i="1"/>
  <c r="F206" i="1"/>
  <c r="AZ22" i="1"/>
  <c r="AZ187" i="1"/>
  <c r="F164" i="1"/>
  <c r="U187" i="1"/>
  <c r="U22" i="1"/>
  <c r="F175" i="1"/>
  <c r="AK84" i="1"/>
  <c r="W22" i="1"/>
  <c r="F177" i="1"/>
  <c r="W187" i="1"/>
  <c r="Q116" i="1"/>
  <c r="F135" i="1"/>
  <c r="AE26" i="1"/>
  <c r="R84" i="1"/>
  <c r="GM59" i="1"/>
  <c r="GO59" i="1" s="1"/>
  <c r="H16" i="2"/>
  <c r="F96" i="1" l="1"/>
  <c r="Y123" i="1"/>
  <c r="L337" i="7"/>
  <c r="L346" i="7" s="1"/>
  <c r="K312" i="7"/>
  <c r="I312" i="7" s="1"/>
  <c r="AN312" i="7"/>
  <c r="AK116" i="1"/>
  <c r="K80" i="7"/>
  <c r="I80" i="7" s="1"/>
  <c r="AN80" i="7"/>
  <c r="G515" i="7"/>
  <c r="K49" i="7"/>
  <c r="Q26" i="1"/>
  <c r="L377" i="7"/>
  <c r="L398" i="7"/>
  <c r="L434" i="7"/>
  <c r="K50" i="7"/>
  <c r="G516" i="7"/>
  <c r="L378" i="7"/>
  <c r="L399" i="7"/>
  <c r="L435" i="7"/>
  <c r="CA123" i="1"/>
  <c r="GN118" i="1"/>
  <c r="CB123" i="1" s="1"/>
  <c r="S26" i="1"/>
  <c r="F99" i="1"/>
  <c r="S153" i="1"/>
  <c r="W18" i="1"/>
  <c r="F211" i="1"/>
  <c r="P116" i="1"/>
  <c r="F126" i="1"/>
  <c r="F210" i="1"/>
  <c r="V18" i="1"/>
  <c r="AY84" i="1"/>
  <c r="CH26" i="1"/>
  <c r="S116" i="1"/>
  <c r="F138" i="1"/>
  <c r="AZ18" i="1"/>
  <c r="F198" i="1"/>
  <c r="AK26" i="1"/>
  <c r="X84" i="1"/>
  <c r="AY123" i="1"/>
  <c r="CH116" i="1"/>
  <c r="BA18" i="1"/>
  <c r="F207" i="1"/>
  <c r="R26" i="1"/>
  <c r="F98" i="1"/>
  <c r="R153" i="1"/>
  <c r="AB116" i="1"/>
  <c r="O123" i="1"/>
  <c r="F149" i="1"/>
  <c r="X116" i="1"/>
  <c r="T18" i="1"/>
  <c r="F208" i="1"/>
  <c r="CF26" i="1"/>
  <c r="AW84" i="1"/>
  <c r="GO28" i="1"/>
  <c r="CC84" i="1" s="1"/>
  <c r="CA84" i="1"/>
  <c r="CE26" i="1"/>
  <c r="AV84" i="1"/>
  <c r="U18" i="1"/>
  <c r="F209" i="1"/>
  <c r="P26" i="1"/>
  <c r="F87" i="1"/>
  <c r="P153" i="1"/>
  <c r="AV123" i="1"/>
  <c r="CE116" i="1"/>
  <c r="Y116" i="1"/>
  <c r="F150" i="1"/>
  <c r="AL26" i="1"/>
  <c r="Y84" i="1"/>
  <c r="AB26" i="1"/>
  <c r="O84" i="1"/>
  <c r="CF116" i="1"/>
  <c r="AW123" i="1"/>
  <c r="Q22" i="1"/>
  <c r="F165" i="1"/>
  <c r="Q187" i="1"/>
  <c r="L417" i="7" l="1"/>
  <c r="L488" i="7" s="1"/>
  <c r="L407" i="7"/>
  <c r="K379" i="7"/>
  <c r="I379" i="7" s="1"/>
  <c r="AN379" i="7"/>
  <c r="X153" i="1"/>
  <c r="F110" i="1"/>
  <c r="X26" i="1"/>
  <c r="AY26" i="1"/>
  <c r="AY153" i="1"/>
  <c r="F92" i="1"/>
  <c r="AW26" i="1"/>
  <c r="AW153" i="1"/>
  <c r="F90" i="1"/>
  <c r="CA26" i="1"/>
  <c r="AR84" i="1"/>
  <c r="F128" i="1"/>
  <c r="AV116" i="1"/>
  <c r="P22" i="1"/>
  <c r="F156" i="1"/>
  <c r="P187" i="1"/>
  <c r="CC26" i="1"/>
  <c r="AT84" i="1"/>
  <c r="AY116" i="1"/>
  <c r="F131" i="1"/>
  <c r="S187" i="1"/>
  <c r="F168" i="1"/>
  <c r="S22" i="1"/>
  <c r="CB116" i="1"/>
  <c r="AS123" i="1"/>
  <c r="Q18" i="1"/>
  <c r="F199" i="1"/>
  <c r="F129" i="1"/>
  <c r="AW116" i="1"/>
  <c r="O116" i="1"/>
  <c r="F125" i="1"/>
  <c r="O26" i="1"/>
  <c r="O153" i="1"/>
  <c r="F86" i="1"/>
  <c r="AV26" i="1"/>
  <c r="F89" i="1"/>
  <c r="AV153" i="1"/>
  <c r="R22" i="1"/>
  <c r="R187" i="1"/>
  <c r="F167" i="1"/>
  <c r="Y26" i="1"/>
  <c r="F111" i="1"/>
  <c r="Y153" i="1"/>
  <c r="CA116" i="1"/>
  <c r="AR123" i="1"/>
  <c r="J16" i="2" l="1"/>
  <c r="F112" i="1"/>
  <c r="AR26" i="1"/>
  <c r="AR153" i="1"/>
  <c r="Y22" i="1"/>
  <c r="F180" i="1"/>
  <c r="Y187" i="1"/>
  <c r="AR116" i="1"/>
  <c r="F151" i="1"/>
  <c r="S18" i="1"/>
  <c r="F202" i="1"/>
  <c r="AT26" i="1"/>
  <c r="F102" i="1"/>
  <c r="AT153" i="1"/>
  <c r="F190" i="1"/>
  <c r="P18" i="1"/>
  <c r="R18" i="1"/>
  <c r="F201" i="1"/>
  <c r="O22" i="1"/>
  <c r="F155" i="1"/>
  <c r="O187" i="1"/>
  <c r="AW22" i="1"/>
  <c r="F159" i="1"/>
  <c r="AW187" i="1"/>
  <c r="AY22" i="1"/>
  <c r="F161" i="1"/>
  <c r="AY187" i="1"/>
  <c r="AV22" i="1"/>
  <c r="F158" i="1"/>
  <c r="AV187" i="1"/>
  <c r="F140" i="1"/>
  <c r="AS116" i="1"/>
  <c r="AS153" i="1"/>
  <c r="X22" i="1"/>
  <c r="X187" i="1"/>
  <c r="F179" i="1"/>
  <c r="AW18" i="1" l="1"/>
  <c r="F193" i="1"/>
  <c r="F189" i="1"/>
  <c r="O18" i="1"/>
  <c r="F192" i="1"/>
  <c r="AV18" i="1"/>
  <c r="AY18" i="1"/>
  <c r="F195" i="1"/>
  <c r="X18" i="1"/>
  <c r="F213" i="1"/>
  <c r="AS22" i="1"/>
  <c r="F170" i="1"/>
  <c r="AS187" i="1"/>
  <c r="Y18" i="1"/>
  <c r="F214" i="1"/>
  <c r="AR22" i="1"/>
  <c r="F181" i="1"/>
  <c r="F182" i="1" s="1"/>
  <c r="AR187" i="1"/>
  <c r="F185" i="1"/>
  <c r="AT22" i="1"/>
  <c r="F171" i="1"/>
  <c r="AT187" i="1"/>
  <c r="E16" i="2" l="1"/>
  <c r="C49" i="7"/>
  <c r="F16" i="2"/>
  <c r="C50" i="7"/>
  <c r="AR18" i="1"/>
  <c r="F215" i="1"/>
  <c r="F216" i="1" s="1"/>
  <c r="AT18" i="1"/>
  <c r="F205" i="1"/>
  <c r="F183" i="1"/>
  <c r="F184" i="1" s="1"/>
  <c r="AS18" i="1"/>
  <c r="F204" i="1"/>
  <c r="C46" i="7" l="1"/>
  <c r="I16" i="2"/>
  <c r="N16" i="2" s="1"/>
  <c r="F217" i="1"/>
  <c r="F218" i="1"/>
</calcChain>
</file>

<file path=xl/sharedStrings.xml><?xml version="1.0" encoding="utf-8"?>
<sst xmlns="http://schemas.openxmlformats.org/spreadsheetml/2006/main" count="5957" uniqueCount="667">
  <si>
    <t>Smeta.RU  (495) 974-1589</t>
  </si>
  <si>
    <t>_PS_</t>
  </si>
  <si>
    <t>Smeta.RU</t>
  </si>
  <si>
    <t/>
  </si>
  <si>
    <t>Электрика,(КДО каб. 34, 2-ой эт)_(06/07/26)</t>
  </si>
  <si>
    <t>Сметные нормы списания</t>
  </si>
  <si>
    <t>Коды ценников</t>
  </si>
  <si>
    <t>ФСНБ-2022_И18</t>
  </si>
  <si>
    <t>Версия 1.18.0 для ФСНБ-2022 И18</t>
  </si>
  <si>
    <t>ФСНБ-2022 - Изменения И18</t>
  </si>
  <si>
    <t>Поправки для ФСНБ-2022 от 21.05.2026 г И18 (55/пр) Капитальный ремонт жилых и общественных зданий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</si>
  <si>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</si>
  <si>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</si>
  <si>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Электрика КДО</t>
  </si>
  <si>
    <t>Монтажные работы</t>
  </si>
  <si>
    <t>1</t>
  </si>
  <si>
    <t>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</si>
  <si>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</si>
  <si>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</si>
  <si>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ГЭСНм-2022 доп.18, м08-02-409-09, приказ Минстроя России от 15.05.2026 г. № 301/пр</t>
  </si>
  <si>
    <t>Электротехнические установки: на других объектах</t>
  </si>
  <si>
    <t>мФЕР-08</t>
  </si>
  <si>
    <t>Пр/812-049.3-1</t>
  </si>
  <si>
    <t>Пр/774-049.3</t>
  </si>
  <si>
    <t>1,1</t>
  </si>
  <si>
    <t>421/пр_2020_п.75_пп.а</t>
  </si>
  <si>
    <t>Сметная стоимость вспомогательных ненормируемых материальных ресурсов, не учтенная в сметной норме, 2%</t>
  </si>
  <si>
    <t>%</t>
  </si>
  <si>
    <t>2</t>
  </si>
  <si>
    <t>24.3.01.02-0001</t>
  </si>
  <si>
    <t>Трубы гибкие гофрированные, легкие, из самозатухающего ПВХ, с протяжкой, номинальный диаметр 20 мм</t>
  </si>
  <si>
    <t>м</t>
  </si>
  <si>
    <t>ФСБЦ-2022, 24.3.01.02-0001, приказ Минстроя России от 18.05.2022 г. № 378/пр</t>
  </si>
  <si>
    <t>Материалы строительные</t>
  </si>
  <si>
    <t>Материалы и конструкции ( строительные ) по ценникам и каталогом</t>
  </si>
  <si>
    <t>ФССЦст</t>
  </si>
  <si>
    <t>3</t>
  </si>
  <si>
    <t>23.8.03.02-0002</t>
  </si>
  <si>
    <t>Клипса пластиковая для крепления гофрированных или гладких пластиковых труб, номинальный диаметр крепления 20 мм</t>
  </si>
  <si>
    <t>10 ШТ</t>
  </si>
  <si>
    <t>ФСБЦ-2022 доп.11, 23.8.03.02-0002, приказ Минстроя России от 09.08.2024 г. № 524/пр</t>
  </si>
  <si>
    <t>4</t>
  </si>
  <si>
    <t>м08-02-390-03</t>
  </si>
  <si>
    <t>Короба пластмассовые: шириной до 120 мм</t>
  </si>
  <si>
    <t>ГЭСНм-2022, м08-02-390-03, приказ Минстроя России от 18.05.2022 г. № 378/пр</t>
  </si>
  <si>
    <t>4,1</t>
  </si>
  <si>
    <t>5</t>
  </si>
  <si>
    <t>20.2.05.04-0112</t>
  </si>
  <si>
    <t>Короб кабельный (кабель-канал) ПВХ с фронтальной крышкой, с направляющими, размеры 100х60 мм прим TA-GN</t>
  </si>
  <si>
    <t>ФСБЦ-2022 доп.14, 20.2.05.04-0112, приказ Минстроя России от 19.05.2025 г. № 299/пр</t>
  </si>
  <si>
    <t>Материалы монтажные</t>
  </si>
  <si>
    <t>Материалы и конструкции ( монтажные )  по ценникам и каталогам</t>
  </si>
  <si>
    <t>ФССЦм</t>
  </si>
  <si>
    <t>6</t>
  </si>
  <si>
    <t>20.2.05.09-1004</t>
  </si>
  <si>
    <t>Углы плоские для кабель-канала, размеры 100х60 мм,/Угол плоский Г-образный</t>
  </si>
  <si>
    <t>100 ШТ</t>
  </si>
  <si>
    <t>ФСБЦ-2022, 20.2.05.09-1004, приказ Минстроя России от 18.05.2022 г. № 378/пр</t>
  </si>
  <si>
    <t>7</t>
  </si>
  <si>
    <t>20.2.05.09-1018</t>
  </si>
  <si>
    <t>Углы внутренние для кабель-канала, прим Угол внутренний изменяемый (70-120°) NIAV 100x60</t>
  </si>
  <si>
    <t>ФСБЦ-2022, 20.2.05.09-1018, приказ Минстроя России от 18.05.2022 г. № 378/пр</t>
  </si>
  <si>
    <t>8</t>
  </si>
  <si>
    <t>20.2.05.08-0001</t>
  </si>
  <si>
    <t>Тройники для короба прим Тройник/отвод "BRAVA"NTAN 100x60</t>
  </si>
  <si>
    <t>ФСБЦ-2022, 20.2.05.08-0001, приказ Минстроя России от 18.05.2022 г. № 378/пр</t>
  </si>
  <si>
    <t>9</t>
  </si>
  <si>
    <t>20.2.05.03-1000</t>
  </si>
  <si>
    <t>Заглушки для кабель-канала, размеры 100х60 мм</t>
  </si>
  <si>
    <t>ФСБЦ-2022, 20.2.05.03-1000, приказ Минстроя России от 18.05.2022 г. № 378/пр</t>
  </si>
  <si>
    <t>10</t>
  </si>
  <si>
    <t>20.2.05.06-1000</t>
  </si>
  <si>
    <t>Накладки на стык для кабель-канала, размеры 100х60 мм</t>
  </si>
  <si>
    <t>ФСБЦ-2022, 20.2.05.06-1000, приказ Минстроя России от 18.05.2022 г. № 378/пр</t>
  </si>
  <si>
    <t>11</t>
  </si>
  <si>
    <t>м08-02-399-01</t>
  </si>
  <si>
    <t>Провод в коробах, сечением: до 6 мм2</t>
  </si>
  <si>
    <t>ГЭСНм-2022, м08-02-399-01, приказ Минстроя России от 18.05.2022 г. № 378/пр</t>
  </si>
  <si>
    <t>11,1</t>
  </si>
  <si>
    <t>12</t>
  </si>
  <si>
    <t>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</si>
  <si>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</si>
  <si>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ГЭСНм-2022 доп.9, м08-02-412-01, приказ Минстроя России от 16.02.2024 г. № 102/пр</t>
  </si>
  <si>
    <t>12,1</t>
  </si>
  <si>
    <t>13</t>
  </si>
  <si>
    <t>ТЦ_21.1.06_77_7722786153</t>
  </si>
  <si>
    <t>Кабель силовой  ВВГнг(А)-LSLTX 3х1,5 медный круглый ГОСТ 31996</t>
  </si>
  <si>
    <t>Материалы, изделия и конструкции</t>
  </si>
  <si>
    <t>материалы (03)</t>
  </si>
  <si>
    <t>занесена вручную</t>
  </si>
  <si>
    <t>14</t>
  </si>
  <si>
    <t>Кабель силовой ВВГнг(А)-LSLTX 3х2,5 медный круглый ГОСТ 31996</t>
  </si>
  <si>
    <t>15</t>
  </si>
  <si>
    <t>Кабель силовой ККЗ ВВГнг(А)-LSLTX 4х1,5 медный круглый ГОСТ 31996</t>
  </si>
  <si>
    <t>16</t>
  </si>
  <si>
    <t>Провод установочный ККЗ ПуГВнг(А)-LS 1х6 гибкий силовой медный (ПВ-3) желто-зеленый ГОСТ 31947</t>
  </si>
  <si>
    <t>17</t>
  </si>
  <si>
    <t>20.2.10.03-0003</t>
  </si>
  <si>
    <t>Наконечники кабельные медные, сечение жилы 6 мм2, диаметр отверстия 6 мм</t>
  </si>
  <si>
    <t>ФСБЦ-2022, 20.2.10.03-0003, приказ Минстроя России от 18.05.2022 г. № 378/пр</t>
  </si>
  <si>
    <t>18</t>
  </si>
  <si>
    <t>м08-03-593-10</t>
  </si>
  <si>
    <t>Световые настенные указатели</t>
  </si>
  <si>
    <t>ГЭСНм-2022 доп.10, м08-03-593-10, приказ Минстроя России от 13.05.2024 г. № 323/пр</t>
  </si>
  <si>
    <t>18,1</t>
  </si>
  <si>
    <t>19</t>
  </si>
  <si>
    <t>20.3.04.07-0006</t>
  </si>
  <si>
    <t>Указатель световой со светодиодами и аккумулятором/ не входить УФО прим</t>
  </si>
  <si>
    <t>ШТ</t>
  </si>
  <si>
    <t>ФСБЦ-2022, 20.3.04.07-0006, приказ Минстроя России от 18.05.2022 г. № 378/пр</t>
  </si>
  <si>
    <t>20</t>
  </si>
  <si>
    <t>Указатель световой прим Указатель световой со светодиодами "Не входить рентген излучение" прим</t>
  </si>
  <si>
    <t>21</t>
  </si>
  <si>
    <t>Указатель световой прим Световое табло "ВХОДИТЕ - НЕ ВХОДИТЬ прим,</t>
  </si>
  <si>
    <t>22</t>
  </si>
  <si>
    <t>м34-01-136-01</t>
  </si>
  <si>
    <t>Облучатель бактерицидный: настенный</t>
  </si>
  <si>
    <t>ГЭСНм-2022, м34-01-136-01, приказ Минстроя России от 18.05.2022 г. № 378/пр</t>
  </si>
  <si>
    <t>Оборудование учреждений здравоохранения и предприятий медицинской промышленности</t>
  </si>
  <si>
    <t>мФЕР-34</t>
  </si>
  <si>
    <t>Пр/812-076.0-1</t>
  </si>
  <si>
    <t>Пр/774-076.0</t>
  </si>
  <si>
    <t>22,1</t>
  </si>
  <si>
    <t>22,2</t>
  </si>
  <si>
    <t>999-0005</t>
  </si>
  <si>
    <t>Масса оборудования</t>
  </si>
  <si>
    <t>т</t>
  </si>
  <si>
    <t>23</t>
  </si>
  <si>
    <t>20.3.04.03-0004</t>
  </si>
  <si>
    <t>Облучатель бактерицидный, настенно-потолочный под ультрафиолетовую лампу, производительность 180 м3/час, мощность 190 Вт, размеры 110х80х950 мм</t>
  </si>
  <si>
    <t>ФСБЦ-2022, 20.3.04.03-0004, приказ Минстроя России от 18.05.2022 г. № 378/пр</t>
  </si>
  <si>
    <t>24</t>
  </si>
  <si>
    <t>20.3.02.01-0002</t>
  </si>
  <si>
    <t>Лампы бактерицидные специальные безозоновые 30 Вт, 254 нм, G13</t>
  </si>
  <si>
    <t>ФСБЦ-2022, 20.3.02.01-0002, приказ Минстроя России от 18.05.2022 г. № 378/пр</t>
  </si>
  <si>
    <t>25</t>
  </si>
  <si>
    <t>м10-06-037-13</t>
  </si>
  <si>
    <t>Крышка декоративная и другие мелкие изделия (без присоединения проводов)</t>
  </si>
  <si>
    <t>ГЭСНм-2022, м10-06-037-13, приказ Минстроя России от 18.05.2022 г. № 378/пр</t>
  </si>
  <si>
    <t>Оборудование связи: прокладка и монтаж сетей связи</t>
  </si>
  <si>
    <t>мФЕР-10</t>
  </si>
  <si>
    <t>Пр/812-051.1-1</t>
  </si>
  <si>
    <t>Пр/774-051.1</t>
  </si>
  <si>
    <t>25,1</t>
  </si>
  <si>
    <t>25,2</t>
  </si>
  <si>
    <t>26</t>
  </si>
  <si>
    <t>20.2.05.10-0001</t>
  </si>
  <si>
    <t>Рамки пластиковые на 2 модуля для монтажа на профиль, р/Рамка-суппорт под 2 модуля Brava  PDA-3BN 100DKC прим</t>
  </si>
  <si>
    <t>ФСБЦ-2022, 20.2.05.10-0001, приказ Минстроя России от 18.05.2022 г. № 378/пр</t>
  </si>
  <si>
    <t>27</t>
  </si>
  <si>
    <t>Рамки пластиковые на 2 модуля для монтажа на профиль, Рамка-суппорт PDA-3BN 100 6 модулей "BRAVA" прим</t>
  </si>
  <si>
    <t>28</t>
  </si>
  <si>
    <t>Рамки пластиковые на 2 модуля для монтажа на профиль, Рамка-суппорт под 2 модуля "BRAVA"PDA-BN 100 прим</t>
  </si>
  <si>
    <t>29</t>
  </si>
  <si>
    <t>м10-08-019-01</t>
  </si>
  <si>
    <t>Коробка ответвительная на стене</t>
  </si>
  <si>
    <t>ГЭСНм-2022, м10-08-019-01, приказ Минстроя России от 18.05.2022 г. № 378/пр</t>
  </si>
  <si>
    <t>29,1</t>
  </si>
  <si>
    <t>30</t>
  </si>
  <si>
    <t>20.5.02.10-0011</t>
  </si>
  <si>
    <t>Коробка распределительная /Распаячная коробка ОП 100х100х55мм, крышка, IP54 прим</t>
  </si>
  <si>
    <t>ФСБЦ-2022, 20.5.02.10-0011, приказ Минстроя России от 18.05.2022 г. № 378/пр</t>
  </si>
  <si>
    <t>31</t>
  </si>
  <si>
    <t>20.5.02.04-0003</t>
  </si>
  <si>
    <t>Коробка распределительная, размеры 250х115 мм/прим Распаячная коробка ОП 300х220х120мм, крышка, IP55</t>
  </si>
  <si>
    <t>ФСБЦ-2022, 20.5.02.04-0003, приказ Минстроя России от 18.05.2022 г. № 378/пр</t>
  </si>
  <si>
    <t>32</t>
  </si>
  <si>
    <t>20.5.04.11-0028</t>
  </si>
  <si>
    <t>Клеммы соединительные самозажимные /прим Клемма 4x2.5мм для распределительных коробок</t>
  </si>
  <si>
    <t>ФСБЦ-2022 доп.17, 20.5.04.11-0028, приказ Минстроя России от 17.02.2026 г. № 91/пр</t>
  </si>
  <si>
    <t>33</t>
  </si>
  <si>
    <t>м08-03-591-09</t>
  </si>
  <si>
    <t>Розетка штепсельная: утопленного типа при скрытой проводке</t>
  </si>
  <si>
    <t>ГЭСНм-2022 доп.7, м08-03-591-09, приказ Минстроя России от 02.08.2023 г. № 551/пр</t>
  </si>
  <si>
    <t>33,1</t>
  </si>
  <si>
    <t>34</t>
  </si>
  <si>
    <t>20.4.03.06-1052</t>
  </si>
  <si>
    <t>Розетка скрытого монтажа с заземляющим контактом, с защитной шторкой ДКС</t>
  </si>
  <si>
    <t>ФСБЦ-2022, 20.4.03.06-1052, приказ Минстроя России от 18.05.2022 г. № 378/пр</t>
  </si>
  <si>
    <t>35</t>
  </si>
  <si>
    <t>20.4.03.03-1023</t>
  </si>
  <si>
    <t>Розетка компьютерная RJ-45 для монтажа в кабель-каналы, 1 модуль, 1,5 А, 150 В, цвет белый ДКС</t>
  </si>
  <si>
    <t>ФСБЦ-2022 доп.5, 20.4.03.03-1023, приказ Минстроя России от 10.02.2023 г. № 84/пр</t>
  </si>
  <si>
    <t>36</t>
  </si>
  <si>
    <t>м08-02-472-06</t>
  </si>
  <si>
    <t>Проводник заземляющий открыто по строительным основаниям: из полосовой стали сечением 100 мм2</t>
  </si>
  <si>
    <t>ГЭСНм-2022 доп.8, м08-02-472-06, приказ Минстроя России от 14.11.2023 г. № 817/пр</t>
  </si>
  <si>
    <t>36,1</t>
  </si>
  <si>
    <t>37</t>
  </si>
  <si>
    <t>08.3.07.01-0035</t>
  </si>
  <si>
    <t>Прокат стальной горячекатаный полосовой, марки стали Ст3сп, Ст3пс, размеры 25х4 мм</t>
  </si>
  <si>
    <t>ФСБЦ-2022 доп.4, 08.3.07.01-0035, приказ Минстроя России от 27.12.2022 г. № 1133/пр</t>
  </si>
  <si>
    <t>38</t>
  </si>
  <si>
    <t>м08-03-526-01</t>
  </si>
  <si>
    <t>Автомат одно-, двух-, трехполюсный, устанавливаемый на конструкции: на стене или колонне, на ток до 25 А</t>
  </si>
  <si>
    <t>ГЭСНм-2022, м08-03-526-01, приказ Минстроя России от 18.05.2022 г. № 378/пр</t>
  </si>
  <si>
    <t>38,1</t>
  </si>
  <si>
    <t>39</t>
  </si>
  <si>
    <t>19.1.01.13-0037</t>
  </si>
  <si>
    <t>Уголок стальной оцинкованный /прим Держатель zeta50110 К188 У2 шин </t>
  </si>
  <si>
    <t>ФСБЦ-2022 доп.18, 19.1.01.13-0037, приказ Минстроя России от 15.05.2026 г. № 301/пр</t>
  </si>
  <si>
    <t>40</t>
  </si>
  <si>
    <t>62.1.01.09-1118</t>
  </si>
  <si>
    <t>Выключатель автоматический 2P, 10 А, 4,5 кА, характеристика C</t>
  </si>
  <si>
    <t>ФСБЦ-2022, 62.1.01.09-1118, приказ Минстроя России от 18.05.2022 г. № 378/пр</t>
  </si>
  <si>
    <t>оборудование</t>
  </si>
  <si>
    <t>Оборудование по ценникам</t>
  </si>
  <si>
    <t>ОБОРУД.</t>
  </si>
  <si>
    <t>41</t>
  </si>
  <si>
    <t>62.1.01.09-1122</t>
  </si>
  <si>
    <t>Выключатель автоматический 2P, 25 А, 4,5 кА, характеристика C</t>
  </si>
  <si>
    <t>ФСБЦ-2022, 62.1.01.09-1122, приказ Минстроя России от 18.05.2022 г. № 378/пр</t>
  </si>
  <si>
    <t>42</t>
  </si>
  <si>
    <t>62.1.05.03-1658</t>
  </si>
  <si>
    <t>Устройство защитного отключения 4P, 16 А, 30 мА</t>
  </si>
  <si>
    <t>ФСБЦ-2022, 62.1.05.03-1658, приказ Минстроя России от 18.05.2022 г. № 378/пр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</si>
  <si>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</si>
  <si>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</si>
  <si>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</si>
  <si>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</si>
  <si>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</si>
  <si>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</si>
  <si>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</si>
  <si>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</si>
  <si>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</si>
  <si>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</si>
  <si>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</si>
  <si>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</si>
  <si>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</si>
  <si>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</si>
  <si>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</si>
  <si>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</si>
  <si>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</si>
  <si>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</si>
  <si>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</si>
  <si>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</si>
  <si>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</si>
  <si>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</si>
  <si>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</si>
  <si>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</si>
  <si>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</si>
  <si>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</si>
  <si>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</si>
  <si>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</si>
  <si>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</si>
  <si>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</si>
  <si>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</si>
  <si>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</si>
  <si>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</si>
  <si>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</si>
  <si>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</si>
  <si>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</si>
  <si>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</si>
  <si>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</si>
  <si>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</si>
  <si>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</si>
  <si>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</si>
  <si>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</si>
  <si>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</si>
  <si>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</si>
  <si>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</si>
  <si>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</si>
  <si>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</si>
  <si>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</si>
  <si>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</si>
  <si>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</si>
  <si>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</si>
  <si>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</si>
  <si>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</si>
  <si>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</si>
  <si>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Рентгенозащита</t>
  </si>
  <si>
    <t>43</t>
  </si>
  <si>
    <t>09-04-015-06</t>
  </si>
  <si>
    <t>Установка в жилых и общественных зданиях оконных блоков из алюминиевых профилей: поворотных (откидных, поворотно-откидных) с площадью проема более 2 м2 двухстворчатых прим</t>
  </si>
  <si>
    <t>100 м2</t>
  </si>
  <si>
    <t>ГЭСН-2022, 09-04-015-06, приказ Минстроя России от 18.05.2022 г. № 378/пр</t>
  </si>
  <si>
    <t>Общестроительные работы</t>
  </si>
  <si>
    <t>Строительные металлические конструкции</t>
  </si>
  <si>
    <t>ФЕР-09</t>
  </si>
  <si>
    <t>Пр/812-009.0-1</t>
  </si>
  <si>
    <t>Пр/774-009.0</t>
  </si>
  <si>
    <t>43,1</t>
  </si>
  <si>
    <t>01.7.17.09</t>
  </si>
  <si>
    <t>Сверла победитовые</t>
  </si>
  <si>
    <t>43,2</t>
  </si>
  <si>
    <t>09.4.03.05</t>
  </si>
  <si>
    <t>Блок оконный из алюминиевых комбинированных профилей</t>
  </si>
  <si>
    <t>м2</t>
  </si>
  <si>
    <t>44</t>
  </si>
  <si>
    <t>ТЦ_09.4.03.05_6686093046</t>
  </si>
  <si>
    <t>Итого</t>
  </si>
  <si>
    <t>НДС 20%</t>
  </si>
  <si>
    <t>Итого с НДС</t>
  </si>
  <si>
    <t>усн</t>
  </si>
  <si>
    <t>Компенсация НДС при УСН</t>
  </si>
  <si>
    <t>НДС</t>
  </si>
  <si>
    <t>НДС, 22%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</si>
  <si>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</si>
  <si>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</si>
  <si>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</si>
  <si>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</si>
  <si>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</si>
  <si>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</si>
  <si>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</si>
  <si>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</si>
  <si>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</si>
  <si>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</si>
  <si>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</si>
  <si>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</si>
  <si>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</si>
  <si>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</si>
  <si>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</si>
  <si>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</si>
  <si>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</si>
  <si>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</si>
  <si>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</si>
  <si>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</si>
  <si>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</si>
  <si>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</si>
  <si>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</si>
  <si>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</si>
  <si>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</si>
  <si>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</si>
  <si>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</si>
  <si>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</si>
  <si>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</si>
  <si>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</si>
  <si>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</si>
  <si>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</si>
  <si>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</si>
  <si>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</si>
  <si>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</si>
  <si>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</si>
  <si>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</si>
  <si>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</si>
  <si>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</si>
  <si>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</si>
  <si>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</si>
  <si>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</si>
  <si>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</si>
  <si>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</si>
  <si>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</si>
  <si>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</si>
  <si>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</si>
  <si>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</si>
  <si>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</si>
  <si>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</si>
  <si>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</si>
  <si>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</si>
  <si>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</si>
  <si>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</si>
  <si>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</si>
  <si>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</si>
  <si>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</si>
  <si>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</si>
  <si>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</si>
  <si>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</si>
  <si>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</si>
  <si>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</si>
  <si>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</si>
  <si>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</si>
  <si>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</si>
  <si>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</si>
  <si>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</si>
  <si>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</si>
  <si>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Москва, КТЦ к ФСНБ-2022, 2 квартал 2026 г</t>
  </si>
  <si>
    <t>Сборник индексов</t>
  </si>
  <si>
    <t>Москва к ФСНБ-2022 ФГИС ЦС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</si>
  <si>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II квартал 2026 года»</t>
  </si>
  <si>
    <t>Справочная информация</t>
  </si>
  <si>
    <t>Письмо Минстроя России от 22.05.2026 № 31076-ИФ/09</t>
  </si>
  <si>
    <t>Письмо Департамента экономической политики и развития города Москвы от 27.10.2025 № ДПР-3-23615/25(1)</t>
  </si>
  <si>
    <t>_OBSM_</t>
  </si>
  <si>
    <t>2-100-02</t>
  </si>
  <si>
    <t>Рабочий 2 разряда</t>
  </si>
  <si>
    <t>чел.-ч</t>
  </si>
  <si>
    <t>2-100-03</t>
  </si>
  <si>
    <t>Рабочий 3 разряда</t>
  </si>
  <si>
    <t>2-100-04</t>
  </si>
  <si>
    <t>Рабочий 4 разряда</t>
  </si>
  <si>
    <t>4-100-00</t>
  </si>
  <si>
    <t>Затраты труда машинистов</t>
  </si>
  <si>
    <t>чел.-ч.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</si>
  <si>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</si>
  <si>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</si>
  <si>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</si>
  <si>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маш.-ч</t>
  </si>
  <si>
    <t>4-100-040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</si>
  <si>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</si>
  <si>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</si>
  <si>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</si>
  <si>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</si>
  <si>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01.7.15.07-0152</t>
  </si>
  <si>
    <t>ФСБЦ-2022, 01.7.15.07-0152, приказ Минстроя России от 18.05.2022 г. № 378/пр</t>
  </si>
  <si>
    <t>Дюбели пластмассовые с шурупами, диаметр 6 мм, длина 35 мм, диаметр шурупа 3,5 мм, длина шурупа 50 мм</t>
  </si>
  <si>
    <t>1-100-39</t>
  </si>
  <si>
    <t>Средний разряд работы 3,9</t>
  </si>
  <si>
    <t>91.06.06-048</t>
  </si>
  <si>
    <t>ФСЭМ-2022, 91.06.06-048, приказ Минстроя России от 18.05.2022 г. № 378/пр</t>
  </si>
  <si>
    <t>Подъемники одномачтовые, грузоподъемность до 500 кг, высота подъема 45 м</t>
  </si>
  <si>
    <t>4-100-030</t>
  </si>
  <si>
    <t>01.7.15.07-0022</t>
  </si>
  <si>
    <t>ФСБЦ-2022, 01.7.15.07-0022, приказ Минстроя России от 18.05.2022 г. № 378/пр</t>
  </si>
  <si>
    <t>Дюбели полиэтиленовые распорные, диаметр 6 мм, длина 40 мм</t>
  </si>
  <si>
    <t>1000 ШТ</t>
  </si>
  <si>
    <t>01.7.15.14-0165</t>
  </si>
  <si>
    <t>ФСБЦ-2022 доп.2, 01.7.15.14-0165, приказ Минстроя России от 26.08.2022 г. № 703/пр</t>
  </si>
  <si>
    <t>Шурупы самонарезающие стальные с полукруглой головкой и прямым шлицем, остроконечные, диаметр 4 мм, длина 40 мм</t>
  </si>
  <si>
    <t>1-100-38</t>
  </si>
  <si>
    <t>Средний разряд работы 3,8</t>
  </si>
  <si>
    <t>91.05.05-015</t>
  </si>
  <si>
    <t>ФСЭМ-2022, 91.05.05-015, приказ Минстроя России от 18.05.2022 г. № 378/пр</t>
  </si>
  <si>
    <t>Краны на автомобильном ходу, грузоподъемность 16 т</t>
  </si>
  <si>
    <t>4-100-060</t>
  </si>
  <si>
    <t>01.7.06.05-0041</t>
  </si>
  <si>
    <t>ФСБЦ-2022, 01.7.06.05-0041, приказ Минстроя России от 18.05.2022 г. № 378/пр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</si>
  <si>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</si>
  <si>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</si>
  <si>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ФСБЦ-2022, 01.7.06.07-0002, приказ Минстроя России от 18.05.2022 г. № 378/пр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</si>
  <si>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</si>
  <si>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</si>
  <si>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14.4.02.04-0142</t>
  </si>
  <si>
    <t>ФСБЦ-2022, 14.4.02.04-0142, приказ Минстроя России от 18.05.2022 г. № 378/пр</t>
  </si>
  <si>
    <t>Краска масляная МА-0115, мумия, сурик железный</t>
  </si>
  <si>
    <t>кг</t>
  </si>
  <si>
    <t>01.7.07.20-0002</t>
  </si>
  <si>
    <t>ФСБЦ-2022, 01.7.07.20-0002, приказ Минстроя России от 18.05.2022 г. № 378/пр</t>
  </si>
  <si>
    <t>Тальк молотый, сорт I</t>
  </si>
  <si>
    <t>20.2.01.05-0001</t>
  </si>
  <si>
    <t>ФСБЦ-2022 доп.11, 20.2.01.05-0001, приказ Минстроя России от 09.08.2024 г. № 524/пр</t>
  </si>
  <si>
    <t>Гильзы кабельные медные 2,5 мм</t>
  </si>
  <si>
    <t>20.2.02.01-0011</t>
  </si>
  <si>
    <t>ФСБЦ-2022 доп.9, 20.2.02.01-0011, приказ Минстроя России от 16.02.2024 г. № 102/пр</t>
  </si>
  <si>
    <t>Втулки полипропиленовые, диаметр 17 мм</t>
  </si>
  <si>
    <t>1-100-42</t>
  </si>
  <si>
    <t>Средний разряд работы 4,2</t>
  </si>
  <si>
    <t>01.7.15.07-0014</t>
  </si>
  <si>
    <t>ФСБЦ-2022, 01.7.15.07-0014, приказ Минстроя России от 18.05.2022 г. № 378/пр</t>
  </si>
  <si>
    <t>Дюбели распорные полипропиленовые</t>
  </si>
  <si>
    <t>21.2.01.02-0141</t>
  </si>
  <si>
    <t>ФСБЦ-2022, 21.2.01.02-0141, приказ Минстроя России от 18.05.2022 г. № 378/пр</t>
  </si>
  <si>
    <t>Провод неизолированный для воздушных линий электропередачи М 4</t>
  </si>
  <si>
    <t>1-100-35</t>
  </si>
  <si>
    <t>Средний разряд работы 3,5</t>
  </si>
  <si>
    <t>01.7.15.04-0011</t>
  </si>
  <si>
    <t>ФСБЦ-2022, 01.7.15.04-0011, приказ Минстроя России от 18.05.2022 г. № 378/пр</t>
  </si>
  <si>
    <t>Винты стальные с полукруглой головкой, длина 50 мм</t>
  </si>
  <si>
    <t>1-100-41</t>
  </si>
  <si>
    <t>Средний разряд работы 4,1</t>
  </si>
  <si>
    <t>03.1.01.01-0002</t>
  </si>
  <si>
    <t>ФСБЦ-2022, 03.1.01.01-0002, приказ Минстроя России от 18.05.2022 г. № 378/пр</t>
  </si>
  <si>
    <t>Гипс строительный Г-3</t>
  </si>
  <si>
    <t>08.3.03.05-0013</t>
  </si>
  <si>
    <t>ФСБЦ-2022, 08.3.03.05-0013, приказ Минстроя России от 18.05.2022 г. № 378/пр</t>
  </si>
  <si>
    <t>Проволока стальная низкоуглеродистая оцинкованная разного назначения, диаметр 1,6 мм</t>
  </si>
  <si>
    <t>01.7.15.03-0042</t>
  </si>
  <si>
    <t>ФСБЦ-2022, 01.7.15.03-0042, приказ Минстроя России от 18.05.2022 г. № 378/пр</t>
  </si>
  <si>
    <t>Болты с гайками и шайбами строительные</t>
  </si>
  <si>
    <t>20.2.02.01-0019</t>
  </si>
  <si>
    <t>ФСБЦ-2022, 20.2.02.01-0019, приказ Минстроя России от 18.05.2022 г. № 378/пр</t>
  </si>
  <si>
    <t>Втулки изолирующие, размеры 65х50х18 мм</t>
  </si>
  <si>
    <t>91.17.04-233</t>
  </si>
  <si>
    <t>ФСЭМ-2022, 91.17.04-233, приказ Минстроя России от 18.05.2022 г. № 378/пр</t>
  </si>
  <si>
    <t>Аппараты сварочные для ручной дуговой сварки, сварочный ток до 350 А</t>
  </si>
  <si>
    <t>01.7.11.07-0227</t>
  </si>
  <si>
    <t>ФСБЦ-2022, 01.7.11.07-0227, приказ Минстроя России от 18.05.2022 г. № 378/пр</t>
  </si>
  <si>
    <t>Электроды сварочные для сварки низколегированных и углеродистых сталей УОНИ 13/45, Э42А, диаметр 4-5 мм</t>
  </si>
  <si>
    <t>08.3.05.02-0021</t>
  </si>
  <si>
    <t>ФСБЦ-2022, 08.3.05.02-0021, приказ Минстроя России от 18.05.2022 г. № 378/пр</t>
  </si>
  <si>
    <t>Прокат листовой горячекатаный, марки стали Ст3сп, Ст3пс, ширина 1200-3000 мм, толщина 1-8 мм</t>
  </si>
  <si>
    <t>14.4.01.09-0427</t>
  </si>
  <si>
    <t>ФСБЦ-2022 доп.8, 14.4.01.09-0427, приказ Минстроя России от 14.11.2023 г. № 817/пр</t>
  </si>
  <si>
    <t>Грунтовка эпоксидная антикоррозионная с содержанием цинка для защиты металлических поверхностей, расход 0,20-0,39 кг/м2</t>
  </si>
  <si>
    <t>01.3.01.02-0002</t>
  </si>
  <si>
    <t>ФСБЦ-2022 доп.8, 01.3.01.02-0002, приказ Минстроя России от 14.11.2023 г. № 817/пр</t>
  </si>
  <si>
    <t>Вазелин технический</t>
  </si>
  <si>
    <t>01.7.02.09-0002</t>
  </si>
  <si>
    <t>ФСБЦ-2022, 01.7.02.09-0002, приказ Минстроя России от 18.05.2022 г. № 378/пр</t>
  </si>
  <si>
    <t>Шпагат бумажный, диаметр 2,5 мм</t>
  </si>
  <si>
    <t>01.7.20.04-0005</t>
  </si>
  <si>
    <t>ФСБЦ-2022, 01.7.20.04-0005, приказ Минстроя России от 18.05.2022 г. № 378/пр</t>
  </si>
  <si>
    <t>Нитки швейные армированные</t>
  </si>
  <si>
    <t>07.2.07.04-0007</t>
  </si>
  <si>
    <t>ФСБЦ-2022, 07.2.07.04-0007, приказ Минстроя России от 18.05.2022 г. № 378/пр</t>
  </si>
  <si>
    <t>Конструкции стальные индивидуального изготовления из сортового проката</t>
  </si>
  <si>
    <t>14.4.03.06-0001</t>
  </si>
  <si>
    <t>ФСБЦ-2022 доп.9, 14.4.03.06-0001, приказ Минстроя России от 16.02.2024 г. № 102/пр</t>
  </si>
  <si>
    <t>Лак электроизоляционный МЛ-92</t>
  </si>
  <si>
    <t>20.1.02.23-0082</t>
  </si>
  <si>
    <t>ФСБЦ-2022, 20.1.02.23-0082, приказ Минстроя России от 18.05.2022 г. № 378/пр</t>
  </si>
  <si>
    <t>Перемычки гибкие, тип ПГС-50</t>
  </si>
  <si>
    <t>01.7.06.02-0001</t>
  </si>
  <si>
    <t>ФСБЦ-2022, 01.7.06.02-0001, приказ Минстроя России от 18.05.2022 г. № 378/пр</t>
  </si>
  <si>
    <t>Ленты гидроизоляционные, паропроницаемые бутилкаучуковые, из нетканого материала мембранного типа, с липким покрытием по краям с внутренней стороны и антиадгезионным покрытием, цвет бежевый, ширина 80 мм</t>
  </si>
  <si>
    <t>01.7.06.11-0001</t>
  </si>
  <si>
    <t>ФСБЦ-2022, 01.7.06.11-0001, приказ Минстроя России от 18.05.2022 г. № 378/пр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</si>
  <si>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</si>
  <si>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01.7.14.01-0002</t>
  </si>
  <si>
    <t>ФСБЦ-2022, 01.7.14.01-0002, приказ Минстроя России от 18.05.2022 г. № 378/пр</t>
  </si>
  <si>
    <t>Герметик пенополиуретановый (пена монтажная) универсальный, объем 1000 мл</t>
  </si>
  <si>
    <t>01.7.15.07-0082</t>
  </si>
  <si>
    <t>ФСБЦ-2022, 01.7.15.07-0082, приказ Минстроя России от 18.05.2022 г. № 378/пр</t>
  </si>
  <si>
    <t>Дюбель-гвозди полипропиленовые анкерные с бортом, диаметр 6 мм, длина 40 мм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</si>
  <si>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</si>
  <si>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>Ставни рентгенозащитные двухстворчатые распашные СтРЗ-2 из алюминиевого профиля, размер конструкции по раме h1730*1450мм, створки равнопольные, цвет RAL 9016 белый, рама замкнутая, рабочая створка правая, наличники рентгенозащитные с трёх сторон (сверху и по бокам), свинцовый эквивалент 3,0mmPb</t>
  </si>
  <si>
    <t>"СОГЛАСОВАНО"</t>
  </si>
  <si>
    <t>"УТВЕРЖДАЮ"</t>
  </si>
  <si>
    <t>"_____"________________ 2026 г.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</si>
  <si>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</si>
  <si>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</si>
  <si>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</si>
  <si>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</si>
  <si>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</si>
  <si>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</si>
  <si>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</si>
  <si>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</si>
  <si>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</si>
  <si>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</si>
  <si>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</si>
  <si>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</si>
  <si>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</si>
  <si>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</si>
  <si>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</si>
  <si>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</si>
  <si>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</si>
  <si>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</si>
  <si>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</si>
  <si>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</si>
  <si>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</si>
  <si>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</si>
  <si>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</si>
  <si>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</si>
  <si>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</si>
  <si>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</si>
  <si>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</si>
  <si>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</si>
  <si>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</si>
  <si>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</si>
  <si>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</si>
  <si>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</si>
  <si>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</si>
  <si>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</si>
  <si>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</si>
  <si>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</si>
  <si>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</si>
  <si>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</si>
  <si>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</si>
  <si>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«Smeta.RU» версия 12»</t>
  </si>
  <si>
    <t>ФГИС ЦС, конъюнктурный анализ</t>
  </si>
  <si>
    <t>Ресурсно-индексным</t>
  </si>
  <si>
    <t>Составлен(а) в текущем уровне цен на июнь 2026 года</t>
  </si>
  <si>
    <t>Раздел: Монтажные работы</t>
  </si>
  <si>
    <t>ГЭСНм 08-02-409-09</t>
  </si>
  <si>
    <t>ОТ (ЗТ)</t>
  </si>
  <si>
    <t>ЭМ</t>
  </si>
  <si>
    <t>ОТм(ЗТм) Средний разряд машинистов 4</t>
  </si>
  <si>
    <t>ОТм(ЗТм)</t>
  </si>
  <si>
    <t>М</t>
  </si>
  <si>
    <t>Итого прямые затраты</t>
  </si>
  <si>
    <t>1.1</t>
  </si>
  <si>
    <t>ФОТ</t>
  </si>
  <si>
    <t>НР Электротехнические установки: на других объектах</t>
  </si>
  <si>
    <t>СП Электротехнические установки: на других объектах</t>
  </si>
  <si>
    <t>Всего по позиции</t>
  </si>
  <si>
    <t>=</t>
  </si>
  <si>
    <t>ГЭСНм 08-02-390-03</t>
  </si>
  <si>
    <t>ОТм(ЗТм) Средний разряд машинистов 3</t>
  </si>
  <si>
    <t>4.1</t>
  </si>
  <si>
    <t>ГЭСНм 08-02-412-01</t>
  </si>
  <si>
    <t>ОТм(ЗТм) Средний разряд машинистов 6</t>
  </si>
  <si>
    <t>12.1</t>
  </si>
  <si>
    <t>ГЭСНм 08-03-593-10</t>
  </si>
  <si>
    <t>18.1</t>
  </si>
  <si>
    <t>ГЭСНм 34-01-136-01</t>
  </si>
  <si>
    <t>22.1</t>
  </si>
  <si>
    <t>22.2</t>
  </si>
  <si>
    <t>НР Оборудование учреждений здравоохранения и предприятий медицинской промышленности</t>
  </si>
  <si>
    <t>СП Оборудование учреждений здравоохранения и предприятий медицинской промышленности</t>
  </si>
  <si>
    <t>ГЭСНм 10-06-037-13</t>
  </si>
  <si>
    <t>25.1</t>
  </si>
  <si>
    <t>25.2</t>
  </si>
  <si>
    <t>НР Оборудование связи: прокладка и монтаж сетей связи</t>
  </si>
  <si>
    <t>СП Оборудование связи: прокладка и монтаж сетей связи</t>
  </si>
  <si>
    <t>ГЭСНм 10-08-019-01</t>
  </si>
  <si>
    <t>29.1</t>
  </si>
  <si>
    <t>ГЭСНм 08-03-591-09</t>
  </si>
  <si>
    <t>33.1</t>
  </si>
  <si>
    <t>ГЭСНм 08-02-472-06</t>
  </si>
  <si>
    <t>36.1</t>
  </si>
  <si>
    <t>ГЭСНм 08-03-526-01</t>
  </si>
  <si>
    <t>38.1</t>
  </si>
  <si>
    <t>Оборудование :_x000D_
Выключатель автоматический 2P, 10 А, 4,5 кА, характеристика C</t>
  </si>
  <si>
    <t>Оборудование :_x000D_
Выключатель автоматический 2P, 25 А, 4,5 кА, характеристика C</t>
  </si>
  <si>
    <t>Оборудование :_x000D_
Устройство защитного отключения 4P, 16 А, 30 мА</t>
  </si>
  <si>
    <t>Итого прямые затраты по разделу</t>
  </si>
  <si>
    <t>в том числе</t>
  </si>
  <si>
    <t xml:space="preserve">  оплата труда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</si>
  <si>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</si>
  <si>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</si>
  <si>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</si>
  <si>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</si>
  <si>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</si>
  <si>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</si>
  <si>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</si>
  <si>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</si>
  <si>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Всего ФОТ (справочно)</t>
  </si>
  <si>
    <t>Всего накладные расходы</t>
  </si>
  <si>
    <t>Всего сметная прибыль</t>
  </si>
  <si>
    <t>Итого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</si>
  <si>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</si>
  <si>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</si>
  <si>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Итого прочие затраты</t>
  </si>
  <si>
    <t>Итого хозяйственный инвентарь</t>
  </si>
  <si>
    <t>Итого по разделу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</si>
  <si>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</si>
  <si>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</si>
  <si>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</si>
  <si>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</si>
  <si>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</si>
  <si>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  оплата труда машинистов (ОТм)</t>
  </si>
  <si>
    <t>Раздел: Рентгенозащита</t>
  </si>
  <si>
    <t>ГЭСН 09-04-015-06</t>
  </si>
  <si>
    <t>НР Строительные металлические конструкции</t>
  </si>
  <si>
    <t>СП Строительные металлические конструкции</t>
  </si>
  <si>
    <t>ИТОГИ ПО СМЕТЕ</t>
  </si>
  <si>
    <t>ВСЕГО строительные работы</t>
  </si>
  <si>
    <t>Всего прямые затраты</t>
  </si>
  <si>
    <t xml:space="preserve">  оплата труда (ОТ)</t>
  </si>
  <si>
    <t>ФОТ (справочно)</t>
  </si>
  <si>
    <t>накладные расходы</t>
  </si>
  <si>
    <t>сметная прибыль</t>
  </si>
  <si>
    <t>ВСЕГО монтажные работы</t>
  </si>
  <si>
    <t>ВСЕГО оборудование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</si>
  <si>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</si>
  <si>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</si>
  <si>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</si>
  <si>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</si>
  <si>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</si>
  <si>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</si>
  <si>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оборудование</t>
  </si>
  <si>
    <t>Всего прочие затраты</t>
  </si>
  <si>
    <t xml:space="preserve">Составил   </t>
  </si>
  <si>
    <t>[должность,подпись(инициалы,фамилия)]</t>
  </si>
  <si>
    <t xml:space="preserve">Проверил   </t>
  </si>
  <si>
    <t xml:space="preserve">Мы, нижеподписавшиеся, произвели осмотр объекта </t>
  </si>
  <si>
    <t xml:space="preserve">и постановили произвести ремонт объекта в </t>
  </si>
  <si>
    <t>следующем объеме:</t>
  </si>
  <si>
    <t>Примечание</t>
  </si>
  <si>
    <t xml:space="preserve"> ФГБУ "НМИЦ ТО имени Н.Н. Приорова" Минздрава России, расположенного по адресу: г.Москва, ул. Приорова  дом 10.</t>
  </si>
  <si>
    <t>Текущий ремонт. Рентгенозащита. Здание Здание «Поликлиника» с кадастровым номером: 77:09:0003020:1104, расположенного по адресу: г. Москва, ул. Приорова, д. 10А</t>
  </si>
  <si>
    <t>НДС 22%</t>
  </si>
  <si>
    <t>С.И.Васильева</t>
  </si>
  <si>
    <t>В.С.Карлов</t>
  </si>
  <si>
    <t>Согласовано</t>
  </si>
  <si>
    <t>А.Н Писарев</t>
  </si>
  <si>
    <t>Директор ФБГУ</t>
  </si>
  <si>
    <t>"НМИЦ ТО имени Н.Н. Приорова" Минздрава России</t>
  </si>
  <si>
    <t>______________________ А.Г.Назаренко</t>
  </si>
  <si>
    <t>Заместитель директора по административно-</t>
  </si>
  <si>
    <t>хозяйственной работе и строительству ФБГУ "НМИЦ ТО имени Н.Н. Приорова" Минздрава России"НМИЦ ТО имени Н.Н. Приорова" Минздрава России</t>
  </si>
  <si>
    <t>______________________ О.Е.Зуев</t>
  </si>
  <si>
    <r>
      <rPr>
        <b/>
        <sz val="10"/>
        <rFont val="Arial"/>
        <family val="2"/>
        <charset val="204"/>
      </rPr>
      <t>Утверждаю:</t>
    </r>
    <r>
      <rPr>
        <sz val="10"/>
        <rFont val="Arial"/>
        <family val="2"/>
        <charset val="204"/>
      </rPr>
      <t xml:space="preserve">
Заместитель директора по административно-хозяйственной работе и строительству ФГБУ «НМИЦ ТО им. Н.Н.Приорова Минздрава России
 _____________________ О.Е.Зуев
«_____» ______________ 2026 г.</t>
    </r>
  </si>
  <si>
    <t>Дефектная ведомость объемов работ</t>
  </si>
  <si>
    <t>Текущий ремонт. Рентгенозащита. Электромонтажные работы в кабинете КТ в Здание «Поликлиника» с кадастровым номером: 77:09:0003020:1104, расположенного по адресу: г. Москва, ул. Приорова, д. 10А</t>
  </si>
  <si>
    <t>Составил: Инженер 1 кат.  _____________________________________________ В.М. Фирсов</t>
  </si>
  <si>
    <t>Проверил: Главный энергетик__________________________________________ В.С. Карлов</t>
  </si>
  <si>
    <t>Согласовано: Главный инженер ________________________________________ А.Н. Писарев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</si>
</sst>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0;[Red]\-\ #,##0.00"/>
    <numFmt numFmtId="166" formatCode="#,##0.00#####;[Red]\-\ #,##0.00#####"/>
  </numFmts>
  <fonts count="31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color rgb="FF821E82"/>
      <name val="Arial"/>
      <family val="2"/>
      <charset val="204"/>
    </font>
    <font>
      <sz val="11"/>
      <color rgb="FF821E82"/>
      <name val="Arial"/>
      <family val="2"/>
      <charset val="204"/>
    </font>
    <font>
      <i/>
      <sz val="11"/>
      <color rgb="FF821E82"/>
      <name val="Arial"/>
      <family val="2"/>
      <charset val="204"/>
    </font>
    <font>
      <b/>
      <sz val="11"/>
      <color rgb="FF821E82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9" fillId="0" borderId="0" xfId="0" applyFont="1"/>
    <xf numFmtId="0" fontId="11" fillId="0" borderId="0" xfId="0" applyNumberFormat="1" applyFont="1" applyAlignment="1"/>
    <xf numFmtId="0" fontId="14" fillId="0" borderId="0" xfId="0" applyNumberFormat="1" applyFont="1" applyAlignment="1"/>
    <xf numFmtId="0" fontId="16" fillId="0" borderId="0" xfId="0" applyNumberFormat="1" applyFont="1" applyAlignment="1"/>
    <xf numFmtId="0" fontId="16" fillId="0" borderId="0" xfId="0" applyNumberFormat="1" applyFont="1" applyAlignment="1">
      <alignment horizontal="left"/>
    </xf>
    <xf numFmtId="0" fontId="16" fillId="0" borderId="0" xfId="0" applyNumberFormat="1" applyFont="1" applyAlignment="1">
      <alignment wrapText="1"/>
    </xf>
    <xf numFmtId="0" fontId="10" fillId="0" borderId="0" xfId="0" applyNumberFormat="1" applyFont="1" applyAlignment="1"/>
    <xf numFmtId="0" fontId="10" fillId="0" borderId="0" xfId="0" applyNumberFormat="1" applyFont="1" applyAlignment="1">
      <alignment vertical="top" wrapText="1"/>
    </xf>
    <xf numFmtId="0" fontId="10" fillId="0" borderId="2" xfId="0" applyNumberFormat="1" applyFont="1" applyBorder="1" applyAlignment="1">
      <alignment vertical="top"/>
    </xf>
    <xf numFmtId="0" fontId="10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top" wrapText="1"/>
    </xf>
    <xf numFmtId="0" fontId="10" fillId="0" borderId="2" xfId="0" applyNumberFormat="1" applyFont="1" applyBorder="1" applyAlignment="1">
      <alignment horizontal="left" vertical="top" wrapText="1"/>
    </xf>
    <xf numFmtId="0" fontId="11" fillId="0" borderId="2" xfId="0" applyNumberFormat="1" applyFont="1" applyBorder="1" applyAlignment="1"/>
    <xf numFmtId="0" fontId="15" fillId="0" borderId="1" xfId="0" applyNumberFormat="1" applyFont="1" applyBorder="1" applyAlignment="1">
      <alignment horizontal="center" wrapText="1"/>
    </xf>
    <xf numFmtId="0" fontId="19" fillId="0" borderId="0" xfId="0" applyNumberFormat="1" applyFont="1" applyAlignment="1">
      <alignment vertical="center" wrapText="1"/>
    </xf>
    <xf numFmtId="0" fontId="19" fillId="0" borderId="0" xfId="0" applyNumberFormat="1" applyFont="1" applyAlignment="1">
      <alignment horizontal="center" wrapText="1"/>
    </xf>
    <xf numFmtId="0" fontId="10" fillId="0" borderId="0" xfId="0" applyNumberFormat="1" applyFont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2" xfId="0" applyNumberFormat="1" applyFont="1" applyBorder="1" applyAlignment="1"/>
    <xf numFmtId="0" fontId="10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wrapText="1"/>
    </xf>
    <xf numFmtId="0" fontId="13" fillId="0" borderId="0" xfId="0" applyNumberFormat="1" applyFont="1" applyAlignment="1"/>
    <xf numFmtId="14" fontId="16" fillId="0" borderId="0" xfId="0" applyNumberFormat="1" applyFont="1" applyAlignment="1"/>
    <xf numFmtId="0" fontId="10" fillId="0" borderId="0" xfId="0" applyNumberFormat="1" applyFont="1" applyAlignment="1">
      <alignment horizontal="right"/>
    </xf>
    <xf numFmtId="0" fontId="17" fillId="0" borderId="0" xfId="0" applyNumberFormat="1" applyFont="1" applyAlignment="1"/>
    <xf numFmtId="164" fontId="10" fillId="0" borderId="0" xfId="0" applyNumberFormat="1" applyFont="1" applyAlignment="1">
      <alignment horizontal="right"/>
    </xf>
    <xf numFmtId="0" fontId="16" fillId="0" borderId="1" xfId="0" applyNumberFormat="1" applyFont="1" applyBorder="1" applyAlignment="1"/>
    <xf numFmtId="0" fontId="10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/>
    </xf>
    <xf numFmtId="0" fontId="16" fillId="0" borderId="0" xfId="0" applyNumberFormat="1" applyFont="1" applyAlignment="1">
      <alignment horizontal="center"/>
    </xf>
    <xf numFmtId="0" fontId="16" fillId="0" borderId="7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left" vertical="top" wrapText="1"/>
    </xf>
    <xf numFmtId="0" fontId="21" fillId="0" borderId="0" xfId="0" applyFont="1"/>
    <xf numFmtId="0" fontId="21" fillId="0" borderId="0" xfId="0" quotePrefix="1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right" vertical="top" wrapText="1"/>
    </xf>
    <xf numFmtId="165" fontId="21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 wrapText="1"/>
    </xf>
    <xf numFmtId="166" fontId="21" fillId="0" borderId="0" xfId="0" applyNumberFormat="1" applyFont="1" applyAlignment="1">
      <alignment horizontal="right" vertical="top"/>
    </xf>
    <xf numFmtId="165" fontId="23" fillId="0" borderId="0" xfId="0" applyNumberFormat="1" applyFont="1" applyAlignment="1">
      <alignment horizontal="right" vertical="top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right" vertical="top" wrapText="1"/>
    </xf>
    <xf numFmtId="0" fontId="21" fillId="0" borderId="1" xfId="0" applyFont="1" applyBorder="1" applyAlignment="1">
      <alignment horizontal="right" vertical="top"/>
    </xf>
    <xf numFmtId="165" fontId="21" fillId="0" borderId="1" xfId="0" applyNumberFormat="1" applyFont="1" applyBorder="1" applyAlignment="1">
      <alignment horizontal="right" vertical="top"/>
    </xf>
    <xf numFmtId="0" fontId="21" fillId="0" borderId="1" xfId="0" applyFont="1" applyBorder="1" applyAlignment="1">
      <alignment horizontal="right" vertical="top" wrapText="1"/>
    </xf>
    <xf numFmtId="165" fontId="0" fillId="0" borderId="0" xfId="0" applyNumberFormat="1"/>
    <xf numFmtId="165" fontId="21" fillId="0" borderId="0" xfId="0" applyNumberFormat="1" applyFont="1" applyAlignment="1">
      <alignment horizontal="right"/>
    </xf>
    <xf numFmtId="0" fontId="23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0" fontId="21" fillId="0" borderId="1" xfId="0" quotePrefix="1" applyFont="1" applyBorder="1" applyAlignment="1">
      <alignment horizontal="left" vertical="top" wrapText="1"/>
    </xf>
    <xf numFmtId="0" fontId="0" fillId="0" borderId="1" xfId="0" applyBorder="1"/>
    <xf numFmtId="0" fontId="8" fillId="0" borderId="1" xfId="0" applyFont="1" applyBorder="1" applyAlignment="1">
      <alignment vertical="top" wrapText="1"/>
    </xf>
    <xf numFmtId="0" fontId="24" fillId="0" borderId="0" xfId="0" applyFont="1"/>
    <xf numFmtId="0" fontId="25" fillId="0" borderId="1" xfId="0" quotePrefix="1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right" vertical="top" wrapText="1"/>
    </xf>
    <xf numFmtId="0" fontId="25" fillId="0" borderId="1" xfId="0" applyFont="1" applyBorder="1" applyAlignment="1">
      <alignment horizontal="right" vertical="top"/>
    </xf>
    <xf numFmtId="165" fontId="25" fillId="0" borderId="1" xfId="0" applyNumberFormat="1" applyFont="1" applyBorder="1" applyAlignment="1">
      <alignment horizontal="right" vertical="top"/>
    </xf>
    <xf numFmtId="0" fontId="25" fillId="0" borderId="1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23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23" fillId="0" borderId="0" xfId="0" applyFont="1" applyAlignment="1">
      <alignment horizontal="right" vertical="top"/>
    </xf>
    <xf numFmtId="0" fontId="23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 wrapText="1"/>
    </xf>
    <xf numFmtId="165" fontId="23" fillId="0" borderId="2" xfId="0" applyNumberFormat="1" applyFont="1" applyBorder="1" applyAlignment="1">
      <alignment horizontal="right" vertical="top"/>
    </xf>
    <xf numFmtId="0" fontId="23" fillId="0" borderId="2" xfId="0" applyFont="1" applyBorder="1" applyAlignment="1">
      <alignment horizontal="right" vertical="top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Alignment="1"/>
    <xf numFmtId="165" fontId="11" fillId="0" borderId="0" xfId="0" applyNumberFormat="1" applyFont="1" applyAlignment="1"/>
    <xf numFmtId="166" fontId="11" fillId="0" borderId="0" xfId="0" applyNumberFormat="1" applyFont="1" applyAlignment="1"/>
    <xf numFmtId="0" fontId="11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 vertical="center"/>
    </xf>
    <xf numFmtId="0" fontId="16" fillId="0" borderId="1" xfId="0" applyNumberFormat="1" applyFont="1" applyBorder="1" applyAlignment="1">
      <alignment horizontal="left"/>
    </xf>
    <xf numFmtId="0" fontId="16" fillId="0" borderId="0" xfId="0" applyNumberFormat="1" applyFont="1" applyAlignment="1">
      <alignment horizontal="right"/>
    </xf>
    <xf numFmtId="0" fontId="23" fillId="0" borderId="0" xfId="0" applyFont="1" applyAlignment="1">
      <alignment horizontal="left" vertical="top"/>
    </xf>
    <xf numFmtId="0" fontId="21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7" xfId="0" applyFont="1" applyBorder="1" applyAlignment="1">
      <alignment horizontal="left" vertical="top" wrapText="1"/>
    </xf>
    <xf numFmtId="0" fontId="21" fillId="0" borderId="7" xfId="0" applyFont="1" applyBorder="1" applyAlignment="1">
      <alignment horizontal="left" wrapText="1"/>
    </xf>
    <xf numFmtId="0" fontId="21" fillId="0" borderId="7" xfId="0" applyFont="1" applyBorder="1" applyAlignment="1">
      <alignment horizontal="right" wrapText="1"/>
    </xf>
    <xf numFmtId="0" fontId="21" fillId="0" borderId="7" xfId="0" applyFont="1" applyBorder="1" applyAlignment="1">
      <alignment horizontal="right"/>
    </xf>
    <xf numFmtId="0" fontId="21" fillId="0" borderId="5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wrapText="1"/>
    </xf>
    <xf numFmtId="0" fontId="21" fillId="0" borderId="5" xfId="0" applyFont="1" applyBorder="1" applyAlignment="1">
      <alignment horizontal="right" wrapText="1"/>
    </xf>
    <xf numFmtId="0" fontId="21" fillId="0" borderId="5" xfId="0" applyFont="1" applyBorder="1" applyAlignment="1">
      <alignment horizontal="right"/>
    </xf>
    <xf numFmtId="0" fontId="16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center"/>
    </xf>
    <xf numFmtId="0" fontId="16" fillId="0" borderId="1" xfId="0" applyNumberFormat="1" applyFont="1" applyBorder="1" applyAlignment="1"/>
    <xf numFmtId="0" fontId="16" fillId="0" borderId="1" xfId="0" applyNumberFormat="1" applyFont="1" applyBorder="1" applyAlignment="1">
      <alignment horizontal="left"/>
    </xf>
    <xf numFmtId="0" fontId="21" fillId="0" borderId="0" xfId="0" applyFont="1" applyAlignment="1">
      <alignment horizontal="left" wrapText="1"/>
    </xf>
    <xf numFmtId="0" fontId="8" fillId="0" borderId="0" xfId="0" applyFont="1" applyAlignment="1">
      <alignment horizontal="right"/>
    </xf>
    <xf numFmtId="0" fontId="8" fillId="0" borderId="0" xfId="0" applyFont="1" applyAlignment="1"/>
    <xf numFmtId="0" fontId="29" fillId="0" borderId="0" xfId="0" applyNumberFormat="1" applyFont="1" applyFill="1" applyBorder="1" applyAlignment="1" applyProtection="1"/>
    <xf numFmtId="0" fontId="0" fillId="0" borderId="0" xfId="0" applyAlignment="1">
      <alignment wrapText="1"/>
    </xf>
    <xf numFmtId="0" fontId="29" fillId="0" borderId="0" xfId="0" applyNumberFormat="1" applyFont="1" applyFill="1" applyBorder="1" applyAlignment="1" applyProtection="1">
      <alignment wrapText="1"/>
    </xf>
    <xf numFmtId="0" fontId="29" fillId="0" borderId="0" xfId="0" applyNumberFormat="1" applyFont="1" applyAlignment="1">
      <alignment horizontal="center" vertical="top"/>
    </xf>
    <xf numFmtId="0" fontId="16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5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/>
    </xf>
    <xf numFmtId="0" fontId="16" fillId="0" borderId="0" xfId="0" applyNumberFormat="1" applyFont="1" applyAlignment="1">
      <alignment horizontal="left"/>
    </xf>
    <xf numFmtId="0" fontId="18" fillId="0" borderId="2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left" wrapText="1"/>
    </xf>
    <xf numFmtId="165" fontId="10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  <xf numFmtId="0" fontId="15" fillId="0" borderId="1" xfId="0" applyNumberFormat="1" applyFont="1" applyBorder="1" applyAlignment="1">
      <alignment horizontal="center" wrapText="1"/>
    </xf>
    <xf numFmtId="0" fontId="15" fillId="0" borderId="0" xfId="0" applyNumberFormat="1" applyFont="1" applyAlignment="1">
      <alignment horizont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165" fontId="23" fillId="0" borderId="0" xfId="0" applyNumberFormat="1" applyFont="1" applyAlignment="1">
      <alignment horizontal="left" vertical="top"/>
    </xf>
    <xf numFmtId="165" fontId="23" fillId="0" borderId="2" xfId="0" applyNumberFormat="1" applyFont="1" applyBorder="1" applyAlignment="1">
      <alignment horizontal="right" vertical="top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165" fontId="27" fillId="0" borderId="0" xfId="0" applyNumberFormat="1" applyFont="1" applyAlignment="1">
      <alignment horizontal="left" vertical="top"/>
    </xf>
    <xf numFmtId="165" fontId="27" fillId="0" borderId="2" xfId="0" applyNumberFormat="1" applyFont="1" applyBorder="1" applyAlignment="1">
      <alignment horizontal="right" vertical="top"/>
    </xf>
    <xf numFmtId="0" fontId="22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3" fillId="0" borderId="2" xfId="0" applyFont="1" applyBorder="1" applyAlignment="1">
      <alignment horizontal="left" vertical="top" wrapText="1"/>
    </xf>
    <xf numFmtId="0" fontId="28" fillId="0" borderId="2" xfId="0" applyNumberFormat="1" applyFont="1" applyBorder="1" applyAlignment="1">
      <alignment horizontal="center"/>
    </xf>
    <xf numFmtId="0" fontId="10" fillId="0" borderId="0" xfId="0" applyNumberFormat="1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10" fillId="0" borderId="0" xfId="0" applyNumberFormat="1" applyFont="1" applyAlignment="1">
      <alignment horizontal="left" vertical="center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30" fillId="0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0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6BF6B-49BB-4CCC-8902-02BE85551642}">
  <sheetPr>
    <pageSetUpPr fitToPage="1"/>
  </sheetPr>
  <dimension ref="A1:CO530"/>
  <sheetViews>
    <sheetView tabSelected="1" zoomScaleNormal="100" workbookViewId="0">
      <selection activeCell="J512" sqref="J512"/>
    </sheetView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2" width="0" hidden="1" customWidth="1"/>
    <col min="93" max="93" width="108.7109375" hidden="1" customWidth="1"/>
    <col min="94" max="101" width="0" hidden="1" customWidth="1"/>
  </cols>
  <sheetData>
    <row r="1" spans="1:93" x14ac:dyDescent="0.2">
      <c r="A1" s="13" t="str">
        <f>Source!B1</f>
        <v>Smeta.RU  (495) 974-1589</v>
      </c>
    </row>
    <row r="2" spans="1:93" ht="12.7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93" ht="16.5" customHeight="1" x14ac:dyDescent="0.25">
      <c r="A3" s="15"/>
      <c r="B3" s="119" t="s">
        <v>505</v>
      </c>
      <c r="C3" s="119"/>
      <c r="D3" s="119"/>
      <c r="E3" s="119"/>
      <c r="F3" s="16"/>
      <c r="G3" s="16"/>
      <c r="H3" s="119" t="s">
        <v>506</v>
      </c>
      <c r="I3" s="119"/>
      <c r="J3" s="119"/>
      <c r="K3" s="119"/>
      <c r="L3" s="119"/>
    </row>
    <row r="4" spans="1:93" ht="14.25" customHeight="1" x14ac:dyDescent="0.2">
      <c r="A4" s="16"/>
      <c r="B4" s="120" t="s">
        <v>658</v>
      </c>
      <c r="C4" s="120"/>
      <c r="D4" s="120"/>
      <c r="E4" s="120"/>
      <c r="F4" s="16"/>
      <c r="G4" s="16"/>
      <c r="H4" s="120" t="s">
        <v>655</v>
      </c>
      <c r="I4" s="120"/>
      <c r="J4" s="120"/>
      <c r="K4" s="120"/>
      <c r="L4" s="120"/>
    </row>
    <row r="5" spans="1:93" ht="24" customHeight="1" x14ac:dyDescent="0.2">
      <c r="A5" s="16"/>
      <c r="B5" s="151" t="s">
        <v>659</v>
      </c>
      <c r="C5" s="151"/>
      <c r="D5" s="22"/>
      <c r="E5" s="22"/>
      <c r="F5" s="16"/>
      <c r="G5" s="16"/>
      <c r="H5" s="22" t="s">
        <v>656</v>
      </c>
      <c r="I5" s="22"/>
      <c r="J5" s="22"/>
      <c r="K5" s="22"/>
      <c r="L5" s="22"/>
    </row>
    <row r="6" spans="1:93" ht="14.25" customHeight="1" x14ac:dyDescent="0.2">
      <c r="A6" s="17"/>
      <c r="B6" s="121" t="s">
        <v>660</v>
      </c>
      <c r="C6" s="121"/>
      <c r="D6" s="121"/>
      <c r="E6" s="121"/>
      <c r="F6" s="16"/>
      <c r="G6" s="16"/>
      <c r="H6" s="120" t="s">
        <v>657</v>
      </c>
      <c r="I6" s="120"/>
      <c r="J6" s="120"/>
      <c r="K6" s="120"/>
      <c r="L6" s="120"/>
    </row>
    <row r="7" spans="1:93" ht="14.25" customHeight="1" x14ac:dyDescent="0.2">
      <c r="A7" s="18"/>
      <c r="B7" s="116" t="s">
        <v>507</v>
      </c>
      <c r="C7" s="116"/>
      <c r="D7" s="116"/>
      <c r="E7" s="116"/>
      <c r="F7" s="16"/>
      <c r="G7" s="16"/>
      <c r="H7" s="116" t="s">
        <v>507</v>
      </c>
      <c r="I7" s="116"/>
      <c r="J7" s="116"/>
      <c r="K7" s="116"/>
      <c r="L7" s="116"/>
    </row>
    <row r="10" spans="1:93" ht="12.75" customHeight="1" x14ac:dyDescent="0.2">
      <c r="A10" s="117" t="s">
        <v>508</v>
      </c>
      <c r="B10" s="117"/>
      <c r="C10" s="117"/>
      <c r="D10" s="117"/>
      <c r="E10" s="117"/>
      <c r="F10" s="118" t="s">
        <v>547</v>
      </c>
      <c r="G10" s="118"/>
      <c r="H10" s="118"/>
      <c r="I10" s="118"/>
      <c r="J10" s="118"/>
      <c r="K10" s="118"/>
      <c r="L10" s="118"/>
    </row>
    <row r="11" spans="1:93" ht="12.75" customHeight="1" x14ac:dyDescent="0.2">
      <c r="A11" s="20"/>
      <c r="B11" s="20"/>
      <c r="C11" s="20"/>
      <c r="D11" s="20"/>
      <c r="E11" s="20"/>
      <c r="F11" s="21"/>
      <c r="G11" s="21"/>
      <c r="H11" s="21"/>
      <c r="I11" s="21"/>
      <c r="J11" s="21"/>
      <c r="K11" s="21"/>
      <c r="L11" s="21"/>
    </row>
    <row r="12" spans="1:93" ht="25.5" x14ac:dyDescent="0.2">
      <c r="A12" s="117" t="s">
        <v>509</v>
      </c>
      <c r="B12" s="117"/>
      <c r="C12" s="117"/>
      <c r="D12" s="117"/>
      <c r="E12" s="117"/>
      <c r="F12" s="118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12" s="118"/>
      <c r="H12" s="118"/>
      <c r="I12" s="118"/>
      <c r="J12" s="118"/>
      <c r="K12" s="118"/>
      <c r="L12" s="118"/>
      <c r="CO12" s="45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13" spans="1:93" ht="12.75" customHeight="1" x14ac:dyDescent="0.2">
      <c r="A13" s="20"/>
      <c r="B13" s="20"/>
      <c r="C13" s="20"/>
      <c r="D13" s="20"/>
      <c r="E13" s="20"/>
      <c r="F13" s="21"/>
      <c r="G13" s="21"/>
      <c r="H13" s="21"/>
      <c r="I13" s="21"/>
      <c r="J13" s="21"/>
      <c r="K13" s="21"/>
      <c r="L13" s="21"/>
    </row>
    <row r="14" spans="1:93" ht="140.25" x14ac:dyDescent="0.2">
      <c r="A14" s="117" t="s">
        <v>510</v>
      </c>
      <c r="B14" s="117"/>
      <c r="C14" s="117"/>
      <c r="D14" s="117"/>
      <c r="E14" s="117"/>
      <c r="F14" s="118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  <c r="G14" s="118"/>
      <c r="H14" s="118"/>
      <c r="I14" s="118"/>
      <c r="J14" s="118"/>
      <c r="K14" s="118"/>
      <c r="L14" s="118"/>
      <c r="CO14" s="45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15" spans="1:93" ht="12.75" customHeight="1" x14ac:dyDescent="0.2">
      <c r="A15" s="20"/>
      <c r="B15" s="20"/>
      <c r="C15" s="20"/>
      <c r="D15" s="20"/>
      <c r="E15" s="20"/>
      <c r="F15" s="21"/>
      <c r="G15" s="21"/>
      <c r="H15" s="21"/>
      <c r="I15" s="21"/>
      <c r="J15" s="21"/>
      <c r="K15" s="21"/>
      <c r="L15" s="21"/>
    </row>
    <row r="16" spans="1:93" ht="76.5" customHeight="1" x14ac:dyDescent="0.2">
      <c r="A16" s="117" t="s">
        <v>511</v>
      </c>
      <c r="B16" s="117"/>
      <c r="C16" s="117"/>
      <c r="D16" s="117"/>
      <c r="E16" s="117"/>
      <c r="F16" s="118" t="s">
        <v>370</v>
      </c>
      <c r="G16" s="118"/>
      <c r="H16" s="118"/>
      <c r="I16" s="118"/>
      <c r="J16" s="118"/>
      <c r="K16" s="118"/>
      <c r="L16" s="118"/>
    </row>
    <row r="17" spans="1:12" ht="12.75" customHeight="1" x14ac:dyDescent="0.2">
      <c r="A17" s="20"/>
      <c r="B17" s="20"/>
      <c r="C17" s="20"/>
      <c r="D17" s="20"/>
      <c r="E17" s="20"/>
      <c r="F17" s="21"/>
      <c r="G17" s="21"/>
      <c r="H17" s="21"/>
      <c r="I17" s="21"/>
      <c r="J17" s="21"/>
      <c r="K17" s="21"/>
      <c r="L17" s="21"/>
    </row>
    <row r="18" spans="1:12" ht="38.25" customHeight="1" x14ac:dyDescent="0.2">
      <c r="A18" s="117" t="s">
        <v>512</v>
      </c>
      <c r="B18" s="117"/>
      <c r="C18" s="117"/>
      <c r="D18" s="117"/>
      <c r="E18" s="117"/>
      <c r="F18" s="118" t="s">
        <v>371</v>
      </c>
      <c r="G18" s="118"/>
      <c r="H18" s="118"/>
      <c r="I18" s="118"/>
      <c r="J18" s="118"/>
      <c r="K18" s="118"/>
      <c r="L18" s="118"/>
    </row>
    <row r="19" spans="1:12" ht="12.75" customHeight="1" x14ac:dyDescent="0.2">
      <c r="A19" s="23"/>
      <c r="B19" s="23"/>
      <c r="C19" s="23"/>
      <c r="D19" s="23"/>
      <c r="E19" s="23"/>
      <c r="F19" s="24"/>
      <c r="G19" s="24"/>
      <c r="H19" s="24"/>
      <c r="I19" s="24"/>
      <c r="J19" s="24"/>
      <c r="K19" s="24"/>
      <c r="L19" s="24"/>
    </row>
    <row r="20" spans="1:12" ht="12.75" customHeight="1" x14ac:dyDescent="0.2">
      <c r="A20" s="117" t="s">
        <v>513</v>
      </c>
      <c r="B20" s="117"/>
      <c r="C20" s="117"/>
      <c r="D20" s="117"/>
      <c r="E20" s="117"/>
      <c r="F20" s="118" t="s">
        <v>548</v>
      </c>
      <c r="G20" s="118"/>
      <c r="H20" s="118"/>
      <c r="I20" s="118"/>
      <c r="J20" s="118"/>
      <c r="K20" s="118"/>
      <c r="L20" s="118"/>
    </row>
    <row r="21" spans="1:12" ht="12.75" customHeight="1" x14ac:dyDescent="0.2">
      <c r="A21" s="23"/>
      <c r="B21" s="23"/>
      <c r="C21" s="23"/>
      <c r="D21" s="23"/>
      <c r="E21" s="23"/>
      <c r="F21" s="24"/>
      <c r="G21" s="24"/>
      <c r="H21" s="24"/>
      <c r="I21" s="24"/>
      <c r="J21" s="24"/>
      <c r="K21" s="24"/>
      <c r="L21" s="24"/>
    </row>
    <row r="22" spans="1:12" ht="12.75" customHeight="1" x14ac:dyDescent="0.2">
      <c r="A22" s="117" t="s">
        <v>514</v>
      </c>
      <c r="B22" s="117"/>
      <c r="C22" s="117"/>
      <c r="D22" s="117"/>
      <c r="E22" s="117"/>
      <c r="F22" s="118" t="str">
        <f>IF(Source!CZ12 &lt;&gt; "", Source!CZ12, "")</f>
        <v/>
      </c>
      <c r="G22" s="118"/>
      <c r="H22" s="118"/>
      <c r="I22" s="118"/>
      <c r="J22" s="118"/>
      <c r="K22" s="118"/>
      <c r="L22" s="118"/>
    </row>
    <row r="23" spans="1:12" ht="12.75" customHeight="1" x14ac:dyDescent="0.2">
      <c r="A23" s="23"/>
      <c r="B23" s="23"/>
      <c r="C23" s="23"/>
      <c r="D23" s="23"/>
      <c r="E23" s="23"/>
      <c r="F23" s="24"/>
      <c r="G23" s="24"/>
      <c r="H23" s="24"/>
      <c r="I23" s="24"/>
      <c r="J23" s="24"/>
      <c r="K23" s="24"/>
      <c r="L23" s="21"/>
    </row>
    <row r="24" spans="1:12" ht="12.75" customHeight="1" x14ac:dyDescent="0.2">
      <c r="A24" s="117" t="s">
        <v>515</v>
      </c>
      <c r="B24" s="117"/>
      <c r="C24" s="117"/>
      <c r="D24" s="117"/>
      <c r="E24" s="117"/>
      <c r="F24" s="118" t="str">
        <f>IF(Source!DA12 &lt;&gt; "", Source!DA12, "")</f>
        <v/>
      </c>
      <c r="G24" s="118"/>
      <c r="H24" s="118"/>
      <c r="I24" s="118"/>
      <c r="J24" s="118"/>
      <c r="K24" s="118"/>
      <c r="L24" s="118"/>
    </row>
    <row r="25" spans="1:12" ht="12.75" customHeight="1" x14ac:dyDescent="0.2">
      <c r="A25" s="14"/>
      <c r="B25" s="14"/>
      <c r="C25" s="14"/>
      <c r="D25" s="14"/>
      <c r="E25" s="14"/>
      <c r="F25" s="25"/>
      <c r="G25" s="25"/>
      <c r="H25" s="25"/>
      <c r="I25" s="25"/>
      <c r="J25" s="25"/>
      <c r="K25" s="25"/>
      <c r="L25" s="25"/>
    </row>
    <row r="26" spans="1:12" ht="12.75" customHeigh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ht="15.75" customHeight="1" x14ac:dyDescent="0.25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</row>
    <row r="28" spans="1:12" ht="14.25" customHeight="1" x14ac:dyDescent="0.2">
      <c r="A28" s="122" t="s">
        <v>516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</row>
    <row r="29" spans="1:12" ht="14.2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 ht="15.75" customHeight="1" x14ac:dyDescent="0.25">
      <c r="A30" s="126" t="s">
        <v>648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</row>
    <row r="31" spans="1:12" ht="14.25" customHeight="1" x14ac:dyDescent="0.2">
      <c r="A31" s="122" t="s">
        <v>517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</row>
    <row r="32" spans="1:12" ht="14.25" customHeight="1" x14ac:dyDescent="0.2">
      <c r="A32" s="16"/>
      <c r="B32" s="16"/>
      <c r="C32" s="16"/>
      <c r="D32" s="16"/>
      <c r="E32" s="16"/>
      <c r="F32" s="18"/>
      <c r="G32" s="18"/>
      <c r="H32" s="18"/>
      <c r="I32" s="18"/>
      <c r="J32" s="18"/>
      <c r="K32" s="18"/>
      <c r="L32" s="18"/>
    </row>
    <row r="33" spans="1:12" ht="15.75" customHeight="1" x14ac:dyDescent="0.25">
      <c r="A33" s="127" t="str">
        <f>CONCATENATE( "ЛОКАЛЬНАЯ СМЕТА № ", Source!F20, " ",Source!CM20)</f>
        <v xml:space="preserve">ЛОКАЛЬНАЯ СМЕТА №  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</row>
    <row r="34" spans="1:12" ht="15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7"/>
    </row>
    <row r="35" spans="1:12" ht="18" customHeight="1" x14ac:dyDescent="0.25">
      <c r="A35" s="126" t="s">
        <v>649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</row>
    <row r="36" spans="1:12" ht="14.25" customHeight="1" x14ac:dyDescent="0.2">
      <c r="A36" s="122" t="s">
        <v>518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</row>
    <row r="37" spans="1:12" ht="14.25" customHeight="1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ht="14.25" customHeight="1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ht="12.75" customHeight="1" x14ac:dyDescent="0.2">
      <c r="A39" s="19" t="s">
        <v>519</v>
      </c>
      <c r="B39" s="19"/>
      <c r="C39" s="30" t="s">
        <v>549</v>
      </c>
      <c r="D39" s="19" t="s">
        <v>520</v>
      </c>
      <c r="E39" s="19"/>
      <c r="F39" s="19"/>
      <c r="G39" s="19"/>
      <c r="H39" s="19"/>
      <c r="I39" s="19"/>
      <c r="J39" s="19"/>
      <c r="K39" s="19"/>
      <c r="L39" s="19"/>
    </row>
    <row r="40" spans="1:12" ht="12.75" customHeight="1" x14ac:dyDescent="0.2">
      <c r="A40" s="19"/>
      <c r="B40" s="19"/>
      <c r="C40" s="31"/>
      <c r="D40" s="19"/>
      <c r="E40" s="19"/>
      <c r="F40" s="19"/>
      <c r="G40" s="19"/>
      <c r="H40" s="19"/>
      <c r="I40" s="19"/>
      <c r="J40" s="19"/>
      <c r="K40" s="19"/>
      <c r="L40" s="19"/>
    </row>
    <row r="41" spans="1:12" ht="12.75" customHeight="1" x14ac:dyDescent="0.2">
      <c r="A41" s="19" t="s">
        <v>521</v>
      </c>
      <c r="B41" s="19"/>
      <c r="C41" s="123"/>
      <c r="D41" s="123"/>
      <c r="E41" s="123"/>
      <c r="F41" s="123"/>
      <c r="G41" s="123"/>
      <c r="H41" s="123"/>
      <c r="I41" s="123"/>
      <c r="J41" s="123"/>
      <c r="K41" s="123"/>
      <c r="L41" s="123"/>
    </row>
    <row r="42" spans="1:12" ht="12.75" customHeight="1" x14ac:dyDescent="0.2">
      <c r="A42" s="32"/>
      <c r="B42" s="33"/>
      <c r="C42" s="122" t="s">
        <v>522</v>
      </c>
      <c r="D42" s="122"/>
      <c r="E42" s="122"/>
      <c r="F42" s="122"/>
      <c r="G42" s="122"/>
      <c r="H42" s="122"/>
      <c r="I42" s="122"/>
      <c r="J42" s="122"/>
      <c r="K42" s="122"/>
      <c r="L42" s="122"/>
    </row>
    <row r="43" spans="1:12" ht="14.25" customHeight="1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</row>
    <row r="44" spans="1:12" ht="14.25" customHeight="1" x14ac:dyDescent="0.2">
      <c r="A44" s="34" t="s">
        <v>550</v>
      </c>
      <c r="B44" s="16"/>
      <c r="C44" s="16"/>
      <c r="D44" s="35"/>
      <c r="E44" s="16"/>
      <c r="F44" s="16"/>
      <c r="G44" s="16"/>
      <c r="H44" s="16"/>
      <c r="I44" s="16"/>
      <c r="J44" s="16"/>
      <c r="K44" s="16"/>
      <c r="L44" s="16"/>
    </row>
    <row r="45" spans="1:12" ht="14.25" customHeight="1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2" ht="14.25" customHeight="1" x14ac:dyDescent="0.2">
      <c r="A46" s="34" t="s">
        <v>523</v>
      </c>
      <c r="B46" s="16"/>
      <c r="C46" s="124">
        <f>C49+C50+C51+C52</f>
        <v>325.90999999999997</v>
      </c>
      <c r="D46" s="125"/>
      <c r="E46" s="19" t="s">
        <v>524</v>
      </c>
      <c r="F46" s="14"/>
      <c r="G46" s="14"/>
      <c r="H46" s="14"/>
      <c r="I46" s="14"/>
      <c r="J46" s="14"/>
      <c r="K46" s="14"/>
      <c r="L46" s="16"/>
    </row>
    <row r="47" spans="1:12" ht="14.25" customHeight="1" x14ac:dyDescent="0.2">
      <c r="A47" s="34"/>
      <c r="B47" s="16"/>
      <c r="C47" s="84"/>
      <c r="D47" s="36"/>
      <c r="E47" s="19"/>
      <c r="F47" s="14"/>
      <c r="G47" s="19" t="s">
        <v>525</v>
      </c>
      <c r="H47" s="16"/>
      <c r="I47" s="19"/>
      <c r="J47" s="19"/>
      <c r="K47" s="86">
        <f>ROUND(SUM(AR60:AR520)/1000, 2)</f>
        <v>61.17</v>
      </c>
      <c r="L47" s="19" t="s">
        <v>524</v>
      </c>
    </row>
    <row r="48" spans="1:12" ht="14.25" customHeight="1" x14ac:dyDescent="0.2">
      <c r="A48" s="16"/>
      <c r="B48" s="37" t="s">
        <v>526</v>
      </c>
      <c r="C48" s="85"/>
      <c r="D48" s="16"/>
      <c r="E48" s="19"/>
      <c r="F48" s="14"/>
      <c r="G48" s="19" t="s">
        <v>527</v>
      </c>
      <c r="H48" s="16"/>
      <c r="I48" s="19"/>
      <c r="J48" s="19"/>
      <c r="K48" s="86">
        <f>ROUND(SUM(AT60:AT520)/1000, 2)</f>
        <v>0.21</v>
      </c>
      <c r="L48" s="19" t="s">
        <v>524</v>
      </c>
    </row>
    <row r="49" spans="1:12" ht="14.25" customHeight="1" x14ac:dyDescent="0.2">
      <c r="A49" s="16"/>
      <c r="B49" s="34" t="s">
        <v>528</v>
      </c>
      <c r="C49" s="124">
        <f>ROUND((Source!F170)/1000, 2)</f>
        <v>132.59</v>
      </c>
      <c r="D49" s="125"/>
      <c r="E49" s="19" t="s">
        <v>524</v>
      </c>
      <c r="F49" s="14"/>
      <c r="G49" s="19" t="s">
        <v>529</v>
      </c>
      <c r="H49" s="16"/>
      <c r="I49" s="19"/>
      <c r="J49" s="36"/>
      <c r="K49" s="87">
        <f>Source!F175</f>
        <v>86.816225099999997</v>
      </c>
      <c r="L49" s="19" t="s">
        <v>382</v>
      </c>
    </row>
    <row r="50" spans="1:12" ht="14.25" customHeight="1" x14ac:dyDescent="0.2">
      <c r="A50" s="16"/>
      <c r="B50" s="34" t="s">
        <v>530</v>
      </c>
      <c r="C50" s="124">
        <f>ROUND((Source!F171)/1000, 2)</f>
        <v>190.81</v>
      </c>
      <c r="D50" s="125"/>
      <c r="E50" s="19" t="s">
        <v>524</v>
      </c>
      <c r="F50" s="14"/>
      <c r="G50" s="19" t="s">
        <v>531</v>
      </c>
      <c r="H50" s="16"/>
      <c r="I50" s="19"/>
      <c r="J50" s="38"/>
      <c r="K50" s="87">
        <f>Source!F176</f>
        <v>0.25155189999999999</v>
      </c>
      <c r="L50" s="19" t="s">
        <v>382</v>
      </c>
    </row>
    <row r="51" spans="1:12" ht="14.25" customHeight="1" x14ac:dyDescent="0.2">
      <c r="A51" s="16"/>
      <c r="B51" s="34" t="s">
        <v>532</v>
      </c>
      <c r="C51" s="124">
        <f>ROUND((Source!F162)/1000, 2)</f>
        <v>2.5099999999999998</v>
      </c>
      <c r="D51" s="125"/>
      <c r="E51" s="19" t="s">
        <v>524</v>
      </c>
      <c r="F51" s="14"/>
      <c r="G51" s="19"/>
      <c r="H51" s="19"/>
      <c r="I51" s="19"/>
      <c r="J51" s="19"/>
      <c r="K51" s="14"/>
      <c r="L51" s="19"/>
    </row>
    <row r="52" spans="1:12" ht="14.25" customHeight="1" x14ac:dyDescent="0.2">
      <c r="A52" s="16"/>
      <c r="B52" s="34" t="s">
        <v>533</v>
      </c>
      <c r="C52" s="124">
        <f>ROUND((Source!F172)/1000, 2)</f>
        <v>0</v>
      </c>
      <c r="D52" s="125"/>
      <c r="E52" s="19" t="s">
        <v>524</v>
      </c>
      <c r="F52" s="14"/>
      <c r="G52" s="19"/>
      <c r="H52" s="19"/>
      <c r="I52" s="19"/>
      <c r="J52" s="19"/>
      <c r="K52" s="14"/>
      <c r="L52" s="19"/>
    </row>
    <row r="53" spans="1:12" ht="14.25" customHeight="1" x14ac:dyDescent="0.2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</row>
    <row r="54" spans="1:12" ht="12.75" customHeight="1" x14ac:dyDescent="0.2">
      <c r="A54" s="140" t="s">
        <v>534</v>
      </c>
      <c r="B54" s="140" t="s">
        <v>535</v>
      </c>
      <c r="C54" s="140" t="s">
        <v>536</v>
      </c>
      <c r="D54" s="140" t="s">
        <v>537</v>
      </c>
      <c r="E54" s="128" t="s">
        <v>538</v>
      </c>
      <c r="F54" s="129"/>
      <c r="G54" s="130"/>
      <c r="H54" s="128" t="s">
        <v>539</v>
      </c>
      <c r="I54" s="129"/>
      <c r="J54" s="129"/>
      <c r="K54" s="129"/>
      <c r="L54" s="130"/>
    </row>
    <row r="55" spans="1:12" ht="12.75" customHeight="1" x14ac:dyDescent="0.2">
      <c r="A55" s="141"/>
      <c r="B55" s="141"/>
      <c r="C55" s="141"/>
      <c r="D55" s="141"/>
      <c r="E55" s="131"/>
      <c r="F55" s="132"/>
      <c r="G55" s="133"/>
      <c r="H55" s="131"/>
      <c r="I55" s="132"/>
      <c r="J55" s="132"/>
      <c r="K55" s="132"/>
      <c r="L55" s="133"/>
    </row>
    <row r="56" spans="1:12" ht="12.75" customHeight="1" x14ac:dyDescent="0.2">
      <c r="A56" s="141"/>
      <c r="B56" s="141"/>
      <c r="C56" s="141"/>
      <c r="D56" s="141"/>
      <c r="E56" s="131"/>
      <c r="F56" s="132"/>
      <c r="G56" s="133"/>
      <c r="H56" s="131"/>
      <c r="I56" s="132"/>
      <c r="J56" s="132"/>
      <c r="K56" s="132"/>
      <c r="L56" s="133"/>
    </row>
    <row r="57" spans="1:12" ht="12.75" customHeight="1" x14ac:dyDescent="0.2">
      <c r="A57" s="141"/>
      <c r="B57" s="141"/>
      <c r="C57" s="141"/>
      <c r="D57" s="141"/>
      <c r="E57" s="134"/>
      <c r="F57" s="135"/>
      <c r="G57" s="136"/>
      <c r="H57" s="134"/>
      <c r="I57" s="135"/>
      <c r="J57" s="135"/>
      <c r="K57" s="135"/>
      <c r="L57" s="136"/>
    </row>
    <row r="58" spans="1:12" ht="51" customHeight="1" x14ac:dyDescent="0.2">
      <c r="A58" s="142"/>
      <c r="B58" s="142"/>
      <c r="C58" s="142"/>
      <c r="D58" s="142"/>
      <c r="E58" s="40" t="s">
        <v>540</v>
      </c>
      <c r="F58" s="40" t="s">
        <v>541</v>
      </c>
      <c r="G58" s="41" t="s">
        <v>542</v>
      </c>
      <c r="H58" s="40" t="s">
        <v>543</v>
      </c>
      <c r="I58" s="40" t="s">
        <v>544</v>
      </c>
      <c r="J58" s="40" t="s">
        <v>545</v>
      </c>
      <c r="K58" s="40" t="s">
        <v>541</v>
      </c>
      <c r="L58" s="40" t="s">
        <v>546</v>
      </c>
    </row>
    <row r="59" spans="1:12" ht="14.25" customHeight="1" x14ac:dyDescent="0.2">
      <c r="A59" s="42">
        <v>1</v>
      </c>
      <c r="B59" s="42">
        <v>2</v>
      </c>
      <c r="C59" s="42">
        <v>3</v>
      </c>
      <c r="D59" s="42">
        <v>4</v>
      </c>
      <c r="E59" s="42">
        <v>5</v>
      </c>
      <c r="F59" s="42">
        <v>6</v>
      </c>
      <c r="G59" s="42">
        <v>7</v>
      </c>
      <c r="H59" s="42">
        <v>8</v>
      </c>
      <c r="I59" s="42">
        <v>9</v>
      </c>
      <c r="J59" s="42">
        <v>10</v>
      </c>
      <c r="K59" s="44">
        <v>11</v>
      </c>
      <c r="L59" s="44">
        <v>12</v>
      </c>
    </row>
    <row r="61" spans="1:12" ht="16.5" x14ac:dyDescent="0.2">
      <c r="A61" s="137" t="s">
        <v>551</v>
      </c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</row>
    <row r="62" spans="1:12" ht="57" x14ac:dyDescent="0.2">
      <c r="A62" s="47" t="s">
        <v>15</v>
      </c>
      <c r="B62" s="49" t="s">
        <v>552</v>
      </c>
      <c r="C62" s="49" t="str">
        <f>Source!G28</f>
        <v>Труба гофрированная ПВХ для защиты проводов и кабелей по установленным конструкциям, по стенам, колоннам, потолкам, основанию пола</v>
      </c>
      <c r="D62" s="50" t="str">
        <f>Source!H28</f>
        <v>100 м</v>
      </c>
      <c r="E62" s="51">
        <f>Source!K28</f>
        <v>1.5</v>
      </c>
      <c r="F62" s="51"/>
      <c r="G62" s="51">
        <f>Source!I28</f>
        <v>1.5</v>
      </c>
      <c r="H62" s="53"/>
      <c r="I62" s="52"/>
      <c r="J62" s="53"/>
      <c r="K62" s="52"/>
      <c r="L62" s="53"/>
    </row>
    <row r="63" spans="1:12" x14ac:dyDescent="0.2">
      <c r="C63" s="54" t="str">
        <f>"Объем: "&amp;Source!I28&amp;"=150/"&amp;"100"</f>
        <v>Объем: 1,5=150/100</v>
      </c>
    </row>
    <row r="64" spans="1:12" ht="15" x14ac:dyDescent="0.2">
      <c r="A64" s="48"/>
      <c r="B64" s="51">
        <v>1</v>
      </c>
      <c r="C64" s="48" t="s">
        <v>553</v>
      </c>
      <c r="D64" s="50" t="s">
        <v>382</v>
      </c>
      <c r="E64" s="55"/>
      <c r="F64" s="51"/>
      <c r="G64" s="51">
        <f>Source!U28</f>
        <v>23.400000000000002</v>
      </c>
      <c r="H64" s="51"/>
      <c r="I64" s="51"/>
      <c r="J64" s="51"/>
      <c r="K64" s="51"/>
      <c r="L64" s="56">
        <f>SUM(L65:L67)-SUMIF(CE65:CE67, 1, L65:L67)</f>
        <v>15783.51</v>
      </c>
    </row>
    <row r="65" spans="1:83" ht="14.25" x14ac:dyDescent="0.2">
      <c r="A65" s="49"/>
      <c r="B65" s="49" t="s">
        <v>373</v>
      </c>
      <c r="C65" s="49" t="s">
        <v>374</v>
      </c>
      <c r="D65" s="50" t="s">
        <v>375</v>
      </c>
      <c r="E65" s="51">
        <v>0.02</v>
      </c>
      <c r="F65" s="51"/>
      <c r="G65" s="51">
        <f>SmtRes!CX1</f>
        <v>0.03</v>
      </c>
      <c r="H65" s="53"/>
      <c r="I65" s="52"/>
      <c r="J65" s="53">
        <f>SmtRes!CZ1</f>
        <v>594.67999999999995</v>
      </c>
      <c r="K65" s="52"/>
      <c r="L65" s="53">
        <f>SmtRes!DI1</f>
        <v>17.84</v>
      </c>
    </row>
    <row r="66" spans="1:83" ht="14.25" x14ac:dyDescent="0.2">
      <c r="A66" s="49"/>
      <c r="B66" s="49" t="s">
        <v>376</v>
      </c>
      <c r="C66" s="49" t="s">
        <v>377</v>
      </c>
      <c r="D66" s="50" t="s">
        <v>375</v>
      </c>
      <c r="E66" s="51">
        <v>10.75</v>
      </c>
      <c r="F66" s="51"/>
      <c r="G66" s="51">
        <f>SmtRes!CX2</f>
        <v>16.125</v>
      </c>
      <c r="H66" s="53"/>
      <c r="I66" s="52"/>
      <c r="J66" s="53">
        <f>SmtRes!CZ2</f>
        <v>649.24</v>
      </c>
      <c r="K66" s="52"/>
      <c r="L66" s="53">
        <f>SmtRes!DI2</f>
        <v>10469</v>
      </c>
    </row>
    <row r="67" spans="1:83" ht="14.25" x14ac:dyDescent="0.2">
      <c r="A67" s="49"/>
      <c r="B67" s="49" t="s">
        <v>378</v>
      </c>
      <c r="C67" s="49" t="s">
        <v>379</v>
      </c>
      <c r="D67" s="50" t="s">
        <v>375</v>
      </c>
      <c r="E67" s="51">
        <v>4.83</v>
      </c>
      <c r="F67" s="51"/>
      <c r="G67" s="51">
        <f>SmtRes!CX3</f>
        <v>7.2450000000000001</v>
      </c>
      <c r="H67" s="53"/>
      <c r="I67" s="52"/>
      <c r="J67" s="53">
        <f>SmtRes!CZ3</f>
        <v>731.08</v>
      </c>
      <c r="K67" s="52"/>
      <c r="L67" s="53">
        <f>SmtRes!DI3</f>
        <v>5296.67</v>
      </c>
    </row>
    <row r="68" spans="1:83" ht="15" x14ac:dyDescent="0.2">
      <c r="A68" s="48"/>
      <c r="B68" s="51">
        <v>2</v>
      </c>
      <c r="C68" s="48" t="s">
        <v>554</v>
      </c>
      <c r="D68" s="50"/>
      <c r="E68" s="55"/>
      <c r="F68" s="51"/>
      <c r="G68" s="51"/>
      <c r="H68" s="51"/>
      <c r="I68" s="51"/>
      <c r="J68" s="51"/>
      <c r="K68" s="51"/>
      <c r="L68" s="56">
        <f>SUM(L69:L71)-SUMIF(CE69:CE71, 1, L69:L71)</f>
        <v>8.1699999999999982</v>
      </c>
    </row>
    <row r="69" spans="1:83" ht="15" x14ac:dyDescent="0.2">
      <c r="A69" s="48"/>
      <c r="B69" s="51"/>
      <c r="C69" s="48" t="s">
        <v>556</v>
      </c>
      <c r="D69" s="50" t="s">
        <v>382</v>
      </c>
      <c r="E69" s="55"/>
      <c r="F69" s="51"/>
      <c r="G69" s="51">
        <f>Source!V28</f>
        <v>1.4999999999999999E-2</v>
      </c>
      <c r="H69" s="51"/>
      <c r="I69" s="51"/>
      <c r="J69" s="51"/>
      <c r="K69" s="51"/>
      <c r="L69" s="56">
        <f>SUMIF(CE70:CE71, 1, L70:L71)</f>
        <v>10.97</v>
      </c>
      <c r="CE69">
        <v>1</v>
      </c>
    </row>
    <row r="70" spans="1:83" ht="28.5" x14ac:dyDescent="0.2">
      <c r="A70" s="49"/>
      <c r="B70" s="49" t="s">
        <v>383</v>
      </c>
      <c r="C70" s="49" t="s">
        <v>385</v>
      </c>
      <c r="D70" s="50" t="s">
        <v>386</v>
      </c>
      <c r="E70" s="51">
        <v>0.01</v>
      </c>
      <c r="F70" s="51"/>
      <c r="G70" s="51">
        <f>SmtRes!CX5</f>
        <v>1.4999999999999999E-2</v>
      </c>
      <c r="H70" s="53"/>
      <c r="I70" s="52"/>
      <c r="J70" s="53">
        <f>SmtRes!CZ5</f>
        <v>544.91999999999996</v>
      </c>
      <c r="K70" s="52"/>
      <c r="L70" s="53">
        <f>SmtRes!DG5</f>
        <v>8.17</v>
      </c>
    </row>
    <row r="71" spans="1:83" ht="28.5" x14ac:dyDescent="0.2">
      <c r="A71" s="49"/>
      <c r="B71" s="49" t="s">
        <v>387</v>
      </c>
      <c r="C71" s="49" t="s">
        <v>555</v>
      </c>
      <c r="D71" s="50" t="s">
        <v>382</v>
      </c>
      <c r="E71" s="51">
        <f>SmtRes!DO5*SmtRes!AT5</f>
        <v>0.01</v>
      </c>
      <c r="F71" s="51"/>
      <c r="G71" s="51">
        <f>ROUND(E71*G62, 7)</f>
        <v>1.4999999999999999E-2</v>
      </c>
      <c r="H71" s="53"/>
      <c r="I71" s="52"/>
      <c r="J71" s="53">
        <f>ROUND(SmtRes!AG5/SmtRes!DO5, 2)</f>
        <v>731.08</v>
      </c>
      <c r="K71" s="52"/>
      <c r="L71" s="53">
        <f>SmtRes!DH5</f>
        <v>10.97</v>
      </c>
      <c r="CE71">
        <v>1</v>
      </c>
    </row>
    <row r="72" spans="1:83" ht="15" x14ac:dyDescent="0.2">
      <c r="A72" s="48"/>
      <c r="B72" s="51">
        <v>4</v>
      </c>
      <c r="C72" s="48" t="s">
        <v>557</v>
      </c>
      <c r="D72" s="50"/>
      <c r="E72" s="55"/>
      <c r="F72" s="51"/>
      <c r="G72" s="51"/>
      <c r="H72" s="51"/>
      <c r="I72" s="51"/>
      <c r="J72" s="51"/>
      <c r="K72" s="51"/>
      <c r="L72" s="56">
        <f>SUM(L73:L74)-SUMIF(CE73:CE74, 1, L73:L74)</f>
        <v>251</v>
      </c>
    </row>
    <row r="73" spans="1:83" ht="14.25" x14ac:dyDescent="0.2">
      <c r="A73" s="49"/>
      <c r="B73" s="49" t="s">
        <v>388</v>
      </c>
      <c r="C73" s="49" t="s">
        <v>390</v>
      </c>
      <c r="D73" s="50" t="s">
        <v>391</v>
      </c>
      <c r="E73" s="51">
        <v>4.42</v>
      </c>
      <c r="F73" s="51"/>
      <c r="G73" s="51">
        <f>SmtRes!CX6</f>
        <v>6.63</v>
      </c>
      <c r="H73" s="53"/>
      <c r="I73" s="52"/>
      <c r="J73" s="53">
        <f>SmtRes!CZ6</f>
        <v>6.92</v>
      </c>
      <c r="K73" s="52"/>
      <c r="L73" s="53">
        <f>SmtRes!DF6</f>
        <v>45.88</v>
      </c>
    </row>
    <row r="74" spans="1:83" ht="42.75" x14ac:dyDescent="0.2">
      <c r="A74" s="49"/>
      <c r="B74" s="49" t="s">
        <v>392</v>
      </c>
      <c r="C74" s="57" t="s">
        <v>394</v>
      </c>
      <c r="D74" s="58" t="s">
        <v>56</v>
      </c>
      <c r="E74" s="59">
        <v>2.09</v>
      </c>
      <c r="F74" s="59"/>
      <c r="G74" s="59">
        <f>SmtRes!CX7</f>
        <v>3.1349999999999998</v>
      </c>
      <c r="H74" s="60">
        <f>SmtRes!CZ7</f>
        <v>52.34</v>
      </c>
      <c r="I74" s="61">
        <f>SmtRes!AI7</f>
        <v>1.25</v>
      </c>
      <c r="J74" s="60">
        <f>ROUND(H74*I74, 2)</f>
        <v>65.430000000000007</v>
      </c>
      <c r="K74" s="61"/>
      <c r="L74" s="60">
        <f>SmtRes!DF7</f>
        <v>205.12</v>
      </c>
    </row>
    <row r="75" spans="1:83" ht="15" x14ac:dyDescent="0.2">
      <c r="A75" s="49"/>
      <c r="B75" s="49"/>
      <c r="C75" s="64" t="s">
        <v>558</v>
      </c>
      <c r="D75" s="50"/>
      <c r="E75" s="51"/>
      <c r="F75" s="51"/>
      <c r="G75" s="51"/>
      <c r="H75" s="53"/>
      <c r="I75" s="52"/>
      <c r="J75" s="53"/>
      <c r="K75" s="52"/>
      <c r="L75" s="53">
        <f>L64+L68+L69+L72</f>
        <v>16053.65</v>
      </c>
    </row>
    <row r="76" spans="1:83" ht="57" x14ac:dyDescent="0.2">
      <c r="A76" s="47" t="s">
        <v>559</v>
      </c>
      <c r="B76" s="49" t="str">
        <f>Source!F29</f>
        <v>421/пр_2020_п.75_пп.а</v>
      </c>
      <c r="C76" s="49" t="str">
        <f>Source!G29</f>
        <v>Сметная стоимость вспомогательных ненормируемых материальных ресурсов, не учтенная в сметной норме, 2%</v>
      </c>
      <c r="D76" s="50" t="str">
        <f>Source!H29</f>
        <v>%</v>
      </c>
      <c r="E76" s="51">
        <f>SmtRes!AT8</f>
        <v>2</v>
      </c>
      <c r="F76" s="51"/>
      <c r="G76" s="51">
        <f>Source!I29</f>
        <v>2</v>
      </c>
      <c r="H76" s="53"/>
      <c r="I76" s="52"/>
      <c r="J76" s="53"/>
      <c r="K76" s="52"/>
      <c r="L76" s="53">
        <f>Source!P29</f>
        <v>315.67</v>
      </c>
      <c r="AD76">
        <f>ROUND((Source!AT29/100)*((ROUND(0*Source!I29, 2)+ROUND(0*Source!I29, 2))), 2)</f>
        <v>0</v>
      </c>
      <c r="AE76">
        <f>ROUND((Source!AU29/100)*((ROUND(0*Source!I29, 2)+ROUND(0*Source!I29, 2))), 2)</f>
        <v>0</v>
      </c>
      <c r="AN76">
        <f>L76</f>
        <v>315.67</v>
      </c>
      <c r="AW76">
        <f>L76</f>
        <v>315.67</v>
      </c>
      <c r="AZ76">
        <f>Source!X29</f>
        <v>0</v>
      </c>
      <c r="BA76">
        <f>Source!Y29</f>
        <v>0</v>
      </c>
      <c r="CD76">
        <v>2</v>
      </c>
    </row>
    <row r="77" spans="1:83" ht="14.25" x14ac:dyDescent="0.2">
      <c r="A77" s="49"/>
      <c r="B77" s="49"/>
      <c r="C77" s="49" t="s">
        <v>560</v>
      </c>
      <c r="D77" s="50"/>
      <c r="E77" s="51"/>
      <c r="F77" s="51"/>
      <c r="G77" s="51"/>
      <c r="H77" s="53"/>
      <c r="I77" s="52"/>
      <c r="J77" s="53"/>
      <c r="K77" s="52"/>
      <c r="L77" s="53">
        <f>SUM(AR62:AR80)+SUM(AS62:AS80)+SUM(AT62:AT80)+SUM(AU62:AU80)+SUM(AV62:AV80)</f>
        <v>15794.48</v>
      </c>
    </row>
    <row r="78" spans="1:83" ht="28.5" x14ac:dyDescent="0.2">
      <c r="A78" s="49"/>
      <c r="B78" s="49" t="s">
        <v>22</v>
      </c>
      <c r="C78" s="49" t="s">
        <v>561</v>
      </c>
      <c r="D78" s="50" t="s">
        <v>27</v>
      </c>
      <c r="E78" s="51">
        <f>Source!BZ28</f>
        <v>97</v>
      </c>
      <c r="F78" s="51"/>
      <c r="G78" s="51">
        <f>Source!AT28</f>
        <v>97</v>
      </c>
      <c r="H78" s="53"/>
      <c r="I78" s="52"/>
      <c r="J78" s="53"/>
      <c r="K78" s="52"/>
      <c r="L78" s="53">
        <f>SUM(AZ62:AZ80)</f>
        <v>15320.65</v>
      </c>
    </row>
    <row r="79" spans="1:83" ht="28.5" x14ac:dyDescent="0.2">
      <c r="A79" s="57"/>
      <c r="B79" s="57" t="s">
        <v>23</v>
      </c>
      <c r="C79" s="57" t="s">
        <v>562</v>
      </c>
      <c r="D79" s="58" t="s">
        <v>27</v>
      </c>
      <c r="E79" s="59">
        <f>Source!CA28</f>
        <v>51</v>
      </c>
      <c r="F79" s="59"/>
      <c r="G79" s="59">
        <f>Source!AU28</f>
        <v>51</v>
      </c>
      <c r="H79" s="60"/>
      <c r="I79" s="61"/>
      <c r="J79" s="60"/>
      <c r="K79" s="61"/>
      <c r="L79" s="60">
        <f>SUM(BA62:BA80)</f>
        <v>8055.18</v>
      </c>
    </row>
    <row r="80" spans="1:83" ht="15" x14ac:dyDescent="0.2">
      <c r="C80" s="138" t="s">
        <v>563</v>
      </c>
      <c r="D80" s="138"/>
      <c r="E80" s="138"/>
      <c r="F80" s="138"/>
      <c r="G80" s="138"/>
      <c r="H80" s="138"/>
      <c r="I80" s="139">
        <f>IF(E62&lt;&gt;0,K80/E62, 0)</f>
        <v>26496.766666666666</v>
      </c>
      <c r="J80" s="139"/>
      <c r="K80" s="139">
        <f>L64+L68+L72+L78+L79+L69+SUM(L76:L76)</f>
        <v>39745.15</v>
      </c>
      <c r="L80" s="139"/>
      <c r="AD80">
        <f>ROUND((Source!AT28/100)*((ROUND(SUMIF(SmtRes!AQ1:'SmtRes'!AQ8,"=1",SmtRes!AD1:'SmtRes'!AD8)*Source!I28, 2)+ROUND(SUMIF(SmtRes!AQ1:'SmtRes'!AQ8,"=1",SmtRes!AC1:'SmtRes'!AC8)*Source!I28, 2))), 2)</f>
        <v>3937.35</v>
      </c>
      <c r="AE80">
        <f>ROUND((Source!AU28/100)*((ROUND(SUMIF(SmtRes!AQ1:'SmtRes'!AQ8,"=1",SmtRes!AD1:'SmtRes'!AD8)*Source!I28, 2)+ROUND(SUMIF(SmtRes!AQ1:'SmtRes'!AQ8,"=1",SmtRes!AC1:'SmtRes'!AC8)*Source!I28, 2))), 2)</f>
        <v>2070.15</v>
      </c>
      <c r="AN80" s="62">
        <f>L64+L68+L72+L78+L79+L69</f>
        <v>39429.480000000003</v>
      </c>
      <c r="AO80" s="62">
        <f>L68</f>
        <v>8.1699999999999982</v>
      </c>
      <c r="AQ80" t="s">
        <v>564</v>
      </c>
      <c r="AR80" s="62">
        <f>L64</f>
        <v>15783.51</v>
      </c>
      <c r="AT80" s="62">
        <f>L69</f>
        <v>10.97</v>
      </c>
      <c r="AV80" t="s">
        <v>564</v>
      </c>
      <c r="AW80" s="62">
        <f>L72</f>
        <v>251</v>
      </c>
      <c r="AZ80">
        <f>Source!X28</f>
        <v>15320.65</v>
      </c>
      <c r="BA80">
        <f>Source!Y28</f>
        <v>8055.18</v>
      </c>
      <c r="CD80">
        <v>2</v>
      </c>
    </row>
    <row r="81" spans="1:83" ht="42.75" x14ac:dyDescent="0.2">
      <c r="A81" s="66" t="s">
        <v>28</v>
      </c>
      <c r="B81" s="57" t="str">
        <f>Source!F30</f>
        <v>24.3.01.02-0001</v>
      </c>
      <c r="C81" s="57" t="str">
        <f>Source!G30</f>
        <v>Трубы гибкие гофрированные, легкие, из самозатухающего ПВХ, с протяжкой, номинальный диаметр 20 мм</v>
      </c>
      <c r="D81" s="58" t="str">
        <f>Source!H30</f>
        <v>м</v>
      </c>
      <c r="E81" s="59">
        <f>Source!K30</f>
        <v>150</v>
      </c>
      <c r="F81" s="59"/>
      <c r="G81" s="59">
        <f>Source!I30</f>
        <v>150</v>
      </c>
      <c r="H81" s="60"/>
      <c r="I81" s="61"/>
      <c r="J81" s="60">
        <f>Source!AL30</f>
        <v>11.82</v>
      </c>
      <c r="K81" s="61"/>
      <c r="L81" s="60">
        <f>Source!P30</f>
        <v>1773</v>
      </c>
    </row>
    <row r="82" spans="1:83" ht="15" x14ac:dyDescent="0.2">
      <c r="C82" s="138" t="s">
        <v>563</v>
      </c>
      <c r="D82" s="138"/>
      <c r="E82" s="138"/>
      <c r="F82" s="138"/>
      <c r="G82" s="138"/>
      <c r="H82" s="138"/>
      <c r="I82" s="139">
        <f>IF(E81&lt;&gt;0,K82/E81, 0)</f>
        <v>11.82</v>
      </c>
      <c r="J82" s="139"/>
      <c r="K82" s="139">
        <f>L81</f>
        <v>1773</v>
      </c>
      <c r="L82" s="139"/>
      <c r="AD82">
        <f>ROUND((Source!AT30/100)*((ROUND(ROUND(Source!AO30,2)*Source!I30, 2)+ROUND(ROUND(Source!AN30,2)*Source!I30, 2))), 2)</f>
        <v>0</v>
      </c>
      <c r="AE82">
        <f>ROUND((Source!AU30/100)*((ROUND(ROUND(Source!AO30,2)*Source!I30, 2)+ROUND(ROUND(Source!AN30,2)*Source!I30, 2))), 2)</f>
        <v>0</v>
      </c>
      <c r="AN82" s="62">
        <f>L81</f>
        <v>1773</v>
      </c>
      <c r="AO82">
        <f>0</f>
        <v>0</v>
      </c>
      <c r="AQ82" t="s">
        <v>564</v>
      </c>
      <c r="AR82">
        <f>0</f>
        <v>0</v>
      </c>
      <c r="AT82">
        <f>0</f>
        <v>0</v>
      </c>
      <c r="AV82" t="s">
        <v>564</v>
      </c>
      <c r="AW82" s="62">
        <f>L81</f>
        <v>1773</v>
      </c>
      <c r="AZ82">
        <f>Source!X30</f>
        <v>0</v>
      </c>
      <c r="BA82">
        <f>Source!Y30</f>
        <v>0</v>
      </c>
      <c r="CD82">
        <v>1</v>
      </c>
    </row>
    <row r="83" spans="1:83" ht="57" x14ac:dyDescent="0.2">
      <c r="A83" s="47" t="s">
        <v>36</v>
      </c>
      <c r="B83" s="49" t="str">
        <f>Source!F31</f>
        <v>23.8.03.02-0002</v>
      </c>
      <c r="C83" s="49" t="str">
        <f>Source!G31</f>
        <v>Клипса пластиковая для крепления гофрированных или гладких пластиковых труб, номинальный диаметр крепления 20 мм</v>
      </c>
      <c r="D83" s="50" t="str">
        <f>Source!H31</f>
        <v>10 ШТ</v>
      </c>
      <c r="E83" s="51">
        <f>Source!K31</f>
        <v>30</v>
      </c>
      <c r="F83" s="51"/>
      <c r="G83" s="51">
        <f>Source!I31</f>
        <v>30</v>
      </c>
      <c r="H83" s="53">
        <f>Source!AL31</f>
        <v>31.73</v>
      </c>
      <c r="I83" s="52">
        <f>IF(Source!BC31&lt;&gt; 0, Source!BC31, 1)</f>
        <v>1.37</v>
      </c>
      <c r="J83" s="53">
        <f>ROUND(H83*I83, 2)</f>
        <v>43.47</v>
      </c>
      <c r="K83" s="52"/>
      <c r="L83" s="53">
        <f>Source!P31</f>
        <v>1304.0999999999999</v>
      </c>
    </row>
    <row r="84" spans="1:83" x14ac:dyDescent="0.2">
      <c r="A84" s="67"/>
      <c r="B84" s="67"/>
      <c r="C84" s="68" t="str">
        <f>"Объем: "&amp;Source!I31&amp;"=300/"&amp;"10"</f>
        <v>Объем: 30=300/10</v>
      </c>
      <c r="D84" s="67"/>
      <c r="E84" s="67"/>
      <c r="F84" s="67"/>
      <c r="G84" s="67"/>
      <c r="H84" s="67"/>
      <c r="I84" s="67"/>
      <c r="J84" s="67"/>
      <c r="K84" s="67"/>
      <c r="L84" s="67"/>
    </row>
    <row r="85" spans="1:83" ht="15" x14ac:dyDescent="0.2">
      <c r="C85" s="138" t="s">
        <v>563</v>
      </c>
      <c r="D85" s="138"/>
      <c r="E85" s="138"/>
      <c r="F85" s="138"/>
      <c r="G85" s="138"/>
      <c r="H85" s="138"/>
      <c r="I85" s="139">
        <f>IF(E83&lt;&gt;0,K85/E83, 0)</f>
        <v>43.47</v>
      </c>
      <c r="J85" s="139"/>
      <c r="K85" s="139">
        <f>L83</f>
        <v>1304.0999999999999</v>
      </c>
      <c r="L85" s="139"/>
      <c r="AD85">
        <f>ROUND((Source!AT31/100)*((ROUND(ROUND(Source!AO31,2)*Source!I31, 2)+ROUND(ROUND(Source!AN31,2)*Source!I31, 2))), 2)</f>
        <v>0</v>
      </c>
      <c r="AE85">
        <f>ROUND((Source!AU31/100)*((ROUND(ROUND(Source!AO31,2)*Source!I31, 2)+ROUND(ROUND(Source!AN31,2)*Source!I31, 2))), 2)</f>
        <v>0</v>
      </c>
      <c r="AN85" s="62">
        <f>L83</f>
        <v>1304.0999999999999</v>
      </c>
      <c r="AO85">
        <f>0</f>
        <v>0</v>
      </c>
      <c r="AQ85" t="s">
        <v>564</v>
      </c>
      <c r="AR85">
        <f>0</f>
        <v>0</v>
      </c>
      <c r="AT85">
        <f>0</f>
        <v>0</v>
      </c>
      <c r="AV85" t="s">
        <v>564</v>
      </c>
      <c r="AW85" s="62">
        <f>L83</f>
        <v>1304.0999999999999</v>
      </c>
      <c r="AZ85">
        <f>Source!X31</f>
        <v>0</v>
      </c>
      <c r="BA85">
        <f>Source!Y31</f>
        <v>0</v>
      </c>
      <c r="CD85">
        <v>1</v>
      </c>
    </row>
    <row r="86" spans="1:83" ht="28.5" x14ac:dyDescent="0.2">
      <c r="A86" s="47" t="s">
        <v>41</v>
      </c>
      <c r="B86" s="49" t="s">
        <v>565</v>
      </c>
      <c r="C86" s="49" t="str">
        <f>Source!G32</f>
        <v>Короба пластмассовые: шириной до 120 мм</v>
      </c>
      <c r="D86" s="50" t="str">
        <f>Source!H32</f>
        <v>100 м</v>
      </c>
      <c r="E86" s="51">
        <f>Source!K32</f>
        <v>0.12</v>
      </c>
      <c r="F86" s="51"/>
      <c r="G86" s="51">
        <f>Source!I32</f>
        <v>0.12</v>
      </c>
      <c r="H86" s="53"/>
      <c r="I86" s="52"/>
      <c r="J86" s="53"/>
      <c r="K86" s="52"/>
      <c r="L86" s="53"/>
    </row>
    <row r="87" spans="1:83" x14ac:dyDescent="0.2">
      <c r="C87" s="54" t="str">
        <f>"Объем: "&amp;Source!I32&amp;"=12/"&amp;"100"</f>
        <v>Объем: 0,12=12/100</v>
      </c>
    </row>
    <row r="88" spans="1:83" ht="15" x14ac:dyDescent="0.2">
      <c r="A88" s="48"/>
      <c r="B88" s="51">
        <v>1</v>
      </c>
      <c r="C88" s="48" t="s">
        <v>553</v>
      </c>
      <c r="D88" s="50" t="s">
        <v>382</v>
      </c>
      <c r="E88" s="55"/>
      <c r="F88" s="51"/>
      <c r="G88" s="51">
        <f>Source!U32</f>
        <v>2.4396</v>
      </c>
      <c r="H88" s="51"/>
      <c r="I88" s="51"/>
      <c r="J88" s="51"/>
      <c r="K88" s="51"/>
      <c r="L88" s="56">
        <f>SUM(L89:L89)-SUMIF(CE89:CE89, 1, L89:L89)</f>
        <v>1763.56</v>
      </c>
    </row>
    <row r="89" spans="1:83" ht="14.25" x14ac:dyDescent="0.2">
      <c r="A89" s="49"/>
      <c r="B89" s="49" t="s">
        <v>395</v>
      </c>
      <c r="C89" s="49" t="s">
        <v>396</v>
      </c>
      <c r="D89" s="50" t="s">
        <v>382</v>
      </c>
      <c r="E89" s="51">
        <v>20.329999999999998</v>
      </c>
      <c r="F89" s="51"/>
      <c r="G89" s="51">
        <f>SmtRes!CX9</f>
        <v>2.4396</v>
      </c>
      <c r="H89" s="53"/>
      <c r="I89" s="52"/>
      <c r="J89" s="53">
        <f>SmtRes!CZ9</f>
        <v>722.89</v>
      </c>
      <c r="K89" s="52"/>
      <c r="L89" s="53">
        <f>SmtRes!DI9</f>
        <v>1763.56</v>
      </c>
    </row>
    <row r="90" spans="1:83" ht="15" x14ac:dyDescent="0.2">
      <c r="A90" s="48"/>
      <c r="B90" s="51">
        <v>2</v>
      </c>
      <c r="C90" s="48" t="s">
        <v>554</v>
      </c>
      <c r="D90" s="50"/>
      <c r="E90" s="55"/>
      <c r="F90" s="51"/>
      <c r="G90" s="51"/>
      <c r="H90" s="51"/>
      <c r="I90" s="51"/>
      <c r="J90" s="51"/>
      <c r="K90" s="51"/>
      <c r="L90" s="56">
        <f>SUM(L91:L93)-SUMIF(CE91:CE93, 1, L91:L93)</f>
        <v>7.0000000000000062E-2</v>
      </c>
    </row>
    <row r="91" spans="1:83" ht="15" x14ac:dyDescent="0.2">
      <c r="A91" s="48"/>
      <c r="B91" s="51"/>
      <c r="C91" s="48" t="s">
        <v>556</v>
      </c>
      <c r="D91" s="50" t="s">
        <v>382</v>
      </c>
      <c r="E91" s="55"/>
      <c r="F91" s="51"/>
      <c r="G91" s="51">
        <f>Source!V32</f>
        <v>1.1999999999999999E-3</v>
      </c>
      <c r="H91" s="51"/>
      <c r="I91" s="51"/>
      <c r="J91" s="51"/>
      <c r="K91" s="51"/>
      <c r="L91" s="56">
        <f>SUMIF(CE92:CE93, 1, L92:L93)</f>
        <v>0.78</v>
      </c>
      <c r="CE91">
        <v>1</v>
      </c>
    </row>
    <row r="92" spans="1:83" ht="42.75" x14ac:dyDescent="0.2">
      <c r="A92" s="49"/>
      <c r="B92" s="49" t="s">
        <v>397</v>
      </c>
      <c r="C92" s="49" t="s">
        <v>399</v>
      </c>
      <c r="D92" s="50" t="s">
        <v>386</v>
      </c>
      <c r="E92" s="51">
        <v>0.01</v>
      </c>
      <c r="F92" s="51"/>
      <c r="G92" s="51">
        <f>SmtRes!CX11</f>
        <v>1.1999999999999999E-3</v>
      </c>
      <c r="H92" s="53">
        <f>SmtRes!CZ11</f>
        <v>37.32</v>
      </c>
      <c r="I92" s="52">
        <f>SmtRes!AJ11</f>
        <v>1.57</v>
      </c>
      <c r="J92" s="53">
        <f>ROUND(H92*I92, 2)</f>
        <v>58.59</v>
      </c>
      <c r="K92" s="52"/>
      <c r="L92" s="53">
        <f>SmtRes!DG11</f>
        <v>7.0000000000000007E-2</v>
      </c>
    </row>
    <row r="93" spans="1:83" ht="28.5" x14ac:dyDescent="0.2">
      <c r="A93" s="49"/>
      <c r="B93" s="49" t="s">
        <v>400</v>
      </c>
      <c r="C93" s="49" t="s">
        <v>566</v>
      </c>
      <c r="D93" s="50" t="s">
        <v>382</v>
      </c>
      <c r="E93" s="51">
        <f>SmtRes!DO11*SmtRes!AT11</f>
        <v>0.01</v>
      </c>
      <c r="F93" s="51"/>
      <c r="G93" s="51">
        <f>ROUND(E93*G86, 7)</f>
        <v>1.1999999999999999E-3</v>
      </c>
      <c r="H93" s="53"/>
      <c r="I93" s="52"/>
      <c r="J93" s="53">
        <f>ROUND(SmtRes!AG11/SmtRes!DO11, 2)</f>
        <v>649.24</v>
      </c>
      <c r="K93" s="52"/>
      <c r="L93" s="53">
        <f>SmtRes!DH11</f>
        <v>0.78</v>
      </c>
      <c r="CE93">
        <v>1</v>
      </c>
    </row>
    <row r="94" spans="1:83" ht="15" x14ac:dyDescent="0.2">
      <c r="A94" s="48"/>
      <c r="B94" s="51">
        <v>4</v>
      </c>
      <c r="C94" s="48" t="s">
        <v>557</v>
      </c>
      <c r="D94" s="50"/>
      <c r="E94" s="55"/>
      <c r="F94" s="51"/>
      <c r="G94" s="51"/>
      <c r="H94" s="51"/>
      <c r="I94" s="51"/>
      <c r="J94" s="51"/>
      <c r="K94" s="51"/>
      <c r="L94" s="56">
        <f>SUM(L95:L97)-SUMIF(CE95:CE97, 1, L95:L97)</f>
        <v>45.09</v>
      </c>
    </row>
    <row r="95" spans="1:83" ht="14.25" x14ac:dyDescent="0.2">
      <c r="A95" s="49"/>
      <c r="B95" s="49" t="s">
        <v>388</v>
      </c>
      <c r="C95" s="49" t="s">
        <v>390</v>
      </c>
      <c r="D95" s="50" t="s">
        <v>391</v>
      </c>
      <c r="E95" s="51">
        <v>8.2403999999999993</v>
      </c>
      <c r="F95" s="51"/>
      <c r="G95" s="51">
        <f>SmtRes!CX12</f>
        <v>0.98884799999999995</v>
      </c>
      <c r="H95" s="53"/>
      <c r="I95" s="52"/>
      <c r="J95" s="53">
        <f>SmtRes!CZ12</f>
        <v>6.92</v>
      </c>
      <c r="K95" s="52"/>
      <c r="L95" s="53">
        <f>SmtRes!DF12</f>
        <v>6.84</v>
      </c>
    </row>
    <row r="96" spans="1:83" ht="28.5" x14ac:dyDescent="0.2">
      <c r="A96" s="49"/>
      <c r="B96" s="49" t="s">
        <v>401</v>
      </c>
      <c r="C96" s="49" t="s">
        <v>403</v>
      </c>
      <c r="D96" s="50" t="s">
        <v>404</v>
      </c>
      <c r="E96" s="51">
        <v>0.4</v>
      </c>
      <c r="F96" s="51"/>
      <c r="G96" s="51">
        <f>SmtRes!CX13</f>
        <v>4.8000000000000001E-2</v>
      </c>
      <c r="H96" s="53">
        <f>SmtRes!CZ13</f>
        <v>261.08999999999997</v>
      </c>
      <c r="I96" s="52">
        <f>SmtRes!AI13</f>
        <v>1.31</v>
      </c>
      <c r="J96" s="53">
        <f>ROUND(H96*I96, 2)</f>
        <v>342.03</v>
      </c>
      <c r="K96" s="52"/>
      <c r="L96" s="53">
        <f>SmtRes!DF13</f>
        <v>16.420000000000002</v>
      </c>
    </row>
    <row r="97" spans="1:82" ht="57" x14ac:dyDescent="0.2">
      <c r="A97" s="49"/>
      <c r="B97" s="49" t="s">
        <v>405</v>
      </c>
      <c r="C97" s="57" t="s">
        <v>407</v>
      </c>
      <c r="D97" s="58" t="s">
        <v>126</v>
      </c>
      <c r="E97" s="59">
        <v>1.4E-3</v>
      </c>
      <c r="F97" s="59"/>
      <c r="G97" s="59">
        <f>SmtRes!CX14</f>
        <v>1.6799999999999999E-4</v>
      </c>
      <c r="H97" s="60">
        <f>SmtRes!CZ14</f>
        <v>99190.96</v>
      </c>
      <c r="I97" s="61">
        <f>SmtRes!AI14</f>
        <v>1.31</v>
      </c>
      <c r="J97" s="60">
        <f>ROUND(H97*I97, 2)</f>
        <v>129940.16</v>
      </c>
      <c r="K97" s="61"/>
      <c r="L97" s="60">
        <f>SmtRes!DF14</f>
        <v>21.83</v>
      </c>
    </row>
    <row r="98" spans="1:82" ht="15" x14ac:dyDescent="0.2">
      <c r="A98" s="49"/>
      <c r="B98" s="49"/>
      <c r="C98" s="64" t="s">
        <v>558</v>
      </c>
      <c r="D98" s="50"/>
      <c r="E98" s="51"/>
      <c r="F98" s="51"/>
      <c r="G98" s="51"/>
      <c r="H98" s="53"/>
      <c r="I98" s="52"/>
      <c r="J98" s="53"/>
      <c r="K98" s="52"/>
      <c r="L98" s="53">
        <f>L88+L90+L91+L94</f>
        <v>1809.4999999999998</v>
      </c>
    </row>
    <row r="99" spans="1:82" ht="57" x14ac:dyDescent="0.2">
      <c r="A99" s="47" t="s">
        <v>567</v>
      </c>
      <c r="B99" s="49" t="str">
        <f>Source!F33</f>
        <v>421/пр_2020_п.75_пп.а</v>
      </c>
      <c r="C99" s="49" t="str">
        <f>Source!G33</f>
        <v>Сметная стоимость вспомогательных ненормируемых материальных ресурсов, не учтенная в сметной норме, 2%</v>
      </c>
      <c r="D99" s="50" t="str">
        <f>Source!H33</f>
        <v>%</v>
      </c>
      <c r="E99" s="51">
        <f>SmtRes!AT15</f>
        <v>2</v>
      </c>
      <c r="F99" s="51"/>
      <c r="G99" s="51">
        <f>Source!I33</f>
        <v>2</v>
      </c>
      <c r="H99" s="53"/>
      <c r="I99" s="52"/>
      <c r="J99" s="53"/>
      <c r="K99" s="52"/>
      <c r="L99" s="53">
        <f>Source!P33</f>
        <v>35.270000000000003</v>
      </c>
      <c r="AD99">
        <f>ROUND((Source!AT33/100)*((ROUND(0*Source!I33, 2)+ROUND(0*Source!I33, 2))), 2)</f>
        <v>0</v>
      </c>
      <c r="AE99">
        <f>ROUND((Source!AU33/100)*((ROUND(0*Source!I33, 2)+ROUND(0*Source!I33, 2))), 2)</f>
        <v>0</v>
      </c>
      <c r="AN99">
        <f>L99</f>
        <v>35.270000000000003</v>
      </c>
      <c r="AW99">
        <f>L99</f>
        <v>35.270000000000003</v>
      </c>
      <c r="AZ99">
        <f>Source!X33</f>
        <v>0</v>
      </c>
      <c r="BA99">
        <f>Source!Y33</f>
        <v>0</v>
      </c>
      <c r="CD99">
        <v>2</v>
      </c>
    </row>
    <row r="100" spans="1:82" ht="14.25" x14ac:dyDescent="0.2">
      <c r="A100" s="49"/>
      <c r="B100" s="49"/>
      <c r="C100" s="49" t="s">
        <v>560</v>
      </c>
      <c r="D100" s="50"/>
      <c r="E100" s="51"/>
      <c r="F100" s="51"/>
      <c r="G100" s="51"/>
      <c r="H100" s="53"/>
      <c r="I100" s="52"/>
      <c r="J100" s="53"/>
      <c r="K100" s="52"/>
      <c r="L100" s="53">
        <f>SUM(AR86:AR103)+SUM(AS86:AS103)+SUM(AT86:AT103)+SUM(AU86:AU103)+SUM(AV86:AV103)</f>
        <v>1764.34</v>
      </c>
    </row>
    <row r="101" spans="1:82" ht="28.5" x14ac:dyDescent="0.2">
      <c r="A101" s="49"/>
      <c r="B101" s="49" t="s">
        <v>22</v>
      </c>
      <c r="C101" s="49" t="s">
        <v>561</v>
      </c>
      <c r="D101" s="50" t="s">
        <v>27</v>
      </c>
      <c r="E101" s="51">
        <f>Source!BZ32</f>
        <v>97</v>
      </c>
      <c r="F101" s="51"/>
      <c r="G101" s="51">
        <f>Source!AT32</f>
        <v>97</v>
      </c>
      <c r="H101" s="53"/>
      <c r="I101" s="52"/>
      <c r="J101" s="53"/>
      <c r="K101" s="52"/>
      <c r="L101" s="53">
        <f>SUM(AZ86:AZ103)</f>
        <v>1711.41</v>
      </c>
    </row>
    <row r="102" spans="1:82" ht="28.5" x14ac:dyDescent="0.2">
      <c r="A102" s="57"/>
      <c r="B102" s="57" t="s">
        <v>23</v>
      </c>
      <c r="C102" s="57" t="s">
        <v>562</v>
      </c>
      <c r="D102" s="58" t="s">
        <v>27</v>
      </c>
      <c r="E102" s="59">
        <f>Source!CA32</f>
        <v>51</v>
      </c>
      <c r="F102" s="59"/>
      <c r="G102" s="59">
        <f>Source!AU32</f>
        <v>51</v>
      </c>
      <c r="H102" s="60"/>
      <c r="I102" s="61"/>
      <c r="J102" s="60"/>
      <c r="K102" s="61"/>
      <c r="L102" s="60">
        <f>SUM(BA86:BA103)</f>
        <v>899.81</v>
      </c>
    </row>
    <row r="103" spans="1:82" ht="15" x14ac:dyDescent="0.2">
      <c r="C103" s="138" t="s">
        <v>563</v>
      </c>
      <c r="D103" s="138"/>
      <c r="E103" s="138"/>
      <c r="F103" s="138"/>
      <c r="G103" s="138"/>
      <c r="H103" s="138"/>
      <c r="I103" s="139">
        <f>IF(E86&lt;&gt;0,K103/E86, 0)</f>
        <v>37133.250000000007</v>
      </c>
      <c r="J103" s="139"/>
      <c r="K103" s="139">
        <f>L88+L90+L94+L101+L102+L91+SUM(L99:L99)</f>
        <v>4455.9900000000007</v>
      </c>
      <c r="L103" s="139"/>
      <c r="AD103">
        <f>ROUND((Source!AT32/100)*((ROUND(SUMIF(SmtRes!AQ9:'SmtRes'!AQ15,"=1",SmtRes!AD9:'SmtRes'!AD15)*Source!I32, 2)+ROUND(SUMIF(SmtRes!AQ9:'SmtRes'!AQ15,"=1",SmtRes!AC9:'SmtRes'!AC15)*Source!I32, 2))), 2)</f>
        <v>159.72</v>
      </c>
      <c r="AE103">
        <f>ROUND((Source!AU32/100)*((ROUND(SUMIF(SmtRes!AQ9:'SmtRes'!AQ15,"=1",SmtRes!AD9:'SmtRes'!AD15)*Source!I32, 2)+ROUND(SUMIF(SmtRes!AQ9:'SmtRes'!AQ15,"=1",SmtRes!AC9:'SmtRes'!AC15)*Source!I32, 2))), 2)</f>
        <v>83.98</v>
      </c>
      <c r="AN103" s="62">
        <f>L88+L90+L94+L101+L102+L91</f>
        <v>4420.72</v>
      </c>
      <c r="AO103" s="62">
        <f>L90</f>
        <v>7.0000000000000062E-2</v>
      </c>
      <c r="AQ103" t="s">
        <v>564</v>
      </c>
      <c r="AR103" s="62">
        <f>L88</f>
        <v>1763.56</v>
      </c>
      <c r="AT103" s="62">
        <f>L91</f>
        <v>0.78</v>
      </c>
      <c r="AV103" t="s">
        <v>564</v>
      </c>
      <c r="AW103" s="62">
        <f>L94</f>
        <v>45.09</v>
      </c>
      <c r="AZ103">
        <f>Source!X32</f>
        <v>1711.41</v>
      </c>
      <c r="BA103">
        <f>Source!Y32</f>
        <v>899.81</v>
      </c>
      <c r="CD103">
        <v>2</v>
      </c>
    </row>
    <row r="104" spans="1:82" ht="57" x14ac:dyDescent="0.2">
      <c r="A104" s="47" t="s">
        <v>46</v>
      </c>
      <c r="B104" s="49" t="str">
        <f>Source!F34</f>
        <v>20.2.05.04-0112</v>
      </c>
      <c r="C104" s="49" t="str">
        <f>Source!G34</f>
        <v>Короб кабельный (кабель-канал) ПВХ с фронтальной крышкой, с направляющими, размеры 100х60 мм прим TA-GN</v>
      </c>
      <c r="D104" s="50" t="str">
        <f>Source!H34</f>
        <v>100 м</v>
      </c>
      <c r="E104" s="51">
        <f>Source!K34</f>
        <v>0.12</v>
      </c>
      <c r="F104" s="51"/>
      <c r="G104" s="51">
        <f>Source!I34</f>
        <v>0.12</v>
      </c>
      <c r="H104" s="53">
        <f>Source!AL34</f>
        <v>52130.86</v>
      </c>
      <c r="I104" s="52">
        <f>IF(Source!BC34&lt;&gt; 0, Source!BC34, 1)</f>
        <v>1.25</v>
      </c>
      <c r="J104" s="53">
        <f>ROUND(H104*I104, 2)</f>
        <v>65163.58</v>
      </c>
      <c r="K104" s="52"/>
      <c r="L104" s="53">
        <f>Source!P34</f>
        <v>7819.63</v>
      </c>
    </row>
    <row r="105" spans="1:82" x14ac:dyDescent="0.2">
      <c r="A105" s="67"/>
      <c r="B105" s="67"/>
      <c r="C105" s="68" t="str">
        <f>"Объем: "&amp;Source!I34&amp;"=12/"&amp;"100"</f>
        <v>Объем: 0,12=12/100</v>
      </c>
      <c r="D105" s="67"/>
      <c r="E105" s="67"/>
      <c r="F105" s="67"/>
      <c r="G105" s="67"/>
      <c r="H105" s="67"/>
      <c r="I105" s="67"/>
      <c r="J105" s="67"/>
      <c r="K105" s="67"/>
      <c r="L105" s="67"/>
    </row>
    <row r="106" spans="1:82" ht="15" x14ac:dyDescent="0.2">
      <c r="C106" s="138" t="s">
        <v>563</v>
      </c>
      <c r="D106" s="138"/>
      <c r="E106" s="138"/>
      <c r="F106" s="138"/>
      <c r="G106" s="138"/>
      <c r="H106" s="138"/>
      <c r="I106" s="139">
        <f>IF(E104&lt;&gt;0,K106/E104, 0)</f>
        <v>65163.583333333336</v>
      </c>
      <c r="J106" s="139"/>
      <c r="K106" s="139">
        <f>L104</f>
        <v>7819.63</v>
      </c>
      <c r="L106" s="139"/>
      <c r="AD106">
        <f>ROUND((Source!AT34/100)*((ROUND(ROUND(Source!AO34,2)*Source!I34, 2)+ROUND(ROUND(Source!AN34,2)*Source!I34, 2))), 2)</f>
        <v>0</v>
      </c>
      <c r="AE106">
        <f>ROUND((Source!AU34/100)*((ROUND(ROUND(Source!AO34,2)*Source!I34, 2)+ROUND(ROUND(Source!AN34,2)*Source!I34, 2))), 2)</f>
        <v>0</v>
      </c>
      <c r="AN106" s="62">
        <f>L104</f>
        <v>7819.63</v>
      </c>
      <c r="AO106">
        <f>0</f>
        <v>0</v>
      </c>
      <c r="AQ106" t="s">
        <v>564</v>
      </c>
      <c r="AR106">
        <f>0</f>
        <v>0</v>
      </c>
      <c r="AT106">
        <f>0</f>
        <v>0</v>
      </c>
      <c r="AV106" t="s">
        <v>564</v>
      </c>
      <c r="AW106" s="62">
        <f>L104</f>
        <v>7819.63</v>
      </c>
      <c r="AZ106">
        <f>Source!X34</f>
        <v>0</v>
      </c>
      <c r="BA106">
        <f>Source!Y34</f>
        <v>0</v>
      </c>
      <c r="CD106">
        <v>2</v>
      </c>
    </row>
    <row r="107" spans="1:82" ht="42.75" x14ac:dyDescent="0.2">
      <c r="A107" s="47" t="s">
        <v>53</v>
      </c>
      <c r="B107" s="49" t="str">
        <f>Source!F35</f>
        <v>20.2.05.09-1004</v>
      </c>
      <c r="C107" s="49" t="str">
        <f>Source!G35</f>
        <v>Углы плоские для кабель-канала, размеры 100х60 мм,/Угол плоский Г-образный</v>
      </c>
      <c r="D107" s="50" t="str">
        <f>Source!H35</f>
        <v>100 ШТ</v>
      </c>
      <c r="E107" s="51">
        <f>Source!K35</f>
        <v>0.03</v>
      </c>
      <c r="F107" s="51"/>
      <c r="G107" s="51">
        <f>Source!I35</f>
        <v>0.03</v>
      </c>
      <c r="H107" s="53">
        <f>Source!AL35</f>
        <v>45043.5</v>
      </c>
      <c r="I107" s="52">
        <f>IF(Source!BC35&lt;&gt; 0, Source!BC35, 1)</f>
        <v>1.25</v>
      </c>
      <c r="J107" s="53">
        <f>ROUND(H107*I107, 2)</f>
        <v>56304.38</v>
      </c>
      <c r="K107" s="52"/>
      <c r="L107" s="53">
        <f>Source!P35</f>
        <v>1689.13</v>
      </c>
    </row>
    <row r="108" spans="1:82" x14ac:dyDescent="0.2">
      <c r="A108" s="67"/>
      <c r="B108" s="67"/>
      <c r="C108" s="68" t="str">
        <f>"Объем: "&amp;Source!I35&amp;"=3/"&amp;"100"</f>
        <v>Объем: 0,03=3/100</v>
      </c>
      <c r="D108" s="67"/>
      <c r="E108" s="67"/>
      <c r="F108" s="67"/>
      <c r="G108" s="67"/>
      <c r="H108" s="67"/>
      <c r="I108" s="67"/>
      <c r="J108" s="67"/>
      <c r="K108" s="67"/>
      <c r="L108" s="67"/>
    </row>
    <row r="109" spans="1:82" ht="15" x14ac:dyDescent="0.2">
      <c r="C109" s="138" t="s">
        <v>563</v>
      </c>
      <c r="D109" s="138"/>
      <c r="E109" s="138"/>
      <c r="F109" s="138"/>
      <c r="G109" s="138"/>
      <c r="H109" s="138"/>
      <c r="I109" s="139">
        <f>IF(E107&lt;&gt;0,K109/E107, 0)</f>
        <v>56304.333333333336</v>
      </c>
      <c r="J109" s="139"/>
      <c r="K109" s="139">
        <f>L107</f>
        <v>1689.13</v>
      </c>
      <c r="L109" s="139"/>
      <c r="AD109">
        <f>ROUND((Source!AT35/100)*((ROUND(ROUND(Source!AO35,2)*Source!I35, 2)+ROUND(ROUND(Source!AN35,2)*Source!I35, 2))), 2)</f>
        <v>0</v>
      </c>
      <c r="AE109">
        <f>ROUND((Source!AU35/100)*((ROUND(ROUND(Source!AO35,2)*Source!I35, 2)+ROUND(ROUND(Source!AN35,2)*Source!I35, 2))), 2)</f>
        <v>0</v>
      </c>
      <c r="AN109" s="62">
        <f>L107</f>
        <v>1689.13</v>
      </c>
      <c r="AO109">
        <f>0</f>
        <v>0</v>
      </c>
      <c r="AQ109" t="s">
        <v>564</v>
      </c>
      <c r="AR109">
        <f>0</f>
        <v>0</v>
      </c>
      <c r="AT109">
        <f>0</f>
        <v>0</v>
      </c>
      <c r="AV109" t="s">
        <v>564</v>
      </c>
      <c r="AW109" s="62">
        <f>L107</f>
        <v>1689.13</v>
      </c>
      <c r="AZ109">
        <f>Source!X35</f>
        <v>0</v>
      </c>
      <c r="BA109">
        <f>Source!Y35</f>
        <v>0</v>
      </c>
      <c r="CD109">
        <v>2</v>
      </c>
    </row>
    <row r="110" spans="1:82" ht="42.75" x14ac:dyDescent="0.2">
      <c r="A110" s="47" t="s">
        <v>58</v>
      </c>
      <c r="B110" s="49" t="str">
        <f>Source!F36</f>
        <v>20.2.05.09-1018</v>
      </c>
      <c r="C110" s="49" t="str">
        <f>Source!G36</f>
        <v>Углы внутренние для кабель-канала, прим Угол внутренний изменяемый (70-120°) NIAV 100x60</v>
      </c>
      <c r="D110" s="50" t="str">
        <f>Source!H36</f>
        <v>100 ШТ</v>
      </c>
      <c r="E110" s="51">
        <f>Source!K36</f>
        <v>0.03</v>
      </c>
      <c r="F110" s="51"/>
      <c r="G110" s="51">
        <f>Source!I36</f>
        <v>0.03</v>
      </c>
      <c r="H110" s="53">
        <f>Source!AL36</f>
        <v>74768.789999999994</v>
      </c>
      <c r="I110" s="52">
        <f>IF(Source!BC36&lt;&gt; 0, Source!BC36, 1)</f>
        <v>1.25</v>
      </c>
      <c r="J110" s="53">
        <f>ROUND(H110*I110, 2)</f>
        <v>93460.99</v>
      </c>
      <c r="K110" s="52"/>
      <c r="L110" s="53">
        <f>Source!P36</f>
        <v>2803.83</v>
      </c>
    </row>
    <row r="111" spans="1:82" x14ac:dyDescent="0.2">
      <c r="A111" s="67"/>
      <c r="B111" s="67"/>
      <c r="C111" s="68" t="str">
        <f>"Объем: "&amp;Source!I36&amp;"=3/"&amp;"100"</f>
        <v>Объем: 0,03=3/100</v>
      </c>
      <c r="D111" s="67"/>
      <c r="E111" s="67"/>
      <c r="F111" s="67"/>
      <c r="G111" s="67"/>
      <c r="H111" s="67"/>
      <c r="I111" s="67"/>
      <c r="J111" s="67"/>
      <c r="K111" s="67"/>
      <c r="L111" s="67"/>
    </row>
    <row r="112" spans="1:82" ht="15" x14ac:dyDescent="0.2">
      <c r="C112" s="138" t="s">
        <v>563</v>
      </c>
      <c r="D112" s="138"/>
      <c r="E112" s="138"/>
      <c r="F112" s="138"/>
      <c r="G112" s="138"/>
      <c r="H112" s="138"/>
      <c r="I112" s="139">
        <f>IF(E110&lt;&gt;0,K112/E110, 0)</f>
        <v>93461</v>
      </c>
      <c r="J112" s="139"/>
      <c r="K112" s="139">
        <f>L110</f>
        <v>2803.83</v>
      </c>
      <c r="L112" s="139"/>
      <c r="AD112">
        <f>ROUND((Source!AT36/100)*((ROUND(ROUND(Source!AO36,2)*Source!I36, 2)+ROUND(ROUND(Source!AN36,2)*Source!I36, 2))), 2)</f>
        <v>0</v>
      </c>
      <c r="AE112">
        <f>ROUND((Source!AU36/100)*((ROUND(ROUND(Source!AO36,2)*Source!I36, 2)+ROUND(ROUND(Source!AN36,2)*Source!I36, 2))), 2)</f>
        <v>0</v>
      </c>
      <c r="AN112" s="62">
        <f>L110</f>
        <v>2803.83</v>
      </c>
      <c r="AO112">
        <f>0</f>
        <v>0</v>
      </c>
      <c r="AQ112" t="s">
        <v>564</v>
      </c>
      <c r="AR112">
        <f>0</f>
        <v>0</v>
      </c>
      <c r="AT112">
        <f>0</f>
        <v>0</v>
      </c>
      <c r="AV112" t="s">
        <v>564</v>
      </c>
      <c r="AW112" s="62">
        <f>L110</f>
        <v>2803.83</v>
      </c>
      <c r="AZ112">
        <f>Source!X36</f>
        <v>0</v>
      </c>
      <c r="BA112">
        <f>Source!Y36</f>
        <v>0</v>
      </c>
      <c r="CD112">
        <v>2</v>
      </c>
    </row>
    <row r="113" spans="1:83" ht="28.5" x14ac:dyDescent="0.2">
      <c r="A113" s="47" t="s">
        <v>62</v>
      </c>
      <c r="B113" s="49" t="str">
        <f>Source!F37</f>
        <v>20.2.05.08-0001</v>
      </c>
      <c r="C113" s="49" t="str">
        <f>Source!G37</f>
        <v>Тройники для короба прим Тройник/отвод "BRAVA"NTAN 100x60</v>
      </c>
      <c r="D113" s="50" t="str">
        <f>Source!H37</f>
        <v>100 ШТ</v>
      </c>
      <c r="E113" s="51">
        <f>Source!K37</f>
        <v>0.03</v>
      </c>
      <c r="F113" s="51"/>
      <c r="G113" s="51">
        <f>Source!I37</f>
        <v>0.03</v>
      </c>
      <c r="H113" s="53">
        <f>Source!AL37</f>
        <v>17697.64</v>
      </c>
      <c r="I113" s="52">
        <f>IF(Source!BC37&lt;&gt; 0, Source!BC37, 1)</f>
        <v>1.25</v>
      </c>
      <c r="J113" s="53">
        <f>ROUND(H113*I113, 2)</f>
        <v>22122.05</v>
      </c>
      <c r="K113" s="52"/>
      <c r="L113" s="53">
        <f>Source!P37</f>
        <v>663.66</v>
      </c>
    </row>
    <row r="114" spans="1:83" x14ac:dyDescent="0.2">
      <c r="A114" s="67"/>
      <c r="B114" s="67"/>
      <c r="C114" s="68" t="str">
        <f>"Объем: "&amp;Source!I37&amp;"=3/"&amp;"100"</f>
        <v>Объем: 0,03=3/100</v>
      </c>
      <c r="D114" s="67"/>
      <c r="E114" s="67"/>
      <c r="F114" s="67"/>
      <c r="G114" s="67"/>
      <c r="H114" s="67"/>
      <c r="I114" s="67"/>
      <c r="J114" s="67"/>
      <c r="K114" s="67"/>
      <c r="L114" s="67"/>
    </row>
    <row r="115" spans="1:83" ht="15" x14ac:dyDescent="0.2">
      <c r="C115" s="138" t="s">
        <v>563</v>
      </c>
      <c r="D115" s="138"/>
      <c r="E115" s="138"/>
      <c r="F115" s="138"/>
      <c r="G115" s="138"/>
      <c r="H115" s="138"/>
      <c r="I115" s="139">
        <f>IF(E113&lt;&gt;0,K115/E113, 0)</f>
        <v>22122</v>
      </c>
      <c r="J115" s="139"/>
      <c r="K115" s="139">
        <f>L113</f>
        <v>663.66</v>
      </c>
      <c r="L115" s="139"/>
      <c r="AD115">
        <f>ROUND((Source!AT37/100)*((ROUND(ROUND(Source!AO37,2)*Source!I37, 2)+ROUND(ROUND(Source!AN37,2)*Source!I37, 2))), 2)</f>
        <v>0</v>
      </c>
      <c r="AE115">
        <f>ROUND((Source!AU37/100)*((ROUND(ROUND(Source!AO37,2)*Source!I37, 2)+ROUND(ROUND(Source!AN37,2)*Source!I37, 2))), 2)</f>
        <v>0</v>
      </c>
      <c r="AN115" s="62">
        <f>L113</f>
        <v>663.66</v>
      </c>
      <c r="AO115">
        <f>0</f>
        <v>0</v>
      </c>
      <c r="AQ115" t="s">
        <v>564</v>
      </c>
      <c r="AR115">
        <f>0</f>
        <v>0</v>
      </c>
      <c r="AT115">
        <f>0</f>
        <v>0</v>
      </c>
      <c r="AV115" t="s">
        <v>564</v>
      </c>
      <c r="AW115" s="62">
        <f>L113</f>
        <v>663.66</v>
      </c>
      <c r="AZ115">
        <f>Source!X37</f>
        <v>0</v>
      </c>
      <c r="BA115">
        <f>Source!Y37</f>
        <v>0</v>
      </c>
      <c r="CD115">
        <v>2</v>
      </c>
    </row>
    <row r="116" spans="1:83" ht="28.5" x14ac:dyDescent="0.2">
      <c r="A116" s="47" t="s">
        <v>66</v>
      </c>
      <c r="B116" s="49" t="str">
        <f>Source!F38</f>
        <v>20.2.05.03-1000</v>
      </c>
      <c r="C116" s="49" t="str">
        <f>Source!G38</f>
        <v>Заглушки для кабель-канала, размеры 100х60 мм</v>
      </c>
      <c r="D116" s="50" t="str">
        <f>Source!H38</f>
        <v>100 ШТ</v>
      </c>
      <c r="E116" s="51">
        <f>Source!K38</f>
        <v>0.05</v>
      </c>
      <c r="F116" s="51"/>
      <c r="G116" s="51">
        <f>Source!I38</f>
        <v>0.05</v>
      </c>
      <c r="H116" s="53">
        <f>Source!AL38</f>
        <v>17071.47</v>
      </c>
      <c r="I116" s="52">
        <f>IF(Source!BC38&lt;&gt; 0, Source!BC38, 1)</f>
        <v>1.25</v>
      </c>
      <c r="J116" s="53">
        <f>ROUND(H116*I116, 2)</f>
        <v>21339.34</v>
      </c>
      <c r="K116" s="52"/>
      <c r="L116" s="53">
        <f>Source!P38</f>
        <v>1066.97</v>
      </c>
    </row>
    <row r="117" spans="1:83" x14ac:dyDescent="0.2">
      <c r="A117" s="67"/>
      <c r="B117" s="67"/>
      <c r="C117" s="68" t="str">
        <f>"Объем: "&amp;Source!I38&amp;"=5/"&amp;"100"</f>
        <v>Объем: 0,05=5/100</v>
      </c>
      <c r="D117" s="67"/>
      <c r="E117" s="67"/>
      <c r="F117" s="67"/>
      <c r="G117" s="67"/>
      <c r="H117" s="67"/>
      <c r="I117" s="67"/>
      <c r="J117" s="67"/>
      <c r="K117" s="67"/>
      <c r="L117" s="67"/>
    </row>
    <row r="118" spans="1:83" ht="15" x14ac:dyDescent="0.2">
      <c r="C118" s="138" t="s">
        <v>563</v>
      </c>
      <c r="D118" s="138"/>
      <c r="E118" s="138"/>
      <c r="F118" s="138"/>
      <c r="G118" s="138"/>
      <c r="H118" s="138"/>
      <c r="I118" s="139">
        <f>IF(E116&lt;&gt;0,K118/E116, 0)</f>
        <v>21339.399999999998</v>
      </c>
      <c r="J118" s="139"/>
      <c r="K118" s="139">
        <f>L116</f>
        <v>1066.97</v>
      </c>
      <c r="L118" s="139"/>
      <c r="AD118">
        <f>ROUND((Source!AT38/100)*((ROUND(ROUND(Source!AO38,2)*Source!I38, 2)+ROUND(ROUND(Source!AN38,2)*Source!I38, 2))), 2)</f>
        <v>0</v>
      </c>
      <c r="AE118">
        <f>ROUND((Source!AU38/100)*((ROUND(ROUND(Source!AO38,2)*Source!I38, 2)+ROUND(ROUND(Source!AN38,2)*Source!I38, 2))), 2)</f>
        <v>0</v>
      </c>
      <c r="AN118" s="62">
        <f>L116</f>
        <v>1066.97</v>
      </c>
      <c r="AO118">
        <f>0</f>
        <v>0</v>
      </c>
      <c r="AQ118" t="s">
        <v>564</v>
      </c>
      <c r="AR118">
        <f>0</f>
        <v>0</v>
      </c>
      <c r="AT118">
        <f>0</f>
        <v>0</v>
      </c>
      <c r="AV118" t="s">
        <v>564</v>
      </c>
      <c r="AW118" s="62">
        <f>L116</f>
        <v>1066.97</v>
      </c>
      <c r="AZ118">
        <f>Source!X38</f>
        <v>0</v>
      </c>
      <c r="BA118">
        <f>Source!Y38</f>
        <v>0</v>
      </c>
      <c r="CD118">
        <v>2</v>
      </c>
    </row>
    <row r="119" spans="1:83" ht="28.5" x14ac:dyDescent="0.2">
      <c r="A119" s="47" t="s">
        <v>70</v>
      </c>
      <c r="B119" s="49" t="str">
        <f>Source!F39</f>
        <v>20.2.05.06-1000</v>
      </c>
      <c r="C119" s="49" t="str">
        <f>Source!G39</f>
        <v>Накладки на стык для кабель-канала, размеры 100х60 мм</v>
      </c>
      <c r="D119" s="50" t="str">
        <f>Source!H39</f>
        <v>100 ШТ</v>
      </c>
      <c r="E119" s="51">
        <f>Source!K39</f>
        <v>0.1</v>
      </c>
      <c r="F119" s="51"/>
      <c r="G119" s="51">
        <f>Source!I39</f>
        <v>0.1</v>
      </c>
      <c r="H119" s="53">
        <f>Source!AL39</f>
        <v>1887.03</v>
      </c>
      <c r="I119" s="52">
        <f>IF(Source!BC39&lt;&gt; 0, Source!BC39, 1)</f>
        <v>1.25</v>
      </c>
      <c r="J119" s="53">
        <f>ROUND(H119*I119, 2)</f>
        <v>2358.79</v>
      </c>
      <c r="K119" s="52"/>
      <c r="L119" s="53">
        <f>Source!P39</f>
        <v>235.88</v>
      </c>
    </row>
    <row r="120" spans="1:83" x14ac:dyDescent="0.2">
      <c r="A120" s="67"/>
      <c r="B120" s="67"/>
      <c r="C120" s="68" t="str">
        <f>"Объем: "&amp;Source!I39&amp;"=10/"&amp;"100"</f>
        <v>Объем: 0,1=10/100</v>
      </c>
      <c r="D120" s="67"/>
      <c r="E120" s="67"/>
      <c r="F120" s="67"/>
      <c r="G120" s="67"/>
      <c r="H120" s="67"/>
      <c r="I120" s="67"/>
      <c r="J120" s="67"/>
      <c r="K120" s="67"/>
      <c r="L120" s="67"/>
    </row>
    <row r="121" spans="1:83" ht="15" x14ac:dyDescent="0.2">
      <c r="C121" s="138" t="s">
        <v>563</v>
      </c>
      <c r="D121" s="138"/>
      <c r="E121" s="138"/>
      <c r="F121" s="138"/>
      <c r="G121" s="138"/>
      <c r="H121" s="138"/>
      <c r="I121" s="139">
        <f>IF(E119&lt;&gt;0,K121/E119, 0)</f>
        <v>2358.7999999999997</v>
      </c>
      <c r="J121" s="139"/>
      <c r="K121" s="139">
        <f>L119</f>
        <v>235.88</v>
      </c>
      <c r="L121" s="139"/>
      <c r="AD121">
        <f>ROUND((Source!AT39/100)*((ROUND(ROUND(Source!AO39,2)*Source!I39, 2)+ROUND(ROUND(Source!AN39,2)*Source!I39, 2))), 2)</f>
        <v>0</v>
      </c>
      <c r="AE121">
        <f>ROUND((Source!AU39/100)*((ROUND(ROUND(Source!AO39,2)*Source!I39, 2)+ROUND(ROUND(Source!AN39,2)*Source!I39, 2))), 2)</f>
        <v>0</v>
      </c>
      <c r="AN121" s="62">
        <f>L119</f>
        <v>235.88</v>
      </c>
      <c r="AO121">
        <f>0</f>
        <v>0</v>
      </c>
      <c r="AQ121" t="s">
        <v>564</v>
      </c>
      <c r="AR121">
        <f>0</f>
        <v>0</v>
      </c>
      <c r="AT121">
        <f>0</f>
        <v>0</v>
      </c>
      <c r="AV121" t="s">
        <v>564</v>
      </c>
      <c r="AW121" s="62">
        <f>L119</f>
        <v>235.88</v>
      </c>
      <c r="AZ121">
        <f>Source!X39</f>
        <v>0</v>
      </c>
      <c r="BA121">
        <f>Source!Y39</f>
        <v>0</v>
      </c>
      <c r="CD121">
        <v>2</v>
      </c>
    </row>
    <row r="122" spans="1:83" ht="71.25" x14ac:dyDescent="0.2">
      <c r="A122" s="47" t="s">
        <v>79</v>
      </c>
      <c r="B122" s="49" t="s">
        <v>568</v>
      </c>
      <c r="C122" s="49" t="str">
        <f>Source!G42</f>
        <v>Затягивание провода в проложенные трубы и металлические рукава первого одножильного или многожильного в общей оплетке, суммарное сечение: до 2,5 мм2</v>
      </c>
      <c r="D122" s="50" t="str">
        <f>Source!H42</f>
        <v>100 м</v>
      </c>
      <c r="E122" s="51">
        <f>Source!K42</f>
        <v>1.75</v>
      </c>
      <c r="F122" s="51"/>
      <c r="G122" s="51">
        <f>Source!I42</f>
        <v>1.75</v>
      </c>
      <c r="H122" s="53"/>
      <c r="I122" s="52"/>
      <c r="J122" s="53"/>
      <c r="K122" s="52"/>
      <c r="L122" s="53"/>
    </row>
    <row r="123" spans="1:83" x14ac:dyDescent="0.2">
      <c r="C123" s="54" t="str">
        <f>"Объем: "&amp;Source!I42&amp;"=175/"&amp;"100"</f>
        <v>Объем: 1,75=175/100</v>
      </c>
    </row>
    <row r="124" spans="1:83" ht="15" x14ac:dyDescent="0.2">
      <c r="A124" s="48"/>
      <c r="B124" s="51">
        <v>1</v>
      </c>
      <c r="C124" s="48" t="s">
        <v>553</v>
      </c>
      <c r="D124" s="50" t="s">
        <v>382</v>
      </c>
      <c r="E124" s="55"/>
      <c r="F124" s="51"/>
      <c r="G124" s="51">
        <f>Source!U42</f>
        <v>7.8574999999999999</v>
      </c>
      <c r="H124" s="51"/>
      <c r="I124" s="51"/>
      <c r="J124" s="51"/>
      <c r="K124" s="51"/>
      <c r="L124" s="56">
        <f>SUM(L125:L125)-SUMIF(CE125:CE125, 1, L125:L125)</f>
        <v>5615.83</v>
      </c>
    </row>
    <row r="125" spans="1:83" ht="14.25" x14ac:dyDescent="0.2">
      <c r="A125" s="49"/>
      <c r="B125" s="49" t="s">
        <v>408</v>
      </c>
      <c r="C125" s="49" t="s">
        <v>409</v>
      </c>
      <c r="D125" s="50" t="s">
        <v>382</v>
      </c>
      <c r="E125" s="51">
        <v>4.49</v>
      </c>
      <c r="F125" s="51"/>
      <c r="G125" s="51">
        <f>SmtRes!CX24</f>
        <v>7.8574999999999999</v>
      </c>
      <c r="H125" s="53"/>
      <c r="I125" s="52"/>
      <c r="J125" s="53">
        <f>SmtRes!CZ24</f>
        <v>714.71</v>
      </c>
      <c r="K125" s="52"/>
      <c r="L125" s="53">
        <f>SmtRes!DI24</f>
        <v>5615.83</v>
      </c>
    </row>
    <row r="126" spans="1:83" ht="15" x14ac:dyDescent="0.2">
      <c r="A126" s="48"/>
      <c r="B126" s="51">
        <v>2</v>
      </c>
      <c r="C126" s="48" t="s">
        <v>554</v>
      </c>
      <c r="D126" s="50"/>
      <c r="E126" s="55"/>
      <c r="F126" s="51"/>
      <c r="G126" s="51"/>
      <c r="H126" s="51"/>
      <c r="I126" s="51"/>
      <c r="J126" s="51"/>
      <c r="K126" s="51"/>
      <c r="L126" s="56">
        <f>SUM(L127:L131)-SUMIF(CE127:CE131, 1, L127:L131)</f>
        <v>37.29</v>
      </c>
    </row>
    <row r="127" spans="1:83" ht="15" x14ac:dyDescent="0.2">
      <c r="A127" s="48"/>
      <c r="B127" s="51"/>
      <c r="C127" s="48" t="s">
        <v>556</v>
      </c>
      <c r="D127" s="50" t="s">
        <v>382</v>
      </c>
      <c r="E127" s="55"/>
      <c r="F127" s="51"/>
      <c r="G127" s="51">
        <f>Source!V42</f>
        <v>3.5000000000000003E-2</v>
      </c>
      <c r="H127" s="51"/>
      <c r="I127" s="51"/>
      <c r="J127" s="51"/>
      <c r="K127" s="51"/>
      <c r="L127" s="56">
        <f>SUMIF(CE128:CE131, 1, L128:L131)</f>
        <v>29.98</v>
      </c>
      <c r="CE127">
        <v>1</v>
      </c>
    </row>
    <row r="128" spans="1:83" ht="28.5" x14ac:dyDescent="0.2">
      <c r="A128" s="49"/>
      <c r="B128" s="49" t="s">
        <v>410</v>
      </c>
      <c r="C128" s="49" t="s">
        <v>412</v>
      </c>
      <c r="D128" s="50" t="s">
        <v>386</v>
      </c>
      <c r="E128" s="51">
        <v>0.01</v>
      </c>
      <c r="F128" s="51"/>
      <c r="G128" s="51">
        <f>SmtRes!CX26</f>
        <v>1.7500000000000002E-2</v>
      </c>
      <c r="H128" s="53"/>
      <c r="I128" s="52"/>
      <c r="J128" s="53">
        <f>SmtRes!CZ26</f>
        <v>1585.56</v>
      </c>
      <c r="K128" s="52"/>
      <c r="L128" s="53">
        <f>SmtRes!DG26</f>
        <v>27.75</v>
      </c>
    </row>
    <row r="129" spans="1:83" ht="28.5" x14ac:dyDescent="0.2">
      <c r="A129" s="49"/>
      <c r="B129" s="49" t="s">
        <v>413</v>
      </c>
      <c r="C129" s="49" t="s">
        <v>569</v>
      </c>
      <c r="D129" s="50" t="s">
        <v>382</v>
      </c>
      <c r="E129" s="51">
        <f>SmtRes!DO26*SmtRes!AT26</f>
        <v>0.01</v>
      </c>
      <c r="F129" s="51"/>
      <c r="G129" s="51">
        <f>ROUND(E129*G122, 7)</f>
        <v>1.7500000000000002E-2</v>
      </c>
      <c r="H129" s="53"/>
      <c r="I129" s="52"/>
      <c r="J129" s="53">
        <f>ROUND(SmtRes!AG26/SmtRes!DO26, 2)</f>
        <v>982.04</v>
      </c>
      <c r="K129" s="52"/>
      <c r="L129" s="53">
        <f>SmtRes!DH26</f>
        <v>17.190000000000001</v>
      </c>
      <c r="CE129">
        <v>1</v>
      </c>
    </row>
    <row r="130" spans="1:83" ht="28.5" x14ac:dyDescent="0.2">
      <c r="A130" s="49"/>
      <c r="B130" s="49" t="s">
        <v>383</v>
      </c>
      <c r="C130" s="49" t="s">
        <v>385</v>
      </c>
      <c r="D130" s="50" t="s">
        <v>386</v>
      </c>
      <c r="E130" s="51">
        <v>0.01</v>
      </c>
      <c r="F130" s="51"/>
      <c r="G130" s="51">
        <f>SmtRes!CX27</f>
        <v>1.7500000000000002E-2</v>
      </c>
      <c r="H130" s="53"/>
      <c r="I130" s="52"/>
      <c r="J130" s="53">
        <f>SmtRes!CZ27</f>
        <v>544.91999999999996</v>
      </c>
      <c r="K130" s="52"/>
      <c r="L130" s="53">
        <f>SmtRes!DG27</f>
        <v>9.5399999999999991</v>
      </c>
    </row>
    <row r="131" spans="1:83" ht="28.5" x14ac:dyDescent="0.2">
      <c r="A131" s="49"/>
      <c r="B131" s="49" t="s">
        <v>387</v>
      </c>
      <c r="C131" s="49" t="s">
        <v>555</v>
      </c>
      <c r="D131" s="50" t="s">
        <v>382</v>
      </c>
      <c r="E131" s="51">
        <f>SmtRes!DO27*SmtRes!AT27</f>
        <v>0.01</v>
      </c>
      <c r="F131" s="51"/>
      <c r="G131" s="51">
        <f>ROUND(E131*G122, 7)</f>
        <v>1.7500000000000002E-2</v>
      </c>
      <c r="H131" s="53"/>
      <c r="I131" s="52"/>
      <c r="J131" s="53">
        <f>ROUND(SmtRes!AG27/SmtRes!DO27, 2)</f>
        <v>731.08</v>
      </c>
      <c r="K131" s="52"/>
      <c r="L131" s="53">
        <f>SmtRes!DH27</f>
        <v>12.79</v>
      </c>
      <c r="CE131">
        <v>1</v>
      </c>
    </row>
    <row r="132" spans="1:83" ht="15" x14ac:dyDescent="0.2">
      <c r="A132" s="48"/>
      <c r="B132" s="51">
        <v>4</v>
      </c>
      <c r="C132" s="48" t="s">
        <v>557</v>
      </c>
      <c r="D132" s="50"/>
      <c r="E132" s="55"/>
      <c r="F132" s="51"/>
      <c r="G132" s="51"/>
      <c r="H132" s="51"/>
      <c r="I132" s="51"/>
      <c r="J132" s="51"/>
      <c r="K132" s="51"/>
      <c r="L132" s="56">
        <f>SUM(L133:L137)-SUMIF(CE133:CE137, 1, L133:L137)</f>
        <v>253.73</v>
      </c>
    </row>
    <row r="133" spans="1:83" ht="71.25" x14ac:dyDescent="0.2">
      <c r="A133" s="49"/>
      <c r="B133" s="49" t="s">
        <v>414</v>
      </c>
      <c r="C133" s="49" t="s">
        <v>416</v>
      </c>
      <c r="D133" s="50" t="s">
        <v>31</v>
      </c>
      <c r="E133" s="51">
        <v>13.33</v>
      </c>
      <c r="F133" s="51"/>
      <c r="G133" s="51">
        <f>SmtRes!CX28</f>
        <v>23.327500000000001</v>
      </c>
      <c r="H133" s="53">
        <f>SmtRes!CZ28</f>
        <v>5.87</v>
      </c>
      <c r="I133" s="52">
        <f>SmtRes!AI28</f>
        <v>0.87</v>
      </c>
      <c r="J133" s="53">
        <f>ROUND(H133*I133, 2)</f>
        <v>5.1100000000000003</v>
      </c>
      <c r="K133" s="52"/>
      <c r="L133" s="53">
        <f>SmtRes!DF28</f>
        <v>119.2</v>
      </c>
    </row>
    <row r="134" spans="1:83" ht="14.25" x14ac:dyDescent="0.2">
      <c r="A134" s="49"/>
      <c r="B134" s="49" t="s">
        <v>425</v>
      </c>
      <c r="C134" s="49" t="s">
        <v>427</v>
      </c>
      <c r="D134" s="50" t="s">
        <v>126</v>
      </c>
      <c r="E134" s="51">
        <v>4.2999999999999999E-4</v>
      </c>
      <c r="F134" s="51"/>
      <c r="G134" s="51">
        <f>SmtRes!CX29</f>
        <v>7.5250000000000002E-4</v>
      </c>
      <c r="H134" s="53">
        <f>SmtRes!CZ29</f>
        <v>43821.53</v>
      </c>
      <c r="I134" s="52">
        <f>SmtRes!AI29</f>
        <v>1.35</v>
      </c>
      <c r="J134" s="53">
        <f>ROUND(H134*I134, 2)</f>
        <v>59159.07</v>
      </c>
      <c r="K134" s="52"/>
      <c r="L134" s="53">
        <f>SmtRes!DF29</f>
        <v>44.52</v>
      </c>
    </row>
    <row r="135" spans="1:83" ht="28.5" x14ac:dyDescent="0.2">
      <c r="A135" s="49"/>
      <c r="B135" s="49" t="s">
        <v>421</v>
      </c>
      <c r="C135" s="49" t="s">
        <v>423</v>
      </c>
      <c r="D135" s="50" t="s">
        <v>424</v>
      </c>
      <c r="E135" s="51">
        <v>0.02</v>
      </c>
      <c r="F135" s="51"/>
      <c r="G135" s="51">
        <f>SmtRes!CX30</f>
        <v>3.5000000000000003E-2</v>
      </c>
      <c r="H135" s="53">
        <f>SmtRes!CZ30</f>
        <v>79.88</v>
      </c>
      <c r="I135" s="52">
        <f>SmtRes!AI30</f>
        <v>1.38</v>
      </c>
      <c r="J135" s="53">
        <f>ROUND(H135*I135, 2)</f>
        <v>110.23</v>
      </c>
      <c r="K135" s="52"/>
      <c r="L135" s="53">
        <f>SmtRes!DF30</f>
        <v>3.86</v>
      </c>
    </row>
    <row r="136" spans="1:83" ht="14.25" x14ac:dyDescent="0.2">
      <c r="A136" s="49"/>
      <c r="B136" s="49" t="s">
        <v>428</v>
      </c>
      <c r="C136" s="49" t="s">
        <v>430</v>
      </c>
      <c r="D136" s="50" t="s">
        <v>56</v>
      </c>
      <c r="E136" s="51">
        <v>0.05</v>
      </c>
      <c r="F136" s="51"/>
      <c r="G136" s="51">
        <f>SmtRes!CX31</f>
        <v>8.7499999999999994E-2</v>
      </c>
      <c r="H136" s="53">
        <f>SmtRes!CZ31</f>
        <v>412.93</v>
      </c>
      <c r="I136" s="52">
        <f>SmtRes!AI31</f>
        <v>1.29</v>
      </c>
      <c r="J136" s="53">
        <f>ROUND(H136*I136, 2)</f>
        <v>532.67999999999995</v>
      </c>
      <c r="K136" s="52"/>
      <c r="L136" s="53">
        <f>SmtRes!DF31</f>
        <v>46.61</v>
      </c>
    </row>
    <row r="137" spans="1:83" ht="28.5" x14ac:dyDescent="0.2">
      <c r="A137" s="49"/>
      <c r="B137" s="49" t="s">
        <v>431</v>
      </c>
      <c r="C137" s="57" t="s">
        <v>433</v>
      </c>
      <c r="D137" s="58" t="s">
        <v>404</v>
      </c>
      <c r="E137" s="59">
        <v>1.2200000000000001E-2</v>
      </c>
      <c r="F137" s="59"/>
      <c r="G137" s="59">
        <f>SmtRes!CX32</f>
        <v>2.1350000000000001E-2</v>
      </c>
      <c r="H137" s="60">
        <f>SmtRes!CZ32</f>
        <v>1481.45</v>
      </c>
      <c r="I137" s="61">
        <f>SmtRes!AI32</f>
        <v>1.25</v>
      </c>
      <c r="J137" s="60">
        <f>ROUND(H137*I137, 2)</f>
        <v>1851.81</v>
      </c>
      <c r="K137" s="61"/>
      <c r="L137" s="60">
        <f>SmtRes!DF32</f>
        <v>39.54</v>
      </c>
    </row>
    <row r="138" spans="1:83" ht="15" x14ac:dyDescent="0.2">
      <c r="A138" s="49"/>
      <c r="B138" s="49"/>
      <c r="C138" s="64" t="s">
        <v>558</v>
      </c>
      <c r="D138" s="50"/>
      <c r="E138" s="51"/>
      <c r="F138" s="51"/>
      <c r="G138" s="51"/>
      <c r="H138" s="53"/>
      <c r="I138" s="52"/>
      <c r="J138" s="53"/>
      <c r="K138" s="52"/>
      <c r="L138" s="53">
        <f>L124+L126+L127+L132</f>
        <v>5936.829999999999</v>
      </c>
    </row>
    <row r="139" spans="1:83" ht="57" x14ac:dyDescent="0.2">
      <c r="A139" s="47" t="s">
        <v>570</v>
      </c>
      <c r="B139" s="49" t="str">
        <f>Source!F43</f>
        <v>421/пр_2020_п.75_пп.а</v>
      </c>
      <c r="C139" s="49" t="str">
        <f>Source!G43</f>
        <v>Сметная стоимость вспомогательных ненормируемых материальных ресурсов, не учтенная в сметной норме, 2%</v>
      </c>
      <c r="D139" s="50" t="str">
        <f>Source!H43</f>
        <v>%</v>
      </c>
      <c r="E139" s="51">
        <f>SmtRes!AT33</f>
        <v>2</v>
      </c>
      <c r="F139" s="51"/>
      <c r="G139" s="51">
        <f>Source!I43</f>
        <v>2</v>
      </c>
      <c r="H139" s="53"/>
      <c r="I139" s="52"/>
      <c r="J139" s="53"/>
      <c r="K139" s="52"/>
      <c r="L139" s="53">
        <f>Source!P43</f>
        <v>112.32</v>
      </c>
      <c r="AD139">
        <f>ROUND((Source!AT43/100)*((ROUND(0*Source!I43, 2)+ROUND(0*Source!I43, 2))), 2)</f>
        <v>0</v>
      </c>
      <c r="AE139">
        <f>ROUND((Source!AU43/100)*((ROUND(0*Source!I43, 2)+ROUND(0*Source!I43, 2))), 2)</f>
        <v>0</v>
      </c>
      <c r="AN139">
        <f>L139</f>
        <v>112.32</v>
      </c>
      <c r="AW139">
        <f>L139</f>
        <v>112.32</v>
      </c>
      <c r="AZ139">
        <f>Source!X43</f>
        <v>0</v>
      </c>
      <c r="BA139">
        <f>Source!Y43</f>
        <v>0</v>
      </c>
      <c r="CD139">
        <v>2</v>
      </c>
    </row>
    <row r="140" spans="1:83" ht="14.25" x14ac:dyDescent="0.2">
      <c r="A140" s="49"/>
      <c r="B140" s="49"/>
      <c r="C140" s="49" t="s">
        <v>560</v>
      </c>
      <c r="D140" s="50"/>
      <c r="E140" s="51"/>
      <c r="F140" s="51"/>
      <c r="G140" s="51"/>
      <c r="H140" s="53"/>
      <c r="I140" s="52"/>
      <c r="J140" s="53"/>
      <c r="K140" s="52"/>
      <c r="L140" s="53">
        <f>SUM(AR122:AR143)+SUM(AS122:AS143)+SUM(AT122:AT143)+SUM(AU122:AU143)+SUM(AV122:AV143)</f>
        <v>5645.8099999999995</v>
      </c>
    </row>
    <row r="141" spans="1:83" ht="28.5" x14ac:dyDescent="0.2">
      <c r="A141" s="49"/>
      <c r="B141" s="49" t="s">
        <v>22</v>
      </c>
      <c r="C141" s="49" t="s">
        <v>561</v>
      </c>
      <c r="D141" s="50" t="s">
        <v>27</v>
      </c>
      <c r="E141" s="51">
        <f>Source!BZ42</f>
        <v>97</v>
      </c>
      <c r="F141" s="51"/>
      <c r="G141" s="51">
        <f>Source!AT42</f>
        <v>97</v>
      </c>
      <c r="H141" s="53"/>
      <c r="I141" s="52"/>
      <c r="J141" s="53"/>
      <c r="K141" s="52"/>
      <c r="L141" s="53">
        <f>SUM(AZ122:AZ143)</f>
        <v>5476.44</v>
      </c>
    </row>
    <row r="142" spans="1:83" ht="28.5" x14ac:dyDescent="0.2">
      <c r="A142" s="57"/>
      <c r="B142" s="57" t="s">
        <v>23</v>
      </c>
      <c r="C142" s="57" t="s">
        <v>562</v>
      </c>
      <c r="D142" s="58" t="s">
        <v>27</v>
      </c>
      <c r="E142" s="59">
        <f>Source!CA42</f>
        <v>51</v>
      </c>
      <c r="F142" s="59"/>
      <c r="G142" s="59">
        <f>Source!AU42</f>
        <v>51</v>
      </c>
      <c r="H142" s="60"/>
      <c r="I142" s="61"/>
      <c r="J142" s="60"/>
      <c r="K142" s="61"/>
      <c r="L142" s="60">
        <f>SUM(BA122:BA143)</f>
        <v>2879.36</v>
      </c>
    </row>
    <row r="143" spans="1:83" ht="15" x14ac:dyDescent="0.2">
      <c r="C143" s="138" t="s">
        <v>563</v>
      </c>
      <c r="D143" s="138"/>
      <c r="E143" s="138"/>
      <c r="F143" s="138"/>
      <c r="G143" s="138"/>
      <c r="H143" s="138"/>
      <c r="I143" s="139">
        <f>IF(E122&lt;&gt;0,K143/E122, 0)</f>
        <v>8231.4</v>
      </c>
      <c r="J143" s="139"/>
      <c r="K143" s="139">
        <f>L124+L126+L132+L141+L142+L127+SUM(L139:L139)</f>
        <v>14404.949999999999</v>
      </c>
      <c r="L143" s="139"/>
      <c r="AD143">
        <f>ROUND((Source!AT42/100)*((ROUND(SUMIF(SmtRes!AQ24:'SmtRes'!AQ33,"=1",SmtRes!AD24:'SmtRes'!AD33)*Source!I42, 2)+ROUND(SUMIF(SmtRes!AQ24:'SmtRes'!AQ33,"=1",SmtRes!AC24:'SmtRes'!AC33)*Source!I42, 2))), 2)</f>
        <v>4121.24</v>
      </c>
      <c r="AE143">
        <f>ROUND((Source!AU42/100)*((ROUND(SUMIF(SmtRes!AQ24:'SmtRes'!AQ33,"=1",SmtRes!AD24:'SmtRes'!AD33)*Source!I42, 2)+ROUND(SUMIF(SmtRes!AQ24:'SmtRes'!AQ33,"=1",SmtRes!AC24:'SmtRes'!AC33)*Source!I42, 2))), 2)</f>
        <v>2166.84</v>
      </c>
      <c r="AN143" s="62">
        <f>L124+L126+L132+L141+L142+L127</f>
        <v>14292.63</v>
      </c>
      <c r="AO143" s="62">
        <f>L126</f>
        <v>37.29</v>
      </c>
      <c r="AQ143" t="s">
        <v>564</v>
      </c>
      <c r="AR143" s="62">
        <f>L124</f>
        <v>5615.83</v>
      </c>
      <c r="AT143" s="62">
        <f>L127</f>
        <v>29.98</v>
      </c>
      <c r="AV143" t="s">
        <v>564</v>
      </c>
      <c r="AW143" s="62">
        <f>L132</f>
        <v>253.73</v>
      </c>
      <c r="AZ143">
        <f>Source!X42</f>
        <v>5476.44</v>
      </c>
      <c r="BA143">
        <f>Source!Y42</f>
        <v>2879.36</v>
      </c>
      <c r="CD143">
        <v>2</v>
      </c>
    </row>
    <row r="144" spans="1:83" ht="28.5" x14ac:dyDescent="0.2">
      <c r="A144" s="66" t="s">
        <v>84</v>
      </c>
      <c r="B144" s="57" t="str">
        <f>Source!F44</f>
        <v>ТЦ_21.1.06_77_7722786153</v>
      </c>
      <c r="C144" s="57" t="str">
        <f>Source!G44</f>
        <v>Кабель силовой  ВВГнг(А)-LSLTX 3х1,5 медный круглый ГОСТ 31996</v>
      </c>
      <c r="D144" s="58" t="str">
        <f>Source!H44</f>
        <v>м</v>
      </c>
      <c r="E144" s="59">
        <f>Source!K44</f>
        <v>50</v>
      </c>
      <c r="F144" s="59"/>
      <c r="G144" s="59">
        <f>Source!I44</f>
        <v>50</v>
      </c>
      <c r="H144" s="60">
        <f>Source!AL44</f>
        <v>74.44</v>
      </c>
      <c r="I144" s="61"/>
      <c r="J144" s="60"/>
      <c r="K144" s="61"/>
      <c r="L144" s="60">
        <f>Source!P44</f>
        <v>3722</v>
      </c>
    </row>
    <row r="145" spans="1:83" ht="15" x14ac:dyDescent="0.2">
      <c r="C145" s="138" t="s">
        <v>563</v>
      </c>
      <c r="D145" s="138"/>
      <c r="E145" s="138"/>
      <c r="F145" s="138"/>
      <c r="G145" s="138"/>
      <c r="H145" s="138"/>
      <c r="I145" s="139">
        <f>IF(E144&lt;&gt;0,K145/E144, 0)</f>
        <v>74.44</v>
      </c>
      <c r="J145" s="139"/>
      <c r="K145" s="139">
        <f>L144</f>
        <v>3722</v>
      </c>
      <c r="L145" s="139"/>
      <c r="AD145">
        <f>ROUND((Source!AT44/100)*((ROUND(ROUND(Source!AO44,2)*Source!I44, 2)+ROUND(ROUND(Source!AN44,2)*Source!I44, 2))), 2)</f>
        <v>0</v>
      </c>
      <c r="AE145">
        <f>ROUND((Source!AU44/100)*((ROUND(ROUND(Source!AO44,2)*Source!I44, 2)+ROUND(ROUND(Source!AN44,2)*Source!I44, 2))), 2)</f>
        <v>0</v>
      </c>
      <c r="AN145" s="62">
        <f>L144</f>
        <v>3722</v>
      </c>
      <c r="AO145">
        <f>0</f>
        <v>0</v>
      </c>
      <c r="AQ145" t="s">
        <v>564</v>
      </c>
      <c r="AR145">
        <f>0</f>
        <v>0</v>
      </c>
      <c r="AT145">
        <f>0</f>
        <v>0</v>
      </c>
      <c r="AV145" t="s">
        <v>564</v>
      </c>
      <c r="AW145" s="62">
        <f>L144</f>
        <v>3722</v>
      </c>
      <c r="AZ145">
        <f>Source!X44</f>
        <v>0</v>
      </c>
      <c r="BA145">
        <f>Source!Y44</f>
        <v>0</v>
      </c>
      <c r="CD145">
        <v>1</v>
      </c>
    </row>
    <row r="146" spans="1:83" ht="28.5" x14ac:dyDescent="0.2">
      <c r="A146" s="66" t="s">
        <v>90</v>
      </c>
      <c r="B146" s="57" t="str">
        <f>Source!F45</f>
        <v>ТЦ_21.1.06_77_7722786153</v>
      </c>
      <c r="C146" s="57" t="str">
        <f>Source!G45</f>
        <v>Кабель силовой ВВГнг(А)-LSLTX 3х2,5 медный круглый ГОСТ 31996</v>
      </c>
      <c r="D146" s="58" t="str">
        <f>Source!H45</f>
        <v>м</v>
      </c>
      <c r="E146" s="59">
        <f>Source!K45</f>
        <v>50</v>
      </c>
      <c r="F146" s="59"/>
      <c r="G146" s="59">
        <f>Source!I45</f>
        <v>50</v>
      </c>
      <c r="H146" s="60">
        <f>Source!AL45</f>
        <v>108.86</v>
      </c>
      <c r="I146" s="61"/>
      <c r="J146" s="60"/>
      <c r="K146" s="61"/>
      <c r="L146" s="60">
        <f>Source!P45</f>
        <v>5443</v>
      </c>
    </row>
    <row r="147" spans="1:83" ht="15" x14ac:dyDescent="0.2">
      <c r="C147" s="138" t="s">
        <v>563</v>
      </c>
      <c r="D147" s="138"/>
      <c r="E147" s="138"/>
      <c r="F147" s="138"/>
      <c r="G147" s="138"/>
      <c r="H147" s="138"/>
      <c r="I147" s="139">
        <f>IF(E146&lt;&gt;0,K147/E146, 0)</f>
        <v>108.86</v>
      </c>
      <c r="J147" s="139"/>
      <c r="K147" s="139">
        <f>L146</f>
        <v>5443</v>
      </c>
      <c r="L147" s="139"/>
      <c r="AD147">
        <f>ROUND((Source!AT45/100)*((ROUND(ROUND(Source!AO45,2)*Source!I45, 2)+ROUND(ROUND(Source!AN45,2)*Source!I45, 2))), 2)</f>
        <v>0</v>
      </c>
      <c r="AE147">
        <f>ROUND((Source!AU45/100)*((ROUND(ROUND(Source!AO45,2)*Source!I45, 2)+ROUND(ROUND(Source!AN45,2)*Source!I45, 2))), 2)</f>
        <v>0</v>
      </c>
      <c r="AN147" s="62">
        <f>L146</f>
        <v>5443</v>
      </c>
      <c r="AO147">
        <f>0</f>
        <v>0</v>
      </c>
      <c r="AQ147" t="s">
        <v>564</v>
      </c>
      <c r="AR147">
        <f>0</f>
        <v>0</v>
      </c>
      <c r="AT147">
        <f>0</f>
        <v>0</v>
      </c>
      <c r="AV147" t="s">
        <v>564</v>
      </c>
      <c r="AW147" s="62">
        <f>L146</f>
        <v>5443</v>
      </c>
      <c r="AZ147">
        <f>Source!X45</f>
        <v>0</v>
      </c>
      <c r="BA147">
        <f>Source!Y45</f>
        <v>0</v>
      </c>
      <c r="CD147">
        <v>1</v>
      </c>
    </row>
    <row r="148" spans="1:83" ht="28.5" x14ac:dyDescent="0.2">
      <c r="A148" s="66" t="s">
        <v>92</v>
      </c>
      <c r="B148" s="57" t="str">
        <f>Source!F46</f>
        <v>ТЦ_21.1.06_77_7722786153</v>
      </c>
      <c r="C148" s="57" t="str">
        <f>Source!G46</f>
        <v>Кабель силовой ККЗ ВВГнг(А)-LSLTX 4х1,5 медный круглый ГОСТ 31996</v>
      </c>
      <c r="D148" s="58" t="str">
        <f>Source!H46</f>
        <v>м</v>
      </c>
      <c r="E148" s="59">
        <f>Source!K46</f>
        <v>25</v>
      </c>
      <c r="F148" s="59"/>
      <c r="G148" s="59">
        <f>Source!I46</f>
        <v>25</v>
      </c>
      <c r="H148" s="60">
        <f>Source!AL46</f>
        <v>90.16</v>
      </c>
      <c r="I148" s="61"/>
      <c r="J148" s="60"/>
      <c r="K148" s="61"/>
      <c r="L148" s="60">
        <f>Source!P46</f>
        <v>2254</v>
      </c>
    </row>
    <row r="149" spans="1:83" ht="15" x14ac:dyDescent="0.2">
      <c r="C149" s="138" t="s">
        <v>563</v>
      </c>
      <c r="D149" s="138"/>
      <c r="E149" s="138"/>
      <c r="F149" s="138"/>
      <c r="G149" s="138"/>
      <c r="H149" s="138"/>
      <c r="I149" s="139">
        <f>IF(E148&lt;&gt;0,K149/E148, 0)</f>
        <v>90.16</v>
      </c>
      <c r="J149" s="139"/>
      <c r="K149" s="139">
        <f>L148</f>
        <v>2254</v>
      </c>
      <c r="L149" s="139"/>
      <c r="AD149">
        <f>ROUND((Source!AT46/100)*((ROUND(ROUND(Source!AO46,2)*Source!I46, 2)+ROUND(ROUND(Source!AN46,2)*Source!I46, 2))), 2)</f>
        <v>0</v>
      </c>
      <c r="AE149">
        <f>ROUND((Source!AU46/100)*((ROUND(ROUND(Source!AO46,2)*Source!I46, 2)+ROUND(ROUND(Source!AN46,2)*Source!I46, 2))), 2)</f>
        <v>0</v>
      </c>
      <c r="AN149" s="62">
        <f>L148</f>
        <v>2254</v>
      </c>
      <c r="AO149">
        <f>0</f>
        <v>0</v>
      </c>
      <c r="AQ149" t="s">
        <v>564</v>
      </c>
      <c r="AR149">
        <f>0</f>
        <v>0</v>
      </c>
      <c r="AT149">
        <f>0</f>
        <v>0</v>
      </c>
      <c r="AV149" t="s">
        <v>564</v>
      </c>
      <c r="AW149" s="62">
        <f>L148</f>
        <v>2254</v>
      </c>
      <c r="AZ149">
        <f>Source!X46</f>
        <v>0</v>
      </c>
      <c r="BA149">
        <f>Source!Y46</f>
        <v>0</v>
      </c>
      <c r="CD149">
        <v>1</v>
      </c>
    </row>
    <row r="150" spans="1:83" ht="42.75" x14ac:dyDescent="0.2">
      <c r="A150" s="66" t="s">
        <v>94</v>
      </c>
      <c r="B150" s="57" t="str">
        <f>Source!F47</f>
        <v>ТЦ_21.1.06_77_7722786153</v>
      </c>
      <c r="C150" s="57" t="str">
        <f>Source!G47</f>
        <v>Провод установочный ККЗ ПуГВнг(А)-LS 1х6 гибкий силовой медный (ПВ-3) желто-зеленый ГОСТ 31947</v>
      </c>
      <c r="D150" s="58" t="str">
        <f>Source!H47</f>
        <v>м</v>
      </c>
      <c r="E150" s="59">
        <f>Source!K47</f>
        <v>50</v>
      </c>
      <c r="F150" s="59"/>
      <c r="G150" s="59">
        <f>Source!I47</f>
        <v>50</v>
      </c>
      <c r="H150" s="60">
        <f>Source!AL47</f>
        <v>74.2</v>
      </c>
      <c r="I150" s="61"/>
      <c r="J150" s="60"/>
      <c r="K150" s="61"/>
      <c r="L150" s="60">
        <f>Source!P47</f>
        <v>3710</v>
      </c>
    </row>
    <row r="151" spans="1:83" ht="15" x14ac:dyDescent="0.2">
      <c r="C151" s="138" t="s">
        <v>563</v>
      </c>
      <c r="D151" s="138"/>
      <c r="E151" s="138"/>
      <c r="F151" s="138"/>
      <c r="G151" s="138"/>
      <c r="H151" s="138"/>
      <c r="I151" s="139">
        <f>IF(E150&lt;&gt;0,K151/E150, 0)</f>
        <v>74.2</v>
      </c>
      <c r="J151" s="139"/>
      <c r="K151" s="139">
        <f>L150</f>
        <v>3710</v>
      </c>
      <c r="L151" s="139"/>
      <c r="AD151">
        <f>ROUND((Source!AT47/100)*((ROUND(ROUND(Source!AO47,2)*Source!I47, 2)+ROUND(ROUND(Source!AN47,2)*Source!I47, 2))), 2)</f>
        <v>0</v>
      </c>
      <c r="AE151">
        <f>ROUND((Source!AU47/100)*((ROUND(ROUND(Source!AO47,2)*Source!I47, 2)+ROUND(ROUND(Source!AN47,2)*Source!I47, 2))), 2)</f>
        <v>0</v>
      </c>
      <c r="AN151" s="62">
        <f>L150</f>
        <v>3710</v>
      </c>
      <c r="AO151">
        <f>0</f>
        <v>0</v>
      </c>
      <c r="AQ151" t="s">
        <v>564</v>
      </c>
      <c r="AR151">
        <f>0</f>
        <v>0</v>
      </c>
      <c r="AT151">
        <f>0</f>
        <v>0</v>
      </c>
      <c r="AV151" t="s">
        <v>564</v>
      </c>
      <c r="AW151" s="62">
        <f>L150</f>
        <v>3710</v>
      </c>
      <c r="AZ151">
        <f>Source!X47</f>
        <v>0</v>
      </c>
      <c r="BA151">
        <f>Source!Y47</f>
        <v>0</v>
      </c>
      <c r="CD151">
        <v>1</v>
      </c>
    </row>
    <row r="152" spans="1:83" ht="42.75" x14ac:dyDescent="0.2">
      <c r="A152" s="47" t="s">
        <v>96</v>
      </c>
      <c r="B152" s="49" t="str">
        <f>Source!F48</f>
        <v>20.2.10.03-0003</v>
      </c>
      <c r="C152" s="49" t="str">
        <f>Source!G48</f>
        <v>Наконечники кабельные медные, сечение жилы 6 мм2, диаметр отверстия 6 мм</v>
      </c>
      <c r="D152" s="50" t="str">
        <f>Source!H48</f>
        <v>100 ШТ</v>
      </c>
      <c r="E152" s="51">
        <f>Source!K48</f>
        <v>0.25</v>
      </c>
      <c r="F152" s="51"/>
      <c r="G152" s="51">
        <f>Source!I48</f>
        <v>0.25</v>
      </c>
      <c r="H152" s="53">
        <f>Source!AL48</f>
        <v>578.4</v>
      </c>
      <c r="I152" s="52">
        <f>IF(Source!BC48&lt;&gt; 0, Source!BC48, 1)</f>
        <v>1.29</v>
      </c>
      <c r="J152" s="53">
        <f>ROUND(H152*I152, 2)</f>
        <v>746.14</v>
      </c>
      <c r="K152" s="52"/>
      <c r="L152" s="53">
        <f>Source!P48</f>
        <v>186.54</v>
      </c>
    </row>
    <row r="153" spans="1:83" x14ac:dyDescent="0.2">
      <c r="A153" s="67"/>
      <c r="B153" s="67"/>
      <c r="C153" s="68" t="str">
        <f>"Объем: "&amp;Source!I48&amp;"=25/"&amp;"100"</f>
        <v>Объем: 0,25=25/100</v>
      </c>
      <c r="D153" s="67"/>
      <c r="E153" s="67"/>
      <c r="F153" s="67"/>
      <c r="G153" s="67"/>
      <c r="H153" s="67"/>
      <c r="I153" s="67"/>
      <c r="J153" s="67"/>
      <c r="K153" s="67"/>
      <c r="L153" s="67"/>
    </row>
    <row r="154" spans="1:83" ht="15" x14ac:dyDescent="0.2">
      <c r="C154" s="138" t="s">
        <v>563</v>
      </c>
      <c r="D154" s="138"/>
      <c r="E154" s="138"/>
      <c r="F154" s="138"/>
      <c r="G154" s="138"/>
      <c r="H154" s="138"/>
      <c r="I154" s="139">
        <f>IF(E152&lt;&gt;0,K154/E152, 0)</f>
        <v>746.16</v>
      </c>
      <c r="J154" s="139"/>
      <c r="K154" s="139">
        <f>L152</f>
        <v>186.54</v>
      </c>
      <c r="L154" s="139"/>
      <c r="AD154">
        <f>ROUND((Source!AT48/100)*((ROUND(ROUND(Source!AO48,2)*Source!I48, 2)+ROUND(ROUND(Source!AN48,2)*Source!I48, 2))), 2)</f>
        <v>0</v>
      </c>
      <c r="AE154">
        <f>ROUND((Source!AU48/100)*((ROUND(ROUND(Source!AO48,2)*Source!I48, 2)+ROUND(ROUND(Source!AN48,2)*Source!I48, 2))), 2)</f>
        <v>0</v>
      </c>
      <c r="AN154" s="62">
        <f>L152</f>
        <v>186.54</v>
      </c>
      <c r="AO154">
        <f>0</f>
        <v>0</v>
      </c>
      <c r="AQ154" t="s">
        <v>564</v>
      </c>
      <c r="AR154">
        <f>0</f>
        <v>0</v>
      </c>
      <c r="AT154">
        <f>0</f>
        <v>0</v>
      </c>
      <c r="AV154" t="s">
        <v>564</v>
      </c>
      <c r="AW154" s="62">
        <f>L152</f>
        <v>186.54</v>
      </c>
      <c r="AZ154">
        <f>Source!X48</f>
        <v>0</v>
      </c>
      <c r="BA154">
        <f>Source!Y48</f>
        <v>0</v>
      </c>
      <c r="CD154">
        <v>2</v>
      </c>
    </row>
    <row r="155" spans="1:83" ht="28.5" x14ac:dyDescent="0.2">
      <c r="A155" s="47" t="s">
        <v>100</v>
      </c>
      <c r="B155" s="49" t="s">
        <v>571</v>
      </c>
      <c r="C155" s="49" t="str">
        <f>Source!G49</f>
        <v>Световые настенные указатели</v>
      </c>
      <c r="D155" s="50" t="str">
        <f>Source!H49</f>
        <v>100 ШТ</v>
      </c>
      <c r="E155" s="51">
        <f>Source!K49</f>
        <v>0.03</v>
      </c>
      <c r="F155" s="51"/>
      <c r="G155" s="51">
        <f>Source!I49</f>
        <v>0.03</v>
      </c>
      <c r="H155" s="53"/>
      <c r="I155" s="52"/>
      <c r="J155" s="53"/>
      <c r="K155" s="52"/>
      <c r="L155" s="53"/>
    </row>
    <row r="156" spans="1:83" x14ac:dyDescent="0.2">
      <c r="C156" s="54" t="str">
        <f>"Объем: "&amp;Source!I49&amp;"=3/"&amp;"100"</f>
        <v>Объем: 0,03=3/100</v>
      </c>
    </row>
    <row r="157" spans="1:83" ht="15" x14ac:dyDescent="0.2">
      <c r="A157" s="48"/>
      <c r="B157" s="51">
        <v>1</v>
      </c>
      <c r="C157" s="48" t="s">
        <v>553</v>
      </c>
      <c r="D157" s="50" t="s">
        <v>382</v>
      </c>
      <c r="E157" s="55"/>
      <c r="F157" s="51"/>
      <c r="G157" s="51">
        <f>Source!U49</f>
        <v>2.3567999999999998</v>
      </c>
      <c r="H157" s="51"/>
      <c r="I157" s="51"/>
      <c r="J157" s="51"/>
      <c r="K157" s="51"/>
      <c r="L157" s="56">
        <f>SUM(L158:L158)-SUMIF(CE158:CE158, 1, L158:L158)</f>
        <v>1774.43</v>
      </c>
    </row>
    <row r="158" spans="1:83" ht="14.25" x14ac:dyDescent="0.2">
      <c r="A158" s="49"/>
      <c r="B158" s="49" t="s">
        <v>434</v>
      </c>
      <c r="C158" s="49" t="s">
        <v>435</v>
      </c>
      <c r="D158" s="50" t="s">
        <v>382</v>
      </c>
      <c r="E158" s="51">
        <v>78.56</v>
      </c>
      <c r="F158" s="51"/>
      <c r="G158" s="51">
        <f>SmtRes!CX34</f>
        <v>2.3567999999999998</v>
      </c>
      <c r="H158" s="53"/>
      <c r="I158" s="52"/>
      <c r="J158" s="53">
        <f>SmtRes!CZ34</f>
        <v>752.9</v>
      </c>
      <c r="K158" s="52"/>
      <c r="L158" s="53">
        <f>SmtRes!DI34</f>
        <v>1774.43</v>
      </c>
    </row>
    <row r="159" spans="1:83" ht="15" x14ac:dyDescent="0.2">
      <c r="A159" s="48"/>
      <c r="B159" s="51">
        <v>2</v>
      </c>
      <c r="C159" s="48" t="s">
        <v>554</v>
      </c>
      <c r="D159" s="50"/>
      <c r="E159" s="55"/>
      <c r="F159" s="51"/>
      <c r="G159" s="51"/>
      <c r="H159" s="51"/>
      <c r="I159" s="51"/>
      <c r="J159" s="51"/>
      <c r="K159" s="51"/>
      <c r="L159" s="56">
        <f>SUM(L160:L164)-SUMIF(CE160:CE164, 1, L160:L164)</f>
        <v>12.779999999999998</v>
      </c>
    </row>
    <row r="160" spans="1:83" ht="15" x14ac:dyDescent="0.2">
      <c r="A160" s="48"/>
      <c r="B160" s="51"/>
      <c r="C160" s="48" t="s">
        <v>556</v>
      </c>
      <c r="D160" s="50" t="s">
        <v>382</v>
      </c>
      <c r="E160" s="55"/>
      <c r="F160" s="51"/>
      <c r="G160" s="51">
        <f>Source!V49</f>
        <v>1.2E-2</v>
      </c>
      <c r="H160" s="51"/>
      <c r="I160" s="51"/>
      <c r="J160" s="51"/>
      <c r="K160" s="51"/>
      <c r="L160" s="56">
        <f>SUMIF(CE161:CE164, 1, L161:L164)</f>
        <v>10.28</v>
      </c>
      <c r="CE160">
        <v>1</v>
      </c>
    </row>
    <row r="161" spans="1:83" ht="28.5" x14ac:dyDescent="0.2">
      <c r="A161" s="49"/>
      <c r="B161" s="49" t="s">
        <v>410</v>
      </c>
      <c r="C161" s="49" t="s">
        <v>412</v>
      </c>
      <c r="D161" s="50" t="s">
        <v>386</v>
      </c>
      <c r="E161" s="51">
        <v>0.2</v>
      </c>
      <c r="F161" s="51"/>
      <c r="G161" s="51">
        <f>SmtRes!CX36</f>
        <v>6.0000000000000001E-3</v>
      </c>
      <c r="H161" s="53"/>
      <c r="I161" s="52"/>
      <c r="J161" s="53">
        <f>SmtRes!CZ36</f>
        <v>1585.56</v>
      </c>
      <c r="K161" s="52"/>
      <c r="L161" s="53">
        <f>SmtRes!DG36</f>
        <v>9.51</v>
      </c>
    </row>
    <row r="162" spans="1:83" ht="28.5" x14ac:dyDescent="0.2">
      <c r="A162" s="49"/>
      <c r="B162" s="49" t="s">
        <v>413</v>
      </c>
      <c r="C162" s="49" t="s">
        <v>569</v>
      </c>
      <c r="D162" s="50" t="s">
        <v>382</v>
      </c>
      <c r="E162" s="51">
        <f>SmtRes!DO36*SmtRes!AT36</f>
        <v>0.2</v>
      </c>
      <c r="F162" s="51"/>
      <c r="G162" s="51">
        <f>ROUND(E162*G155, 7)</f>
        <v>6.0000000000000001E-3</v>
      </c>
      <c r="H162" s="53"/>
      <c r="I162" s="52"/>
      <c r="J162" s="53">
        <f>ROUND(SmtRes!AG36/SmtRes!DO36, 2)</f>
        <v>982.04</v>
      </c>
      <c r="K162" s="52"/>
      <c r="L162" s="53">
        <f>SmtRes!DH36</f>
        <v>5.89</v>
      </c>
      <c r="CE162">
        <v>1</v>
      </c>
    </row>
    <row r="163" spans="1:83" ht="28.5" x14ac:dyDescent="0.2">
      <c r="A163" s="49"/>
      <c r="B163" s="49" t="s">
        <v>383</v>
      </c>
      <c r="C163" s="49" t="s">
        <v>385</v>
      </c>
      <c r="D163" s="50" t="s">
        <v>386</v>
      </c>
      <c r="E163" s="51">
        <v>0.2</v>
      </c>
      <c r="F163" s="51"/>
      <c r="G163" s="51">
        <f>SmtRes!CX37</f>
        <v>6.0000000000000001E-3</v>
      </c>
      <c r="H163" s="53"/>
      <c r="I163" s="52"/>
      <c r="J163" s="53">
        <f>SmtRes!CZ37</f>
        <v>544.91999999999996</v>
      </c>
      <c r="K163" s="52"/>
      <c r="L163" s="53">
        <f>SmtRes!DG37</f>
        <v>3.27</v>
      </c>
    </row>
    <row r="164" spans="1:83" ht="28.5" x14ac:dyDescent="0.2">
      <c r="A164" s="49"/>
      <c r="B164" s="49" t="s">
        <v>387</v>
      </c>
      <c r="C164" s="49" t="s">
        <v>555</v>
      </c>
      <c r="D164" s="50" t="s">
        <v>382</v>
      </c>
      <c r="E164" s="51">
        <f>SmtRes!DO37*SmtRes!AT37</f>
        <v>0.2</v>
      </c>
      <c r="F164" s="51"/>
      <c r="G164" s="51">
        <f>ROUND(E164*G155, 7)</f>
        <v>6.0000000000000001E-3</v>
      </c>
      <c r="H164" s="53"/>
      <c r="I164" s="52"/>
      <c r="J164" s="53">
        <f>ROUND(SmtRes!AG37/SmtRes!DO37, 2)</f>
        <v>731.08</v>
      </c>
      <c r="K164" s="52"/>
      <c r="L164" s="53">
        <f>SmtRes!DH37</f>
        <v>4.3899999999999997</v>
      </c>
      <c r="CE164">
        <v>1</v>
      </c>
    </row>
    <row r="165" spans="1:83" ht="15" x14ac:dyDescent="0.2">
      <c r="A165" s="48"/>
      <c r="B165" s="51">
        <v>4</v>
      </c>
      <c r="C165" s="48" t="s">
        <v>557</v>
      </c>
      <c r="D165" s="50"/>
      <c r="E165" s="55"/>
      <c r="F165" s="51"/>
      <c r="G165" s="51"/>
      <c r="H165" s="51"/>
      <c r="I165" s="51"/>
      <c r="J165" s="51"/>
      <c r="K165" s="51"/>
      <c r="L165" s="56">
        <f>SUM(L166:L168)-SUMIF(CE166:CE168, 1, L166:L168)</f>
        <v>64.67</v>
      </c>
    </row>
    <row r="166" spans="1:83" ht="71.25" x14ac:dyDescent="0.2">
      <c r="A166" s="49"/>
      <c r="B166" s="49" t="s">
        <v>414</v>
      </c>
      <c r="C166" s="49" t="s">
        <v>416</v>
      </c>
      <c r="D166" s="50" t="s">
        <v>31</v>
      </c>
      <c r="E166" s="51">
        <v>17.5</v>
      </c>
      <c r="F166" s="51"/>
      <c r="G166" s="51">
        <f>SmtRes!CX38</f>
        <v>0.52500000000000002</v>
      </c>
      <c r="H166" s="53">
        <f>SmtRes!CZ38</f>
        <v>5.87</v>
      </c>
      <c r="I166" s="52">
        <f>SmtRes!AI38</f>
        <v>0.87</v>
      </c>
      <c r="J166" s="53">
        <f>ROUND(H166*I166, 2)</f>
        <v>5.1100000000000003</v>
      </c>
      <c r="K166" s="52"/>
      <c r="L166" s="53">
        <f>SmtRes!DF38</f>
        <v>2.68</v>
      </c>
    </row>
    <row r="167" spans="1:83" ht="14.25" x14ac:dyDescent="0.2">
      <c r="A167" s="49"/>
      <c r="B167" s="49" t="s">
        <v>436</v>
      </c>
      <c r="C167" s="49" t="s">
        <v>438</v>
      </c>
      <c r="D167" s="50" t="s">
        <v>56</v>
      </c>
      <c r="E167" s="51">
        <v>4.08</v>
      </c>
      <c r="F167" s="51"/>
      <c r="G167" s="51">
        <f>SmtRes!CX39</f>
        <v>0.12239999999999999</v>
      </c>
      <c r="H167" s="53">
        <f>SmtRes!CZ39</f>
        <v>41.71</v>
      </c>
      <c r="I167" s="52">
        <f>SmtRes!AI39</f>
        <v>1.31</v>
      </c>
      <c r="J167" s="53">
        <f>ROUND(H167*I167, 2)</f>
        <v>54.64</v>
      </c>
      <c r="K167" s="52"/>
      <c r="L167" s="53">
        <f>SmtRes!DF39</f>
        <v>6.69</v>
      </c>
    </row>
    <row r="168" spans="1:83" ht="28.5" x14ac:dyDescent="0.2">
      <c r="A168" s="49"/>
      <c r="B168" s="49" t="s">
        <v>439</v>
      </c>
      <c r="C168" s="57" t="s">
        <v>441</v>
      </c>
      <c r="D168" s="58" t="s">
        <v>126</v>
      </c>
      <c r="E168" s="59">
        <v>1.5299999999999999E-3</v>
      </c>
      <c r="F168" s="59"/>
      <c r="G168" s="59">
        <f>SmtRes!CX40</f>
        <v>4.5899999999999998E-5</v>
      </c>
      <c r="H168" s="60">
        <f>SmtRes!CZ40</f>
        <v>948687.13</v>
      </c>
      <c r="I168" s="61">
        <f>SmtRes!AI40</f>
        <v>1.27</v>
      </c>
      <c r="J168" s="60">
        <f>ROUND(H168*I168, 2)</f>
        <v>1204832.6599999999</v>
      </c>
      <c r="K168" s="61"/>
      <c r="L168" s="60">
        <f>SmtRes!DF40</f>
        <v>55.3</v>
      </c>
    </row>
    <row r="169" spans="1:83" ht="15" x14ac:dyDescent="0.2">
      <c r="A169" s="49"/>
      <c r="B169" s="49"/>
      <c r="C169" s="64" t="s">
        <v>558</v>
      </c>
      <c r="D169" s="50"/>
      <c r="E169" s="51"/>
      <c r="F169" s="51"/>
      <c r="G169" s="51"/>
      <c r="H169" s="53"/>
      <c r="I169" s="52"/>
      <c r="J169" s="53"/>
      <c r="K169" s="52"/>
      <c r="L169" s="53">
        <f>L157+L159+L160+L165</f>
        <v>1862.16</v>
      </c>
    </row>
    <row r="170" spans="1:83" ht="57" x14ac:dyDescent="0.2">
      <c r="A170" s="47" t="s">
        <v>572</v>
      </c>
      <c r="B170" s="49" t="str">
        <f>Source!F50</f>
        <v>421/пр_2020_п.75_пп.а</v>
      </c>
      <c r="C170" s="49" t="str">
        <f>Source!G50</f>
        <v>Сметная стоимость вспомогательных ненормируемых материальных ресурсов, не учтенная в сметной норме, 2%</v>
      </c>
      <c r="D170" s="50" t="str">
        <f>Source!H50</f>
        <v>%</v>
      </c>
      <c r="E170" s="51">
        <f>SmtRes!AT41</f>
        <v>2</v>
      </c>
      <c r="F170" s="51"/>
      <c r="G170" s="51">
        <f>Source!I50</f>
        <v>2</v>
      </c>
      <c r="H170" s="53"/>
      <c r="I170" s="52"/>
      <c r="J170" s="53"/>
      <c r="K170" s="52"/>
      <c r="L170" s="53">
        <f>Source!P50</f>
        <v>35.49</v>
      </c>
      <c r="AD170">
        <f>ROUND((Source!AT50/100)*((ROUND(0*Source!I50, 2)+ROUND(0*Source!I50, 2))), 2)</f>
        <v>0</v>
      </c>
      <c r="AE170">
        <f>ROUND((Source!AU50/100)*((ROUND(0*Source!I50, 2)+ROUND(0*Source!I50, 2))), 2)</f>
        <v>0</v>
      </c>
      <c r="AN170">
        <f>L170</f>
        <v>35.49</v>
      </c>
      <c r="AW170">
        <f>L170</f>
        <v>35.49</v>
      </c>
      <c r="AZ170">
        <f>Source!X50</f>
        <v>0</v>
      </c>
      <c r="BA170">
        <f>Source!Y50</f>
        <v>0</v>
      </c>
      <c r="CD170">
        <v>2</v>
      </c>
    </row>
    <row r="171" spans="1:83" ht="14.25" x14ac:dyDescent="0.2">
      <c r="A171" s="49"/>
      <c r="B171" s="49"/>
      <c r="C171" s="49" t="s">
        <v>560</v>
      </c>
      <c r="D171" s="50"/>
      <c r="E171" s="51"/>
      <c r="F171" s="51"/>
      <c r="G171" s="51"/>
      <c r="H171" s="53"/>
      <c r="I171" s="52"/>
      <c r="J171" s="53"/>
      <c r="K171" s="52"/>
      <c r="L171" s="53">
        <f>SUM(AR155:AR174)+SUM(AS155:AS174)+SUM(AT155:AT174)+SUM(AU155:AU174)+SUM(AV155:AV174)</f>
        <v>1784.71</v>
      </c>
    </row>
    <row r="172" spans="1:83" ht="28.5" x14ac:dyDescent="0.2">
      <c r="A172" s="49"/>
      <c r="B172" s="49" t="s">
        <v>22</v>
      </c>
      <c r="C172" s="49" t="s">
        <v>561</v>
      </c>
      <c r="D172" s="50" t="s">
        <v>27</v>
      </c>
      <c r="E172" s="51">
        <f>Source!BZ49</f>
        <v>97</v>
      </c>
      <c r="F172" s="51"/>
      <c r="G172" s="51">
        <f>Source!AT49</f>
        <v>97</v>
      </c>
      <c r="H172" s="53"/>
      <c r="I172" s="52"/>
      <c r="J172" s="53"/>
      <c r="K172" s="52"/>
      <c r="L172" s="53">
        <f>SUM(AZ155:AZ174)</f>
        <v>1731.17</v>
      </c>
    </row>
    <row r="173" spans="1:83" ht="28.5" x14ac:dyDescent="0.2">
      <c r="A173" s="57"/>
      <c r="B173" s="57" t="s">
        <v>23</v>
      </c>
      <c r="C173" s="57" t="s">
        <v>562</v>
      </c>
      <c r="D173" s="58" t="s">
        <v>27</v>
      </c>
      <c r="E173" s="59">
        <f>Source!CA49</f>
        <v>51</v>
      </c>
      <c r="F173" s="59"/>
      <c r="G173" s="59">
        <f>Source!AU49</f>
        <v>51</v>
      </c>
      <c r="H173" s="60"/>
      <c r="I173" s="61"/>
      <c r="J173" s="60"/>
      <c r="K173" s="61"/>
      <c r="L173" s="60">
        <f>SUM(BA155:BA174)</f>
        <v>910.2</v>
      </c>
    </row>
    <row r="174" spans="1:83" ht="15" x14ac:dyDescent="0.2">
      <c r="C174" s="138" t="s">
        <v>563</v>
      </c>
      <c r="D174" s="138"/>
      <c r="E174" s="138"/>
      <c r="F174" s="138"/>
      <c r="G174" s="138"/>
      <c r="H174" s="138"/>
      <c r="I174" s="139">
        <f>IF(E155&lt;&gt;0,K174/E155, 0)</f>
        <v>151300.66666666666</v>
      </c>
      <c r="J174" s="139"/>
      <c r="K174" s="139">
        <f>L157+L159+L165+L172+L173+L160+SUM(L170:L170)</f>
        <v>4539.0199999999995</v>
      </c>
      <c r="L174" s="139"/>
      <c r="AD174">
        <f>ROUND((Source!AT49/100)*((ROUND(SUMIF(SmtRes!AQ34:'SmtRes'!AQ41,"=1",SmtRes!AD34:'SmtRes'!AD41)*Source!I49, 2)+ROUND(SUMIF(SmtRes!AQ34:'SmtRes'!AQ41,"=1",SmtRes!AC34:'SmtRes'!AC41)*Source!I49, 2))), 2)</f>
        <v>71.760000000000005</v>
      </c>
      <c r="AE174">
        <f>ROUND((Source!AU49/100)*((ROUND(SUMIF(SmtRes!AQ34:'SmtRes'!AQ41,"=1",SmtRes!AD34:'SmtRes'!AD41)*Source!I49, 2)+ROUND(SUMIF(SmtRes!AQ34:'SmtRes'!AQ41,"=1",SmtRes!AC34:'SmtRes'!AC41)*Source!I49, 2))), 2)</f>
        <v>37.729999999999997</v>
      </c>
      <c r="AN174" s="62">
        <f>L157+L159+L165+L172+L173+L160</f>
        <v>4503.53</v>
      </c>
      <c r="AO174" s="62">
        <f>L159</f>
        <v>12.779999999999998</v>
      </c>
      <c r="AQ174" t="s">
        <v>564</v>
      </c>
      <c r="AR174" s="62">
        <f>L157</f>
        <v>1774.43</v>
      </c>
      <c r="AT174" s="62">
        <f>L160</f>
        <v>10.28</v>
      </c>
      <c r="AV174" t="s">
        <v>564</v>
      </c>
      <c r="AW174" s="62">
        <f>L165</f>
        <v>64.67</v>
      </c>
      <c r="AZ174">
        <f>Source!X49</f>
        <v>1731.17</v>
      </c>
      <c r="BA174">
        <f>Source!Y49</f>
        <v>910.2</v>
      </c>
      <c r="CD174">
        <v>2</v>
      </c>
    </row>
    <row r="175" spans="1:83" ht="42.75" x14ac:dyDescent="0.2">
      <c r="A175" s="66" t="s">
        <v>105</v>
      </c>
      <c r="B175" s="57" t="str">
        <f>Source!F51</f>
        <v>20.3.04.07-0006</v>
      </c>
      <c r="C175" s="57" t="str">
        <f>Source!G51</f>
        <v>Указатель световой со светодиодами и аккумулятором/ не входить УФО прим</v>
      </c>
      <c r="D175" s="58" t="str">
        <f>Source!H51</f>
        <v>ШТ</v>
      </c>
      <c r="E175" s="59">
        <f>Source!K51</f>
        <v>1</v>
      </c>
      <c r="F175" s="59"/>
      <c r="G175" s="59">
        <f>Source!I51</f>
        <v>1</v>
      </c>
      <c r="H175" s="60">
        <f>Source!AL51</f>
        <v>3370.35</v>
      </c>
      <c r="I175" s="61">
        <f>IF(Source!BC51&lt;&gt; 0, Source!BC51, 1)</f>
        <v>0.9</v>
      </c>
      <c r="J175" s="60">
        <f>ROUND(H175*I175, 2)</f>
        <v>3033.32</v>
      </c>
      <c r="K175" s="61"/>
      <c r="L175" s="60">
        <f>Source!P51</f>
        <v>3033.32</v>
      </c>
    </row>
    <row r="176" spans="1:83" ht="15" x14ac:dyDescent="0.2">
      <c r="C176" s="138" t="s">
        <v>563</v>
      </c>
      <c r="D176" s="138"/>
      <c r="E176" s="138"/>
      <c r="F176" s="138"/>
      <c r="G176" s="138"/>
      <c r="H176" s="138"/>
      <c r="I176" s="139">
        <f>IF(E175&lt;&gt;0,K176/E175, 0)</f>
        <v>3033.32</v>
      </c>
      <c r="J176" s="139"/>
      <c r="K176" s="139">
        <f>L175</f>
        <v>3033.32</v>
      </c>
      <c r="L176" s="139"/>
      <c r="AD176">
        <f>ROUND((Source!AT51/100)*((ROUND(ROUND(Source!AO51,2)*Source!I51, 2)+ROUND(ROUND(Source!AN51,2)*Source!I51, 2))), 2)</f>
        <v>0</v>
      </c>
      <c r="AE176">
        <f>ROUND((Source!AU51/100)*((ROUND(ROUND(Source!AO51,2)*Source!I51, 2)+ROUND(ROUND(Source!AN51,2)*Source!I51, 2))), 2)</f>
        <v>0</v>
      </c>
      <c r="AN176" s="62">
        <f>L175</f>
        <v>3033.32</v>
      </c>
      <c r="AO176">
        <f>0</f>
        <v>0</v>
      </c>
      <c r="AQ176" t="s">
        <v>564</v>
      </c>
      <c r="AR176">
        <f>0</f>
        <v>0</v>
      </c>
      <c r="AT176">
        <f>0</f>
        <v>0</v>
      </c>
      <c r="AV176" t="s">
        <v>564</v>
      </c>
      <c r="AW176" s="62">
        <f>L175</f>
        <v>3033.32</v>
      </c>
      <c r="AZ176">
        <f>Source!X51</f>
        <v>0</v>
      </c>
      <c r="BA176">
        <f>Source!Y51</f>
        <v>0</v>
      </c>
      <c r="CD176">
        <v>2</v>
      </c>
    </row>
    <row r="177" spans="1:82" ht="42.75" x14ac:dyDescent="0.2">
      <c r="A177" s="66" t="s">
        <v>110</v>
      </c>
      <c r="B177" s="57" t="str">
        <f>Source!F52</f>
        <v>20.3.04.07-0006</v>
      </c>
      <c r="C177" s="57" t="str">
        <f>Source!G52</f>
        <v>Указатель световой прим Указатель световой со светодиодами "Не входить рентген излучение" прим</v>
      </c>
      <c r="D177" s="58" t="str">
        <f>Source!H52</f>
        <v>ШТ</v>
      </c>
      <c r="E177" s="59">
        <f>Source!K52</f>
        <v>1</v>
      </c>
      <c r="F177" s="59"/>
      <c r="G177" s="59">
        <f>Source!I52</f>
        <v>1</v>
      </c>
      <c r="H177" s="60">
        <f>Source!AL52</f>
        <v>3370.35</v>
      </c>
      <c r="I177" s="61">
        <f>IF(Source!BC52&lt;&gt; 0, Source!BC52, 1)</f>
        <v>0.9</v>
      </c>
      <c r="J177" s="60">
        <f>ROUND(H177*I177, 2)</f>
        <v>3033.32</v>
      </c>
      <c r="K177" s="61"/>
      <c r="L177" s="60">
        <f>Source!P52</f>
        <v>3033.32</v>
      </c>
    </row>
    <row r="178" spans="1:82" ht="15" x14ac:dyDescent="0.2">
      <c r="C178" s="138" t="s">
        <v>563</v>
      </c>
      <c r="D178" s="138"/>
      <c r="E178" s="138"/>
      <c r="F178" s="138"/>
      <c r="G178" s="138"/>
      <c r="H178" s="138"/>
      <c r="I178" s="139">
        <f>IF(E177&lt;&gt;0,K178/E177, 0)</f>
        <v>3033.32</v>
      </c>
      <c r="J178" s="139"/>
      <c r="K178" s="139">
        <f>L177</f>
        <v>3033.32</v>
      </c>
      <c r="L178" s="139"/>
      <c r="AD178">
        <f>ROUND((Source!AT52/100)*((ROUND(ROUND(Source!AO52,2)*Source!I52, 2)+ROUND(ROUND(Source!AN52,2)*Source!I52, 2))), 2)</f>
        <v>0</v>
      </c>
      <c r="AE178">
        <f>ROUND((Source!AU52/100)*((ROUND(ROUND(Source!AO52,2)*Source!I52, 2)+ROUND(ROUND(Source!AN52,2)*Source!I52, 2))), 2)</f>
        <v>0</v>
      </c>
      <c r="AN178" s="62">
        <f>L177</f>
        <v>3033.32</v>
      </c>
      <c r="AO178">
        <f>0</f>
        <v>0</v>
      </c>
      <c r="AQ178" t="s">
        <v>564</v>
      </c>
      <c r="AR178">
        <f>0</f>
        <v>0</v>
      </c>
      <c r="AT178">
        <f>0</f>
        <v>0</v>
      </c>
      <c r="AV178" t="s">
        <v>564</v>
      </c>
      <c r="AW178" s="62">
        <f>L177</f>
        <v>3033.32</v>
      </c>
      <c r="AZ178">
        <f>Source!X52</f>
        <v>0</v>
      </c>
      <c r="BA178">
        <f>Source!Y52</f>
        <v>0</v>
      </c>
      <c r="CD178">
        <v>2</v>
      </c>
    </row>
    <row r="179" spans="1:82" ht="28.5" x14ac:dyDescent="0.2">
      <c r="A179" s="66" t="s">
        <v>112</v>
      </c>
      <c r="B179" s="57" t="str">
        <f>Source!F53</f>
        <v>20.3.04.07-0006</v>
      </c>
      <c r="C179" s="57" t="str">
        <f>Source!G53</f>
        <v>Указатель световой прим Световое табло "ВХОДИТЕ - НЕ ВХОДИТЬ прим,</v>
      </c>
      <c r="D179" s="58" t="str">
        <f>Source!H53</f>
        <v>ШТ</v>
      </c>
      <c r="E179" s="59">
        <f>Source!K53</f>
        <v>1</v>
      </c>
      <c r="F179" s="59"/>
      <c r="G179" s="59">
        <f>Source!I53</f>
        <v>1</v>
      </c>
      <c r="H179" s="60">
        <f>Source!AL53</f>
        <v>3370.35</v>
      </c>
      <c r="I179" s="61">
        <f>IF(Source!BC53&lt;&gt; 0, Source!BC53, 1)</f>
        <v>0.9</v>
      </c>
      <c r="J179" s="60">
        <f>ROUND(H179*I179, 2)</f>
        <v>3033.32</v>
      </c>
      <c r="K179" s="61"/>
      <c r="L179" s="60">
        <f>Source!P53</f>
        <v>3033.32</v>
      </c>
    </row>
    <row r="180" spans="1:82" ht="15" x14ac:dyDescent="0.2">
      <c r="C180" s="138" t="s">
        <v>563</v>
      </c>
      <c r="D180" s="138"/>
      <c r="E180" s="138"/>
      <c r="F180" s="138"/>
      <c r="G180" s="138"/>
      <c r="H180" s="138"/>
      <c r="I180" s="139">
        <f>IF(E179&lt;&gt;0,K180/E179, 0)</f>
        <v>3033.32</v>
      </c>
      <c r="J180" s="139"/>
      <c r="K180" s="139">
        <f>L179</f>
        <v>3033.32</v>
      </c>
      <c r="L180" s="139"/>
      <c r="AD180">
        <f>ROUND((Source!AT53/100)*((ROUND(ROUND(Source!AO53,2)*Source!I53, 2)+ROUND(ROUND(Source!AN53,2)*Source!I53, 2))), 2)</f>
        <v>0</v>
      </c>
      <c r="AE180">
        <f>ROUND((Source!AU53/100)*((ROUND(ROUND(Source!AO53,2)*Source!I53, 2)+ROUND(ROUND(Source!AN53,2)*Source!I53, 2))), 2)</f>
        <v>0</v>
      </c>
      <c r="AN180" s="62">
        <f>L179</f>
        <v>3033.32</v>
      </c>
      <c r="AO180">
        <f>0</f>
        <v>0</v>
      </c>
      <c r="AQ180" t="s">
        <v>564</v>
      </c>
      <c r="AR180">
        <f>0</f>
        <v>0</v>
      </c>
      <c r="AT180">
        <f>0</f>
        <v>0</v>
      </c>
      <c r="AV180" t="s">
        <v>564</v>
      </c>
      <c r="AW180" s="62">
        <f>L179</f>
        <v>3033.32</v>
      </c>
      <c r="AZ180">
        <f>Source!X53</f>
        <v>0</v>
      </c>
      <c r="BA180">
        <f>Source!Y53</f>
        <v>0</v>
      </c>
      <c r="CD180">
        <v>2</v>
      </c>
    </row>
    <row r="181" spans="1:82" ht="28.5" x14ac:dyDescent="0.2">
      <c r="A181" s="47" t="s">
        <v>114</v>
      </c>
      <c r="B181" s="49" t="s">
        <v>573</v>
      </c>
      <c r="C181" s="49" t="str">
        <f>Source!G54</f>
        <v>Облучатель бактерицидный: настенный</v>
      </c>
      <c r="D181" s="50" t="str">
        <f>Source!H54</f>
        <v>ШТ</v>
      </c>
      <c r="E181" s="51">
        <f>Source!K54</f>
        <v>2</v>
      </c>
      <c r="F181" s="51"/>
      <c r="G181" s="51">
        <f>Source!I54</f>
        <v>2</v>
      </c>
      <c r="H181" s="53"/>
      <c r="I181" s="52"/>
      <c r="J181" s="53"/>
      <c r="K181" s="52"/>
      <c r="L181" s="53"/>
    </row>
    <row r="182" spans="1:82" ht="15" x14ac:dyDescent="0.2">
      <c r="A182" s="48"/>
      <c r="B182" s="51">
        <v>1</v>
      </c>
      <c r="C182" s="48" t="s">
        <v>553</v>
      </c>
      <c r="D182" s="50" t="s">
        <v>382</v>
      </c>
      <c r="E182" s="55"/>
      <c r="F182" s="51"/>
      <c r="G182" s="51">
        <f>Source!U54</f>
        <v>20.6</v>
      </c>
      <c r="H182" s="51"/>
      <c r="I182" s="51"/>
      <c r="J182" s="51"/>
      <c r="K182" s="51"/>
      <c r="L182" s="56">
        <f>SUM(L183:L183)-SUMIF(CE183:CE183, 1, L183:L183)</f>
        <v>14217.3</v>
      </c>
    </row>
    <row r="183" spans="1:82" ht="14.25" x14ac:dyDescent="0.2">
      <c r="A183" s="49"/>
      <c r="B183" s="49" t="s">
        <v>442</v>
      </c>
      <c r="C183" s="49" t="s">
        <v>443</v>
      </c>
      <c r="D183" s="50" t="s">
        <v>382</v>
      </c>
      <c r="E183" s="51">
        <v>10.3</v>
      </c>
      <c r="F183" s="51"/>
      <c r="G183" s="51">
        <f>SmtRes!CX42</f>
        <v>20.6</v>
      </c>
      <c r="H183" s="53"/>
      <c r="I183" s="52"/>
      <c r="J183" s="53">
        <f>SmtRes!CZ42</f>
        <v>690.16</v>
      </c>
      <c r="K183" s="52"/>
      <c r="L183" s="53">
        <f>SmtRes!DI42</f>
        <v>14217.3</v>
      </c>
    </row>
    <row r="184" spans="1:82" ht="15" x14ac:dyDescent="0.2">
      <c r="A184" s="48"/>
      <c r="B184" s="51">
        <v>4</v>
      </c>
      <c r="C184" s="48" t="s">
        <v>557</v>
      </c>
      <c r="D184" s="50"/>
      <c r="E184" s="55"/>
      <c r="F184" s="51"/>
      <c r="G184" s="51"/>
      <c r="H184" s="51"/>
      <c r="I184" s="51"/>
      <c r="J184" s="51"/>
      <c r="K184" s="51"/>
      <c r="L184" s="56">
        <f>SUM(L185:L185)-SUMIF(CE185:CE185, 1, L185:L185)</f>
        <v>6.78</v>
      </c>
    </row>
    <row r="185" spans="1:82" ht="14.25" x14ac:dyDescent="0.2">
      <c r="A185" s="49"/>
      <c r="B185" s="49" t="s">
        <v>388</v>
      </c>
      <c r="C185" s="57" t="s">
        <v>390</v>
      </c>
      <c r="D185" s="58" t="s">
        <v>391</v>
      </c>
      <c r="E185" s="59">
        <v>0.49</v>
      </c>
      <c r="F185" s="59"/>
      <c r="G185" s="59">
        <f>SmtRes!CX43</f>
        <v>0.98</v>
      </c>
      <c r="H185" s="60"/>
      <c r="I185" s="61"/>
      <c r="J185" s="60">
        <f>SmtRes!CZ43</f>
        <v>6.92</v>
      </c>
      <c r="K185" s="61"/>
      <c r="L185" s="60">
        <f>SmtRes!DF43</f>
        <v>6.78</v>
      </c>
    </row>
    <row r="186" spans="1:82" ht="15" x14ac:dyDescent="0.2">
      <c r="A186" s="49"/>
      <c r="B186" s="49"/>
      <c r="C186" s="64" t="s">
        <v>558</v>
      </c>
      <c r="D186" s="50"/>
      <c r="E186" s="51"/>
      <c r="F186" s="51"/>
      <c r="G186" s="51"/>
      <c r="H186" s="53"/>
      <c r="I186" s="52"/>
      <c r="J186" s="53"/>
      <c r="K186" s="52"/>
      <c r="L186" s="53">
        <f>L182+L184</f>
        <v>14224.08</v>
      </c>
    </row>
    <row r="187" spans="1:82" ht="57" x14ac:dyDescent="0.2">
      <c r="A187" s="47" t="s">
        <v>574</v>
      </c>
      <c r="B187" s="49" t="str">
        <f>Source!F55</f>
        <v>421/пр_2020_п.75_пп.а</v>
      </c>
      <c r="C187" s="49" t="str">
        <f>Source!G55</f>
        <v>Сметная стоимость вспомогательных ненормируемых материальных ресурсов, не учтенная в сметной норме, 2%</v>
      </c>
      <c r="D187" s="50" t="str">
        <f>Source!H55</f>
        <v>%</v>
      </c>
      <c r="E187" s="51">
        <f>SmtRes!AT44</f>
        <v>2</v>
      </c>
      <c r="F187" s="51"/>
      <c r="G187" s="51">
        <f>Source!I55</f>
        <v>2</v>
      </c>
      <c r="H187" s="53"/>
      <c r="I187" s="52"/>
      <c r="J187" s="53"/>
      <c r="K187" s="52"/>
      <c r="L187" s="53">
        <f>Source!P55</f>
        <v>284.35000000000002</v>
      </c>
      <c r="AD187">
        <f>ROUND((Source!AT55/100)*((ROUND(0*Source!I55, 2)+ROUND(0*Source!I55, 2))), 2)</f>
        <v>0</v>
      </c>
      <c r="AE187">
        <f>ROUND((Source!AU55/100)*((ROUND(0*Source!I55, 2)+ROUND(0*Source!I55, 2))), 2)</f>
        <v>0</v>
      </c>
      <c r="AN187">
        <f>L187</f>
        <v>284.35000000000002</v>
      </c>
      <c r="AW187">
        <f>L187</f>
        <v>284.35000000000002</v>
      </c>
      <c r="AZ187">
        <f>Source!X55</f>
        <v>0</v>
      </c>
      <c r="BA187">
        <f>Source!Y55</f>
        <v>0</v>
      </c>
      <c r="CD187">
        <v>2</v>
      </c>
    </row>
    <row r="188" spans="1:82" ht="14.25" x14ac:dyDescent="0.2">
      <c r="A188" s="47" t="s">
        <v>575</v>
      </c>
      <c r="B188" s="49" t="str">
        <f>Source!F56</f>
        <v>999-0005</v>
      </c>
      <c r="C188" s="49" t="str">
        <f>Source!G56</f>
        <v>Масса оборудования</v>
      </c>
      <c r="D188" s="50" t="str">
        <f>Source!H56</f>
        <v>т</v>
      </c>
      <c r="E188" s="51">
        <f>SmtRes!AT45</f>
        <v>5.0000000000000001E-3</v>
      </c>
      <c r="F188" s="51"/>
      <c r="G188" s="51">
        <f>Source!I56</f>
        <v>0.01</v>
      </c>
      <c r="H188" s="53">
        <f>Source!AL56+Source!AO56+Source!AM56+Source!AN56</f>
        <v>0</v>
      </c>
      <c r="I188" s="52"/>
      <c r="J188" s="53"/>
      <c r="K188" s="52"/>
      <c r="L188" s="53">
        <f>Source!P56</f>
        <v>0</v>
      </c>
      <c r="AD188">
        <f>ROUND((Source!AT56/100)*((ROUND(ROUND(Source!AO56,2)*Source!I56, 2)+ROUND(ROUND(Source!AN56,2)*Source!I56, 2))), 2)</f>
        <v>0</v>
      </c>
      <c r="AE188">
        <f>ROUND((Source!AU56/100)*((ROUND(ROUND(Source!AO56,2)*Source!I56, 2)+ROUND(ROUND(Source!AN56,2)*Source!I56, 2))), 2)</f>
        <v>0</v>
      </c>
      <c r="AN188">
        <f>L188</f>
        <v>0</v>
      </c>
      <c r="AW188">
        <f>L188</f>
        <v>0</v>
      </c>
      <c r="AZ188">
        <f>Source!X56</f>
        <v>0</v>
      </c>
      <c r="BA188">
        <f>Source!Y56</f>
        <v>0</v>
      </c>
      <c r="CD188">
        <v>2</v>
      </c>
    </row>
    <row r="189" spans="1:82" ht="14.25" x14ac:dyDescent="0.2">
      <c r="A189" s="49"/>
      <c r="B189" s="49"/>
      <c r="C189" s="49" t="s">
        <v>560</v>
      </c>
      <c r="D189" s="50"/>
      <c r="E189" s="51"/>
      <c r="F189" s="51"/>
      <c r="G189" s="51"/>
      <c r="H189" s="53"/>
      <c r="I189" s="52"/>
      <c r="J189" s="53"/>
      <c r="K189" s="52"/>
      <c r="L189" s="53">
        <f>SUM(AR181:AR192)+SUM(AS181:AS192)+SUM(AT181:AT192)+SUM(AU181:AU192)+SUM(AV181:AV192)</f>
        <v>14217.3</v>
      </c>
    </row>
    <row r="190" spans="1:82" ht="42.75" x14ac:dyDescent="0.2">
      <c r="A190" s="49"/>
      <c r="B190" s="49" t="s">
        <v>120</v>
      </c>
      <c r="C190" s="49" t="s">
        <v>576</v>
      </c>
      <c r="D190" s="50" t="s">
        <v>27</v>
      </c>
      <c r="E190" s="51">
        <f>Source!BZ54</f>
        <v>89</v>
      </c>
      <c r="F190" s="51"/>
      <c r="G190" s="51">
        <f>Source!AT54</f>
        <v>89</v>
      </c>
      <c r="H190" s="53"/>
      <c r="I190" s="52"/>
      <c r="J190" s="53"/>
      <c r="K190" s="52"/>
      <c r="L190" s="53">
        <f>SUM(AZ181:AZ192)</f>
        <v>12653.4</v>
      </c>
    </row>
    <row r="191" spans="1:82" ht="42.75" x14ac:dyDescent="0.2">
      <c r="A191" s="57"/>
      <c r="B191" s="57" t="s">
        <v>121</v>
      </c>
      <c r="C191" s="57" t="s">
        <v>577</v>
      </c>
      <c r="D191" s="58" t="s">
        <v>27</v>
      </c>
      <c r="E191" s="59">
        <f>Source!CA54</f>
        <v>44</v>
      </c>
      <c r="F191" s="59"/>
      <c r="G191" s="59">
        <f>Source!AU54</f>
        <v>44</v>
      </c>
      <c r="H191" s="60"/>
      <c r="I191" s="61"/>
      <c r="J191" s="60"/>
      <c r="K191" s="61"/>
      <c r="L191" s="60">
        <f>SUM(BA181:BA192)</f>
        <v>6255.61</v>
      </c>
    </row>
    <row r="192" spans="1:82" ht="15" x14ac:dyDescent="0.2">
      <c r="C192" s="138" t="s">
        <v>563</v>
      </c>
      <c r="D192" s="138"/>
      <c r="E192" s="138"/>
      <c r="F192" s="138"/>
      <c r="G192" s="138"/>
      <c r="H192" s="138"/>
      <c r="I192" s="139">
        <f>IF(E181&lt;&gt;0,K192/E181, 0)</f>
        <v>16708.719999999998</v>
      </c>
      <c r="J192" s="139"/>
      <c r="K192" s="139">
        <f>L182+L184+L190+L191+SUM(L187:L188)</f>
        <v>33417.439999999995</v>
      </c>
      <c r="L192" s="139"/>
      <c r="AD192">
        <f>ROUND((Source!AT54/100)*((ROUND(SUMIF(SmtRes!AQ42:'SmtRes'!AQ45,"=1",SmtRes!AD42:'SmtRes'!AD45)*Source!I54, 2)+ROUND(SUMIF(SmtRes!AQ42:'SmtRes'!AQ45,"=1",SmtRes!AC42:'SmtRes'!AC45)*Source!I54, 2))), 2)</f>
        <v>1228.48</v>
      </c>
      <c r="AE192">
        <f>ROUND((Source!AU54/100)*((ROUND(SUMIF(SmtRes!AQ42:'SmtRes'!AQ45,"=1",SmtRes!AD42:'SmtRes'!AD45)*Source!I54, 2)+ROUND(SUMIF(SmtRes!AQ42:'SmtRes'!AQ45,"=1",SmtRes!AC42:'SmtRes'!AC45)*Source!I54, 2))), 2)</f>
        <v>607.34</v>
      </c>
      <c r="AN192" s="62">
        <f>L182+L184+L190+L191</f>
        <v>33133.089999999997</v>
      </c>
      <c r="AO192">
        <f>0</f>
        <v>0</v>
      </c>
      <c r="AQ192" t="s">
        <v>564</v>
      </c>
      <c r="AR192" s="62">
        <f>L182</f>
        <v>14217.3</v>
      </c>
      <c r="AT192">
        <f>0</f>
        <v>0</v>
      </c>
      <c r="AV192" t="s">
        <v>564</v>
      </c>
      <c r="AW192" s="62">
        <f>L184</f>
        <v>6.78</v>
      </c>
      <c r="AZ192">
        <f>Source!X54</f>
        <v>12653.4</v>
      </c>
      <c r="BA192">
        <f>Source!Y54</f>
        <v>6255.61</v>
      </c>
      <c r="CD192">
        <v>2</v>
      </c>
    </row>
    <row r="193" spans="1:82" ht="71.25" x14ac:dyDescent="0.2">
      <c r="A193" s="66" t="s">
        <v>127</v>
      </c>
      <c r="B193" s="57" t="str">
        <f>Source!F57</f>
        <v>20.3.04.03-0004</v>
      </c>
      <c r="C193" s="57" t="str">
        <f>Source!G57</f>
        <v>Облучатель бактерицидный, настенно-потолочный под ультрафиолетовую лампу, производительность 180 м3/час, мощность 190 Вт, размеры 110х80х950 мм</v>
      </c>
      <c r="D193" s="58" t="str">
        <f>Source!H57</f>
        <v>ШТ</v>
      </c>
      <c r="E193" s="59">
        <f>Source!K57</f>
        <v>2</v>
      </c>
      <c r="F193" s="59"/>
      <c r="G193" s="59">
        <f>Source!I57</f>
        <v>2</v>
      </c>
      <c r="H193" s="60">
        <f>Source!AL57</f>
        <v>1541.74</v>
      </c>
      <c r="I193" s="61">
        <f>IF(Source!BC57&lt;&gt; 0, Source!BC57, 1)</f>
        <v>0.9</v>
      </c>
      <c r="J193" s="60">
        <f>ROUND(H193*I193, 2)</f>
        <v>1387.57</v>
      </c>
      <c r="K193" s="61"/>
      <c r="L193" s="60">
        <f>Source!P57</f>
        <v>2775.14</v>
      </c>
    </row>
    <row r="194" spans="1:82" ht="15" x14ac:dyDescent="0.2">
      <c r="C194" s="138" t="s">
        <v>563</v>
      </c>
      <c r="D194" s="138"/>
      <c r="E194" s="138"/>
      <c r="F194" s="138"/>
      <c r="G194" s="138"/>
      <c r="H194" s="138"/>
      <c r="I194" s="139">
        <f>IF(E193&lt;&gt;0,K194/E193, 0)</f>
        <v>1387.57</v>
      </c>
      <c r="J194" s="139"/>
      <c r="K194" s="139">
        <f>L193</f>
        <v>2775.14</v>
      </c>
      <c r="L194" s="139"/>
      <c r="AD194">
        <f>ROUND((Source!AT57/100)*((ROUND(ROUND(Source!AO57,2)*Source!I57, 2)+ROUND(ROUND(Source!AN57,2)*Source!I57, 2))), 2)</f>
        <v>0</v>
      </c>
      <c r="AE194">
        <f>ROUND((Source!AU57/100)*((ROUND(ROUND(Source!AO57,2)*Source!I57, 2)+ROUND(ROUND(Source!AN57,2)*Source!I57, 2))), 2)</f>
        <v>0</v>
      </c>
      <c r="AN194" s="62">
        <f>L193</f>
        <v>2775.14</v>
      </c>
      <c r="AO194">
        <f>0</f>
        <v>0</v>
      </c>
      <c r="AQ194" t="s">
        <v>564</v>
      </c>
      <c r="AR194">
        <f>0</f>
        <v>0</v>
      </c>
      <c r="AT194">
        <f>0</f>
        <v>0</v>
      </c>
      <c r="AV194" t="s">
        <v>564</v>
      </c>
      <c r="AW194" s="62">
        <f>L193</f>
        <v>2775.14</v>
      </c>
      <c r="AZ194">
        <f>Source!X57</f>
        <v>0</v>
      </c>
      <c r="BA194">
        <f>Source!Y57</f>
        <v>0</v>
      </c>
      <c r="CD194">
        <v>2</v>
      </c>
    </row>
    <row r="195" spans="1:82" ht="28.5" x14ac:dyDescent="0.2">
      <c r="A195" s="47" t="s">
        <v>131</v>
      </c>
      <c r="B195" s="49" t="str">
        <f>Source!F58</f>
        <v>20.3.02.01-0002</v>
      </c>
      <c r="C195" s="49" t="str">
        <f>Source!G58</f>
        <v>Лампы бактерицидные специальные безозоновые 30 Вт, 254 нм, G13</v>
      </c>
      <c r="D195" s="50" t="str">
        <f>Source!H58</f>
        <v>10 ШТ</v>
      </c>
      <c r="E195" s="51">
        <f>Source!K58</f>
        <v>0.4</v>
      </c>
      <c r="F195" s="51"/>
      <c r="G195" s="51">
        <f>Source!I58</f>
        <v>0.4</v>
      </c>
      <c r="H195" s="53">
        <f>Source!AL58</f>
        <v>3410.73</v>
      </c>
      <c r="I195" s="52">
        <f>IF(Source!BC58&lt;&gt; 0, Source!BC58, 1)</f>
        <v>0.9</v>
      </c>
      <c r="J195" s="53">
        <f>ROUND(H195*I195, 2)</f>
        <v>3069.66</v>
      </c>
      <c r="K195" s="52"/>
      <c r="L195" s="53">
        <f>Source!P58</f>
        <v>1227.8599999999999</v>
      </c>
    </row>
    <row r="196" spans="1:82" x14ac:dyDescent="0.2">
      <c r="A196" s="67"/>
      <c r="B196" s="67"/>
      <c r="C196" s="68" t="str">
        <f>"Объем: "&amp;Source!I58&amp;"=4/"&amp;"10"</f>
        <v>Объем: 0,4=4/10</v>
      </c>
      <c r="D196" s="67"/>
      <c r="E196" s="67"/>
      <c r="F196" s="67"/>
      <c r="G196" s="67"/>
      <c r="H196" s="67"/>
      <c r="I196" s="67"/>
      <c r="J196" s="67"/>
      <c r="K196" s="67"/>
      <c r="L196" s="67"/>
    </row>
    <row r="197" spans="1:82" ht="15" x14ac:dyDescent="0.2">
      <c r="C197" s="138" t="s">
        <v>563</v>
      </c>
      <c r="D197" s="138"/>
      <c r="E197" s="138"/>
      <c r="F197" s="138"/>
      <c r="G197" s="138"/>
      <c r="H197" s="138"/>
      <c r="I197" s="139">
        <f>IF(E195&lt;&gt;0,K197/E195, 0)</f>
        <v>3069.6499999999996</v>
      </c>
      <c r="J197" s="139"/>
      <c r="K197" s="139">
        <f>L195</f>
        <v>1227.8599999999999</v>
      </c>
      <c r="L197" s="139"/>
      <c r="AD197">
        <f>ROUND((Source!AT58/100)*((ROUND(ROUND(Source!AO58,2)*Source!I58, 2)+ROUND(ROUND(Source!AN58,2)*Source!I58, 2))), 2)</f>
        <v>0</v>
      </c>
      <c r="AE197">
        <f>ROUND((Source!AU58/100)*((ROUND(ROUND(Source!AO58,2)*Source!I58, 2)+ROUND(ROUND(Source!AN58,2)*Source!I58, 2))), 2)</f>
        <v>0</v>
      </c>
      <c r="AN197" s="62">
        <f>L195</f>
        <v>1227.8599999999999</v>
      </c>
      <c r="AO197">
        <f>0</f>
        <v>0</v>
      </c>
      <c r="AQ197" t="s">
        <v>564</v>
      </c>
      <c r="AR197">
        <f>0</f>
        <v>0</v>
      </c>
      <c r="AT197">
        <f>0</f>
        <v>0</v>
      </c>
      <c r="AV197" t="s">
        <v>564</v>
      </c>
      <c r="AW197" s="62">
        <f>L195</f>
        <v>1227.8599999999999</v>
      </c>
      <c r="AZ197">
        <f>Source!X58</f>
        <v>0</v>
      </c>
      <c r="BA197">
        <f>Source!Y58</f>
        <v>0</v>
      </c>
      <c r="CD197">
        <v>2</v>
      </c>
    </row>
    <row r="198" spans="1:82" ht="42.75" x14ac:dyDescent="0.2">
      <c r="A198" s="47" t="s">
        <v>135</v>
      </c>
      <c r="B198" s="49" t="s">
        <v>578</v>
      </c>
      <c r="C198" s="49" t="str">
        <f>Source!G59</f>
        <v>Крышка декоративная и другие мелкие изделия (без присоединения проводов)</v>
      </c>
      <c r="D198" s="50" t="str">
        <f>Source!H59</f>
        <v>100 ШТ</v>
      </c>
      <c r="E198" s="51">
        <f>Source!K59</f>
        <v>0.1</v>
      </c>
      <c r="F198" s="51"/>
      <c r="G198" s="51">
        <f>Source!I59</f>
        <v>0.1</v>
      </c>
      <c r="H198" s="53"/>
      <c r="I198" s="52"/>
      <c r="J198" s="53"/>
      <c r="K198" s="52"/>
      <c r="L198" s="53"/>
    </row>
    <row r="199" spans="1:82" x14ac:dyDescent="0.2">
      <c r="C199" s="54" t="str">
        <f>"Объем: "&amp;Source!I59&amp;"=10/"&amp;"100"</f>
        <v>Объем: 0,1=10/100</v>
      </c>
    </row>
    <row r="200" spans="1:82" ht="15" x14ac:dyDescent="0.2">
      <c r="A200" s="48"/>
      <c r="B200" s="51">
        <v>1</v>
      </c>
      <c r="C200" s="48" t="s">
        <v>553</v>
      </c>
      <c r="D200" s="50" t="s">
        <v>382</v>
      </c>
      <c r="E200" s="55"/>
      <c r="F200" s="51"/>
      <c r="G200" s="51">
        <f>Source!U59</f>
        <v>0.6</v>
      </c>
      <c r="H200" s="51"/>
      <c r="I200" s="51"/>
      <c r="J200" s="51"/>
      <c r="K200" s="51"/>
      <c r="L200" s="56">
        <f>SUM(L201:L201)-SUMIF(CE201:CE201, 1, L201:L201)</f>
        <v>414.1</v>
      </c>
    </row>
    <row r="201" spans="1:82" ht="14.25" x14ac:dyDescent="0.2">
      <c r="A201" s="49"/>
      <c r="B201" s="49" t="s">
        <v>442</v>
      </c>
      <c r="C201" s="49" t="s">
        <v>443</v>
      </c>
      <c r="D201" s="50" t="s">
        <v>382</v>
      </c>
      <c r="E201" s="51">
        <v>6</v>
      </c>
      <c r="F201" s="51"/>
      <c r="G201" s="51">
        <f>SmtRes!CX46</f>
        <v>0.6</v>
      </c>
      <c r="H201" s="53"/>
      <c r="I201" s="52"/>
      <c r="J201" s="53">
        <f>SmtRes!CZ46</f>
        <v>690.16</v>
      </c>
      <c r="K201" s="52"/>
      <c r="L201" s="53">
        <f>SmtRes!DI46</f>
        <v>414.1</v>
      </c>
    </row>
    <row r="202" spans="1:82" ht="15" x14ac:dyDescent="0.2">
      <c r="A202" s="48"/>
      <c r="B202" s="51">
        <v>4</v>
      </c>
      <c r="C202" s="48" t="s">
        <v>557</v>
      </c>
      <c r="D202" s="50"/>
      <c r="E202" s="55"/>
      <c r="F202" s="51"/>
      <c r="G202" s="51"/>
      <c r="H202" s="51"/>
      <c r="I202" s="51"/>
      <c r="J202" s="51"/>
      <c r="K202" s="51"/>
      <c r="L202" s="56">
        <f>SUM(L203:L203)-SUMIF(CE203:CE203, 1, L203:L203)</f>
        <v>3.34</v>
      </c>
    </row>
    <row r="203" spans="1:82" ht="28.5" x14ac:dyDescent="0.2">
      <c r="A203" s="49"/>
      <c r="B203" s="49" t="s">
        <v>444</v>
      </c>
      <c r="C203" s="57" t="s">
        <v>446</v>
      </c>
      <c r="D203" s="58" t="s">
        <v>126</v>
      </c>
      <c r="E203" s="59">
        <v>2.0000000000000001E-4</v>
      </c>
      <c r="F203" s="59"/>
      <c r="G203" s="59">
        <f>SmtRes!CX47</f>
        <v>2.0000000000000002E-5</v>
      </c>
      <c r="H203" s="60">
        <f>SmtRes!CZ47</f>
        <v>127406</v>
      </c>
      <c r="I203" s="61">
        <f>SmtRes!AI47</f>
        <v>1.31</v>
      </c>
      <c r="J203" s="60">
        <f>ROUND(H203*I203, 2)</f>
        <v>166901.85999999999</v>
      </c>
      <c r="K203" s="61"/>
      <c r="L203" s="60">
        <f>SmtRes!DF47</f>
        <v>3.34</v>
      </c>
    </row>
    <row r="204" spans="1:82" ht="15" x14ac:dyDescent="0.2">
      <c r="A204" s="49"/>
      <c r="B204" s="49"/>
      <c r="C204" s="64" t="s">
        <v>558</v>
      </c>
      <c r="D204" s="50"/>
      <c r="E204" s="51"/>
      <c r="F204" s="51"/>
      <c r="G204" s="51"/>
      <c r="H204" s="53"/>
      <c r="I204" s="52"/>
      <c r="J204" s="53"/>
      <c r="K204" s="52"/>
      <c r="L204" s="53">
        <f>L200+L202</f>
        <v>417.44</v>
      </c>
    </row>
    <row r="205" spans="1:82" ht="57" x14ac:dyDescent="0.2">
      <c r="A205" s="47" t="s">
        <v>579</v>
      </c>
      <c r="B205" s="49" t="str">
        <f>Source!F60</f>
        <v>421/пр_2020_п.75_пп.а</v>
      </c>
      <c r="C205" s="49" t="str">
        <f>Source!G60</f>
        <v>Сметная стоимость вспомогательных ненормируемых материальных ресурсов, не учтенная в сметной норме, 2%</v>
      </c>
      <c r="D205" s="50" t="str">
        <f>Source!H60</f>
        <v>%</v>
      </c>
      <c r="E205" s="51">
        <f>SmtRes!AT48</f>
        <v>2</v>
      </c>
      <c r="F205" s="51"/>
      <c r="G205" s="51">
        <f>Source!I60</f>
        <v>2</v>
      </c>
      <c r="H205" s="53"/>
      <c r="I205" s="52"/>
      <c r="J205" s="53"/>
      <c r="K205" s="52"/>
      <c r="L205" s="53">
        <f>Source!P60</f>
        <v>8.2799999999999994</v>
      </c>
      <c r="AD205">
        <f>ROUND((Source!AT60/100)*((ROUND(0*Source!I60, 2)+ROUND(0*Source!I60, 2))), 2)</f>
        <v>0</v>
      </c>
      <c r="AE205">
        <f>ROUND((Source!AU60/100)*((ROUND(0*Source!I60, 2)+ROUND(0*Source!I60, 2))), 2)</f>
        <v>0</v>
      </c>
      <c r="AN205">
        <f>L205</f>
        <v>8.2799999999999994</v>
      </c>
      <c r="AW205">
        <f>L205</f>
        <v>8.2799999999999994</v>
      </c>
      <c r="AZ205">
        <f>Source!X60</f>
        <v>0</v>
      </c>
      <c r="BA205">
        <f>Source!Y60</f>
        <v>0</v>
      </c>
      <c r="CD205">
        <v>2</v>
      </c>
    </row>
    <row r="206" spans="1:82" ht="14.25" x14ac:dyDescent="0.2">
      <c r="A206" s="47" t="s">
        <v>580</v>
      </c>
      <c r="B206" s="49" t="str">
        <f>Source!F61</f>
        <v>999-0005</v>
      </c>
      <c r="C206" s="49" t="str">
        <f>Source!G61</f>
        <v>Масса оборудования</v>
      </c>
      <c r="D206" s="50" t="str">
        <f>Source!H61</f>
        <v>т</v>
      </c>
      <c r="E206" s="51">
        <f>SmtRes!AT49</f>
        <v>0.01</v>
      </c>
      <c r="F206" s="51"/>
      <c r="G206" s="51">
        <f>Source!I61</f>
        <v>1E-3</v>
      </c>
      <c r="H206" s="53">
        <f>Source!AL61+Source!AO61+Source!AM61+Source!AN61</f>
        <v>0</v>
      </c>
      <c r="I206" s="52"/>
      <c r="J206" s="53"/>
      <c r="K206" s="52"/>
      <c r="L206" s="53">
        <f>Source!P61</f>
        <v>0</v>
      </c>
      <c r="AD206">
        <f>ROUND((Source!AT61/100)*((ROUND(ROUND(Source!AO61,2)*Source!I61, 2)+ROUND(ROUND(Source!AN61,2)*Source!I61, 2))), 2)</f>
        <v>0</v>
      </c>
      <c r="AE206">
        <f>ROUND((Source!AU61/100)*((ROUND(ROUND(Source!AO61,2)*Source!I61, 2)+ROUND(ROUND(Source!AN61,2)*Source!I61, 2))), 2)</f>
        <v>0</v>
      </c>
      <c r="AN206">
        <f>L206</f>
        <v>0</v>
      </c>
      <c r="AW206">
        <f>L206</f>
        <v>0</v>
      </c>
      <c r="AZ206">
        <f>Source!X61</f>
        <v>0</v>
      </c>
      <c r="BA206">
        <f>Source!Y61</f>
        <v>0</v>
      </c>
      <c r="CD206">
        <v>2</v>
      </c>
    </row>
    <row r="207" spans="1:82" ht="14.25" x14ac:dyDescent="0.2">
      <c r="A207" s="49"/>
      <c r="B207" s="49"/>
      <c r="C207" s="49" t="s">
        <v>560</v>
      </c>
      <c r="D207" s="50"/>
      <c r="E207" s="51"/>
      <c r="F207" s="51"/>
      <c r="G207" s="51"/>
      <c r="H207" s="53"/>
      <c r="I207" s="52"/>
      <c r="J207" s="53"/>
      <c r="K207" s="52"/>
      <c r="L207" s="53">
        <f>SUM(AR198:AR210)+SUM(AS198:AS210)+SUM(AT198:AT210)+SUM(AU198:AU210)+SUM(AV198:AV210)</f>
        <v>414.1</v>
      </c>
    </row>
    <row r="208" spans="1:82" ht="28.5" x14ac:dyDescent="0.2">
      <c r="A208" s="49"/>
      <c r="B208" s="49" t="s">
        <v>141</v>
      </c>
      <c r="C208" s="49" t="s">
        <v>581</v>
      </c>
      <c r="D208" s="50" t="s">
        <v>27</v>
      </c>
      <c r="E208" s="51">
        <f>Source!BZ59</f>
        <v>90</v>
      </c>
      <c r="F208" s="51"/>
      <c r="G208" s="51">
        <f>Source!AT59</f>
        <v>90</v>
      </c>
      <c r="H208" s="53"/>
      <c r="I208" s="52"/>
      <c r="J208" s="53"/>
      <c r="K208" s="52"/>
      <c r="L208" s="53">
        <f>SUM(AZ198:AZ210)</f>
        <v>372.69</v>
      </c>
    </row>
    <row r="209" spans="1:82" ht="28.5" x14ac:dyDescent="0.2">
      <c r="A209" s="57"/>
      <c r="B209" s="57" t="s">
        <v>142</v>
      </c>
      <c r="C209" s="57" t="s">
        <v>582</v>
      </c>
      <c r="D209" s="58" t="s">
        <v>27</v>
      </c>
      <c r="E209" s="59">
        <f>Source!CA59</f>
        <v>46</v>
      </c>
      <c r="F209" s="59"/>
      <c r="G209" s="59">
        <f>Source!AU59</f>
        <v>46</v>
      </c>
      <c r="H209" s="60"/>
      <c r="I209" s="61"/>
      <c r="J209" s="60"/>
      <c r="K209" s="61"/>
      <c r="L209" s="60">
        <f>SUM(BA198:BA210)</f>
        <v>190.49</v>
      </c>
    </row>
    <row r="210" spans="1:82" ht="15" x14ac:dyDescent="0.2">
      <c r="C210" s="138" t="s">
        <v>563</v>
      </c>
      <c r="D210" s="138"/>
      <c r="E210" s="138"/>
      <c r="F210" s="138"/>
      <c r="G210" s="138"/>
      <c r="H210" s="138"/>
      <c r="I210" s="139">
        <f>IF(E198&lt;&gt;0,K210/E198, 0)</f>
        <v>9889</v>
      </c>
      <c r="J210" s="139"/>
      <c r="K210" s="139">
        <f>L200+L202+L208+L209+SUM(L205:L206)</f>
        <v>988.9</v>
      </c>
      <c r="L210" s="139"/>
      <c r="AD210">
        <f>ROUND((Source!AT59/100)*((ROUND(SUMIF(SmtRes!AQ46:'SmtRes'!AQ49,"=1",SmtRes!AD46:'SmtRes'!AD49)*Source!I59, 2)+ROUND(SUMIF(SmtRes!AQ46:'SmtRes'!AQ49,"=1",SmtRes!AC46:'SmtRes'!AC49)*Source!I59, 2))), 2)</f>
        <v>62.12</v>
      </c>
      <c r="AE210">
        <f>ROUND((Source!AU59/100)*((ROUND(SUMIF(SmtRes!AQ46:'SmtRes'!AQ49,"=1",SmtRes!AD46:'SmtRes'!AD49)*Source!I59, 2)+ROUND(SUMIF(SmtRes!AQ46:'SmtRes'!AQ49,"=1",SmtRes!AC46:'SmtRes'!AC49)*Source!I59, 2))), 2)</f>
        <v>31.75</v>
      </c>
      <c r="AN210" s="62">
        <f>L200+L202+L208+L209</f>
        <v>980.62</v>
      </c>
      <c r="AO210">
        <f>0</f>
        <v>0</v>
      </c>
      <c r="AQ210" t="s">
        <v>564</v>
      </c>
      <c r="AR210" s="62">
        <f>L200</f>
        <v>414.1</v>
      </c>
      <c r="AT210">
        <f>0</f>
        <v>0</v>
      </c>
      <c r="AV210" t="s">
        <v>564</v>
      </c>
      <c r="AW210" s="62">
        <f>L202</f>
        <v>3.34</v>
      </c>
      <c r="AZ210">
        <f>Source!X59</f>
        <v>372.69</v>
      </c>
      <c r="BA210">
        <f>Source!Y59</f>
        <v>190.49</v>
      </c>
      <c r="CD210">
        <v>2</v>
      </c>
    </row>
    <row r="211" spans="1:82" ht="57" x14ac:dyDescent="0.2">
      <c r="A211" s="47" t="s">
        <v>145</v>
      </c>
      <c r="B211" s="49" t="str">
        <f>Source!F62</f>
        <v>20.2.05.10-0001</v>
      </c>
      <c r="C211" s="49" t="str">
        <f>Source!G62</f>
        <v>Рамки пластиковые на 2 модуля для монтажа на профиль, р/Рамка-суппорт под 2 модуля Brava  PDA-3BN 100DKC прим</v>
      </c>
      <c r="D211" s="50" t="str">
        <f>Source!H62</f>
        <v>100 ШТ</v>
      </c>
      <c r="E211" s="51">
        <f>Source!K62</f>
        <v>0.03</v>
      </c>
      <c r="F211" s="51"/>
      <c r="G211" s="51">
        <f>Source!I62</f>
        <v>0.03</v>
      </c>
      <c r="H211" s="53">
        <f>Source!AL62</f>
        <v>33899.769999999997</v>
      </c>
      <c r="I211" s="52">
        <f>IF(Source!BC62&lt;&gt; 0, Source!BC62, 1)</f>
        <v>1.25</v>
      </c>
      <c r="J211" s="53">
        <f>ROUND(H211*I211, 2)</f>
        <v>42374.71</v>
      </c>
      <c r="K211" s="52"/>
      <c r="L211" s="53">
        <f>Source!P62</f>
        <v>1271.24</v>
      </c>
    </row>
    <row r="212" spans="1:82" x14ac:dyDescent="0.2">
      <c r="A212" s="67"/>
      <c r="B212" s="67"/>
      <c r="C212" s="68" t="str">
        <f>"Объем: "&amp;Source!I62&amp;"=3/"&amp;"100"</f>
        <v>Объем: 0,03=3/100</v>
      </c>
      <c r="D212" s="67"/>
      <c r="E212" s="67"/>
      <c r="F212" s="67"/>
      <c r="G212" s="67"/>
      <c r="H212" s="67"/>
      <c r="I212" s="67"/>
      <c r="J212" s="67"/>
      <c r="K212" s="67"/>
      <c r="L212" s="67"/>
    </row>
    <row r="213" spans="1:82" ht="15" x14ac:dyDescent="0.2">
      <c r="C213" s="138" t="s">
        <v>563</v>
      </c>
      <c r="D213" s="138"/>
      <c r="E213" s="138"/>
      <c r="F213" s="138"/>
      <c r="G213" s="138"/>
      <c r="H213" s="138"/>
      <c r="I213" s="139">
        <f>IF(E211&lt;&gt;0,K213/E211, 0)</f>
        <v>42374.666666666672</v>
      </c>
      <c r="J213" s="139"/>
      <c r="K213" s="139">
        <f>L211</f>
        <v>1271.24</v>
      </c>
      <c r="L213" s="139"/>
      <c r="AD213">
        <f>ROUND((Source!AT62/100)*((ROUND(ROUND(Source!AO62,2)*Source!I62, 2)+ROUND(ROUND(Source!AN62,2)*Source!I62, 2))), 2)</f>
        <v>0</v>
      </c>
      <c r="AE213">
        <f>ROUND((Source!AU62/100)*((ROUND(ROUND(Source!AO62,2)*Source!I62, 2)+ROUND(ROUND(Source!AN62,2)*Source!I62, 2))), 2)</f>
        <v>0</v>
      </c>
      <c r="AN213" s="62">
        <f>L211</f>
        <v>1271.24</v>
      </c>
      <c r="AO213">
        <f>0</f>
        <v>0</v>
      </c>
      <c r="AQ213" t="s">
        <v>564</v>
      </c>
      <c r="AR213">
        <f>0</f>
        <v>0</v>
      </c>
      <c r="AT213">
        <f>0</f>
        <v>0</v>
      </c>
      <c r="AV213" t="s">
        <v>564</v>
      </c>
      <c r="AW213" s="62">
        <f>L211</f>
        <v>1271.24</v>
      </c>
      <c r="AZ213">
        <f>Source!X62</f>
        <v>0</v>
      </c>
      <c r="BA213">
        <f>Source!Y62</f>
        <v>0</v>
      </c>
      <c r="CD213">
        <v>2</v>
      </c>
    </row>
    <row r="214" spans="1:82" ht="42.75" x14ac:dyDescent="0.2">
      <c r="A214" s="47" t="s">
        <v>149</v>
      </c>
      <c r="B214" s="49" t="str">
        <f>Source!F63</f>
        <v>20.2.05.10-0001</v>
      </c>
      <c r="C214" s="49" t="str">
        <f>Source!G63</f>
        <v>Рамки пластиковые на 2 модуля для монтажа на профиль, Рамка-суппорт PDA-3BN 100 6 модулей "BRAVA" прим</v>
      </c>
      <c r="D214" s="50" t="str">
        <f>Source!H63</f>
        <v>100 ШТ</v>
      </c>
      <c r="E214" s="51">
        <f>Source!K63</f>
        <v>0.05</v>
      </c>
      <c r="F214" s="51"/>
      <c r="G214" s="51">
        <f>Source!I63</f>
        <v>0.05</v>
      </c>
      <c r="H214" s="53">
        <f>Source!AL63</f>
        <v>33899.769999999997</v>
      </c>
      <c r="I214" s="52">
        <f>IF(Source!BC63&lt;&gt; 0, Source!BC63, 1)</f>
        <v>1.25</v>
      </c>
      <c r="J214" s="53">
        <f>ROUND(H214*I214, 2)</f>
        <v>42374.71</v>
      </c>
      <c r="K214" s="52"/>
      <c r="L214" s="53">
        <f>Source!P63</f>
        <v>2118.7399999999998</v>
      </c>
    </row>
    <row r="215" spans="1:82" x14ac:dyDescent="0.2">
      <c r="A215" s="67"/>
      <c r="B215" s="67"/>
      <c r="C215" s="68" t="str">
        <f>"Объем: "&amp;Source!I63&amp;"=5/"&amp;"100"</f>
        <v>Объем: 0,05=5/100</v>
      </c>
      <c r="D215" s="67"/>
      <c r="E215" s="67"/>
      <c r="F215" s="67"/>
      <c r="G215" s="67"/>
      <c r="H215" s="67"/>
      <c r="I215" s="67"/>
      <c r="J215" s="67"/>
      <c r="K215" s="67"/>
      <c r="L215" s="67"/>
    </row>
    <row r="216" spans="1:82" ht="15" x14ac:dyDescent="0.2">
      <c r="C216" s="138" t="s">
        <v>563</v>
      </c>
      <c r="D216" s="138"/>
      <c r="E216" s="138"/>
      <c r="F216" s="138"/>
      <c r="G216" s="138"/>
      <c r="H216" s="138"/>
      <c r="I216" s="139">
        <f>IF(E214&lt;&gt;0,K216/E214, 0)</f>
        <v>42374.799999999996</v>
      </c>
      <c r="J216" s="139"/>
      <c r="K216" s="139">
        <f>L214</f>
        <v>2118.7399999999998</v>
      </c>
      <c r="L216" s="139"/>
      <c r="AD216">
        <f>ROUND((Source!AT63/100)*((ROUND(ROUND(Source!AO63,2)*Source!I63, 2)+ROUND(ROUND(Source!AN63,2)*Source!I63, 2))), 2)</f>
        <v>0</v>
      </c>
      <c r="AE216">
        <f>ROUND((Source!AU63/100)*((ROUND(ROUND(Source!AO63,2)*Source!I63, 2)+ROUND(ROUND(Source!AN63,2)*Source!I63, 2))), 2)</f>
        <v>0</v>
      </c>
      <c r="AN216" s="62">
        <f>L214</f>
        <v>2118.7399999999998</v>
      </c>
      <c r="AO216">
        <f>0</f>
        <v>0</v>
      </c>
      <c r="AQ216" t="s">
        <v>564</v>
      </c>
      <c r="AR216">
        <f>0</f>
        <v>0</v>
      </c>
      <c r="AT216">
        <f>0</f>
        <v>0</v>
      </c>
      <c r="AV216" t="s">
        <v>564</v>
      </c>
      <c r="AW216" s="62">
        <f>L214</f>
        <v>2118.7399999999998</v>
      </c>
      <c r="AZ216">
        <f>Source!X63</f>
        <v>0</v>
      </c>
      <c r="BA216">
        <f>Source!Y63</f>
        <v>0</v>
      </c>
      <c r="CD216">
        <v>2</v>
      </c>
    </row>
    <row r="217" spans="1:82" ht="57" x14ac:dyDescent="0.2">
      <c r="A217" s="47" t="s">
        <v>151</v>
      </c>
      <c r="B217" s="49" t="str">
        <f>Source!F64</f>
        <v>20.2.05.10-0001</v>
      </c>
      <c r="C217" s="49" t="str">
        <f>Source!G64</f>
        <v>Рамки пластиковые на 2 модуля для монтажа на профиль, Рамка-суппорт под 2 модуля "BRAVA"PDA-BN 100 прим</v>
      </c>
      <c r="D217" s="50" t="str">
        <f>Source!H64</f>
        <v>100 ШТ</v>
      </c>
      <c r="E217" s="51">
        <f>Source!K64</f>
        <v>0.02</v>
      </c>
      <c r="F217" s="51"/>
      <c r="G217" s="51">
        <f>Source!I64</f>
        <v>0.02</v>
      </c>
      <c r="H217" s="53">
        <f>Source!AL64</f>
        <v>33899.769999999997</v>
      </c>
      <c r="I217" s="52">
        <f>IF(Source!BC64&lt;&gt; 0, Source!BC64, 1)</f>
        <v>1.25</v>
      </c>
      <c r="J217" s="53">
        <f>ROUND(H217*I217, 2)</f>
        <v>42374.71</v>
      </c>
      <c r="K217" s="52"/>
      <c r="L217" s="53">
        <f>Source!P64</f>
        <v>847.49</v>
      </c>
    </row>
    <row r="218" spans="1:82" x14ac:dyDescent="0.2">
      <c r="A218" s="67"/>
      <c r="B218" s="67"/>
      <c r="C218" s="68" t="str">
        <f>"Объем: "&amp;Source!I64&amp;"=2/"&amp;"100"</f>
        <v>Объем: 0,02=2/100</v>
      </c>
      <c r="D218" s="67"/>
      <c r="E218" s="67"/>
      <c r="F218" s="67"/>
      <c r="G218" s="67"/>
      <c r="H218" s="67"/>
      <c r="I218" s="67"/>
      <c r="J218" s="67"/>
      <c r="K218" s="67"/>
      <c r="L218" s="67"/>
    </row>
    <row r="219" spans="1:82" ht="15" x14ac:dyDescent="0.2">
      <c r="C219" s="138" t="s">
        <v>563</v>
      </c>
      <c r="D219" s="138"/>
      <c r="E219" s="138"/>
      <c r="F219" s="138"/>
      <c r="G219" s="138"/>
      <c r="H219" s="138"/>
      <c r="I219" s="139">
        <f>IF(E217&lt;&gt;0,K219/E217, 0)</f>
        <v>42374.5</v>
      </c>
      <c r="J219" s="139"/>
      <c r="K219" s="139">
        <f>L217</f>
        <v>847.49</v>
      </c>
      <c r="L219" s="139"/>
      <c r="AD219">
        <f>ROUND((Source!AT64/100)*((ROUND(ROUND(Source!AO64,2)*Source!I64, 2)+ROUND(ROUND(Source!AN64,2)*Source!I64, 2))), 2)</f>
        <v>0</v>
      </c>
      <c r="AE219">
        <f>ROUND((Source!AU64/100)*((ROUND(ROUND(Source!AO64,2)*Source!I64, 2)+ROUND(ROUND(Source!AN64,2)*Source!I64, 2))), 2)</f>
        <v>0</v>
      </c>
      <c r="AN219" s="62">
        <f>L217</f>
        <v>847.49</v>
      </c>
      <c r="AO219">
        <f>0</f>
        <v>0</v>
      </c>
      <c r="AQ219" t="s">
        <v>564</v>
      </c>
      <c r="AR219">
        <f>0</f>
        <v>0</v>
      </c>
      <c r="AT219">
        <f>0</f>
        <v>0</v>
      </c>
      <c r="AV219" t="s">
        <v>564</v>
      </c>
      <c r="AW219" s="62">
        <f>L217</f>
        <v>847.49</v>
      </c>
      <c r="AZ219">
        <f>Source!X64</f>
        <v>0</v>
      </c>
      <c r="BA219">
        <f>Source!Y64</f>
        <v>0</v>
      </c>
      <c r="CD219">
        <v>2</v>
      </c>
    </row>
    <row r="220" spans="1:82" ht="28.5" x14ac:dyDescent="0.2">
      <c r="A220" s="47" t="s">
        <v>153</v>
      </c>
      <c r="B220" s="49" t="s">
        <v>583</v>
      </c>
      <c r="C220" s="49" t="str">
        <f>Source!G65</f>
        <v>Коробка ответвительная на стене</v>
      </c>
      <c r="D220" s="50" t="str">
        <f>Source!H65</f>
        <v>ШТ</v>
      </c>
      <c r="E220" s="51">
        <f>Source!K65</f>
        <v>11</v>
      </c>
      <c r="F220" s="51"/>
      <c r="G220" s="51">
        <f>Source!I65</f>
        <v>11</v>
      </c>
      <c r="H220" s="53"/>
      <c r="I220" s="52"/>
      <c r="J220" s="53"/>
      <c r="K220" s="52"/>
      <c r="L220" s="53"/>
    </row>
    <row r="221" spans="1:82" ht="15" x14ac:dyDescent="0.2">
      <c r="A221" s="48"/>
      <c r="B221" s="51">
        <v>1</v>
      </c>
      <c r="C221" s="48" t="s">
        <v>553</v>
      </c>
      <c r="D221" s="50" t="s">
        <v>382</v>
      </c>
      <c r="E221" s="55"/>
      <c r="F221" s="51"/>
      <c r="G221" s="51">
        <f>Source!U65</f>
        <v>5.5</v>
      </c>
      <c r="H221" s="51"/>
      <c r="I221" s="51"/>
      <c r="J221" s="51"/>
      <c r="K221" s="51"/>
      <c r="L221" s="56">
        <f>SUM(L222:L222)-SUMIF(CE222:CE222, 1, L222:L222)</f>
        <v>4080.95</v>
      </c>
    </row>
    <row r="222" spans="1:82" ht="14.25" x14ac:dyDescent="0.2">
      <c r="A222" s="49"/>
      <c r="B222" s="49" t="s">
        <v>447</v>
      </c>
      <c r="C222" s="49" t="s">
        <v>448</v>
      </c>
      <c r="D222" s="50" t="s">
        <v>382</v>
      </c>
      <c r="E222" s="51">
        <v>0.5</v>
      </c>
      <c r="F222" s="51"/>
      <c r="G222" s="51">
        <f>SmtRes!CX50</f>
        <v>5.5</v>
      </c>
      <c r="H222" s="53"/>
      <c r="I222" s="52"/>
      <c r="J222" s="53">
        <f>SmtRes!CZ50</f>
        <v>741.99</v>
      </c>
      <c r="K222" s="52"/>
      <c r="L222" s="53">
        <f>SmtRes!DI50</f>
        <v>4080.95</v>
      </c>
    </row>
    <row r="223" spans="1:82" ht="15" x14ac:dyDescent="0.2">
      <c r="A223" s="48"/>
      <c r="B223" s="51">
        <v>4</v>
      </c>
      <c r="C223" s="48" t="s">
        <v>557</v>
      </c>
      <c r="D223" s="50"/>
      <c r="E223" s="55"/>
      <c r="F223" s="51"/>
      <c r="G223" s="51"/>
      <c r="H223" s="51"/>
      <c r="I223" s="51"/>
      <c r="J223" s="51"/>
      <c r="K223" s="51"/>
      <c r="L223" s="56">
        <f>SUM(L224:L226)-SUMIF(CE224:CE226, 1, L224:L226)</f>
        <v>25.83</v>
      </c>
    </row>
    <row r="224" spans="1:82" ht="57" x14ac:dyDescent="0.2">
      <c r="A224" s="49"/>
      <c r="B224" s="49" t="s">
        <v>405</v>
      </c>
      <c r="C224" s="49" t="s">
        <v>407</v>
      </c>
      <c r="D224" s="50" t="s">
        <v>126</v>
      </c>
      <c r="E224" s="51">
        <v>1.0000000000000001E-5</v>
      </c>
      <c r="F224" s="51"/>
      <c r="G224" s="51">
        <f>SmtRes!CX51</f>
        <v>1.1E-4</v>
      </c>
      <c r="H224" s="53">
        <f>SmtRes!CZ51</f>
        <v>99190.96</v>
      </c>
      <c r="I224" s="52">
        <f>SmtRes!AI51</f>
        <v>1.31</v>
      </c>
      <c r="J224" s="53">
        <f>ROUND(H224*I224, 2)</f>
        <v>129940.16</v>
      </c>
      <c r="K224" s="52"/>
      <c r="L224" s="53">
        <f>SmtRes!DF51</f>
        <v>14.29</v>
      </c>
    </row>
    <row r="225" spans="1:82" ht="14.25" x14ac:dyDescent="0.2">
      <c r="A225" s="49"/>
      <c r="B225" s="49" t="s">
        <v>449</v>
      </c>
      <c r="C225" s="49" t="s">
        <v>451</v>
      </c>
      <c r="D225" s="50" t="s">
        <v>126</v>
      </c>
      <c r="E225" s="51">
        <v>5.0000000000000002E-5</v>
      </c>
      <c r="F225" s="51"/>
      <c r="G225" s="51">
        <f>SmtRes!CX52</f>
        <v>5.5000000000000003E-4</v>
      </c>
      <c r="H225" s="53">
        <f>SmtRes!CZ52</f>
        <v>4338.2700000000004</v>
      </c>
      <c r="I225" s="52">
        <f>SmtRes!AI52</f>
        <v>1.46</v>
      </c>
      <c r="J225" s="53">
        <f>ROUND(H225*I225, 2)</f>
        <v>6333.87</v>
      </c>
      <c r="K225" s="52"/>
      <c r="L225" s="53">
        <f>SmtRes!DF52</f>
        <v>3.48</v>
      </c>
    </row>
    <row r="226" spans="1:82" ht="42.75" x14ac:dyDescent="0.2">
      <c r="A226" s="49"/>
      <c r="B226" s="49" t="s">
        <v>452</v>
      </c>
      <c r="C226" s="57" t="s">
        <v>454</v>
      </c>
      <c r="D226" s="58" t="s">
        <v>126</v>
      </c>
      <c r="E226" s="59">
        <v>1.0000000000000001E-5</v>
      </c>
      <c r="F226" s="59"/>
      <c r="G226" s="59">
        <f>SmtRes!CX53</f>
        <v>1.1E-4</v>
      </c>
      <c r="H226" s="60">
        <f>SmtRes!CZ53</f>
        <v>87245.7</v>
      </c>
      <c r="I226" s="61">
        <f>SmtRes!AI53</f>
        <v>0.84</v>
      </c>
      <c r="J226" s="60">
        <f>ROUND(H226*I226, 2)</f>
        <v>73286.39</v>
      </c>
      <c r="K226" s="61"/>
      <c r="L226" s="60">
        <f>SmtRes!DF53</f>
        <v>8.06</v>
      </c>
    </row>
    <row r="227" spans="1:82" ht="15" x14ac:dyDescent="0.2">
      <c r="A227" s="49"/>
      <c r="B227" s="49"/>
      <c r="C227" s="64" t="s">
        <v>558</v>
      </c>
      <c r="D227" s="50"/>
      <c r="E227" s="51"/>
      <c r="F227" s="51"/>
      <c r="G227" s="51"/>
      <c r="H227" s="53"/>
      <c r="I227" s="52"/>
      <c r="J227" s="53"/>
      <c r="K227" s="52"/>
      <c r="L227" s="53">
        <f>L221+L223</f>
        <v>4106.78</v>
      </c>
    </row>
    <row r="228" spans="1:82" ht="57" x14ac:dyDescent="0.2">
      <c r="A228" s="47" t="s">
        <v>584</v>
      </c>
      <c r="B228" s="49" t="str">
        <f>Source!F66</f>
        <v>421/пр_2020_п.75_пп.а</v>
      </c>
      <c r="C228" s="49" t="str">
        <f>Source!G66</f>
        <v>Сметная стоимость вспомогательных ненормируемых материальных ресурсов, не учтенная в сметной норме, 2%</v>
      </c>
      <c r="D228" s="50" t="str">
        <f>Source!H66</f>
        <v>%</v>
      </c>
      <c r="E228" s="51">
        <f>SmtRes!AT54</f>
        <v>2</v>
      </c>
      <c r="F228" s="51"/>
      <c r="G228" s="51">
        <f>Source!I66</f>
        <v>2</v>
      </c>
      <c r="H228" s="53"/>
      <c r="I228" s="52"/>
      <c r="J228" s="53"/>
      <c r="K228" s="52"/>
      <c r="L228" s="53">
        <f>Source!P66</f>
        <v>81.62</v>
      </c>
      <c r="AD228">
        <f>ROUND((Source!AT66/100)*((ROUND(0*Source!I66, 2)+ROUND(0*Source!I66, 2))), 2)</f>
        <v>0</v>
      </c>
      <c r="AE228">
        <f>ROUND((Source!AU66/100)*((ROUND(0*Source!I66, 2)+ROUND(0*Source!I66, 2))), 2)</f>
        <v>0</v>
      </c>
      <c r="AN228">
        <f>L228</f>
        <v>81.62</v>
      </c>
      <c r="AW228">
        <f>L228</f>
        <v>81.62</v>
      </c>
      <c r="AZ228">
        <f>Source!X66</f>
        <v>0</v>
      </c>
      <c r="BA228">
        <f>Source!Y66</f>
        <v>0</v>
      </c>
      <c r="CD228">
        <v>2</v>
      </c>
    </row>
    <row r="229" spans="1:82" ht="14.25" x14ac:dyDescent="0.2">
      <c r="A229" s="49"/>
      <c r="B229" s="49"/>
      <c r="C229" s="49" t="s">
        <v>560</v>
      </c>
      <c r="D229" s="50"/>
      <c r="E229" s="51"/>
      <c r="F229" s="51"/>
      <c r="G229" s="51"/>
      <c r="H229" s="53"/>
      <c r="I229" s="52"/>
      <c r="J229" s="53"/>
      <c r="K229" s="52"/>
      <c r="L229" s="53">
        <f>SUM(AR220:AR232)+SUM(AS220:AS232)+SUM(AT220:AT232)+SUM(AU220:AU232)+SUM(AV220:AV232)</f>
        <v>4080.95</v>
      </c>
    </row>
    <row r="230" spans="1:82" ht="28.5" x14ac:dyDescent="0.2">
      <c r="A230" s="49"/>
      <c r="B230" s="49" t="s">
        <v>141</v>
      </c>
      <c r="C230" s="49" t="s">
        <v>581</v>
      </c>
      <c r="D230" s="50" t="s">
        <v>27</v>
      </c>
      <c r="E230" s="51">
        <f>Source!BZ65</f>
        <v>90</v>
      </c>
      <c r="F230" s="51"/>
      <c r="G230" s="51">
        <f>Source!AT65</f>
        <v>90</v>
      </c>
      <c r="H230" s="53"/>
      <c r="I230" s="52"/>
      <c r="J230" s="53"/>
      <c r="K230" s="52"/>
      <c r="L230" s="53">
        <f>SUM(AZ220:AZ232)</f>
        <v>3672.86</v>
      </c>
    </row>
    <row r="231" spans="1:82" ht="28.5" x14ac:dyDescent="0.2">
      <c r="A231" s="57"/>
      <c r="B231" s="57" t="s">
        <v>142</v>
      </c>
      <c r="C231" s="57" t="s">
        <v>582</v>
      </c>
      <c r="D231" s="58" t="s">
        <v>27</v>
      </c>
      <c r="E231" s="59">
        <f>Source!CA65</f>
        <v>46</v>
      </c>
      <c r="F231" s="59"/>
      <c r="G231" s="59">
        <f>Source!AU65</f>
        <v>46</v>
      </c>
      <c r="H231" s="60"/>
      <c r="I231" s="61"/>
      <c r="J231" s="60"/>
      <c r="K231" s="61"/>
      <c r="L231" s="60">
        <f>SUM(BA220:BA232)</f>
        <v>1877.24</v>
      </c>
    </row>
    <row r="232" spans="1:82" ht="15" x14ac:dyDescent="0.2">
      <c r="C232" s="138" t="s">
        <v>563</v>
      </c>
      <c r="D232" s="138"/>
      <c r="E232" s="138"/>
      <c r="F232" s="138"/>
      <c r="G232" s="138"/>
      <c r="H232" s="138"/>
      <c r="I232" s="139">
        <f>IF(E220&lt;&gt;0,K232/E220, 0)</f>
        <v>885.31818181818187</v>
      </c>
      <c r="J232" s="139"/>
      <c r="K232" s="139">
        <f>L221+L223+L230+L231+SUM(L228:L228)</f>
        <v>9738.5</v>
      </c>
      <c r="L232" s="139"/>
      <c r="AD232">
        <f>ROUND((Source!AT65/100)*((ROUND(SUMIF(SmtRes!AQ50:'SmtRes'!AQ54,"=1",SmtRes!AD50:'SmtRes'!AD54)*Source!I65, 2)+ROUND(SUMIF(SmtRes!AQ50:'SmtRes'!AQ54,"=1",SmtRes!AC50:'SmtRes'!AC54)*Source!I65, 2))), 2)</f>
        <v>7345.7</v>
      </c>
      <c r="AE232">
        <f>ROUND((Source!AU65/100)*((ROUND(SUMIF(SmtRes!AQ50:'SmtRes'!AQ54,"=1",SmtRes!AD50:'SmtRes'!AD54)*Source!I65, 2)+ROUND(SUMIF(SmtRes!AQ50:'SmtRes'!AQ54,"=1",SmtRes!AC50:'SmtRes'!AC54)*Source!I65, 2))), 2)</f>
        <v>3754.47</v>
      </c>
      <c r="AN232" s="62">
        <f>L221+L223+L230+L231</f>
        <v>9656.8799999999992</v>
      </c>
      <c r="AO232">
        <f>0</f>
        <v>0</v>
      </c>
      <c r="AQ232" t="s">
        <v>564</v>
      </c>
      <c r="AR232" s="62">
        <f>L221</f>
        <v>4080.95</v>
      </c>
      <c r="AT232">
        <f>0</f>
        <v>0</v>
      </c>
      <c r="AV232" t="s">
        <v>564</v>
      </c>
      <c r="AW232" s="62">
        <f>L223</f>
        <v>25.83</v>
      </c>
      <c r="AZ232">
        <f>Source!X65</f>
        <v>3672.86</v>
      </c>
      <c r="BA232">
        <f>Source!Y65</f>
        <v>1877.24</v>
      </c>
      <c r="CD232">
        <v>2</v>
      </c>
    </row>
    <row r="233" spans="1:82" ht="42.75" x14ac:dyDescent="0.2">
      <c r="A233" s="66" t="s">
        <v>158</v>
      </c>
      <c r="B233" s="57" t="str">
        <f>Source!F67</f>
        <v>20.5.02.10-0011</v>
      </c>
      <c r="C233" s="57" t="str">
        <f>Source!G67</f>
        <v>Коробка распределительная /Распаячная коробка ОП 100х100х55мм, крышка, IP54 прим</v>
      </c>
      <c r="D233" s="58" t="str">
        <f>Source!H67</f>
        <v>ШТ</v>
      </c>
      <c r="E233" s="59">
        <f>Source!K67</f>
        <v>10</v>
      </c>
      <c r="F233" s="59"/>
      <c r="G233" s="59">
        <f>Source!I67</f>
        <v>10</v>
      </c>
      <c r="H233" s="60">
        <f>Source!AL67</f>
        <v>11.82</v>
      </c>
      <c r="I233" s="61">
        <f>IF(Source!BC67&lt;&gt; 0, Source!BC67, 1)</f>
        <v>0.87</v>
      </c>
      <c r="J233" s="60">
        <f>ROUND(H233*I233, 2)</f>
        <v>10.28</v>
      </c>
      <c r="K233" s="61"/>
      <c r="L233" s="60">
        <f>Source!P67</f>
        <v>102.8</v>
      </c>
    </row>
    <row r="234" spans="1:82" ht="15" x14ac:dyDescent="0.2">
      <c r="C234" s="138" t="s">
        <v>563</v>
      </c>
      <c r="D234" s="138"/>
      <c r="E234" s="138"/>
      <c r="F234" s="138"/>
      <c r="G234" s="138"/>
      <c r="H234" s="138"/>
      <c r="I234" s="139">
        <f>IF(E233&lt;&gt;0,K234/E233, 0)</f>
        <v>10.28</v>
      </c>
      <c r="J234" s="139"/>
      <c r="K234" s="139">
        <f>L233</f>
        <v>102.8</v>
      </c>
      <c r="L234" s="139"/>
      <c r="AD234">
        <f>ROUND((Source!AT67/100)*((ROUND(ROUND(Source!AO67,2)*Source!I67, 2)+ROUND(ROUND(Source!AN67,2)*Source!I67, 2))), 2)</f>
        <v>0</v>
      </c>
      <c r="AE234">
        <f>ROUND((Source!AU67/100)*((ROUND(ROUND(Source!AO67,2)*Source!I67, 2)+ROUND(ROUND(Source!AN67,2)*Source!I67, 2))), 2)</f>
        <v>0</v>
      </c>
      <c r="AN234" s="62">
        <f>L233</f>
        <v>102.8</v>
      </c>
      <c r="AO234">
        <f>0</f>
        <v>0</v>
      </c>
      <c r="AQ234" t="s">
        <v>564</v>
      </c>
      <c r="AR234">
        <f>0</f>
        <v>0</v>
      </c>
      <c r="AT234">
        <f>0</f>
        <v>0</v>
      </c>
      <c r="AV234" t="s">
        <v>564</v>
      </c>
      <c r="AW234" s="62">
        <f>L233</f>
        <v>102.8</v>
      </c>
      <c r="AZ234">
        <f>Source!X67</f>
        <v>0</v>
      </c>
      <c r="BA234">
        <f>Source!Y67</f>
        <v>0</v>
      </c>
      <c r="CD234">
        <v>2</v>
      </c>
    </row>
    <row r="235" spans="1:82" ht="42.75" x14ac:dyDescent="0.2">
      <c r="A235" s="66" t="s">
        <v>162</v>
      </c>
      <c r="B235" s="57" t="str">
        <f>Source!F68</f>
        <v>20.5.02.04-0003</v>
      </c>
      <c r="C235" s="57" t="str">
        <f>Source!G68</f>
        <v>Коробка распределительная, размеры 250х115 мм/прим Распаячная коробка ОП 300х220х120мм, крышка, IP55</v>
      </c>
      <c r="D235" s="58" t="str">
        <f>Source!H68</f>
        <v>ШТ</v>
      </c>
      <c r="E235" s="59">
        <f>Source!K68</f>
        <v>1</v>
      </c>
      <c r="F235" s="59"/>
      <c r="G235" s="59">
        <f>Source!I68</f>
        <v>1</v>
      </c>
      <c r="H235" s="60">
        <f>Source!AL68</f>
        <v>3474.92</v>
      </c>
      <c r="I235" s="61">
        <f>IF(Source!BC68&lt;&gt; 0, Source!BC68, 1)</f>
        <v>0.87</v>
      </c>
      <c r="J235" s="60">
        <f>ROUND(H235*I235, 2)</f>
        <v>3023.18</v>
      </c>
      <c r="K235" s="61"/>
      <c r="L235" s="60">
        <f>Source!P68</f>
        <v>3023.18</v>
      </c>
    </row>
    <row r="236" spans="1:82" ht="15" x14ac:dyDescent="0.2">
      <c r="C236" s="138" t="s">
        <v>563</v>
      </c>
      <c r="D236" s="138"/>
      <c r="E236" s="138"/>
      <c r="F236" s="138"/>
      <c r="G236" s="138"/>
      <c r="H236" s="138"/>
      <c r="I236" s="139">
        <f>IF(E235&lt;&gt;0,K236/E235, 0)</f>
        <v>3023.18</v>
      </c>
      <c r="J236" s="139"/>
      <c r="K236" s="139">
        <f>L235</f>
        <v>3023.18</v>
      </c>
      <c r="L236" s="139"/>
      <c r="AD236">
        <f>ROUND((Source!AT68/100)*((ROUND(ROUND(Source!AO68,2)*Source!I68, 2)+ROUND(ROUND(Source!AN68,2)*Source!I68, 2))), 2)</f>
        <v>0</v>
      </c>
      <c r="AE236">
        <f>ROUND((Source!AU68/100)*((ROUND(ROUND(Source!AO68,2)*Source!I68, 2)+ROUND(ROUND(Source!AN68,2)*Source!I68, 2))), 2)</f>
        <v>0</v>
      </c>
      <c r="AN236" s="62">
        <f>L235</f>
        <v>3023.18</v>
      </c>
      <c r="AO236">
        <f>0</f>
        <v>0</v>
      </c>
      <c r="AQ236" t="s">
        <v>564</v>
      </c>
      <c r="AR236">
        <f>0</f>
        <v>0</v>
      </c>
      <c r="AT236">
        <f>0</f>
        <v>0</v>
      </c>
      <c r="AV236" t="s">
        <v>564</v>
      </c>
      <c r="AW236" s="62">
        <f>L235</f>
        <v>3023.18</v>
      </c>
      <c r="AZ236">
        <f>Source!X68</f>
        <v>0</v>
      </c>
      <c r="BA236">
        <f>Source!Y68</f>
        <v>0</v>
      </c>
      <c r="CD236">
        <v>2</v>
      </c>
    </row>
    <row r="237" spans="1:82" ht="42.75" x14ac:dyDescent="0.2">
      <c r="A237" s="47" t="s">
        <v>166</v>
      </c>
      <c r="B237" s="49" t="str">
        <f>Source!F69</f>
        <v>20.5.04.11-0028</v>
      </c>
      <c r="C237" s="49" t="str">
        <f>Source!G69</f>
        <v>Клеммы соединительные самозажимные /прим Клемма 4x2.5мм для распределительных коробок</v>
      </c>
      <c r="D237" s="50" t="str">
        <f>Source!H69</f>
        <v>100 ШТ</v>
      </c>
      <c r="E237" s="51">
        <f>Source!K69</f>
        <v>0.5</v>
      </c>
      <c r="F237" s="51"/>
      <c r="G237" s="51">
        <f>Source!I69</f>
        <v>0.5</v>
      </c>
      <c r="H237" s="53">
        <f>Source!AL69</f>
        <v>1382.84</v>
      </c>
      <c r="I237" s="52">
        <f>IF(Source!BC69&lt;&gt; 0, Source!BC69, 1)</f>
        <v>1.25</v>
      </c>
      <c r="J237" s="53">
        <f>ROUND(H237*I237, 2)</f>
        <v>1728.55</v>
      </c>
      <c r="K237" s="52"/>
      <c r="L237" s="53">
        <f>Source!P69</f>
        <v>864.28</v>
      </c>
    </row>
    <row r="238" spans="1:82" x14ac:dyDescent="0.2">
      <c r="A238" s="67"/>
      <c r="B238" s="67"/>
      <c r="C238" s="68" t="str">
        <f>"Объем: "&amp;Source!I69&amp;"=50/"&amp;"100"</f>
        <v>Объем: 0,5=50/100</v>
      </c>
      <c r="D238" s="67"/>
      <c r="E238" s="67"/>
      <c r="F238" s="67"/>
      <c r="G238" s="67"/>
      <c r="H238" s="67"/>
      <c r="I238" s="67"/>
      <c r="J238" s="67"/>
      <c r="K238" s="67"/>
      <c r="L238" s="67"/>
    </row>
    <row r="239" spans="1:82" ht="15" x14ac:dyDescent="0.2">
      <c r="C239" s="138" t="s">
        <v>563</v>
      </c>
      <c r="D239" s="138"/>
      <c r="E239" s="138"/>
      <c r="F239" s="138"/>
      <c r="G239" s="138"/>
      <c r="H239" s="138"/>
      <c r="I239" s="139">
        <f>IF(E237&lt;&gt;0,K239/E237, 0)</f>
        <v>1728.56</v>
      </c>
      <c r="J239" s="139"/>
      <c r="K239" s="139">
        <f>L237</f>
        <v>864.28</v>
      </c>
      <c r="L239" s="139"/>
      <c r="AD239">
        <f>ROUND((Source!AT69/100)*((ROUND(ROUND(Source!AO69,2)*Source!I69, 2)+ROUND(ROUND(Source!AN69,2)*Source!I69, 2))), 2)</f>
        <v>0</v>
      </c>
      <c r="AE239">
        <f>ROUND((Source!AU69/100)*((ROUND(ROUND(Source!AO69,2)*Source!I69, 2)+ROUND(ROUND(Source!AN69,2)*Source!I69, 2))), 2)</f>
        <v>0</v>
      </c>
      <c r="AN239" s="62">
        <f>L237</f>
        <v>864.28</v>
      </c>
      <c r="AO239">
        <f>0</f>
        <v>0</v>
      </c>
      <c r="AQ239" t="s">
        <v>564</v>
      </c>
      <c r="AR239">
        <f>0</f>
        <v>0</v>
      </c>
      <c r="AT239">
        <f>0</f>
        <v>0</v>
      </c>
      <c r="AV239" t="s">
        <v>564</v>
      </c>
      <c r="AW239" s="62">
        <f>L237</f>
        <v>864.28</v>
      </c>
      <c r="AZ239">
        <f>Source!X69</f>
        <v>0</v>
      </c>
      <c r="BA239">
        <f>Source!Y69</f>
        <v>0</v>
      </c>
      <c r="CD239">
        <v>2</v>
      </c>
    </row>
    <row r="240" spans="1:82" ht="28.5" x14ac:dyDescent="0.2">
      <c r="A240" s="47" t="s">
        <v>170</v>
      </c>
      <c r="B240" s="49" t="s">
        <v>585</v>
      </c>
      <c r="C240" s="49" t="str">
        <f>Source!G70</f>
        <v>Розетка штепсельная: утопленного типа при скрытой проводке</v>
      </c>
      <c r="D240" s="50" t="str">
        <f>Source!H70</f>
        <v>100 ШТ</v>
      </c>
      <c r="E240" s="51">
        <f>Source!K70</f>
        <v>0.23</v>
      </c>
      <c r="F240" s="51"/>
      <c r="G240" s="51">
        <f>Source!I70</f>
        <v>0.23</v>
      </c>
      <c r="H240" s="53"/>
      <c r="I240" s="52"/>
      <c r="J240" s="53"/>
      <c r="K240" s="52"/>
      <c r="L240" s="53"/>
    </row>
    <row r="241" spans="1:83" x14ac:dyDescent="0.2">
      <c r="C241" s="54" t="str">
        <f>"Объем: "&amp;Source!I70&amp;"=23/"&amp;"100"</f>
        <v>Объем: 0,23=23/100</v>
      </c>
    </row>
    <row r="242" spans="1:83" ht="15" x14ac:dyDescent="0.2">
      <c r="A242" s="48"/>
      <c r="B242" s="51">
        <v>1</v>
      </c>
      <c r="C242" s="48" t="s">
        <v>553</v>
      </c>
      <c r="D242" s="50" t="s">
        <v>382</v>
      </c>
      <c r="E242" s="55"/>
      <c r="F242" s="51"/>
      <c r="G242" s="51">
        <f>Source!U70</f>
        <v>7.0103999999999997</v>
      </c>
      <c r="H242" s="51"/>
      <c r="I242" s="51"/>
      <c r="J242" s="51"/>
      <c r="K242" s="51"/>
      <c r="L242" s="56">
        <f>SUM(L243:L243)-SUMIF(CE243:CE243, 1, L243:L243)</f>
        <v>5278.13</v>
      </c>
    </row>
    <row r="243" spans="1:83" ht="14.25" x14ac:dyDescent="0.2">
      <c r="A243" s="49"/>
      <c r="B243" s="49" t="s">
        <v>434</v>
      </c>
      <c r="C243" s="49" t="s">
        <v>435</v>
      </c>
      <c r="D243" s="50" t="s">
        <v>382</v>
      </c>
      <c r="E243" s="51">
        <v>30.48</v>
      </c>
      <c r="F243" s="51"/>
      <c r="G243" s="51">
        <f>SmtRes!CX55</f>
        <v>7.0103999999999997</v>
      </c>
      <c r="H243" s="53"/>
      <c r="I243" s="52"/>
      <c r="J243" s="53">
        <f>SmtRes!CZ55</f>
        <v>752.9</v>
      </c>
      <c r="K243" s="52"/>
      <c r="L243" s="53">
        <f>SmtRes!DI55</f>
        <v>5278.13</v>
      </c>
    </row>
    <row r="244" spans="1:83" ht="15" x14ac:dyDescent="0.2">
      <c r="A244" s="48"/>
      <c r="B244" s="51">
        <v>2</v>
      </c>
      <c r="C244" s="48" t="s">
        <v>554</v>
      </c>
      <c r="D244" s="50"/>
      <c r="E244" s="55"/>
      <c r="F244" s="51"/>
      <c r="G244" s="51"/>
      <c r="H244" s="51"/>
      <c r="I244" s="51"/>
      <c r="J244" s="51"/>
      <c r="K244" s="51"/>
      <c r="L244" s="56">
        <f>SUM(L245:L249)-SUMIF(CE245:CE249, 1, L245:L249)</f>
        <v>13.449999999999996</v>
      </c>
    </row>
    <row r="245" spans="1:83" ht="15" x14ac:dyDescent="0.2">
      <c r="A245" s="48"/>
      <c r="B245" s="51"/>
      <c r="C245" s="48" t="s">
        <v>556</v>
      </c>
      <c r="D245" s="50" t="s">
        <v>382</v>
      </c>
      <c r="E245" s="55"/>
      <c r="F245" s="51"/>
      <c r="G245" s="51">
        <f>Source!V70</f>
        <v>1.15E-2</v>
      </c>
      <c r="H245" s="51"/>
      <c r="I245" s="51"/>
      <c r="J245" s="51"/>
      <c r="K245" s="51"/>
      <c r="L245" s="56">
        <f>SUMIF(CE246:CE249, 1, L246:L249)</f>
        <v>10.14</v>
      </c>
      <c r="CE245">
        <v>1</v>
      </c>
    </row>
    <row r="246" spans="1:83" ht="28.5" x14ac:dyDescent="0.2">
      <c r="A246" s="49"/>
      <c r="B246" s="49" t="s">
        <v>410</v>
      </c>
      <c r="C246" s="49" t="s">
        <v>412</v>
      </c>
      <c r="D246" s="50" t="s">
        <v>386</v>
      </c>
      <c r="E246" s="51">
        <v>0.03</v>
      </c>
      <c r="F246" s="51"/>
      <c r="G246" s="51">
        <f>SmtRes!CX57</f>
        <v>6.8999999999999999E-3</v>
      </c>
      <c r="H246" s="53"/>
      <c r="I246" s="52"/>
      <c r="J246" s="53">
        <f>SmtRes!CZ57</f>
        <v>1585.56</v>
      </c>
      <c r="K246" s="52"/>
      <c r="L246" s="53">
        <f>SmtRes!DG57</f>
        <v>10.94</v>
      </c>
    </row>
    <row r="247" spans="1:83" ht="28.5" x14ac:dyDescent="0.2">
      <c r="A247" s="49"/>
      <c r="B247" s="49" t="s">
        <v>413</v>
      </c>
      <c r="C247" s="49" t="s">
        <v>569</v>
      </c>
      <c r="D247" s="50" t="s">
        <v>382</v>
      </c>
      <c r="E247" s="51">
        <f>SmtRes!DO57*SmtRes!AT57</f>
        <v>0.03</v>
      </c>
      <c r="F247" s="51"/>
      <c r="G247" s="51">
        <f>ROUND(E247*G240, 7)</f>
        <v>6.8999999999999999E-3</v>
      </c>
      <c r="H247" s="53"/>
      <c r="I247" s="52"/>
      <c r="J247" s="53">
        <f>ROUND(SmtRes!AG57/SmtRes!DO57, 2)</f>
        <v>982.04</v>
      </c>
      <c r="K247" s="52"/>
      <c r="L247" s="53">
        <f>SmtRes!DH57</f>
        <v>6.78</v>
      </c>
      <c r="CE247">
        <v>1</v>
      </c>
    </row>
    <row r="248" spans="1:83" ht="28.5" x14ac:dyDescent="0.2">
      <c r="A248" s="49"/>
      <c r="B248" s="49" t="s">
        <v>383</v>
      </c>
      <c r="C248" s="49" t="s">
        <v>385</v>
      </c>
      <c r="D248" s="50" t="s">
        <v>386</v>
      </c>
      <c r="E248" s="51">
        <v>0.02</v>
      </c>
      <c r="F248" s="51"/>
      <c r="G248" s="51">
        <f>SmtRes!CX58</f>
        <v>4.5999999999999999E-3</v>
      </c>
      <c r="H248" s="53"/>
      <c r="I248" s="52"/>
      <c r="J248" s="53">
        <f>SmtRes!CZ58</f>
        <v>544.91999999999996</v>
      </c>
      <c r="K248" s="52"/>
      <c r="L248" s="53">
        <f>SmtRes!DG58</f>
        <v>2.5099999999999998</v>
      </c>
    </row>
    <row r="249" spans="1:83" ht="28.5" x14ac:dyDescent="0.2">
      <c r="A249" s="49"/>
      <c r="B249" s="49" t="s">
        <v>387</v>
      </c>
      <c r="C249" s="49" t="s">
        <v>555</v>
      </c>
      <c r="D249" s="50" t="s">
        <v>382</v>
      </c>
      <c r="E249" s="51">
        <f>SmtRes!DO58*SmtRes!AT58</f>
        <v>0.02</v>
      </c>
      <c r="F249" s="51"/>
      <c r="G249" s="51">
        <f>ROUND(E249*G240, 7)</f>
        <v>4.5999999999999999E-3</v>
      </c>
      <c r="H249" s="53"/>
      <c r="I249" s="52"/>
      <c r="J249" s="53">
        <f>ROUND(SmtRes!AG58/SmtRes!DO58, 2)</f>
        <v>731.08</v>
      </c>
      <c r="K249" s="52"/>
      <c r="L249" s="53">
        <f>SmtRes!DH58</f>
        <v>3.36</v>
      </c>
      <c r="CE249">
        <v>1</v>
      </c>
    </row>
    <row r="250" spans="1:83" ht="15" x14ac:dyDescent="0.2">
      <c r="A250" s="48"/>
      <c r="B250" s="51">
        <v>4</v>
      </c>
      <c r="C250" s="48" t="s">
        <v>557</v>
      </c>
      <c r="D250" s="50"/>
      <c r="E250" s="55"/>
      <c r="F250" s="51"/>
      <c r="G250" s="51"/>
      <c r="H250" s="51"/>
      <c r="I250" s="51"/>
      <c r="J250" s="51"/>
      <c r="K250" s="51"/>
      <c r="L250" s="56">
        <f>SUM(L251:L254)-SUMIF(CE251:CE254, 1, L251:L254)</f>
        <v>229.37</v>
      </c>
    </row>
    <row r="251" spans="1:83" ht="71.25" x14ac:dyDescent="0.2">
      <c r="A251" s="49"/>
      <c r="B251" s="49" t="s">
        <v>414</v>
      </c>
      <c r="C251" s="49" t="s">
        <v>416</v>
      </c>
      <c r="D251" s="50" t="s">
        <v>31</v>
      </c>
      <c r="E251" s="51">
        <v>35</v>
      </c>
      <c r="F251" s="51"/>
      <c r="G251" s="51">
        <f>SmtRes!CX59</f>
        <v>8.0500000000000007</v>
      </c>
      <c r="H251" s="53">
        <f>SmtRes!CZ59</f>
        <v>5.87</v>
      </c>
      <c r="I251" s="52">
        <f>SmtRes!AI59</f>
        <v>0.87</v>
      </c>
      <c r="J251" s="53">
        <f>ROUND(H251*I251, 2)</f>
        <v>5.1100000000000003</v>
      </c>
      <c r="K251" s="52"/>
      <c r="L251" s="53">
        <f>SmtRes!DF59</f>
        <v>41.14</v>
      </c>
    </row>
    <row r="252" spans="1:83" ht="28.5" x14ac:dyDescent="0.2">
      <c r="A252" s="49"/>
      <c r="B252" s="49" t="s">
        <v>455</v>
      </c>
      <c r="C252" s="49" t="s">
        <v>457</v>
      </c>
      <c r="D252" s="50" t="s">
        <v>424</v>
      </c>
      <c r="E252" s="51">
        <v>1.5</v>
      </c>
      <c r="F252" s="51"/>
      <c r="G252" s="51">
        <f>SmtRes!CX60</f>
        <v>0.34499999999999997</v>
      </c>
      <c r="H252" s="53">
        <f>SmtRes!CZ60</f>
        <v>174.93</v>
      </c>
      <c r="I252" s="52">
        <f>SmtRes!AI60</f>
        <v>1.08</v>
      </c>
      <c r="J252" s="53">
        <f>ROUND(H252*I252, 2)</f>
        <v>188.92</v>
      </c>
      <c r="K252" s="52"/>
      <c r="L252" s="53">
        <f>SmtRes!DF60</f>
        <v>65.180000000000007</v>
      </c>
    </row>
    <row r="253" spans="1:83" ht="14.25" x14ac:dyDescent="0.2">
      <c r="A253" s="49"/>
      <c r="B253" s="49" t="s">
        <v>449</v>
      </c>
      <c r="C253" s="49" t="s">
        <v>451</v>
      </c>
      <c r="D253" s="50" t="s">
        <v>126</v>
      </c>
      <c r="E253" s="51">
        <v>3.15E-3</v>
      </c>
      <c r="F253" s="51"/>
      <c r="G253" s="51">
        <f>SmtRes!CX61</f>
        <v>7.2449999999999999E-4</v>
      </c>
      <c r="H253" s="53">
        <f>SmtRes!CZ61</f>
        <v>4338.2700000000004</v>
      </c>
      <c r="I253" s="52">
        <f>SmtRes!AI61</f>
        <v>1.46</v>
      </c>
      <c r="J253" s="53">
        <f>ROUND(H253*I253, 2)</f>
        <v>6333.87</v>
      </c>
      <c r="K253" s="52"/>
      <c r="L253" s="53">
        <f>SmtRes!DF61</f>
        <v>4.59</v>
      </c>
    </row>
    <row r="254" spans="1:83" ht="28.5" x14ac:dyDescent="0.2">
      <c r="A254" s="49"/>
      <c r="B254" s="49" t="s">
        <v>458</v>
      </c>
      <c r="C254" s="57" t="s">
        <v>460</v>
      </c>
      <c r="D254" s="58" t="s">
        <v>404</v>
      </c>
      <c r="E254" s="59">
        <v>0.10199999999999999</v>
      </c>
      <c r="F254" s="59"/>
      <c r="G254" s="59">
        <f>SmtRes!CX62</f>
        <v>2.3460000000000002E-2</v>
      </c>
      <c r="H254" s="60">
        <f>SmtRes!CZ62</f>
        <v>3658.94</v>
      </c>
      <c r="I254" s="61">
        <f>SmtRes!AI62</f>
        <v>1.38</v>
      </c>
      <c r="J254" s="60">
        <f>ROUND(H254*I254, 2)</f>
        <v>5049.34</v>
      </c>
      <c r="K254" s="61"/>
      <c r="L254" s="60">
        <f>SmtRes!DF62</f>
        <v>118.46</v>
      </c>
    </row>
    <row r="255" spans="1:83" ht="15" x14ac:dyDescent="0.2">
      <c r="A255" s="49"/>
      <c r="B255" s="49"/>
      <c r="C255" s="64" t="s">
        <v>558</v>
      </c>
      <c r="D255" s="50"/>
      <c r="E255" s="51"/>
      <c r="F255" s="51"/>
      <c r="G255" s="51"/>
      <c r="H255" s="53"/>
      <c r="I255" s="52"/>
      <c r="J255" s="53"/>
      <c r="K255" s="52"/>
      <c r="L255" s="53">
        <f>L242+L244+L245+L250</f>
        <v>5531.09</v>
      </c>
    </row>
    <row r="256" spans="1:83" ht="57" x14ac:dyDescent="0.2">
      <c r="A256" s="47" t="s">
        <v>586</v>
      </c>
      <c r="B256" s="49" t="str">
        <f>Source!F71</f>
        <v>421/пр_2020_п.75_пп.а</v>
      </c>
      <c r="C256" s="49" t="str">
        <f>Source!G71</f>
        <v>Сметная стоимость вспомогательных ненормируемых материальных ресурсов, не учтенная в сметной норме, 2%</v>
      </c>
      <c r="D256" s="50" t="str">
        <f>Source!H71</f>
        <v>%</v>
      </c>
      <c r="E256" s="51">
        <f>SmtRes!AT63</f>
        <v>2</v>
      </c>
      <c r="F256" s="51"/>
      <c r="G256" s="51">
        <f>Source!I71</f>
        <v>2</v>
      </c>
      <c r="H256" s="53"/>
      <c r="I256" s="52"/>
      <c r="J256" s="53"/>
      <c r="K256" s="52"/>
      <c r="L256" s="53">
        <f>Source!P71</f>
        <v>105.56</v>
      </c>
      <c r="AD256">
        <f>ROUND((Source!AT71/100)*((ROUND(0*Source!I71, 2)+ROUND(0*Source!I71, 2))), 2)</f>
        <v>0</v>
      </c>
      <c r="AE256">
        <f>ROUND((Source!AU71/100)*((ROUND(0*Source!I71, 2)+ROUND(0*Source!I71, 2))), 2)</f>
        <v>0</v>
      </c>
      <c r="AN256">
        <f>L256</f>
        <v>105.56</v>
      </c>
      <c r="AW256">
        <f>L256</f>
        <v>105.56</v>
      </c>
      <c r="AZ256">
        <f>Source!X71</f>
        <v>0</v>
      </c>
      <c r="BA256">
        <f>Source!Y71</f>
        <v>0</v>
      </c>
      <c r="CD256">
        <v>2</v>
      </c>
    </row>
    <row r="257" spans="1:83" ht="14.25" x14ac:dyDescent="0.2">
      <c r="A257" s="49"/>
      <c r="B257" s="49"/>
      <c r="C257" s="49" t="s">
        <v>560</v>
      </c>
      <c r="D257" s="50"/>
      <c r="E257" s="51"/>
      <c r="F257" s="51"/>
      <c r="G257" s="51"/>
      <c r="H257" s="53"/>
      <c r="I257" s="52"/>
      <c r="J257" s="53"/>
      <c r="K257" s="52"/>
      <c r="L257" s="53">
        <f>SUM(AR240:AR260)+SUM(AS240:AS260)+SUM(AT240:AT260)+SUM(AU240:AU260)+SUM(AV240:AV260)</f>
        <v>5288.27</v>
      </c>
    </row>
    <row r="258" spans="1:83" ht="28.5" x14ac:dyDescent="0.2">
      <c r="A258" s="49"/>
      <c r="B258" s="49" t="s">
        <v>22</v>
      </c>
      <c r="C258" s="49" t="s">
        <v>561</v>
      </c>
      <c r="D258" s="50" t="s">
        <v>27</v>
      </c>
      <c r="E258" s="51">
        <f>Source!BZ70</f>
        <v>97</v>
      </c>
      <c r="F258" s="51"/>
      <c r="G258" s="51">
        <f>Source!AT70</f>
        <v>97</v>
      </c>
      <c r="H258" s="53"/>
      <c r="I258" s="52"/>
      <c r="J258" s="53"/>
      <c r="K258" s="52"/>
      <c r="L258" s="53">
        <f>SUM(AZ240:AZ260)</f>
        <v>5129.62</v>
      </c>
    </row>
    <row r="259" spans="1:83" ht="28.5" x14ac:dyDescent="0.2">
      <c r="A259" s="57"/>
      <c r="B259" s="57" t="s">
        <v>23</v>
      </c>
      <c r="C259" s="57" t="s">
        <v>562</v>
      </c>
      <c r="D259" s="58" t="s">
        <v>27</v>
      </c>
      <c r="E259" s="59">
        <f>Source!CA70</f>
        <v>51</v>
      </c>
      <c r="F259" s="59"/>
      <c r="G259" s="59">
        <f>Source!AU70</f>
        <v>51</v>
      </c>
      <c r="H259" s="60"/>
      <c r="I259" s="61"/>
      <c r="J259" s="60"/>
      <c r="K259" s="61"/>
      <c r="L259" s="60">
        <f>SUM(BA240:BA260)</f>
        <v>2697.02</v>
      </c>
    </row>
    <row r="260" spans="1:83" ht="15" x14ac:dyDescent="0.2">
      <c r="C260" s="138" t="s">
        <v>563</v>
      </c>
      <c r="D260" s="138"/>
      <c r="E260" s="138"/>
      <c r="F260" s="138"/>
      <c r="G260" s="138"/>
      <c r="H260" s="138"/>
      <c r="I260" s="139">
        <f>IF(E240&lt;&gt;0,K260/E240, 0)</f>
        <v>58536.043478260865</v>
      </c>
      <c r="J260" s="139"/>
      <c r="K260" s="139">
        <f>L242+L244+L250+L258+L259+L245+SUM(L256:L256)</f>
        <v>13463.289999999999</v>
      </c>
      <c r="L260" s="139"/>
      <c r="AD260">
        <f>ROUND((Source!AT70/100)*((ROUND(SUMIF(SmtRes!AQ55:'SmtRes'!AQ63,"=1",SmtRes!AD55:'SmtRes'!AD63)*Source!I70, 2)+ROUND(SUMIF(SmtRes!AQ55:'SmtRes'!AQ63,"=1",SmtRes!AC55:'SmtRes'!AC63)*Source!I70, 2))), 2)</f>
        <v>550.16999999999996</v>
      </c>
      <c r="AE260">
        <f>ROUND((Source!AU70/100)*((ROUND(SUMIF(SmtRes!AQ55:'SmtRes'!AQ63,"=1",SmtRes!AD55:'SmtRes'!AD63)*Source!I70, 2)+ROUND(SUMIF(SmtRes!AQ55:'SmtRes'!AQ63,"=1",SmtRes!AC55:'SmtRes'!AC63)*Source!I70, 2))), 2)</f>
        <v>289.27</v>
      </c>
      <c r="AN260" s="62">
        <f>L242+L244+L250+L258+L259+L245</f>
        <v>13357.73</v>
      </c>
      <c r="AO260" s="62">
        <f>L244</f>
        <v>13.449999999999996</v>
      </c>
      <c r="AQ260" t="s">
        <v>564</v>
      </c>
      <c r="AR260" s="62">
        <f>L242</f>
        <v>5278.13</v>
      </c>
      <c r="AT260" s="62">
        <f>L245</f>
        <v>10.14</v>
      </c>
      <c r="AV260" t="s">
        <v>564</v>
      </c>
      <c r="AW260" s="62">
        <f>L250</f>
        <v>229.37</v>
      </c>
      <c r="AZ260">
        <f>Source!X70</f>
        <v>5129.62</v>
      </c>
      <c r="BA260">
        <f>Source!Y70</f>
        <v>2697.02</v>
      </c>
      <c r="CD260">
        <v>2</v>
      </c>
    </row>
    <row r="261" spans="1:83" ht="42.75" x14ac:dyDescent="0.2">
      <c r="A261" s="66" t="s">
        <v>175</v>
      </c>
      <c r="B261" s="57" t="str">
        <f>Source!F72</f>
        <v>20.4.03.06-1052</v>
      </c>
      <c r="C261" s="57" t="str">
        <f>Source!G72</f>
        <v>Розетка скрытого монтажа с заземляющим контактом, с защитной шторкой ДКС</v>
      </c>
      <c r="D261" s="58" t="str">
        <f>Source!H72</f>
        <v>ШТ</v>
      </c>
      <c r="E261" s="59">
        <f>Source!K72</f>
        <v>17</v>
      </c>
      <c r="F261" s="59"/>
      <c r="G261" s="59">
        <f>Source!I72</f>
        <v>17</v>
      </c>
      <c r="H261" s="60">
        <f>Source!AL72</f>
        <v>238.2</v>
      </c>
      <c r="I261" s="61">
        <f>IF(Source!BC72&lt;&gt; 0, Source!BC72, 1)</f>
        <v>0.87</v>
      </c>
      <c r="J261" s="60">
        <f>ROUND(H261*I261, 2)</f>
        <v>207.23</v>
      </c>
      <c r="K261" s="61"/>
      <c r="L261" s="60">
        <f>Source!P72</f>
        <v>3522.91</v>
      </c>
    </row>
    <row r="262" spans="1:83" ht="15" x14ac:dyDescent="0.2">
      <c r="C262" s="138" t="s">
        <v>563</v>
      </c>
      <c r="D262" s="138"/>
      <c r="E262" s="138"/>
      <c r="F262" s="138"/>
      <c r="G262" s="138"/>
      <c r="H262" s="138"/>
      <c r="I262" s="139">
        <f>IF(E261&lt;&gt;0,K262/E261, 0)</f>
        <v>207.23</v>
      </c>
      <c r="J262" s="139"/>
      <c r="K262" s="139">
        <f>L261</f>
        <v>3522.91</v>
      </c>
      <c r="L262" s="139"/>
      <c r="AD262">
        <f>ROUND((Source!AT72/100)*((ROUND(ROUND(Source!AO72,2)*Source!I72, 2)+ROUND(ROUND(Source!AN72,2)*Source!I72, 2))), 2)</f>
        <v>0</v>
      </c>
      <c r="AE262">
        <f>ROUND((Source!AU72/100)*((ROUND(ROUND(Source!AO72,2)*Source!I72, 2)+ROUND(ROUND(Source!AN72,2)*Source!I72, 2))), 2)</f>
        <v>0</v>
      </c>
      <c r="AN262" s="62">
        <f>L261</f>
        <v>3522.91</v>
      </c>
      <c r="AO262">
        <f>0</f>
        <v>0</v>
      </c>
      <c r="AQ262" t="s">
        <v>564</v>
      </c>
      <c r="AR262">
        <f>0</f>
        <v>0</v>
      </c>
      <c r="AT262">
        <f>0</f>
        <v>0</v>
      </c>
      <c r="AV262" t="s">
        <v>564</v>
      </c>
      <c r="AW262" s="62">
        <f>L261</f>
        <v>3522.91</v>
      </c>
      <c r="AZ262">
        <f>Source!X72</f>
        <v>0</v>
      </c>
      <c r="BA262">
        <f>Source!Y72</f>
        <v>0</v>
      </c>
      <c r="CD262">
        <v>2</v>
      </c>
    </row>
    <row r="263" spans="1:83" ht="42.75" x14ac:dyDescent="0.2">
      <c r="A263" s="66" t="s">
        <v>179</v>
      </c>
      <c r="B263" s="57" t="str">
        <f>Source!F73</f>
        <v>20.4.03.03-1023</v>
      </c>
      <c r="C263" s="57" t="str">
        <f>Source!G73</f>
        <v>Розетка компьютерная RJ-45 для монтажа в кабель-каналы, 1 модуль, 1,5 А, 150 В, цвет белый ДКС</v>
      </c>
      <c r="D263" s="58" t="str">
        <f>Source!H73</f>
        <v>ШТ</v>
      </c>
      <c r="E263" s="59">
        <f>Source!K73</f>
        <v>6</v>
      </c>
      <c r="F263" s="59"/>
      <c r="G263" s="59">
        <f>Source!I73</f>
        <v>6</v>
      </c>
      <c r="H263" s="60">
        <f>Source!AL73</f>
        <v>384.51</v>
      </c>
      <c r="I263" s="61">
        <f>IF(Source!BC73&lt;&gt; 0, Source!BC73, 1)</f>
        <v>0.87</v>
      </c>
      <c r="J263" s="60">
        <f>ROUND(H263*I263, 2)</f>
        <v>334.52</v>
      </c>
      <c r="K263" s="61"/>
      <c r="L263" s="60">
        <f>Source!P73</f>
        <v>2007.12</v>
      </c>
    </row>
    <row r="264" spans="1:83" ht="15" x14ac:dyDescent="0.2">
      <c r="C264" s="138" t="s">
        <v>563</v>
      </c>
      <c r="D264" s="138"/>
      <c r="E264" s="138"/>
      <c r="F264" s="138"/>
      <c r="G264" s="138"/>
      <c r="H264" s="138"/>
      <c r="I264" s="139">
        <f>IF(E263&lt;&gt;0,K264/E263, 0)</f>
        <v>334.52</v>
      </c>
      <c r="J264" s="139"/>
      <c r="K264" s="139">
        <f>L263</f>
        <v>2007.12</v>
      </c>
      <c r="L264" s="139"/>
      <c r="AD264">
        <f>ROUND((Source!AT73/100)*((ROUND(ROUND(Source!AO73,2)*Source!I73, 2)+ROUND(ROUND(Source!AN73,2)*Source!I73, 2))), 2)</f>
        <v>0</v>
      </c>
      <c r="AE264">
        <f>ROUND((Source!AU73/100)*((ROUND(ROUND(Source!AO73,2)*Source!I73, 2)+ROUND(ROUND(Source!AN73,2)*Source!I73, 2))), 2)</f>
        <v>0</v>
      </c>
      <c r="AN264" s="62">
        <f>L263</f>
        <v>2007.12</v>
      </c>
      <c r="AO264">
        <f>0</f>
        <v>0</v>
      </c>
      <c r="AQ264" t="s">
        <v>564</v>
      </c>
      <c r="AR264">
        <f>0</f>
        <v>0</v>
      </c>
      <c r="AT264">
        <f>0</f>
        <v>0</v>
      </c>
      <c r="AV264" t="s">
        <v>564</v>
      </c>
      <c r="AW264" s="62">
        <f>L263</f>
        <v>2007.12</v>
      </c>
      <c r="AZ264">
        <f>Source!X73</f>
        <v>0</v>
      </c>
      <c r="BA264">
        <f>Source!Y73</f>
        <v>0</v>
      </c>
      <c r="CD264">
        <v>2</v>
      </c>
    </row>
    <row r="265" spans="1:83" ht="42.75" x14ac:dyDescent="0.2">
      <c r="A265" s="47" t="s">
        <v>183</v>
      </c>
      <c r="B265" s="49" t="s">
        <v>587</v>
      </c>
      <c r="C265" s="49" t="str">
        <f>Source!G74</f>
        <v>Проводник заземляющий открыто по строительным основаниям: из полосовой стали сечением 100 мм2</v>
      </c>
      <c r="D265" s="50" t="str">
        <f>Source!H74</f>
        <v>100 м</v>
      </c>
      <c r="E265" s="51">
        <f>Source!K74</f>
        <v>0.45</v>
      </c>
      <c r="F265" s="51"/>
      <c r="G265" s="51">
        <f>Source!I74</f>
        <v>0.45</v>
      </c>
      <c r="H265" s="53"/>
      <c r="I265" s="52"/>
      <c r="J265" s="53"/>
      <c r="K265" s="52"/>
      <c r="L265" s="53"/>
    </row>
    <row r="266" spans="1:83" x14ac:dyDescent="0.2">
      <c r="C266" s="54" t="str">
        <f>"Объем: "&amp;Source!I74&amp;"=45/"&amp;"100"</f>
        <v>Объем: 0,45=45/100</v>
      </c>
    </row>
    <row r="267" spans="1:83" ht="15" x14ac:dyDescent="0.2">
      <c r="A267" s="48"/>
      <c r="B267" s="51">
        <v>1</v>
      </c>
      <c r="C267" s="48" t="s">
        <v>553</v>
      </c>
      <c r="D267" s="50" t="s">
        <v>382</v>
      </c>
      <c r="E267" s="55"/>
      <c r="F267" s="51"/>
      <c r="G267" s="51">
        <f>Source!U74</f>
        <v>7.4249999999999998</v>
      </c>
      <c r="H267" s="51"/>
      <c r="I267" s="51"/>
      <c r="J267" s="51"/>
      <c r="K267" s="51"/>
      <c r="L267" s="56">
        <f>SUM(L268:L268)-SUMIF(CE268:CE268, 1, L268:L268)</f>
        <v>5306.72</v>
      </c>
    </row>
    <row r="268" spans="1:83" ht="14.25" x14ac:dyDescent="0.2">
      <c r="A268" s="49"/>
      <c r="B268" s="49" t="s">
        <v>408</v>
      </c>
      <c r="C268" s="49" t="s">
        <v>409</v>
      </c>
      <c r="D268" s="50" t="s">
        <v>382</v>
      </c>
      <c r="E268" s="51">
        <v>16.5</v>
      </c>
      <c r="F268" s="51"/>
      <c r="G268" s="51">
        <f>SmtRes!CX64</f>
        <v>7.4249999999999998</v>
      </c>
      <c r="H268" s="53"/>
      <c r="I268" s="52"/>
      <c r="J268" s="53">
        <f>SmtRes!CZ64</f>
        <v>714.71</v>
      </c>
      <c r="K268" s="52"/>
      <c r="L268" s="53">
        <f>SmtRes!DI64</f>
        <v>5306.72</v>
      </c>
    </row>
    <row r="269" spans="1:83" ht="15" x14ac:dyDescent="0.2">
      <c r="A269" s="48"/>
      <c r="B269" s="51">
        <v>2</v>
      </c>
      <c r="C269" s="48" t="s">
        <v>554</v>
      </c>
      <c r="D269" s="50"/>
      <c r="E269" s="55"/>
      <c r="F269" s="51"/>
      <c r="G269" s="51"/>
      <c r="H269" s="51"/>
      <c r="I269" s="51"/>
      <c r="J269" s="51"/>
      <c r="K269" s="51"/>
      <c r="L269" s="56">
        <f>SUM(L270:L275)-SUMIF(CE270:CE275, 1, L270:L275)</f>
        <v>205.06</v>
      </c>
    </row>
    <row r="270" spans="1:83" ht="15" x14ac:dyDescent="0.2">
      <c r="A270" s="48"/>
      <c r="B270" s="51"/>
      <c r="C270" s="48" t="s">
        <v>556</v>
      </c>
      <c r="D270" s="50" t="s">
        <v>382</v>
      </c>
      <c r="E270" s="55"/>
      <c r="F270" s="51"/>
      <c r="G270" s="51">
        <f>Source!V74</f>
        <v>0.153</v>
      </c>
      <c r="H270" s="51"/>
      <c r="I270" s="51"/>
      <c r="J270" s="51"/>
      <c r="K270" s="51"/>
      <c r="L270" s="56">
        <f>SUMIF(CE271:CE275, 1, L271:L275)</f>
        <v>131.06</v>
      </c>
      <c r="CE270">
        <v>1</v>
      </c>
    </row>
    <row r="271" spans="1:83" ht="28.5" x14ac:dyDescent="0.2">
      <c r="A271" s="49"/>
      <c r="B271" s="49" t="s">
        <v>410</v>
      </c>
      <c r="C271" s="49" t="s">
        <v>412</v>
      </c>
      <c r="D271" s="50" t="s">
        <v>386</v>
      </c>
      <c r="E271" s="51">
        <v>0.17</v>
      </c>
      <c r="F271" s="51"/>
      <c r="G271" s="51">
        <f>SmtRes!CX66</f>
        <v>7.6499999999999999E-2</v>
      </c>
      <c r="H271" s="53"/>
      <c r="I271" s="52"/>
      <c r="J271" s="53">
        <f>SmtRes!CZ66</f>
        <v>1585.56</v>
      </c>
      <c r="K271" s="52"/>
      <c r="L271" s="53">
        <f>SmtRes!DG66</f>
        <v>121.3</v>
      </c>
    </row>
    <row r="272" spans="1:83" ht="28.5" x14ac:dyDescent="0.2">
      <c r="A272" s="49"/>
      <c r="B272" s="49" t="s">
        <v>413</v>
      </c>
      <c r="C272" s="49" t="s">
        <v>569</v>
      </c>
      <c r="D272" s="50" t="s">
        <v>382</v>
      </c>
      <c r="E272" s="51">
        <f>SmtRes!DO66*SmtRes!AT66</f>
        <v>0.17</v>
      </c>
      <c r="F272" s="51"/>
      <c r="G272" s="51">
        <f>ROUND(E272*G265, 7)</f>
        <v>7.6499999999999999E-2</v>
      </c>
      <c r="H272" s="53"/>
      <c r="I272" s="52"/>
      <c r="J272" s="53">
        <f>ROUND(SmtRes!AG66/SmtRes!DO66, 2)</f>
        <v>982.04</v>
      </c>
      <c r="K272" s="52"/>
      <c r="L272" s="53">
        <f>SmtRes!DH66</f>
        <v>75.13</v>
      </c>
      <c r="CE272">
        <v>1</v>
      </c>
    </row>
    <row r="273" spans="1:83" ht="28.5" x14ac:dyDescent="0.2">
      <c r="A273" s="49"/>
      <c r="B273" s="49" t="s">
        <v>383</v>
      </c>
      <c r="C273" s="49" t="s">
        <v>385</v>
      </c>
      <c r="D273" s="50" t="s">
        <v>386</v>
      </c>
      <c r="E273" s="51">
        <v>0.17</v>
      </c>
      <c r="F273" s="51"/>
      <c r="G273" s="51">
        <f>SmtRes!CX67</f>
        <v>7.6499999999999999E-2</v>
      </c>
      <c r="H273" s="53"/>
      <c r="I273" s="52"/>
      <c r="J273" s="53">
        <f>SmtRes!CZ67</f>
        <v>544.91999999999996</v>
      </c>
      <c r="K273" s="52"/>
      <c r="L273" s="53">
        <f>SmtRes!DG67</f>
        <v>41.69</v>
      </c>
    </row>
    <row r="274" spans="1:83" ht="28.5" x14ac:dyDescent="0.2">
      <c r="A274" s="49"/>
      <c r="B274" s="49" t="s">
        <v>387</v>
      </c>
      <c r="C274" s="49" t="s">
        <v>555</v>
      </c>
      <c r="D274" s="50" t="s">
        <v>382</v>
      </c>
      <c r="E274" s="51">
        <f>SmtRes!DO67*SmtRes!AT67</f>
        <v>0.17</v>
      </c>
      <c r="F274" s="51"/>
      <c r="G274" s="51">
        <f>ROUND(E274*G265, 7)</f>
        <v>7.6499999999999999E-2</v>
      </c>
      <c r="H274" s="53"/>
      <c r="I274" s="52"/>
      <c r="J274" s="53">
        <f>ROUND(SmtRes!AG67/SmtRes!DO67, 2)</f>
        <v>731.08</v>
      </c>
      <c r="K274" s="52"/>
      <c r="L274" s="53">
        <f>SmtRes!DH67</f>
        <v>55.93</v>
      </c>
      <c r="CE274">
        <v>1</v>
      </c>
    </row>
    <row r="275" spans="1:83" ht="42.75" x14ac:dyDescent="0.2">
      <c r="A275" s="49"/>
      <c r="B275" s="49" t="s">
        <v>461</v>
      </c>
      <c r="C275" s="49" t="s">
        <v>463</v>
      </c>
      <c r="D275" s="50" t="s">
        <v>386</v>
      </c>
      <c r="E275" s="51">
        <v>2.9</v>
      </c>
      <c r="F275" s="51"/>
      <c r="G275" s="51">
        <f>SmtRes!CX68</f>
        <v>1.3049999999999999</v>
      </c>
      <c r="H275" s="53"/>
      <c r="I275" s="52"/>
      <c r="J275" s="53">
        <f>SmtRes!CZ68</f>
        <v>32.24</v>
      </c>
      <c r="K275" s="52"/>
      <c r="L275" s="53">
        <f>SmtRes!DG68</f>
        <v>42.07</v>
      </c>
    </row>
    <row r="276" spans="1:83" ht="15" x14ac:dyDescent="0.2">
      <c r="A276" s="48"/>
      <c r="B276" s="51">
        <v>4</v>
      </c>
      <c r="C276" s="48" t="s">
        <v>557</v>
      </c>
      <c r="D276" s="50"/>
      <c r="E276" s="55"/>
      <c r="F276" s="51"/>
      <c r="G276" s="51"/>
      <c r="H276" s="51"/>
      <c r="I276" s="51"/>
      <c r="J276" s="51"/>
      <c r="K276" s="51"/>
      <c r="L276" s="56">
        <f>SUM(L277:L279)-SUMIF(CE277:CE279, 1, L277:L279)</f>
        <v>1323.73</v>
      </c>
    </row>
    <row r="277" spans="1:83" ht="57" x14ac:dyDescent="0.2">
      <c r="A277" s="49"/>
      <c r="B277" s="49" t="s">
        <v>464</v>
      </c>
      <c r="C277" s="49" t="s">
        <v>466</v>
      </c>
      <c r="D277" s="50" t="s">
        <v>424</v>
      </c>
      <c r="E277" s="51">
        <v>0.55000000000000004</v>
      </c>
      <c r="F277" s="51"/>
      <c r="G277" s="51">
        <f>SmtRes!CX69</f>
        <v>0.2475</v>
      </c>
      <c r="H277" s="53">
        <f>SmtRes!CZ69</f>
        <v>155.63</v>
      </c>
      <c r="I277" s="52">
        <f>SmtRes!AI69</f>
        <v>0.77</v>
      </c>
      <c r="J277" s="53">
        <f>ROUND(H277*I277, 2)</f>
        <v>119.84</v>
      </c>
      <c r="K277" s="52"/>
      <c r="L277" s="53">
        <f>SmtRes!DF69</f>
        <v>29.66</v>
      </c>
    </row>
    <row r="278" spans="1:83" ht="42.75" x14ac:dyDescent="0.2">
      <c r="A278" s="49"/>
      <c r="B278" s="49" t="s">
        <v>467</v>
      </c>
      <c r="C278" s="49" t="s">
        <v>469</v>
      </c>
      <c r="D278" s="50" t="s">
        <v>126</v>
      </c>
      <c r="E278" s="51">
        <v>4.0000000000000001E-3</v>
      </c>
      <c r="F278" s="51"/>
      <c r="G278" s="51">
        <f>SmtRes!CX70</f>
        <v>1.8E-3</v>
      </c>
      <c r="H278" s="53"/>
      <c r="I278" s="52"/>
      <c r="J278" s="53">
        <f>SmtRes!CZ70</f>
        <v>46972.89</v>
      </c>
      <c r="K278" s="52"/>
      <c r="L278" s="53">
        <f>SmtRes!DF70</f>
        <v>84.55</v>
      </c>
    </row>
    <row r="279" spans="1:83" ht="57" x14ac:dyDescent="0.2">
      <c r="A279" s="49"/>
      <c r="B279" s="49" t="s">
        <v>470</v>
      </c>
      <c r="C279" s="57" t="s">
        <v>472</v>
      </c>
      <c r="D279" s="58" t="s">
        <v>424</v>
      </c>
      <c r="E279" s="59">
        <v>2</v>
      </c>
      <c r="F279" s="59"/>
      <c r="G279" s="59">
        <f>SmtRes!CX71</f>
        <v>0.9</v>
      </c>
      <c r="H279" s="60"/>
      <c r="I279" s="61"/>
      <c r="J279" s="60">
        <f>SmtRes!CZ71</f>
        <v>1343.91</v>
      </c>
      <c r="K279" s="61"/>
      <c r="L279" s="60">
        <f>SmtRes!DF71</f>
        <v>1209.52</v>
      </c>
    </row>
    <row r="280" spans="1:83" ht="15" x14ac:dyDescent="0.2">
      <c r="A280" s="49"/>
      <c r="B280" s="49"/>
      <c r="C280" s="64" t="s">
        <v>558</v>
      </c>
      <c r="D280" s="50"/>
      <c r="E280" s="51"/>
      <c r="F280" s="51"/>
      <c r="G280" s="51"/>
      <c r="H280" s="53"/>
      <c r="I280" s="52"/>
      <c r="J280" s="53"/>
      <c r="K280" s="52"/>
      <c r="L280" s="53">
        <f>L267+L269+L270+L276</f>
        <v>6966.5700000000015</v>
      </c>
    </row>
    <row r="281" spans="1:83" ht="57" x14ac:dyDescent="0.2">
      <c r="A281" s="47" t="s">
        <v>588</v>
      </c>
      <c r="B281" s="49" t="str">
        <f>Source!F75</f>
        <v>421/пр_2020_п.75_пп.а</v>
      </c>
      <c r="C281" s="49" t="str">
        <f>Source!G75</f>
        <v>Сметная стоимость вспомогательных ненормируемых материальных ресурсов, не учтенная в сметной норме, 2%</v>
      </c>
      <c r="D281" s="50" t="str">
        <f>Source!H75</f>
        <v>%</v>
      </c>
      <c r="E281" s="51">
        <f>SmtRes!AT72</f>
        <v>2</v>
      </c>
      <c r="F281" s="51"/>
      <c r="G281" s="51">
        <f>Source!I75</f>
        <v>2</v>
      </c>
      <c r="H281" s="53"/>
      <c r="I281" s="52"/>
      <c r="J281" s="53"/>
      <c r="K281" s="52"/>
      <c r="L281" s="53">
        <f>Source!P75</f>
        <v>106.13</v>
      </c>
      <c r="AD281">
        <f>ROUND((Source!AT75/100)*((ROUND(0*Source!I75, 2)+ROUND(0*Source!I75, 2))), 2)</f>
        <v>0</v>
      </c>
      <c r="AE281">
        <f>ROUND((Source!AU75/100)*((ROUND(0*Source!I75, 2)+ROUND(0*Source!I75, 2))), 2)</f>
        <v>0</v>
      </c>
      <c r="AN281">
        <f>L281</f>
        <v>106.13</v>
      </c>
      <c r="AW281">
        <f>L281</f>
        <v>106.13</v>
      </c>
      <c r="AZ281">
        <f>Source!X75</f>
        <v>0</v>
      </c>
      <c r="BA281">
        <f>Source!Y75</f>
        <v>0</v>
      </c>
      <c r="CD281">
        <v>2</v>
      </c>
    </row>
    <row r="282" spans="1:83" ht="14.25" x14ac:dyDescent="0.2">
      <c r="A282" s="49"/>
      <c r="B282" s="49"/>
      <c r="C282" s="49" t="s">
        <v>560</v>
      </c>
      <c r="D282" s="50"/>
      <c r="E282" s="51"/>
      <c r="F282" s="51"/>
      <c r="G282" s="51"/>
      <c r="H282" s="53"/>
      <c r="I282" s="52"/>
      <c r="J282" s="53"/>
      <c r="K282" s="52"/>
      <c r="L282" s="53">
        <f>SUM(AR265:AR285)+SUM(AS265:AS285)+SUM(AT265:AT285)+SUM(AU265:AU285)+SUM(AV265:AV285)</f>
        <v>5437.7800000000007</v>
      </c>
    </row>
    <row r="283" spans="1:83" ht="28.5" x14ac:dyDescent="0.2">
      <c r="A283" s="49"/>
      <c r="B283" s="49" t="s">
        <v>22</v>
      </c>
      <c r="C283" s="49" t="s">
        <v>561</v>
      </c>
      <c r="D283" s="50" t="s">
        <v>27</v>
      </c>
      <c r="E283" s="51">
        <f>Source!BZ74</f>
        <v>97</v>
      </c>
      <c r="F283" s="51"/>
      <c r="G283" s="51">
        <f>Source!AT74</f>
        <v>97</v>
      </c>
      <c r="H283" s="53"/>
      <c r="I283" s="52"/>
      <c r="J283" s="53"/>
      <c r="K283" s="52"/>
      <c r="L283" s="53">
        <f>SUM(AZ265:AZ285)</f>
        <v>5274.65</v>
      </c>
    </row>
    <row r="284" spans="1:83" ht="28.5" x14ac:dyDescent="0.2">
      <c r="A284" s="57"/>
      <c r="B284" s="57" t="s">
        <v>23</v>
      </c>
      <c r="C284" s="57" t="s">
        <v>562</v>
      </c>
      <c r="D284" s="58" t="s">
        <v>27</v>
      </c>
      <c r="E284" s="59">
        <f>Source!CA74</f>
        <v>51</v>
      </c>
      <c r="F284" s="59"/>
      <c r="G284" s="59">
        <f>Source!AU74</f>
        <v>51</v>
      </c>
      <c r="H284" s="60"/>
      <c r="I284" s="61"/>
      <c r="J284" s="60"/>
      <c r="K284" s="61"/>
      <c r="L284" s="60">
        <f>SUM(BA265:BA285)</f>
        <v>2773.27</v>
      </c>
    </row>
    <row r="285" spans="1:83" ht="15" x14ac:dyDescent="0.2">
      <c r="C285" s="138" t="s">
        <v>563</v>
      </c>
      <c r="D285" s="138"/>
      <c r="E285" s="138"/>
      <c r="F285" s="138"/>
      <c r="G285" s="138"/>
      <c r="H285" s="138"/>
      <c r="I285" s="139">
        <f>IF(E265&lt;&gt;0,K285/E265, 0)</f>
        <v>33601.377777777772</v>
      </c>
      <c r="J285" s="139"/>
      <c r="K285" s="139">
        <f>L267+L269+L276+L283+L284+L270+SUM(L281:L281)</f>
        <v>15120.619999999999</v>
      </c>
      <c r="L285" s="139"/>
      <c r="AD285">
        <f>ROUND((Source!AT74/100)*((ROUND(SUMIF(SmtRes!AQ64:'SmtRes'!AQ72,"=1",SmtRes!AD64:'SmtRes'!AD72)*Source!I74, 2)+ROUND(SUMIF(SmtRes!AQ64:'SmtRes'!AQ72,"=1",SmtRes!AC64:'SmtRes'!AC72)*Source!I74, 2))), 2)</f>
        <v>1059.74</v>
      </c>
      <c r="AE285">
        <f>ROUND((Source!AU74/100)*((ROUND(SUMIF(SmtRes!AQ64:'SmtRes'!AQ72,"=1",SmtRes!AD64:'SmtRes'!AD72)*Source!I74, 2)+ROUND(SUMIF(SmtRes!AQ64:'SmtRes'!AQ72,"=1",SmtRes!AC64:'SmtRes'!AC72)*Source!I74, 2))), 2)</f>
        <v>557.19000000000005</v>
      </c>
      <c r="AN285" s="62">
        <f>L267+L269+L276+L283+L284+L270</f>
        <v>15014.49</v>
      </c>
      <c r="AO285" s="62">
        <f>L269</f>
        <v>205.06</v>
      </c>
      <c r="AQ285" t="s">
        <v>564</v>
      </c>
      <c r="AR285" s="62">
        <f>L267</f>
        <v>5306.72</v>
      </c>
      <c r="AT285" s="62">
        <f>L270</f>
        <v>131.06</v>
      </c>
      <c r="AV285" t="s">
        <v>564</v>
      </c>
      <c r="AW285" s="62">
        <f>L276</f>
        <v>1323.73</v>
      </c>
      <c r="AZ285">
        <f>Source!X74</f>
        <v>5274.65</v>
      </c>
      <c r="BA285">
        <f>Source!Y74</f>
        <v>2773.27</v>
      </c>
      <c r="CD285">
        <v>2</v>
      </c>
    </row>
    <row r="286" spans="1:83" ht="42.75" x14ac:dyDescent="0.2">
      <c r="A286" s="66" t="s">
        <v>188</v>
      </c>
      <c r="B286" s="57" t="str">
        <f>Source!F76</f>
        <v>08.3.07.01-0035</v>
      </c>
      <c r="C286" s="57" t="str">
        <f>Source!G76</f>
        <v>Прокат стальной горячекатаный полосовой, марки стали Ст3сп, Ст3пс, размеры 25х4 мм</v>
      </c>
      <c r="D286" s="58" t="str">
        <f>Source!H76</f>
        <v>т</v>
      </c>
      <c r="E286" s="59">
        <f>Source!K76</f>
        <v>3.533E-2</v>
      </c>
      <c r="F286" s="59"/>
      <c r="G286" s="59">
        <f>Source!I76</f>
        <v>3.533E-2</v>
      </c>
      <c r="H286" s="60">
        <f>Source!AL76</f>
        <v>72081.279999999999</v>
      </c>
      <c r="I286" s="61">
        <f>IF(Source!BC76&lt;&gt; 0, Source!BC76, 1)</f>
        <v>0.7</v>
      </c>
      <c r="J286" s="60">
        <f>ROUND(H286*I286, 2)</f>
        <v>50456.9</v>
      </c>
      <c r="K286" s="61"/>
      <c r="L286" s="60">
        <f>Source!P76</f>
        <v>1782.64</v>
      </c>
    </row>
    <row r="287" spans="1:83" ht="15" x14ac:dyDescent="0.2">
      <c r="C287" s="138" t="s">
        <v>563</v>
      </c>
      <c r="D287" s="138"/>
      <c r="E287" s="138"/>
      <c r="F287" s="138"/>
      <c r="G287" s="138"/>
      <c r="H287" s="138"/>
      <c r="I287" s="139">
        <f>IF(E286&lt;&gt;0,K287/E286, 0)</f>
        <v>50456.83555052364</v>
      </c>
      <c r="J287" s="139"/>
      <c r="K287" s="139">
        <f>L286</f>
        <v>1782.64</v>
      </c>
      <c r="L287" s="139"/>
      <c r="AD287">
        <f>ROUND((Source!AT76/100)*((ROUND(ROUND(Source!AO76,2)*Source!I76, 2)+ROUND(ROUND(Source!AN76,2)*Source!I76, 2))), 2)</f>
        <v>0</v>
      </c>
      <c r="AE287">
        <f>ROUND((Source!AU76/100)*((ROUND(ROUND(Source!AO76,2)*Source!I76, 2)+ROUND(ROUND(Source!AN76,2)*Source!I76, 2))), 2)</f>
        <v>0</v>
      </c>
      <c r="AN287" s="62">
        <f>L286</f>
        <v>1782.64</v>
      </c>
      <c r="AO287">
        <f>0</f>
        <v>0</v>
      </c>
      <c r="AQ287" t="s">
        <v>564</v>
      </c>
      <c r="AR287">
        <f>0</f>
        <v>0</v>
      </c>
      <c r="AT287">
        <f>0</f>
        <v>0</v>
      </c>
      <c r="AV287" t="s">
        <v>564</v>
      </c>
      <c r="AW287" s="62">
        <f>L286</f>
        <v>1782.64</v>
      </c>
      <c r="AZ287">
        <f>Source!X76</f>
        <v>0</v>
      </c>
      <c r="BA287">
        <f>Source!Y76</f>
        <v>0</v>
      </c>
      <c r="CD287">
        <v>1</v>
      </c>
    </row>
    <row r="288" spans="1:83" ht="42.75" x14ac:dyDescent="0.2">
      <c r="A288" s="47" t="s">
        <v>192</v>
      </c>
      <c r="B288" s="49" t="s">
        <v>589</v>
      </c>
      <c r="C288" s="49" t="str">
        <f>Source!G77</f>
        <v>Автомат одно-, двух-, трехполюсный, устанавливаемый на конструкции: на стене или колонне, на ток до 25 А</v>
      </c>
      <c r="D288" s="50" t="str">
        <f>Source!H77</f>
        <v>ШТ</v>
      </c>
      <c r="E288" s="51">
        <f>Source!K77</f>
        <v>5</v>
      </c>
      <c r="F288" s="51"/>
      <c r="G288" s="51">
        <f>Source!I77</f>
        <v>5</v>
      </c>
      <c r="H288" s="53"/>
      <c r="I288" s="52"/>
      <c r="J288" s="53"/>
      <c r="K288" s="52"/>
      <c r="L288" s="53"/>
    </row>
    <row r="289" spans="1:83" ht="15" x14ac:dyDescent="0.2">
      <c r="A289" s="48"/>
      <c r="B289" s="51">
        <v>1</v>
      </c>
      <c r="C289" s="48" t="s">
        <v>553</v>
      </c>
      <c r="D289" s="50" t="s">
        <v>382</v>
      </c>
      <c r="E289" s="55"/>
      <c r="F289" s="51"/>
      <c r="G289" s="51">
        <f>Source!U77</f>
        <v>6.7</v>
      </c>
      <c r="H289" s="51"/>
      <c r="I289" s="51"/>
      <c r="J289" s="51"/>
      <c r="K289" s="51"/>
      <c r="L289" s="56">
        <f>SUM(L290:L290)-SUMIF(CE290:CE290, 1, L290:L290)</f>
        <v>4843.3599999999997</v>
      </c>
    </row>
    <row r="290" spans="1:83" ht="14.25" x14ac:dyDescent="0.2">
      <c r="A290" s="49"/>
      <c r="B290" s="49" t="s">
        <v>395</v>
      </c>
      <c r="C290" s="49" t="s">
        <v>396</v>
      </c>
      <c r="D290" s="50" t="s">
        <v>382</v>
      </c>
      <c r="E290" s="51">
        <v>1.34</v>
      </c>
      <c r="F290" s="51"/>
      <c r="G290" s="51">
        <f>SmtRes!CX73</f>
        <v>6.7</v>
      </c>
      <c r="H290" s="53"/>
      <c r="I290" s="52"/>
      <c r="J290" s="53">
        <f>SmtRes!CZ73</f>
        <v>722.89</v>
      </c>
      <c r="K290" s="52"/>
      <c r="L290" s="53">
        <f>SmtRes!DI73</f>
        <v>4843.3599999999997</v>
      </c>
    </row>
    <row r="291" spans="1:83" ht="15" x14ac:dyDescent="0.2">
      <c r="A291" s="48"/>
      <c r="B291" s="51">
        <v>2</v>
      </c>
      <c r="C291" s="48" t="s">
        <v>554</v>
      </c>
      <c r="D291" s="50"/>
      <c r="E291" s="55"/>
      <c r="F291" s="51"/>
      <c r="G291" s="51"/>
      <c r="H291" s="51"/>
      <c r="I291" s="51"/>
      <c r="J291" s="51"/>
      <c r="K291" s="51"/>
      <c r="L291" s="56">
        <f>SUM(L292:L293)-SUMIF(CE292:CE293, 1, L292:L293)</f>
        <v>17.41</v>
      </c>
    </row>
    <row r="292" spans="1:83" ht="15" hidden="1" x14ac:dyDescent="0.2">
      <c r="A292" s="48"/>
      <c r="B292" s="51"/>
      <c r="C292" s="48" t="s">
        <v>556</v>
      </c>
      <c r="D292" s="50" t="s">
        <v>382</v>
      </c>
      <c r="E292" s="55"/>
      <c r="F292" s="51"/>
      <c r="G292" s="51">
        <f>Source!V77</f>
        <v>0</v>
      </c>
      <c r="H292" s="51"/>
      <c r="I292" s="51"/>
      <c r="J292" s="51"/>
      <c r="K292" s="51"/>
      <c r="L292" s="56">
        <f>SUMIF(CE293:CE293, 1, L293:L293)</f>
        <v>0</v>
      </c>
      <c r="CE292">
        <v>1</v>
      </c>
    </row>
    <row r="293" spans="1:83" ht="42.75" x14ac:dyDescent="0.2">
      <c r="A293" s="49"/>
      <c r="B293" s="49" t="s">
        <v>461</v>
      </c>
      <c r="C293" s="49" t="s">
        <v>463</v>
      </c>
      <c r="D293" s="50" t="s">
        <v>386</v>
      </c>
      <c r="E293" s="51">
        <v>0.108</v>
      </c>
      <c r="F293" s="51"/>
      <c r="G293" s="51">
        <f>SmtRes!CX74</f>
        <v>0.54</v>
      </c>
      <c r="H293" s="53"/>
      <c r="I293" s="52"/>
      <c r="J293" s="53">
        <f>SmtRes!CZ74</f>
        <v>32.24</v>
      </c>
      <c r="K293" s="52"/>
      <c r="L293" s="53">
        <f>SmtRes!DG74</f>
        <v>17.41</v>
      </c>
    </row>
    <row r="294" spans="1:83" ht="15" x14ac:dyDescent="0.2">
      <c r="A294" s="48"/>
      <c r="B294" s="51">
        <v>4</v>
      </c>
      <c r="C294" s="48" t="s">
        <v>557</v>
      </c>
      <c r="D294" s="50"/>
      <c r="E294" s="55"/>
      <c r="F294" s="51"/>
      <c r="G294" s="51"/>
      <c r="H294" s="51"/>
      <c r="I294" s="51"/>
      <c r="J294" s="51"/>
      <c r="K294" s="51"/>
      <c r="L294" s="56">
        <f>SUM(L295:L306)-SUMIF(CE295:CE306, 1, L295:L306)</f>
        <v>1480.69</v>
      </c>
    </row>
    <row r="295" spans="1:83" ht="14.25" x14ac:dyDescent="0.2">
      <c r="A295" s="49"/>
      <c r="B295" s="49" t="s">
        <v>473</v>
      </c>
      <c r="C295" s="49" t="s">
        <v>475</v>
      </c>
      <c r="D295" s="50" t="s">
        <v>424</v>
      </c>
      <c r="E295" s="51">
        <v>6.0000000000000001E-3</v>
      </c>
      <c r="F295" s="51"/>
      <c r="G295" s="51">
        <f>SmtRes!CX75</f>
        <v>0.03</v>
      </c>
      <c r="H295" s="53">
        <f>SmtRes!CZ75</f>
        <v>150.04</v>
      </c>
      <c r="I295" s="52">
        <f>SmtRes!AI75</f>
        <v>1.59</v>
      </c>
      <c r="J295" s="53">
        <f>ROUND(H295*I295, 2)</f>
        <v>238.56</v>
      </c>
      <c r="K295" s="52"/>
      <c r="L295" s="53">
        <f>SmtRes!DF75</f>
        <v>7.16</v>
      </c>
    </row>
    <row r="296" spans="1:83" ht="14.25" x14ac:dyDescent="0.2">
      <c r="A296" s="49"/>
      <c r="B296" s="49" t="s">
        <v>476</v>
      </c>
      <c r="C296" s="49" t="s">
        <v>478</v>
      </c>
      <c r="D296" s="50" t="s">
        <v>424</v>
      </c>
      <c r="E296" s="51">
        <v>1E-3</v>
      </c>
      <c r="F296" s="51"/>
      <c r="G296" s="51">
        <f>SmtRes!CX76</f>
        <v>5.0000000000000001E-3</v>
      </c>
      <c r="H296" s="53">
        <f>SmtRes!CZ76</f>
        <v>187.38</v>
      </c>
      <c r="I296" s="52">
        <f>SmtRes!AI76</f>
        <v>0.87</v>
      </c>
      <c r="J296" s="53">
        <f>ROUND(H296*I296, 2)</f>
        <v>163.02000000000001</v>
      </c>
      <c r="K296" s="52"/>
      <c r="L296" s="53">
        <f>SmtRes!DF76</f>
        <v>0.82</v>
      </c>
    </row>
    <row r="297" spans="1:83" ht="14.25" x14ac:dyDescent="0.2">
      <c r="A297" s="49"/>
      <c r="B297" s="49" t="s">
        <v>388</v>
      </c>
      <c r="C297" s="49" t="s">
        <v>390</v>
      </c>
      <c r="D297" s="50" t="s">
        <v>391</v>
      </c>
      <c r="E297" s="51">
        <v>2.0799999999999999E-2</v>
      </c>
      <c r="F297" s="51"/>
      <c r="G297" s="51">
        <f>SmtRes!CX77</f>
        <v>0.104</v>
      </c>
      <c r="H297" s="53"/>
      <c r="I297" s="52"/>
      <c r="J297" s="53">
        <f>SmtRes!CZ77</f>
        <v>6.92</v>
      </c>
      <c r="K297" s="52"/>
      <c r="L297" s="53">
        <f>SmtRes!DF77</f>
        <v>0.72</v>
      </c>
    </row>
    <row r="298" spans="1:83" ht="71.25" x14ac:dyDescent="0.2">
      <c r="A298" s="49"/>
      <c r="B298" s="49" t="s">
        <v>414</v>
      </c>
      <c r="C298" s="49" t="s">
        <v>416</v>
      </c>
      <c r="D298" s="50" t="s">
        <v>31</v>
      </c>
      <c r="E298" s="51">
        <v>1</v>
      </c>
      <c r="F298" s="51"/>
      <c r="G298" s="51">
        <f>SmtRes!CX78</f>
        <v>5</v>
      </c>
      <c r="H298" s="53">
        <f>SmtRes!CZ78</f>
        <v>5.87</v>
      </c>
      <c r="I298" s="52">
        <f>SmtRes!AI78</f>
        <v>0.87</v>
      </c>
      <c r="J298" s="53">
        <f t="shared" ref="J298:J306" si="0">ROUND(H298*I298, 2)</f>
        <v>5.1100000000000003</v>
      </c>
      <c r="K298" s="52"/>
      <c r="L298" s="53">
        <f>SmtRes!DF78</f>
        <v>25.55</v>
      </c>
    </row>
    <row r="299" spans="1:83" ht="57" x14ac:dyDescent="0.2">
      <c r="A299" s="49"/>
      <c r="B299" s="49" t="s">
        <v>464</v>
      </c>
      <c r="C299" s="49" t="s">
        <v>466</v>
      </c>
      <c r="D299" s="50" t="s">
        <v>424</v>
      </c>
      <c r="E299" s="51">
        <v>7.0000000000000007E-2</v>
      </c>
      <c r="F299" s="51"/>
      <c r="G299" s="51">
        <f>SmtRes!CX79</f>
        <v>0.35</v>
      </c>
      <c r="H299" s="53">
        <f>SmtRes!CZ79</f>
        <v>155.63</v>
      </c>
      <c r="I299" s="52">
        <f>SmtRes!AI79</f>
        <v>0.77</v>
      </c>
      <c r="J299" s="53">
        <f t="shared" si="0"/>
        <v>119.84</v>
      </c>
      <c r="K299" s="52"/>
      <c r="L299" s="53">
        <f>SmtRes!DF79</f>
        <v>41.94</v>
      </c>
    </row>
    <row r="300" spans="1:83" ht="28.5" x14ac:dyDescent="0.2">
      <c r="A300" s="49"/>
      <c r="B300" s="49" t="s">
        <v>455</v>
      </c>
      <c r="C300" s="49" t="s">
        <v>457</v>
      </c>
      <c r="D300" s="50" t="s">
        <v>424</v>
      </c>
      <c r="E300" s="51">
        <v>4.9000000000000002E-2</v>
      </c>
      <c r="F300" s="51"/>
      <c r="G300" s="51">
        <f>SmtRes!CX80</f>
        <v>0.245</v>
      </c>
      <c r="H300" s="53">
        <f>SmtRes!CZ80</f>
        <v>174.93</v>
      </c>
      <c r="I300" s="52">
        <f>SmtRes!AI80</f>
        <v>1.08</v>
      </c>
      <c r="J300" s="53">
        <f t="shared" si="0"/>
        <v>188.92</v>
      </c>
      <c r="K300" s="52"/>
      <c r="L300" s="53">
        <f>SmtRes!DF80</f>
        <v>46.29</v>
      </c>
    </row>
    <row r="301" spans="1:83" ht="14.25" x14ac:dyDescent="0.2">
      <c r="A301" s="49"/>
      <c r="B301" s="49" t="s">
        <v>436</v>
      </c>
      <c r="C301" s="49" t="s">
        <v>438</v>
      </c>
      <c r="D301" s="50" t="s">
        <v>56</v>
      </c>
      <c r="E301" s="51">
        <v>1.4E-2</v>
      </c>
      <c r="F301" s="51"/>
      <c r="G301" s="51">
        <f>SmtRes!CX81</f>
        <v>7.0000000000000007E-2</v>
      </c>
      <c r="H301" s="53">
        <f>SmtRes!CZ81</f>
        <v>41.71</v>
      </c>
      <c r="I301" s="52">
        <f>SmtRes!AI81</f>
        <v>1.31</v>
      </c>
      <c r="J301" s="53">
        <f t="shared" si="0"/>
        <v>54.64</v>
      </c>
      <c r="K301" s="52"/>
      <c r="L301" s="53">
        <f>SmtRes!DF81</f>
        <v>3.82</v>
      </c>
    </row>
    <row r="302" spans="1:83" ht="14.25" x14ac:dyDescent="0.2">
      <c r="A302" s="49"/>
      <c r="B302" s="49" t="s">
        <v>479</v>
      </c>
      <c r="C302" s="49" t="s">
        <v>481</v>
      </c>
      <c r="D302" s="50" t="s">
        <v>424</v>
      </c>
      <c r="E302" s="51">
        <v>1E-3</v>
      </c>
      <c r="F302" s="51"/>
      <c r="G302" s="51">
        <f>SmtRes!CX82</f>
        <v>5.0000000000000001E-3</v>
      </c>
      <c r="H302" s="53">
        <f>SmtRes!CZ82</f>
        <v>395.65</v>
      </c>
      <c r="I302" s="52">
        <f>SmtRes!AI82</f>
        <v>1.6</v>
      </c>
      <c r="J302" s="53">
        <f t="shared" si="0"/>
        <v>633.04</v>
      </c>
      <c r="K302" s="52"/>
      <c r="L302" s="53">
        <f>SmtRes!DF82</f>
        <v>3.17</v>
      </c>
    </row>
    <row r="303" spans="1:83" ht="42.75" x14ac:dyDescent="0.2">
      <c r="A303" s="49"/>
      <c r="B303" s="49" t="s">
        <v>482</v>
      </c>
      <c r="C303" s="49" t="s">
        <v>484</v>
      </c>
      <c r="D303" s="50" t="s">
        <v>126</v>
      </c>
      <c r="E303" s="51">
        <v>1E-3</v>
      </c>
      <c r="F303" s="51"/>
      <c r="G303" s="51">
        <f>SmtRes!CX83</f>
        <v>5.0000000000000001E-3</v>
      </c>
      <c r="H303" s="53">
        <f>SmtRes!CZ83</f>
        <v>105278.81</v>
      </c>
      <c r="I303" s="52">
        <f>SmtRes!AI83</f>
        <v>1.28</v>
      </c>
      <c r="J303" s="53">
        <f t="shared" si="0"/>
        <v>134756.88</v>
      </c>
      <c r="K303" s="52"/>
      <c r="L303" s="53">
        <f>SmtRes!DF83</f>
        <v>673.78</v>
      </c>
    </row>
    <row r="304" spans="1:83" ht="28.5" x14ac:dyDescent="0.2">
      <c r="A304" s="49"/>
      <c r="B304" s="49" t="s">
        <v>421</v>
      </c>
      <c r="C304" s="49" t="s">
        <v>423</v>
      </c>
      <c r="D304" s="50" t="s">
        <v>424</v>
      </c>
      <c r="E304" s="51">
        <v>3.5999999999999997E-2</v>
      </c>
      <c r="F304" s="51"/>
      <c r="G304" s="51">
        <f>SmtRes!CX84</f>
        <v>0.18</v>
      </c>
      <c r="H304" s="53">
        <f>SmtRes!CZ84</f>
        <v>79.88</v>
      </c>
      <c r="I304" s="52">
        <f>SmtRes!AI84</f>
        <v>1.38</v>
      </c>
      <c r="J304" s="53">
        <f t="shared" si="0"/>
        <v>110.23</v>
      </c>
      <c r="K304" s="52"/>
      <c r="L304" s="53">
        <f>SmtRes!DF84</f>
        <v>19.84</v>
      </c>
    </row>
    <row r="305" spans="1:82" ht="14.25" x14ac:dyDescent="0.2">
      <c r="A305" s="49"/>
      <c r="B305" s="49" t="s">
        <v>485</v>
      </c>
      <c r="C305" s="49" t="s">
        <v>487</v>
      </c>
      <c r="D305" s="50" t="s">
        <v>424</v>
      </c>
      <c r="E305" s="51">
        <v>6.0000000000000001E-3</v>
      </c>
      <c r="F305" s="51"/>
      <c r="G305" s="51">
        <f>SmtRes!CX85</f>
        <v>0.03</v>
      </c>
      <c r="H305" s="53">
        <f>SmtRes!CZ85</f>
        <v>157.44</v>
      </c>
      <c r="I305" s="52">
        <f>SmtRes!AI85</f>
        <v>1.22</v>
      </c>
      <c r="J305" s="53">
        <f t="shared" si="0"/>
        <v>192.08</v>
      </c>
      <c r="K305" s="52"/>
      <c r="L305" s="53">
        <f>SmtRes!DF85</f>
        <v>5.76</v>
      </c>
    </row>
    <row r="306" spans="1:82" ht="14.25" x14ac:dyDescent="0.2">
      <c r="A306" s="49"/>
      <c r="B306" s="49" t="s">
        <v>488</v>
      </c>
      <c r="C306" s="57" t="s">
        <v>490</v>
      </c>
      <c r="D306" s="58" t="s">
        <v>39</v>
      </c>
      <c r="E306" s="59">
        <v>0.1</v>
      </c>
      <c r="F306" s="59"/>
      <c r="G306" s="59">
        <f>SmtRes!CX86</f>
        <v>0.5</v>
      </c>
      <c r="H306" s="60">
        <f>SmtRes!CZ86</f>
        <v>944.69</v>
      </c>
      <c r="I306" s="61">
        <f>SmtRes!AI86</f>
        <v>1.38</v>
      </c>
      <c r="J306" s="60">
        <f t="shared" si="0"/>
        <v>1303.67</v>
      </c>
      <c r="K306" s="61"/>
      <c r="L306" s="60">
        <f>SmtRes!DF86</f>
        <v>651.84</v>
      </c>
    </row>
    <row r="307" spans="1:82" ht="15" x14ac:dyDescent="0.2">
      <c r="A307" s="49"/>
      <c r="B307" s="49"/>
      <c r="C307" s="64" t="s">
        <v>558</v>
      </c>
      <c r="D307" s="50"/>
      <c r="E307" s="51"/>
      <c r="F307" s="51"/>
      <c r="G307" s="51"/>
      <c r="H307" s="53"/>
      <c r="I307" s="52"/>
      <c r="J307" s="53"/>
      <c r="K307" s="52"/>
      <c r="L307" s="53">
        <f>L289+L291+L292+L294</f>
        <v>6341.4599999999991</v>
      </c>
    </row>
    <row r="308" spans="1:82" ht="57" x14ac:dyDescent="0.2">
      <c r="A308" s="47" t="s">
        <v>590</v>
      </c>
      <c r="B308" s="49" t="str">
        <f>Source!F78</f>
        <v>421/пр_2020_п.75_пп.а</v>
      </c>
      <c r="C308" s="49" t="str">
        <f>Source!G78</f>
        <v>Сметная стоимость вспомогательных ненормируемых материальных ресурсов, не учтенная в сметной норме, 2%</v>
      </c>
      <c r="D308" s="50" t="str">
        <f>Source!H78</f>
        <v>%</v>
      </c>
      <c r="E308" s="51">
        <f>SmtRes!AT87</f>
        <v>2</v>
      </c>
      <c r="F308" s="51"/>
      <c r="G308" s="51">
        <f>Source!I78</f>
        <v>2</v>
      </c>
      <c r="H308" s="53"/>
      <c r="I308" s="52"/>
      <c r="J308" s="53"/>
      <c r="K308" s="52"/>
      <c r="L308" s="53">
        <f>Source!P78</f>
        <v>96.87</v>
      </c>
      <c r="AD308">
        <f>ROUND((Source!AT78/100)*((ROUND(0*Source!I78, 2)+ROUND(0*Source!I78, 2))), 2)</f>
        <v>0</v>
      </c>
      <c r="AE308">
        <f>ROUND((Source!AU78/100)*((ROUND(0*Source!I78, 2)+ROUND(0*Source!I78, 2))), 2)</f>
        <v>0</v>
      </c>
      <c r="AN308">
        <f>L308</f>
        <v>96.87</v>
      </c>
      <c r="AW308">
        <f>L308</f>
        <v>96.87</v>
      </c>
      <c r="AZ308">
        <f>Source!X78</f>
        <v>0</v>
      </c>
      <c r="BA308">
        <f>Source!Y78</f>
        <v>0</v>
      </c>
      <c r="CD308">
        <v>2</v>
      </c>
    </row>
    <row r="309" spans="1:82" ht="14.25" x14ac:dyDescent="0.2">
      <c r="A309" s="49"/>
      <c r="B309" s="49"/>
      <c r="C309" s="49" t="s">
        <v>560</v>
      </c>
      <c r="D309" s="50"/>
      <c r="E309" s="51"/>
      <c r="F309" s="51"/>
      <c r="G309" s="51"/>
      <c r="H309" s="53"/>
      <c r="I309" s="52"/>
      <c r="J309" s="53"/>
      <c r="K309" s="52"/>
      <c r="L309" s="53">
        <f>SUM(AR288:AR312)+SUM(AS288:AS312)+SUM(AT288:AT312)+SUM(AU288:AU312)+SUM(AV288:AV312)</f>
        <v>4843.3599999999997</v>
      </c>
    </row>
    <row r="310" spans="1:82" ht="28.5" x14ac:dyDescent="0.2">
      <c r="A310" s="49"/>
      <c r="B310" s="49" t="s">
        <v>22</v>
      </c>
      <c r="C310" s="49" t="s">
        <v>561</v>
      </c>
      <c r="D310" s="50" t="s">
        <v>27</v>
      </c>
      <c r="E310" s="51">
        <f>Source!BZ77</f>
        <v>97</v>
      </c>
      <c r="F310" s="51"/>
      <c r="G310" s="51">
        <f>Source!AT77</f>
        <v>97</v>
      </c>
      <c r="H310" s="53"/>
      <c r="I310" s="52"/>
      <c r="J310" s="53"/>
      <c r="K310" s="52"/>
      <c r="L310" s="53">
        <f>SUM(AZ288:AZ312)</f>
        <v>4698.0600000000004</v>
      </c>
    </row>
    <row r="311" spans="1:82" ht="28.5" x14ac:dyDescent="0.2">
      <c r="A311" s="57"/>
      <c r="B311" s="57" t="s">
        <v>23</v>
      </c>
      <c r="C311" s="57" t="s">
        <v>562</v>
      </c>
      <c r="D311" s="58" t="s">
        <v>27</v>
      </c>
      <c r="E311" s="59">
        <f>Source!CA77</f>
        <v>51</v>
      </c>
      <c r="F311" s="59"/>
      <c r="G311" s="59">
        <f>Source!AU77</f>
        <v>51</v>
      </c>
      <c r="H311" s="60"/>
      <c r="I311" s="61"/>
      <c r="J311" s="60"/>
      <c r="K311" s="61"/>
      <c r="L311" s="60">
        <f>SUM(BA288:BA312)</f>
        <v>2470.11</v>
      </c>
    </row>
    <row r="312" spans="1:82" ht="15" x14ac:dyDescent="0.2">
      <c r="C312" s="138" t="s">
        <v>563</v>
      </c>
      <c r="D312" s="138"/>
      <c r="E312" s="138"/>
      <c r="F312" s="138"/>
      <c r="G312" s="138"/>
      <c r="H312" s="138"/>
      <c r="I312" s="139">
        <f>IF(E288&lt;&gt;0,K312/E288, 0)</f>
        <v>2721.3</v>
      </c>
      <c r="J312" s="139"/>
      <c r="K312" s="139">
        <f>L289+L291+L294+L310+L311+L292+SUM(L308:L308)</f>
        <v>13606.500000000002</v>
      </c>
      <c r="L312" s="139"/>
      <c r="AD312">
        <f>ROUND((Source!AT77/100)*((ROUND(SUMIF(SmtRes!AQ73:'SmtRes'!AQ87,"=1",SmtRes!AD73:'SmtRes'!AD87)*Source!I77, 2)+ROUND(SUMIF(SmtRes!AQ73:'SmtRes'!AQ87,"=1",SmtRes!AC73:'SmtRes'!AC87)*Source!I77, 2))), 2)</f>
        <v>3506.02</v>
      </c>
      <c r="AE312">
        <f>ROUND((Source!AU77/100)*((ROUND(SUMIF(SmtRes!AQ73:'SmtRes'!AQ87,"=1",SmtRes!AD73:'SmtRes'!AD87)*Source!I77, 2)+ROUND(SUMIF(SmtRes!AQ73:'SmtRes'!AQ87,"=1",SmtRes!AC73:'SmtRes'!AC87)*Source!I77, 2))), 2)</f>
        <v>1843.37</v>
      </c>
      <c r="AN312" s="62">
        <f>L289+L291+L294+L310+L311+L292</f>
        <v>13509.630000000001</v>
      </c>
      <c r="AO312" s="62">
        <f>L291</f>
        <v>17.41</v>
      </c>
      <c r="AQ312" t="s">
        <v>564</v>
      </c>
      <c r="AR312" s="62">
        <f>L289</f>
        <v>4843.3599999999997</v>
      </c>
      <c r="AT312" s="62">
        <f>L292</f>
        <v>0</v>
      </c>
      <c r="AV312" t="s">
        <v>564</v>
      </c>
      <c r="AW312" s="62">
        <f>L294</f>
        <v>1480.69</v>
      </c>
      <c r="AZ312">
        <f>Source!X77</f>
        <v>4698.0600000000004</v>
      </c>
      <c r="BA312">
        <f>Source!Y77</f>
        <v>2470.11</v>
      </c>
      <c r="CD312">
        <v>2</v>
      </c>
    </row>
    <row r="313" spans="1:82" ht="28.5" x14ac:dyDescent="0.2">
      <c r="A313" s="66" t="s">
        <v>197</v>
      </c>
      <c r="B313" s="57" t="str">
        <f>Source!F79</f>
        <v>19.1.01.13-0037</v>
      </c>
      <c r="C313" s="57" t="str">
        <f>Source!G79</f>
        <v>Уголок стальной оцинкованный /прим Держатель zeta50110 К188 У2 шин </v>
      </c>
      <c r="D313" s="58" t="str">
        <f>Source!H79</f>
        <v>ШТ</v>
      </c>
      <c r="E313" s="59">
        <f>Source!K79</f>
        <v>90</v>
      </c>
      <c r="F313" s="59"/>
      <c r="G313" s="59">
        <f>Source!I79</f>
        <v>90</v>
      </c>
      <c r="H313" s="60">
        <f>Source!AL79</f>
        <v>13.28</v>
      </c>
      <c r="I313" s="61">
        <f>IF(Source!BC79&lt;&gt; 0, Source!BC79, 1)</f>
        <v>1.06</v>
      </c>
      <c r="J313" s="60">
        <f>ROUND(H313*I313, 2)</f>
        <v>14.08</v>
      </c>
      <c r="K313" s="61"/>
      <c r="L313" s="60">
        <f>Source!P79</f>
        <v>1267.2</v>
      </c>
    </row>
    <row r="314" spans="1:82" ht="15" x14ac:dyDescent="0.2">
      <c r="C314" s="138" t="s">
        <v>563</v>
      </c>
      <c r="D314" s="138"/>
      <c r="E314" s="138"/>
      <c r="F314" s="138"/>
      <c r="G314" s="138"/>
      <c r="H314" s="138"/>
      <c r="I314" s="139">
        <f>IF(E313&lt;&gt;0,K314/E313, 0)</f>
        <v>14.08</v>
      </c>
      <c r="J314" s="139"/>
      <c r="K314" s="139">
        <f>L313</f>
        <v>1267.2</v>
      </c>
      <c r="L314" s="139"/>
      <c r="AD314">
        <f>ROUND((Source!AT79/100)*((ROUND(ROUND(Source!AO79,2)*Source!I79, 2)+ROUND(ROUND(Source!AN79,2)*Source!I79, 2))), 2)</f>
        <v>0</v>
      </c>
      <c r="AE314">
        <f>ROUND((Source!AU79/100)*((ROUND(ROUND(Source!AO79,2)*Source!I79, 2)+ROUND(ROUND(Source!AN79,2)*Source!I79, 2))), 2)</f>
        <v>0</v>
      </c>
      <c r="AN314" s="62">
        <f>L313</f>
        <v>1267.2</v>
      </c>
      <c r="AO314">
        <f>0</f>
        <v>0</v>
      </c>
      <c r="AQ314" t="s">
        <v>564</v>
      </c>
      <c r="AR314">
        <f>0</f>
        <v>0</v>
      </c>
      <c r="AT314">
        <f>0</f>
        <v>0</v>
      </c>
      <c r="AV314" t="s">
        <v>564</v>
      </c>
      <c r="AW314" s="62">
        <f>L313</f>
        <v>1267.2</v>
      </c>
      <c r="AZ314">
        <f>Source!X79</f>
        <v>0</v>
      </c>
      <c r="BA314">
        <f>Source!Y79</f>
        <v>0</v>
      </c>
      <c r="CD314">
        <v>1</v>
      </c>
    </row>
    <row r="315" spans="1:82" ht="42.75" x14ac:dyDescent="0.2">
      <c r="A315" s="70" t="s">
        <v>201</v>
      </c>
      <c r="B315" s="71" t="str">
        <f>Source!F80</f>
        <v>62.1.01.09-1118</v>
      </c>
      <c r="C315" s="71" t="s">
        <v>591</v>
      </c>
      <c r="D315" s="72" t="str">
        <f>Source!H80</f>
        <v>ШТ</v>
      </c>
      <c r="E315" s="73">
        <f>Source!K80</f>
        <v>2</v>
      </c>
      <c r="F315" s="73"/>
      <c r="G315" s="73">
        <f>Source!I80</f>
        <v>2</v>
      </c>
      <c r="H315" s="74">
        <f>Source!AL80</f>
        <v>255.04</v>
      </c>
      <c r="I315" s="75">
        <f>IF(Source!BC80&lt;&gt; 0, Source!BC80, 1)</f>
        <v>1.1399999999999999</v>
      </c>
      <c r="J315" s="74">
        <f>ROUND(H315*I315, 2)</f>
        <v>290.75</v>
      </c>
      <c r="K315" s="75"/>
      <c r="L315" s="74">
        <f>Source!P80</f>
        <v>581.5</v>
      </c>
    </row>
    <row r="316" spans="1:82" ht="15" x14ac:dyDescent="0.2">
      <c r="A316" s="69"/>
      <c r="B316" s="69"/>
      <c r="C316" s="143" t="s">
        <v>563</v>
      </c>
      <c r="D316" s="143"/>
      <c r="E316" s="143"/>
      <c r="F316" s="143"/>
      <c r="G316" s="143"/>
      <c r="H316" s="143"/>
      <c r="I316" s="144">
        <f>IF(E315&lt;&gt;0,K316/E315, 0)</f>
        <v>290.75</v>
      </c>
      <c r="J316" s="144"/>
      <c r="K316" s="144">
        <f>L315</f>
        <v>581.5</v>
      </c>
      <c r="L316" s="144"/>
      <c r="AD316">
        <f>ROUND((Source!AT80/100)*((ROUND(ROUND(Source!AO80,2)*Source!I80, 2)+ROUND(ROUND(Source!AN80,2)*Source!I80, 2))), 2)</f>
        <v>0</v>
      </c>
      <c r="AE316">
        <f>ROUND((Source!AU80/100)*((ROUND(ROUND(Source!AO80,2)*Source!I80, 2)+ROUND(ROUND(Source!AN80,2)*Source!I80, 2))), 2)</f>
        <v>0</v>
      </c>
      <c r="AN316" s="62">
        <f>L315</f>
        <v>581.5</v>
      </c>
      <c r="AO316">
        <f>0</f>
        <v>0</v>
      </c>
      <c r="AQ316" t="s">
        <v>564</v>
      </c>
      <c r="AR316">
        <f>0</f>
        <v>0</v>
      </c>
      <c r="AT316">
        <f>0</f>
        <v>0</v>
      </c>
      <c r="AV316" t="s">
        <v>564</v>
      </c>
      <c r="AW316" s="62">
        <f>L315</f>
        <v>581.5</v>
      </c>
      <c r="AZ316">
        <f>Source!X80</f>
        <v>0</v>
      </c>
      <c r="BA316">
        <f>Source!Y80</f>
        <v>0</v>
      </c>
      <c r="BK316" s="62">
        <f>L315</f>
        <v>581.5</v>
      </c>
      <c r="CD316">
        <v>3</v>
      </c>
    </row>
    <row r="317" spans="1:82" ht="42.75" x14ac:dyDescent="0.2">
      <c r="A317" s="70" t="s">
        <v>208</v>
      </c>
      <c r="B317" s="71" t="str">
        <f>Source!F81</f>
        <v>62.1.01.09-1122</v>
      </c>
      <c r="C317" s="71" t="s">
        <v>592</v>
      </c>
      <c r="D317" s="72" t="str">
        <f>Source!H81</f>
        <v>ШТ</v>
      </c>
      <c r="E317" s="73">
        <f>Source!K81</f>
        <v>2</v>
      </c>
      <c r="F317" s="73"/>
      <c r="G317" s="73">
        <f>Source!I81</f>
        <v>2</v>
      </c>
      <c r="H317" s="74">
        <f>Source!AL81</f>
        <v>237.4</v>
      </c>
      <c r="I317" s="75">
        <f>IF(Source!BC81&lt;&gt; 0, Source!BC81, 1)</f>
        <v>1.1399999999999999</v>
      </c>
      <c r="J317" s="74">
        <f>ROUND(H317*I317, 2)</f>
        <v>270.64</v>
      </c>
      <c r="K317" s="75"/>
      <c r="L317" s="74">
        <f>Source!P81</f>
        <v>541.28</v>
      </c>
    </row>
    <row r="318" spans="1:82" ht="15" x14ac:dyDescent="0.2">
      <c r="A318" s="69"/>
      <c r="B318" s="69"/>
      <c r="C318" s="143" t="s">
        <v>563</v>
      </c>
      <c r="D318" s="143"/>
      <c r="E318" s="143"/>
      <c r="F318" s="143"/>
      <c r="G318" s="143"/>
      <c r="H318" s="143"/>
      <c r="I318" s="144">
        <f>IF(E317&lt;&gt;0,K318/E317, 0)</f>
        <v>270.64</v>
      </c>
      <c r="J318" s="144"/>
      <c r="K318" s="144">
        <f>L317</f>
        <v>541.28</v>
      </c>
      <c r="L318" s="144"/>
      <c r="AD318">
        <f>ROUND((Source!AT81/100)*((ROUND(ROUND(Source!AO81,2)*Source!I81, 2)+ROUND(ROUND(Source!AN81,2)*Source!I81, 2))), 2)</f>
        <v>0</v>
      </c>
      <c r="AE318">
        <f>ROUND((Source!AU81/100)*((ROUND(ROUND(Source!AO81,2)*Source!I81, 2)+ROUND(ROUND(Source!AN81,2)*Source!I81, 2))), 2)</f>
        <v>0</v>
      </c>
      <c r="AN318" s="62">
        <f>L317</f>
        <v>541.28</v>
      </c>
      <c r="AO318">
        <f>0</f>
        <v>0</v>
      </c>
      <c r="AQ318" t="s">
        <v>564</v>
      </c>
      <c r="AR318">
        <f>0</f>
        <v>0</v>
      </c>
      <c r="AT318">
        <f>0</f>
        <v>0</v>
      </c>
      <c r="AV318" t="s">
        <v>564</v>
      </c>
      <c r="AW318" s="62">
        <f>L317</f>
        <v>541.28</v>
      </c>
      <c r="AZ318">
        <f>Source!X81</f>
        <v>0</v>
      </c>
      <c r="BA318">
        <f>Source!Y81</f>
        <v>0</v>
      </c>
      <c r="BK318" s="62">
        <f>L317</f>
        <v>541.28</v>
      </c>
      <c r="CD318">
        <v>3</v>
      </c>
    </row>
    <row r="319" spans="1:82" ht="42.75" x14ac:dyDescent="0.2">
      <c r="A319" s="70" t="s">
        <v>212</v>
      </c>
      <c r="B319" s="71" t="str">
        <f>Source!F82</f>
        <v>62.1.05.03-1658</v>
      </c>
      <c r="C319" s="71" t="s">
        <v>593</v>
      </c>
      <c r="D319" s="72" t="str">
        <f>Source!H82</f>
        <v>ШТ</v>
      </c>
      <c r="E319" s="73">
        <f>Source!K82</f>
        <v>1</v>
      </c>
      <c r="F319" s="73"/>
      <c r="G319" s="73">
        <f>Source!I82</f>
        <v>1</v>
      </c>
      <c r="H319" s="74">
        <f>Source!AL82</f>
        <v>1281.67</v>
      </c>
      <c r="I319" s="75">
        <f>IF(Source!BC82&lt;&gt; 0, Source!BC82, 1)</f>
        <v>1.08</v>
      </c>
      <c r="J319" s="74">
        <f>ROUND(H319*I319, 2)</f>
        <v>1384.2</v>
      </c>
      <c r="K319" s="75"/>
      <c r="L319" s="74">
        <f>Source!P82</f>
        <v>1384.2</v>
      </c>
    </row>
    <row r="320" spans="1:82" ht="15" x14ac:dyDescent="0.2">
      <c r="A320" s="69"/>
      <c r="B320" s="69"/>
      <c r="C320" s="143" t="s">
        <v>563</v>
      </c>
      <c r="D320" s="143"/>
      <c r="E320" s="143"/>
      <c r="F320" s="143"/>
      <c r="G320" s="143"/>
      <c r="H320" s="143"/>
      <c r="I320" s="144">
        <f>IF(E319&lt;&gt;0,K320/E319, 0)</f>
        <v>1384.2</v>
      </c>
      <c r="J320" s="144"/>
      <c r="K320" s="144">
        <f>L319</f>
        <v>1384.2</v>
      </c>
      <c r="L320" s="144"/>
      <c r="AD320">
        <f>ROUND((Source!AT82/100)*((ROUND(ROUND(Source!AO82,2)*Source!I82, 2)+ROUND(ROUND(Source!AN82,2)*Source!I82, 2))), 2)</f>
        <v>0</v>
      </c>
      <c r="AE320">
        <f>ROUND((Source!AU82/100)*((ROUND(ROUND(Source!AO82,2)*Source!I82, 2)+ROUND(ROUND(Source!AN82,2)*Source!I82, 2))), 2)</f>
        <v>0</v>
      </c>
      <c r="AN320" s="62">
        <f>L319</f>
        <v>1384.2</v>
      </c>
      <c r="AO320">
        <f>0</f>
        <v>0</v>
      </c>
      <c r="AQ320" t="s">
        <v>564</v>
      </c>
      <c r="AR320">
        <f>0</f>
        <v>0</v>
      </c>
      <c r="AT320">
        <f>0</f>
        <v>0</v>
      </c>
      <c r="AV320" t="s">
        <v>564</v>
      </c>
      <c r="AW320" s="62">
        <f>L319</f>
        <v>1384.2</v>
      </c>
      <c r="AZ320">
        <f>Source!X82</f>
        <v>0</v>
      </c>
      <c r="BA320">
        <f>Source!Y82</f>
        <v>0</v>
      </c>
      <c r="BK320" s="62">
        <f>L319</f>
        <v>1384.2</v>
      </c>
      <c r="CD320">
        <v>3</v>
      </c>
    </row>
    <row r="322" spans="1:12" ht="15" x14ac:dyDescent="0.2">
      <c r="A322" s="77"/>
      <c r="B322" s="78"/>
      <c r="C322" s="147" t="s">
        <v>594</v>
      </c>
      <c r="D322" s="147"/>
      <c r="E322" s="147"/>
      <c r="F322" s="147"/>
      <c r="G322" s="147"/>
      <c r="H322" s="147"/>
      <c r="I322" s="56"/>
      <c r="J322" s="77"/>
      <c r="K322" s="79"/>
      <c r="L322" s="56">
        <f>L324+L325+L331+L335</f>
        <v>127013.42</v>
      </c>
    </row>
    <row r="323" spans="1:12" ht="14.25" x14ac:dyDescent="0.2">
      <c r="A323" s="65"/>
      <c r="B323" s="76"/>
      <c r="C323" s="145" t="s">
        <v>595</v>
      </c>
      <c r="D323" s="146"/>
      <c r="E323" s="146"/>
      <c r="F323" s="146"/>
      <c r="G323" s="146"/>
      <c r="H323" s="146"/>
      <c r="I323" s="53"/>
      <c r="J323" s="65"/>
      <c r="K323" s="51"/>
      <c r="L323" s="53"/>
    </row>
    <row r="324" spans="1:12" ht="14.25" x14ac:dyDescent="0.2">
      <c r="A324" s="65"/>
      <c r="B324" s="76"/>
      <c r="C324" s="146" t="s">
        <v>596</v>
      </c>
      <c r="D324" s="146"/>
      <c r="E324" s="146"/>
      <c r="F324" s="146"/>
      <c r="G324" s="146"/>
      <c r="H324" s="146"/>
      <c r="I324" s="53"/>
      <c r="J324" s="65"/>
      <c r="K324" s="51"/>
      <c r="L324" s="53">
        <f>SUM(AR61:AR320)</f>
        <v>59077.89</v>
      </c>
    </row>
    <row r="325" spans="1:12" ht="14.25" hidden="1" x14ac:dyDescent="0.2">
      <c r="A325" s="65"/>
      <c r="B325" s="76"/>
      <c r="C325" s="146" t="s">
        <v>597</v>
      </c>
      <c r="D325" s="146"/>
      <c r="E325" s="146"/>
      <c r="F325" s="146"/>
      <c r="G325" s="146"/>
      <c r="H325" s="146"/>
      <c r="I325" s="53"/>
      <c r="J325" s="65"/>
      <c r="K325" s="51"/>
      <c r="L325" s="53">
        <f>L327+L330+L329</f>
        <v>487.44000000000005</v>
      </c>
    </row>
    <row r="326" spans="1:12" ht="14.25" hidden="1" x14ac:dyDescent="0.2">
      <c r="A326" s="65"/>
      <c r="B326" s="76"/>
      <c r="C326" s="145" t="s">
        <v>598</v>
      </c>
      <c r="D326" s="146"/>
      <c r="E326" s="146"/>
      <c r="F326" s="146"/>
      <c r="G326" s="146"/>
      <c r="H326" s="146"/>
      <c r="I326" s="53"/>
      <c r="J326" s="65"/>
      <c r="K326" s="51"/>
      <c r="L326" s="53"/>
    </row>
    <row r="327" spans="1:12" ht="14.25" x14ac:dyDescent="0.2">
      <c r="A327" s="65"/>
      <c r="B327" s="76"/>
      <c r="C327" s="146" t="s">
        <v>597</v>
      </c>
      <c r="D327" s="146"/>
      <c r="E327" s="146"/>
      <c r="F327" s="146"/>
      <c r="G327" s="146"/>
      <c r="H327" s="146"/>
      <c r="I327" s="53"/>
      <c r="J327" s="65"/>
      <c r="K327" s="51"/>
      <c r="L327" s="53">
        <f>SUM(AO61:AO320)</f>
        <v>294.23</v>
      </c>
    </row>
    <row r="328" spans="1:12" ht="14.25" hidden="1" x14ac:dyDescent="0.2">
      <c r="A328" s="65"/>
      <c r="B328" s="76"/>
      <c r="C328" s="145" t="s">
        <v>599</v>
      </c>
      <c r="D328" s="146"/>
      <c r="E328" s="146"/>
      <c r="F328" s="146"/>
      <c r="G328" s="146"/>
      <c r="H328" s="146"/>
      <c r="I328" s="53"/>
      <c r="J328" s="65"/>
      <c r="K328" s="51"/>
      <c r="L328" s="53"/>
    </row>
    <row r="329" spans="1:12" ht="14.25" x14ac:dyDescent="0.2">
      <c r="A329" s="65"/>
      <c r="B329" s="76"/>
      <c r="C329" s="146" t="s">
        <v>619</v>
      </c>
      <c r="D329" s="146"/>
      <c r="E329" s="146"/>
      <c r="F329" s="146"/>
      <c r="G329" s="146"/>
      <c r="H329" s="146"/>
      <c r="I329" s="53"/>
      <c r="J329" s="65"/>
      <c r="K329" s="51"/>
      <c r="L329" s="53">
        <f>SUM(AT61:AT320)</f>
        <v>193.21</v>
      </c>
    </row>
    <row r="330" spans="1:12" ht="14.25" hidden="1" x14ac:dyDescent="0.2">
      <c r="A330" s="65"/>
      <c r="B330" s="76"/>
      <c r="C330" s="146" t="s">
        <v>600</v>
      </c>
      <c r="D330" s="146"/>
      <c r="E330" s="146"/>
      <c r="F330" s="146"/>
      <c r="G330" s="146"/>
      <c r="H330" s="146"/>
      <c r="I330" s="53"/>
      <c r="J330" s="65"/>
      <c r="K330" s="51"/>
      <c r="L330" s="53">
        <f>SUM(AV61:AV320)</f>
        <v>0</v>
      </c>
    </row>
    <row r="331" spans="1:12" ht="14.25" x14ac:dyDescent="0.2">
      <c r="A331" s="65"/>
      <c r="B331" s="76"/>
      <c r="C331" s="146" t="s">
        <v>601</v>
      </c>
      <c r="D331" s="146"/>
      <c r="E331" s="146"/>
      <c r="F331" s="146"/>
      <c r="G331" s="146"/>
      <c r="H331" s="146"/>
      <c r="I331" s="53"/>
      <c r="J331" s="65"/>
      <c r="K331" s="51"/>
      <c r="L331" s="53">
        <f>L333+L334</f>
        <v>67448.09</v>
      </c>
    </row>
    <row r="332" spans="1:12" ht="14.25" x14ac:dyDescent="0.2">
      <c r="A332" s="65"/>
      <c r="B332" s="76"/>
      <c r="C332" s="145" t="s">
        <v>598</v>
      </c>
      <c r="D332" s="146"/>
      <c r="E332" s="146"/>
      <c r="F332" s="146"/>
      <c r="G332" s="146"/>
      <c r="H332" s="146"/>
      <c r="I332" s="53"/>
      <c r="J332" s="65"/>
      <c r="K332" s="51"/>
      <c r="L332" s="53"/>
    </row>
    <row r="333" spans="1:12" ht="14.25" x14ac:dyDescent="0.2">
      <c r="A333" s="65"/>
      <c r="B333" s="76"/>
      <c r="C333" s="146" t="s">
        <v>602</v>
      </c>
      <c r="D333" s="146"/>
      <c r="E333" s="146"/>
      <c r="F333" s="146"/>
      <c r="G333" s="146"/>
      <c r="H333" s="146"/>
      <c r="I333" s="53"/>
      <c r="J333" s="65"/>
      <c r="K333" s="51"/>
      <c r="L333" s="53">
        <f>SUM(AW61:AW320)-SUM(BK61:BK320)</f>
        <v>67448.09</v>
      </c>
    </row>
    <row r="334" spans="1:12" ht="14.25" hidden="1" x14ac:dyDescent="0.2">
      <c r="A334" s="65"/>
      <c r="B334" s="76"/>
      <c r="C334" s="146" t="s">
        <v>603</v>
      </c>
      <c r="D334" s="146"/>
      <c r="E334" s="146"/>
      <c r="F334" s="146"/>
      <c r="G334" s="146"/>
      <c r="H334" s="146"/>
      <c r="I334" s="53"/>
      <c r="J334" s="65"/>
      <c r="K334" s="51"/>
      <c r="L334" s="53">
        <f>SUM(BC61:BC320)</f>
        <v>0</v>
      </c>
    </row>
    <row r="335" spans="1:12" ht="14.25" hidden="1" x14ac:dyDescent="0.2">
      <c r="A335" s="65"/>
      <c r="B335" s="76"/>
      <c r="C335" s="146" t="s">
        <v>604</v>
      </c>
      <c r="D335" s="146"/>
      <c r="E335" s="146"/>
      <c r="F335" s="146"/>
      <c r="G335" s="146"/>
      <c r="H335" s="146"/>
      <c r="I335" s="53"/>
      <c r="J335" s="65"/>
      <c r="K335" s="51"/>
      <c r="L335" s="53">
        <f>SUM(BB61:BB320)</f>
        <v>0</v>
      </c>
    </row>
    <row r="336" spans="1:12" ht="14.25" x14ac:dyDescent="0.2">
      <c r="A336" s="65"/>
      <c r="B336" s="76"/>
      <c r="C336" s="146" t="s">
        <v>605</v>
      </c>
      <c r="D336" s="146"/>
      <c r="E336" s="146"/>
      <c r="F336" s="146"/>
      <c r="G336" s="146"/>
      <c r="H336" s="146"/>
      <c r="I336" s="53"/>
      <c r="J336" s="65"/>
      <c r="K336" s="51"/>
      <c r="L336" s="53">
        <f>SUM(AR61:AR320)+SUM(AT61:AT320)+SUM(AV61:AV320)</f>
        <v>59271.1</v>
      </c>
    </row>
    <row r="337" spans="1:12" ht="14.25" x14ac:dyDescent="0.2">
      <c r="A337" s="65"/>
      <c r="B337" s="76"/>
      <c r="C337" s="146" t="s">
        <v>606</v>
      </c>
      <c r="D337" s="146"/>
      <c r="E337" s="146"/>
      <c r="F337" s="146"/>
      <c r="G337" s="146"/>
      <c r="H337" s="146"/>
      <c r="I337" s="53"/>
      <c r="J337" s="65"/>
      <c r="K337" s="51"/>
      <c r="L337" s="53">
        <f>SUM(AZ61:AZ320)</f>
        <v>56040.950000000004</v>
      </c>
    </row>
    <row r="338" spans="1:12" ht="14.25" x14ac:dyDescent="0.2">
      <c r="A338" s="65"/>
      <c r="B338" s="76"/>
      <c r="C338" s="146" t="s">
        <v>607</v>
      </c>
      <c r="D338" s="146"/>
      <c r="E338" s="146"/>
      <c r="F338" s="146"/>
      <c r="G338" s="146"/>
      <c r="H338" s="146"/>
      <c r="I338" s="53"/>
      <c r="J338" s="65"/>
      <c r="K338" s="51"/>
      <c r="L338" s="53">
        <f>SUM(BA61:BA320)</f>
        <v>29008.290000000005</v>
      </c>
    </row>
    <row r="339" spans="1:12" ht="14.25" x14ac:dyDescent="0.2">
      <c r="A339" s="65"/>
      <c r="B339" s="76"/>
      <c r="C339" s="146" t="s">
        <v>608</v>
      </c>
      <c r="D339" s="146"/>
      <c r="E339" s="146"/>
      <c r="F339" s="146"/>
      <c r="G339" s="146"/>
      <c r="H339" s="146"/>
      <c r="I339" s="53"/>
      <c r="J339" s="65"/>
      <c r="K339" s="51"/>
      <c r="L339" s="53">
        <f>L341+L342</f>
        <v>2506.98</v>
      </c>
    </row>
    <row r="340" spans="1:12" ht="14.25" x14ac:dyDescent="0.2">
      <c r="A340" s="65"/>
      <c r="B340" s="76"/>
      <c r="C340" s="145" t="s">
        <v>595</v>
      </c>
      <c r="D340" s="146"/>
      <c r="E340" s="146"/>
      <c r="F340" s="146"/>
      <c r="G340" s="146"/>
      <c r="H340" s="146"/>
      <c r="I340" s="53"/>
      <c r="J340" s="65"/>
      <c r="K340" s="51"/>
      <c r="L340" s="53"/>
    </row>
    <row r="341" spans="1:12" ht="14.25" x14ac:dyDescent="0.2">
      <c r="A341" s="65"/>
      <c r="B341" s="76"/>
      <c r="C341" s="146" t="s">
        <v>609</v>
      </c>
      <c r="D341" s="146"/>
      <c r="E341" s="146"/>
      <c r="F341" s="146"/>
      <c r="G341" s="146"/>
      <c r="H341" s="146"/>
      <c r="I341" s="53"/>
      <c r="J341" s="65"/>
      <c r="K341" s="51"/>
      <c r="L341" s="53">
        <f>SUM(BK61:BK320)</f>
        <v>2506.98</v>
      </c>
    </row>
    <row r="342" spans="1:12" ht="14.25" hidden="1" x14ac:dyDescent="0.2">
      <c r="A342" s="65"/>
      <c r="B342" s="76"/>
      <c r="C342" s="146" t="s">
        <v>610</v>
      </c>
      <c r="D342" s="146"/>
      <c r="E342" s="146"/>
      <c r="F342" s="146"/>
      <c r="G342" s="146"/>
      <c r="H342" s="146"/>
      <c r="I342" s="53"/>
      <c r="J342" s="65"/>
      <c r="K342" s="51"/>
      <c r="L342" s="53">
        <f>SUM(BD61:BD320)</f>
        <v>0</v>
      </c>
    </row>
    <row r="343" spans="1:12" ht="14.25" hidden="1" x14ac:dyDescent="0.2">
      <c r="A343" s="65"/>
      <c r="B343" s="76"/>
      <c r="C343" s="146" t="s">
        <v>611</v>
      </c>
      <c r="D343" s="146"/>
      <c r="E343" s="146"/>
      <c r="F343" s="146"/>
      <c r="G343" s="146"/>
      <c r="H343" s="146"/>
      <c r="I343" s="53"/>
      <c r="J343" s="65"/>
      <c r="K343" s="51"/>
      <c r="L343" s="53"/>
    </row>
    <row r="344" spans="1:12" ht="14.25" hidden="1" x14ac:dyDescent="0.2">
      <c r="A344" s="65"/>
      <c r="B344" s="76"/>
      <c r="C344" s="146" t="s">
        <v>611</v>
      </c>
      <c r="D344" s="146"/>
      <c r="E344" s="146"/>
      <c r="F344" s="146"/>
      <c r="G344" s="146"/>
      <c r="H344" s="146"/>
      <c r="I344" s="53"/>
      <c r="J344" s="65"/>
      <c r="K344" s="51"/>
      <c r="L344" s="53">
        <f>SUM(BQ61:BQ320)</f>
        <v>0</v>
      </c>
    </row>
    <row r="345" spans="1:12" ht="14.25" hidden="1" x14ac:dyDescent="0.2">
      <c r="A345" s="65"/>
      <c r="B345" s="76"/>
      <c r="C345" s="146" t="s">
        <v>612</v>
      </c>
      <c r="D345" s="146"/>
      <c r="E345" s="146"/>
      <c r="F345" s="146"/>
      <c r="G345" s="146"/>
      <c r="H345" s="146"/>
      <c r="I345" s="53"/>
      <c r="J345" s="65"/>
      <c r="K345" s="51"/>
      <c r="L345" s="53">
        <f>SUM(BO61:BO320)</f>
        <v>0</v>
      </c>
    </row>
    <row r="346" spans="1:12" ht="15" x14ac:dyDescent="0.2">
      <c r="A346" s="77"/>
      <c r="B346" s="78"/>
      <c r="C346" s="147" t="s">
        <v>613</v>
      </c>
      <c r="D346" s="147"/>
      <c r="E346" s="147"/>
      <c r="F346" s="147"/>
      <c r="G346" s="147"/>
      <c r="H346" s="147"/>
      <c r="I346" s="56"/>
      <c r="J346" s="77"/>
      <c r="K346" s="79"/>
      <c r="L346" s="56">
        <f>L322+L337+L338+L339+L344+L345</f>
        <v>214569.64</v>
      </c>
    </row>
    <row r="347" spans="1:12" ht="14.25" x14ac:dyDescent="0.2">
      <c r="A347" s="65"/>
      <c r="B347" s="76"/>
      <c r="C347" s="145" t="s">
        <v>614</v>
      </c>
      <c r="D347" s="146"/>
      <c r="E347" s="146"/>
      <c r="F347" s="146"/>
      <c r="G347" s="146"/>
      <c r="H347" s="146"/>
      <c r="I347" s="53"/>
      <c r="J347" s="65"/>
      <c r="K347" s="51"/>
      <c r="L347" s="53"/>
    </row>
    <row r="348" spans="1:12" ht="14.25" hidden="1" x14ac:dyDescent="0.2">
      <c r="A348" s="65"/>
      <c r="B348" s="76"/>
      <c r="C348" s="146" t="s">
        <v>615</v>
      </c>
      <c r="D348" s="146"/>
      <c r="E348" s="146"/>
      <c r="F348" s="146"/>
      <c r="G348" s="146"/>
      <c r="H348" s="146"/>
      <c r="I348" s="53"/>
      <c r="J348" s="65"/>
      <c r="K348" s="51"/>
      <c r="L348" s="53">
        <f>SUM(AX61:AX320)</f>
        <v>0</v>
      </c>
    </row>
    <row r="349" spans="1:12" ht="14.25" hidden="1" x14ac:dyDescent="0.2">
      <c r="A349" s="65"/>
      <c r="B349" s="76"/>
      <c r="C349" s="146" t="s">
        <v>616</v>
      </c>
      <c r="D349" s="146"/>
      <c r="E349" s="146"/>
      <c r="F349" s="146"/>
      <c r="G349" s="146"/>
      <c r="H349" s="146"/>
      <c r="I349" s="53"/>
      <c r="J349" s="65"/>
      <c r="K349" s="51"/>
      <c r="L349" s="53">
        <f>SUM(AY61:AY320)</f>
        <v>0</v>
      </c>
    </row>
    <row r="350" spans="1:12" ht="14.25" x14ac:dyDescent="0.2">
      <c r="A350" s="65"/>
      <c r="B350" s="76"/>
      <c r="C350" s="146" t="s">
        <v>617</v>
      </c>
      <c r="D350" s="146"/>
      <c r="E350" s="146"/>
      <c r="F350" s="148"/>
      <c r="G350" s="55">
        <f>Source!F106</f>
        <v>83.889300000000006</v>
      </c>
      <c r="H350" s="65"/>
      <c r="I350" s="65"/>
      <c r="J350" s="65"/>
      <c r="K350" s="65"/>
      <c r="L350" s="65"/>
    </row>
    <row r="351" spans="1:12" ht="14.25" x14ac:dyDescent="0.2">
      <c r="A351" s="65"/>
      <c r="B351" s="76"/>
      <c r="C351" s="146" t="s">
        <v>618</v>
      </c>
      <c r="D351" s="146"/>
      <c r="E351" s="146"/>
      <c r="F351" s="148"/>
      <c r="G351" s="55">
        <f>Source!F107</f>
        <v>0.22770000000000001</v>
      </c>
      <c r="H351" s="65"/>
      <c r="I351" s="65"/>
      <c r="J351" s="65"/>
      <c r="K351" s="65"/>
      <c r="L351" s="65"/>
    </row>
    <row r="354" spans="1:83" ht="16.5" x14ac:dyDescent="0.2">
      <c r="A354" s="137" t="s">
        <v>620</v>
      </c>
      <c r="B354" s="137"/>
      <c r="C354" s="137"/>
      <c r="D354" s="137"/>
      <c r="E354" s="137"/>
      <c r="F354" s="137"/>
      <c r="G354" s="137"/>
      <c r="H354" s="137"/>
      <c r="I354" s="137"/>
      <c r="J354" s="137"/>
      <c r="K354" s="137"/>
      <c r="L354" s="137"/>
    </row>
    <row r="355" spans="1:83" ht="85.5" x14ac:dyDescent="0.2">
      <c r="A355" s="47" t="s">
        <v>271</v>
      </c>
      <c r="B355" s="49" t="s">
        <v>621</v>
      </c>
      <c r="C355" s="49" t="str">
        <f>Source!G118</f>
        <v>Установка в жилых и общественных зданиях оконных блоков из алюминиевых профилей: поворотных (откидных, поворотно-откидных) с площадью проема более 2 м2 двухстворчатых прим</v>
      </c>
      <c r="D355" s="50" t="str">
        <f>Source!H118</f>
        <v>100 м2</v>
      </c>
      <c r="E355" s="51">
        <f>Source!K118</f>
        <v>2.2085E-2</v>
      </c>
      <c r="F355" s="51"/>
      <c r="G355" s="51">
        <f>Source!I118</f>
        <v>2.2085E-2</v>
      </c>
      <c r="H355" s="53"/>
      <c r="I355" s="52"/>
      <c r="J355" s="53"/>
      <c r="K355" s="52"/>
      <c r="L355" s="53"/>
    </row>
    <row r="356" spans="1:83" x14ac:dyDescent="0.2">
      <c r="C356" s="54" t="str">
        <f>"Объем: "&amp;Source!I118&amp;"=2,2085/"&amp;"100"</f>
        <v>Объем: 0,022085=2,2085/100</v>
      </c>
    </row>
    <row r="357" spans="1:83" ht="15" x14ac:dyDescent="0.2">
      <c r="A357" s="48"/>
      <c r="B357" s="51">
        <v>1</v>
      </c>
      <c r="C357" s="48" t="s">
        <v>553</v>
      </c>
      <c r="D357" s="50" t="s">
        <v>382</v>
      </c>
      <c r="E357" s="55"/>
      <c r="F357" s="51"/>
      <c r="G357" s="51">
        <f>Source!U118</f>
        <v>2.9269251000000001</v>
      </c>
      <c r="H357" s="51"/>
      <c r="I357" s="51"/>
      <c r="J357" s="51"/>
      <c r="K357" s="51"/>
      <c r="L357" s="56">
        <f>SUM(L358:L358)-SUMIF(CE358:CE358, 1, L358:L358)</f>
        <v>2091.9</v>
      </c>
    </row>
    <row r="358" spans="1:83" ht="14.25" x14ac:dyDescent="0.2">
      <c r="A358" s="49"/>
      <c r="B358" s="49" t="s">
        <v>408</v>
      </c>
      <c r="C358" s="49" t="s">
        <v>409</v>
      </c>
      <c r="D358" s="50" t="s">
        <v>382</v>
      </c>
      <c r="E358" s="51">
        <v>132.53</v>
      </c>
      <c r="F358" s="51"/>
      <c r="G358" s="51">
        <f>SmtRes!CX88</f>
        <v>2.9269251000000001</v>
      </c>
      <c r="H358" s="53"/>
      <c r="I358" s="52"/>
      <c r="J358" s="53">
        <f>SmtRes!CZ88</f>
        <v>714.71</v>
      </c>
      <c r="K358" s="52"/>
      <c r="L358" s="53">
        <f>SmtRes!DI88</f>
        <v>2091.9</v>
      </c>
    </row>
    <row r="359" spans="1:83" ht="15" x14ac:dyDescent="0.2">
      <c r="A359" s="48"/>
      <c r="B359" s="51">
        <v>2</v>
      </c>
      <c r="C359" s="48" t="s">
        <v>554</v>
      </c>
      <c r="D359" s="50"/>
      <c r="E359" s="55"/>
      <c r="F359" s="51"/>
      <c r="G359" s="51"/>
      <c r="H359" s="51"/>
      <c r="I359" s="51"/>
      <c r="J359" s="51"/>
      <c r="K359" s="51"/>
      <c r="L359" s="56">
        <f>SUM(L360:L366)-SUMIF(CE360:CE366, 1, L360:L366)</f>
        <v>11.93</v>
      </c>
    </row>
    <row r="360" spans="1:83" ht="15" x14ac:dyDescent="0.2">
      <c r="A360" s="48"/>
      <c r="B360" s="51"/>
      <c r="C360" s="48" t="s">
        <v>556</v>
      </c>
      <c r="D360" s="50" t="s">
        <v>382</v>
      </c>
      <c r="E360" s="55"/>
      <c r="F360" s="51"/>
      <c r="G360" s="51">
        <f>Source!V118</f>
        <v>2.3851899999999999E-2</v>
      </c>
      <c r="H360" s="51"/>
      <c r="I360" s="51"/>
      <c r="J360" s="51"/>
      <c r="K360" s="51"/>
      <c r="L360" s="56">
        <f>SUMIF(CE361:CE366, 1, L361:L366)</f>
        <v>17.619999999999997</v>
      </c>
      <c r="CE360">
        <v>1</v>
      </c>
    </row>
    <row r="361" spans="1:83" ht="28.5" x14ac:dyDescent="0.2">
      <c r="A361" s="49"/>
      <c r="B361" s="49" t="s">
        <v>410</v>
      </c>
      <c r="C361" s="49" t="s">
        <v>412</v>
      </c>
      <c r="D361" s="50" t="s">
        <v>386</v>
      </c>
      <c r="E361" s="51">
        <v>0.22</v>
      </c>
      <c r="F361" s="51"/>
      <c r="G361" s="51">
        <f>SmtRes!CX90</f>
        <v>4.8586999999999997E-3</v>
      </c>
      <c r="H361" s="53"/>
      <c r="I361" s="52"/>
      <c r="J361" s="53">
        <f>SmtRes!CZ90</f>
        <v>1585.56</v>
      </c>
      <c r="K361" s="52"/>
      <c r="L361" s="53">
        <f>SmtRes!DG90</f>
        <v>7.7</v>
      </c>
    </row>
    <row r="362" spans="1:83" ht="28.5" x14ac:dyDescent="0.2">
      <c r="A362" s="49"/>
      <c r="B362" s="49" t="s">
        <v>413</v>
      </c>
      <c r="C362" s="49" t="s">
        <v>569</v>
      </c>
      <c r="D362" s="50" t="s">
        <v>382</v>
      </c>
      <c r="E362" s="51">
        <f>SmtRes!DO90*SmtRes!AT90</f>
        <v>0.22</v>
      </c>
      <c r="F362" s="51"/>
      <c r="G362" s="51">
        <f>ROUND(E362*G355, 7)</f>
        <v>4.8586999999999997E-3</v>
      </c>
      <c r="H362" s="53"/>
      <c r="I362" s="52"/>
      <c r="J362" s="53">
        <f>ROUND(SmtRes!AG90/SmtRes!DO90, 2)</f>
        <v>982.04</v>
      </c>
      <c r="K362" s="52"/>
      <c r="L362" s="53">
        <f>SmtRes!DH90</f>
        <v>4.7699999999999996</v>
      </c>
      <c r="CE362">
        <v>1</v>
      </c>
    </row>
    <row r="363" spans="1:83" ht="42.75" x14ac:dyDescent="0.2">
      <c r="A363" s="49"/>
      <c r="B363" s="49" t="s">
        <v>397</v>
      </c>
      <c r="C363" s="49" t="s">
        <v>399</v>
      </c>
      <c r="D363" s="50" t="s">
        <v>386</v>
      </c>
      <c r="E363" s="51">
        <v>0.56999999999999995</v>
      </c>
      <c r="F363" s="51"/>
      <c r="G363" s="51">
        <f>SmtRes!CX91</f>
        <v>1.2588500000000001E-2</v>
      </c>
      <c r="H363" s="53">
        <f>SmtRes!CZ91</f>
        <v>37.32</v>
      </c>
      <c r="I363" s="52">
        <f>SmtRes!AJ91</f>
        <v>1.57</v>
      </c>
      <c r="J363" s="53">
        <f>ROUND(H363*I363, 2)</f>
        <v>58.59</v>
      </c>
      <c r="K363" s="52"/>
      <c r="L363" s="53">
        <f>SmtRes!DG91</f>
        <v>0.74</v>
      </c>
    </row>
    <row r="364" spans="1:83" ht="28.5" x14ac:dyDescent="0.2">
      <c r="A364" s="49"/>
      <c r="B364" s="49" t="s">
        <v>400</v>
      </c>
      <c r="C364" s="49" t="s">
        <v>566</v>
      </c>
      <c r="D364" s="50" t="s">
        <v>382</v>
      </c>
      <c r="E364" s="51">
        <f>SmtRes!DO91*SmtRes!AT91</f>
        <v>0.56999999999999995</v>
      </c>
      <c r="F364" s="51"/>
      <c r="G364" s="51">
        <f>ROUND(E364*G355, 7)</f>
        <v>1.2588500000000001E-2</v>
      </c>
      <c r="H364" s="53"/>
      <c r="I364" s="52"/>
      <c r="J364" s="53">
        <f>ROUND(SmtRes!AG91/SmtRes!DO91, 2)</f>
        <v>649.24</v>
      </c>
      <c r="K364" s="52"/>
      <c r="L364" s="53">
        <f>SmtRes!DH91</f>
        <v>8.17</v>
      </c>
      <c r="CE364">
        <v>1</v>
      </c>
    </row>
    <row r="365" spans="1:83" ht="28.5" x14ac:dyDescent="0.2">
      <c r="A365" s="49"/>
      <c r="B365" s="49" t="s">
        <v>383</v>
      </c>
      <c r="C365" s="49" t="s">
        <v>385</v>
      </c>
      <c r="D365" s="50" t="s">
        <v>386</v>
      </c>
      <c r="E365" s="51">
        <v>0.28999999999999998</v>
      </c>
      <c r="F365" s="51"/>
      <c r="G365" s="51">
        <f>SmtRes!CX92</f>
        <v>6.4047000000000001E-3</v>
      </c>
      <c r="H365" s="53"/>
      <c r="I365" s="52"/>
      <c r="J365" s="53">
        <f>SmtRes!CZ92</f>
        <v>544.91999999999996</v>
      </c>
      <c r="K365" s="52"/>
      <c r="L365" s="53">
        <f>SmtRes!DG92</f>
        <v>3.49</v>
      </c>
    </row>
    <row r="366" spans="1:83" ht="28.5" x14ac:dyDescent="0.2">
      <c r="A366" s="49"/>
      <c r="B366" s="49" t="s">
        <v>387</v>
      </c>
      <c r="C366" s="49" t="s">
        <v>555</v>
      </c>
      <c r="D366" s="50" t="s">
        <v>382</v>
      </c>
      <c r="E366" s="51">
        <f>SmtRes!DO92*SmtRes!AT92</f>
        <v>0.28999999999999998</v>
      </c>
      <c r="F366" s="51"/>
      <c r="G366" s="51">
        <f>ROUND(E366*G355, 7)</f>
        <v>6.4047000000000001E-3</v>
      </c>
      <c r="H366" s="53"/>
      <c r="I366" s="52"/>
      <c r="J366" s="53">
        <f>ROUND(SmtRes!AG92/SmtRes!DO92, 2)</f>
        <v>731.08</v>
      </c>
      <c r="K366" s="52"/>
      <c r="L366" s="53">
        <f>SmtRes!DH92</f>
        <v>4.68</v>
      </c>
      <c r="CE366">
        <v>1</v>
      </c>
    </row>
    <row r="367" spans="1:83" ht="15" x14ac:dyDescent="0.2">
      <c r="A367" s="48"/>
      <c r="B367" s="51">
        <v>4</v>
      </c>
      <c r="C367" s="48" t="s">
        <v>557</v>
      </c>
      <c r="D367" s="50"/>
      <c r="E367" s="55"/>
      <c r="F367" s="51"/>
      <c r="G367" s="51"/>
      <c r="H367" s="51"/>
      <c r="I367" s="51"/>
      <c r="J367" s="51"/>
      <c r="K367" s="51"/>
      <c r="L367" s="56">
        <f>SUM(L368:L372)-SUMIF(CE368:CE372, 1, L368:L372)</f>
        <v>535.92999999999995</v>
      </c>
    </row>
    <row r="368" spans="1:83" ht="14.25" x14ac:dyDescent="0.2">
      <c r="A368" s="49"/>
      <c r="B368" s="49" t="s">
        <v>388</v>
      </c>
      <c r="C368" s="49" t="s">
        <v>390</v>
      </c>
      <c r="D368" s="50" t="s">
        <v>391</v>
      </c>
      <c r="E368" s="51">
        <v>6.9</v>
      </c>
      <c r="F368" s="51"/>
      <c r="G368" s="51">
        <f>SmtRes!CX93</f>
        <v>0.15238650000000001</v>
      </c>
      <c r="H368" s="53"/>
      <c r="I368" s="52"/>
      <c r="J368" s="53">
        <f>SmtRes!CZ93</f>
        <v>6.92</v>
      </c>
      <c r="K368" s="52"/>
      <c r="L368" s="53">
        <f>SmtRes!DF93</f>
        <v>1.05</v>
      </c>
    </row>
    <row r="369" spans="1:82" ht="99.75" x14ac:dyDescent="0.2">
      <c r="A369" s="49"/>
      <c r="B369" s="49" t="s">
        <v>491</v>
      </c>
      <c r="C369" s="49" t="s">
        <v>493</v>
      </c>
      <c r="D369" s="50" t="s">
        <v>31</v>
      </c>
      <c r="E369" s="51">
        <v>218.4</v>
      </c>
      <c r="F369" s="51"/>
      <c r="G369" s="51">
        <f>SmtRes!CX94</f>
        <v>4.8233639999999998</v>
      </c>
      <c r="H369" s="53">
        <f>SmtRes!CZ94</f>
        <v>24.39</v>
      </c>
      <c r="I369" s="52">
        <f>SmtRes!AI94</f>
        <v>1.54</v>
      </c>
      <c r="J369" s="53">
        <f>ROUND(H369*I369, 2)</f>
        <v>37.56</v>
      </c>
      <c r="K369" s="52"/>
      <c r="L369" s="53">
        <f>SmtRes!DF94</f>
        <v>181.17</v>
      </c>
    </row>
    <row r="370" spans="1:82" ht="99.75" x14ac:dyDescent="0.2">
      <c r="A370" s="49"/>
      <c r="B370" s="49" t="s">
        <v>494</v>
      </c>
      <c r="C370" s="49" t="s">
        <v>496</v>
      </c>
      <c r="D370" s="50" t="s">
        <v>420</v>
      </c>
      <c r="E370" s="51">
        <v>21.84</v>
      </c>
      <c r="F370" s="51"/>
      <c r="G370" s="51">
        <f>SmtRes!CX95</f>
        <v>0.4823364</v>
      </c>
      <c r="H370" s="53">
        <f>SmtRes!CZ95</f>
        <v>158.82</v>
      </c>
      <c r="I370" s="52">
        <f>SmtRes!AI95</f>
        <v>1.54</v>
      </c>
      <c r="J370" s="53">
        <f>ROUND(H370*I370, 2)</f>
        <v>244.58</v>
      </c>
      <c r="K370" s="52"/>
      <c r="L370" s="53">
        <f>SmtRes!DF95</f>
        <v>117.97</v>
      </c>
    </row>
    <row r="371" spans="1:82" ht="42.75" x14ac:dyDescent="0.2">
      <c r="A371" s="49"/>
      <c r="B371" s="49" t="s">
        <v>497</v>
      </c>
      <c r="C371" s="49" t="s">
        <v>499</v>
      </c>
      <c r="D371" s="50" t="s">
        <v>108</v>
      </c>
      <c r="E371" s="51">
        <v>37.68</v>
      </c>
      <c r="F371" s="51"/>
      <c r="G371" s="51">
        <f>SmtRes!CX96</f>
        <v>0.83216279999999998</v>
      </c>
      <c r="H371" s="53"/>
      <c r="I371" s="52"/>
      <c r="J371" s="53">
        <f>SmtRes!CZ96</f>
        <v>257.70999999999998</v>
      </c>
      <c r="K371" s="52"/>
      <c r="L371" s="53">
        <f>SmtRes!DF96</f>
        <v>214.46</v>
      </c>
    </row>
    <row r="372" spans="1:82" ht="42.75" x14ac:dyDescent="0.2">
      <c r="A372" s="49"/>
      <c r="B372" s="49" t="s">
        <v>500</v>
      </c>
      <c r="C372" s="49" t="s">
        <v>502</v>
      </c>
      <c r="D372" s="50" t="s">
        <v>56</v>
      </c>
      <c r="E372" s="51">
        <v>4.1176500000000003</v>
      </c>
      <c r="F372" s="51"/>
      <c r="G372" s="51">
        <f>SmtRes!CX97</f>
        <v>9.09383E-2</v>
      </c>
      <c r="H372" s="53">
        <f>SmtRes!CZ97</f>
        <v>178.64</v>
      </c>
      <c r="I372" s="52">
        <f>SmtRes!AI97</f>
        <v>1.31</v>
      </c>
      <c r="J372" s="53">
        <f>ROUND(H372*I372, 2)</f>
        <v>234.02</v>
      </c>
      <c r="K372" s="52"/>
      <c r="L372" s="53">
        <f>SmtRes!DF97</f>
        <v>21.28</v>
      </c>
    </row>
    <row r="373" spans="1:82" ht="14.25" x14ac:dyDescent="0.2">
      <c r="A373" s="49"/>
      <c r="B373" s="49" t="str">
        <f>EtalonRes!I98</f>
        <v>01.7.17.09</v>
      </c>
      <c r="C373" s="49" t="str">
        <f>EtalonRes!K98</f>
        <v>Сверла победитовые</v>
      </c>
      <c r="D373" s="50" t="str">
        <f>EtalonRes!O98</f>
        <v>ШТ</v>
      </c>
      <c r="E373" s="51">
        <f>EtalonRes!X98</f>
        <v>0</v>
      </c>
      <c r="F373" s="51"/>
      <c r="G373" s="51">
        <f>ROUND(EtalonRes!AG98*Source!I118, 7)</f>
        <v>0</v>
      </c>
      <c r="H373" s="53"/>
      <c r="I373" s="52"/>
      <c r="J373" s="53"/>
      <c r="K373" s="52"/>
      <c r="L373" s="53"/>
    </row>
    <row r="374" spans="1:82" ht="28.5" x14ac:dyDescent="0.2">
      <c r="A374" s="49"/>
      <c r="B374" s="49" t="str">
        <f>EtalonRes!I99</f>
        <v>09.4.03.05</v>
      </c>
      <c r="C374" s="57" t="str">
        <f>EtalonRes!K99</f>
        <v>Блок оконный из алюминиевых комбинированных профилей</v>
      </c>
      <c r="D374" s="58" t="str">
        <f>EtalonRes!O99</f>
        <v>м2</v>
      </c>
      <c r="E374" s="59">
        <f>EtalonRes!X99</f>
        <v>100</v>
      </c>
      <c r="F374" s="59"/>
      <c r="G374" s="59">
        <f>ROUND(EtalonRes!AG99*Source!I118, 7)</f>
        <v>2.2084999999999999</v>
      </c>
      <c r="H374" s="60"/>
      <c r="I374" s="61"/>
      <c r="J374" s="60"/>
      <c r="K374" s="61"/>
      <c r="L374" s="60"/>
    </row>
    <row r="375" spans="1:82" ht="15" x14ac:dyDescent="0.2">
      <c r="A375" s="49"/>
      <c r="B375" s="49"/>
      <c r="C375" s="64" t="s">
        <v>558</v>
      </c>
      <c r="D375" s="50"/>
      <c r="E375" s="51"/>
      <c r="F375" s="51"/>
      <c r="G375" s="51"/>
      <c r="H375" s="53"/>
      <c r="I375" s="52"/>
      <c r="J375" s="53"/>
      <c r="K375" s="52"/>
      <c r="L375" s="53">
        <f>L357+L359+L360+L367</f>
        <v>2657.3799999999997</v>
      </c>
    </row>
    <row r="376" spans="1:82" ht="14.25" x14ac:dyDescent="0.2">
      <c r="A376" s="49"/>
      <c r="B376" s="49"/>
      <c r="C376" s="49" t="s">
        <v>560</v>
      </c>
      <c r="D376" s="50"/>
      <c r="E376" s="51"/>
      <c r="F376" s="51"/>
      <c r="G376" s="51"/>
      <c r="H376" s="53"/>
      <c r="I376" s="52"/>
      <c r="J376" s="53"/>
      <c r="K376" s="52"/>
      <c r="L376" s="53">
        <f>SUM(AR355:AR379)+SUM(AS355:AS379)+SUM(AT355:AT379)+SUM(AU355:AU379)+SUM(AV355:AV379)</f>
        <v>2109.52</v>
      </c>
    </row>
    <row r="377" spans="1:82" ht="28.5" x14ac:dyDescent="0.2">
      <c r="A377" s="49"/>
      <c r="B377" s="49" t="s">
        <v>279</v>
      </c>
      <c r="C377" s="49" t="s">
        <v>622</v>
      </c>
      <c r="D377" s="50" t="s">
        <v>27</v>
      </c>
      <c r="E377" s="51">
        <f>Source!BZ118</f>
        <v>93</v>
      </c>
      <c r="F377" s="51"/>
      <c r="G377" s="51">
        <f>Source!AT118</f>
        <v>93</v>
      </c>
      <c r="H377" s="53"/>
      <c r="I377" s="52"/>
      <c r="J377" s="53"/>
      <c r="K377" s="52"/>
      <c r="L377" s="53">
        <f>SUM(AZ355:AZ379)</f>
        <v>1961.85</v>
      </c>
    </row>
    <row r="378" spans="1:82" ht="28.5" x14ac:dyDescent="0.2">
      <c r="A378" s="57"/>
      <c r="B378" s="57" t="s">
        <v>280</v>
      </c>
      <c r="C378" s="57" t="s">
        <v>623</v>
      </c>
      <c r="D378" s="58" t="s">
        <v>27</v>
      </c>
      <c r="E378" s="59">
        <f>Source!CA118</f>
        <v>62</v>
      </c>
      <c r="F378" s="59"/>
      <c r="G378" s="59">
        <f>Source!AU118</f>
        <v>62</v>
      </c>
      <c r="H378" s="60"/>
      <c r="I378" s="61"/>
      <c r="J378" s="60"/>
      <c r="K378" s="61"/>
      <c r="L378" s="60">
        <f>SUM(BA355:BA379)</f>
        <v>1307.9000000000001</v>
      </c>
    </row>
    <row r="379" spans="1:82" ht="15" x14ac:dyDescent="0.2">
      <c r="C379" s="138" t="s">
        <v>563</v>
      </c>
      <c r="D379" s="138"/>
      <c r="E379" s="138"/>
      <c r="F379" s="138"/>
      <c r="G379" s="138"/>
      <c r="H379" s="138"/>
      <c r="I379" s="139">
        <f>IF(E355&lt;&gt;0,K379/E355, 0)</f>
        <v>268378.08467285486</v>
      </c>
      <c r="J379" s="139"/>
      <c r="K379" s="139">
        <f>L357+L359+L367+L377+L378+L360</f>
        <v>5927.13</v>
      </c>
      <c r="L379" s="139"/>
      <c r="AD379">
        <f>ROUND((Source!AT118/100)*((ROUND(SUMIF(SmtRes!AQ88:'SmtRes'!AQ99,"=1",SmtRes!AD88:'SmtRes'!AD99)*Source!I118, 2)+ROUND(SUMIF(SmtRes!AQ88:'SmtRes'!AQ99,"=1",SmtRes!AC88:'SmtRes'!AC99)*Source!I118, 2))), 2)</f>
        <v>63.19</v>
      </c>
      <c r="AE379">
        <f>ROUND((Source!AU118/100)*((ROUND(SUMIF(SmtRes!AQ88:'SmtRes'!AQ99,"=1",SmtRes!AD88:'SmtRes'!AD99)*Source!I118, 2)+ROUND(SUMIF(SmtRes!AQ88:'SmtRes'!AQ99,"=1",SmtRes!AC88:'SmtRes'!AC99)*Source!I118, 2))), 2)</f>
        <v>42.13</v>
      </c>
      <c r="AN379" s="62">
        <f>L357+L359+L367+L377+L378+L360</f>
        <v>5927.13</v>
      </c>
      <c r="AO379" s="62">
        <f>L359</f>
        <v>11.93</v>
      </c>
      <c r="AQ379" t="s">
        <v>564</v>
      </c>
      <c r="AR379" s="62">
        <f>L357</f>
        <v>2091.9</v>
      </c>
      <c r="AT379" s="62">
        <f>L360</f>
        <v>17.619999999999997</v>
      </c>
      <c r="AV379" t="s">
        <v>564</v>
      </c>
      <c r="AW379" s="62">
        <f>L367</f>
        <v>535.92999999999995</v>
      </c>
      <c r="AZ379">
        <f>Source!X118</f>
        <v>1961.85</v>
      </c>
      <c r="BA379">
        <f>Source!Y118</f>
        <v>1307.9000000000001</v>
      </c>
      <c r="CD379">
        <v>1</v>
      </c>
    </row>
    <row r="380" spans="1:82" ht="142.5" x14ac:dyDescent="0.2">
      <c r="A380" s="66" t="s">
        <v>288</v>
      </c>
      <c r="B380" s="57" t="str">
        <f>Source!F121</f>
        <v>ТЦ_09.4.03.05_6686093046</v>
      </c>
      <c r="C380" s="57" t="str">
        <f>Source!G121</f>
        <v>Ставни рентгенозащитные двухстворчатые распашные СтРЗ-2 из алюминиевого профиля, размер конструкции по раме h1730*1450мм, створки равнопольные, цвет RAL 9016 белый, рама замкнутая, рабочая створка правая, наличники рентгенозащитные с трёх сторон (сверху и по бокам), свинцовый эквивалент 3,0mmPb</v>
      </c>
      <c r="D380" s="58" t="str">
        <f>Source!H121</f>
        <v>ШТ</v>
      </c>
      <c r="E380" s="59">
        <f>Source!K121</f>
        <v>1</v>
      </c>
      <c r="F380" s="59"/>
      <c r="G380" s="59">
        <f>Source!I121</f>
        <v>1</v>
      </c>
      <c r="H380" s="60">
        <f>Source!AL121</f>
        <v>105409.84</v>
      </c>
      <c r="I380" s="61"/>
      <c r="J380" s="60"/>
      <c r="K380" s="61"/>
      <c r="L380" s="60">
        <f>Source!P121</f>
        <v>105409.84</v>
      </c>
    </row>
    <row r="381" spans="1:82" ht="15" x14ac:dyDescent="0.2">
      <c r="C381" s="138" t="s">
        <v>563</v>
      </c>
      <c r="D381" s="138"/>
      <c r="E381" s="138"/>
      <c r="F381" s="138"/>
      <c r="G381" s="138"/>
      <c r="H381" s="138"/>
      <c r="I381" s="139">
        <f>IF(E380&lt;&gt;0,K381/E380, 0)</f>
        <v>105409.84</v>
      </c>
      <c r="J381" s="139"/>
      <c r="K381" s="139">
        <f>L380</f>
        <v>105409.84</v>
      </c>
      <c r="L381" s="139"/>
      <c r="AD381">
        <f>ROUND((Source!AT121/100)*((ROUND(ROUND(Source!AO121,2)*Source!I121, 2)+ROUND(ROUND(Source!AN121,2)*Source!I121, 2))), 2)</f>
        <v>0</v>
      </c>
      <c r="AE381">
        <f>ROUND((Source!AU121/100)*((ROUND(ROUND(Source!AO121,2)*Source!I121, 2)+ROUND(ROUND(Source!AN121,2)*Source!I121, 2))), 2)</f>
        <v>0</v>
      </c>
      <c r="AN381" s="62">
        <f>L380</f>
        <v>105409.84</v>
      </c>
      <c r="AO381">
        <f>0</f>
        <v>0</v>
      </c>
      <c r="AQ381" t="s">
        <v>564</v>
      </c>
      <c r="AR381">
        <f>0</f>
        <v>0</v>
      </c>
      <c r="AT381">
        <f>0</f>
        <v>0</v>
      </c>
      <c r="AV381" t="s">
        <v>564</v>
      </c>
      <c r="AW381" s="62">
        <f>L380</f>
        <v>105409.84</v>
      </c>
      <c r="AZ381">
        <f>Source!X121</f>
        <v>0</v>
      </c>
      <c r="BA381">
        <f>Source!Y121</f>
        <v>0</v>
      </c>
      <c r="CD381">
        <v>1</v>
      </c>
    </row>
    <row r="383" spans="1:82" ht="15" x14ac:dyDescent="0.2">
      <c r="A383" s="77"/>
      <c r="B383" s="78"/>
      <c r="C383" s="147" t="s">
        <v>594</v>
      </c>
      <c r="D383" s="147"/>
      <c r="E383" s="147"/>
      <c r="F383" s="147"/>
      <c r="G383" s="147"/>
      <c r="H383" s="147"/>
      <c r="I383" s="56"/>
      <c r="J383" s="77"/>
      <c r="K383" s="79"/>
      <c r="L383" s="56">
        <f>L385+L386+L392+L396</f>
        <v>108067.21999999999</v>
      </c>
    </row>
    <row r="384" spans="1:82" ht="14.25" x14ac:dyDescent="0.2">
      <c r="A384" s="65"/>
      <c r="B384" s="76"/>
      <c r="C384" s="145" t="s">
        <v>595</v>
      </c>
      <c r="D384" s="146"/>
      <c r="E384" s="146"/>
      <c r="F384" s="146"/>
      <c r="G384" s="146"/>
      <c r="H384" s="146"/>
      <c r="I384" s="53"/>
      <c r="J384" s="65"/>
      <c r="K384" s="51"/>
      <c r="L384" s="53"/>
    </row>
    <row r="385" spans="1:12" ht="14.25" x14ac:dyDescent="0.2">
      <c r="A385" s="65"/>
      <c r="B385" s="76"/>
      <c r="C385" s="146" t="s">
        <v>596</v>
      </c>
      <c r="D385" s="146"/>
      <c r="E385" s="146"/>
      <c r="F385" s="146"/>
      <c r="G385" s="146"/>
      <c r="H385" s="146"/>
      <c r="I385" s="53"/>
      <c r="J385" s="65"/>
      <c r="K385" s="51"/>
      <c r="L385" s="53">
        <f>SUM(AR354:AR381)</f>
        <v>2091.9</v>
      </c>
    </row>
    <row r="386" spans="1:12" ht="14.25" hidden="1" x14ac:dyDescent="0.2">
      <c r="A386" s="65"/>
      <c r="B386" s="76"/>
      <c r="C386" s="146" t="s">
        <v>597</v>
      </c>
      <c r="D386" s="146"/>
      <c r="E386" s="146"/>
      <c r="F386" s="146"/>
      <c r="G386" s="146"/>
      <c r="H386" s="146"/>
      <c r="I386" s="53"/>
      <c r="J386" s="65"/>
      <c r="K386" s="51"/>
      <c r="L386" s="53">
        <f>L388+L391+L390</f>
        <v>29.549999999999997</v>
      </c>
    </row>
    <row r="387" spans="1:12" ht="14.25" hidden="1" x14ac:dyDescent="0.2">
      <c r="A387" s="65"/>
      <c r="B387" s="76"/>
      <c r="C387" s="145" t="s">
        <v>598</v>
      </c>
      <c r="D387" s="146"/>
      <c r="E387" s="146"/>
      <c r="F387" s="146"/>
      <c r="G387" s="146"/>
      <c r="H387" s="146"/>
      <c r="I387" s="53"/>
      <c r="J387" s="65"/>
      <c r="K387" s="51"/>
      <c r="L387" s="53"/>
    </row>
    <row r="388" spans="1:12" ht="14.25" x14ac:dyDescent="0.2">
      <c r="A388" s="65"/>
      <c r="B388" s="76"/>
      <c r="C388" s="146" t="s">
        <v>597</v>
      </c>
      <c r="D388" s="146"/>
      <c r="E388" s="146"/>
      <c r="F388" s="146"/>
      <c r="G388" s="146"/>
      <c r="H388" s="146"/>
      <c r="I388" s="53"/>
      <c r="J388" s="65"/>
      <c r="K388" s="51"/>
      <c r="L388" s="53">
        <f>SUM(AO354:AO381)</f>
        <v>11.93</v>
      </c>
    </row>
    <row r="389" spans="1:12" ht="14.25" hidden="1" x14ac:dyDescent="0.2">
      <c r="A389" s="65"/>
      <c r="B389" s="76"/>
      <c r="C389" s="145" t="s">
        <v>599</v>
      </c>
      <c r="D389" s="146"/>
      <c r="E389" s="146"/>
      <c r="F389" s="146"/>
      <c r="G389" s="146"/>
      <c r="H389" s="146"/>
      <c r="I389" s="53"/>
      <c r="J389" s="65"/>
      <c r="K389" s="51"/>
      <c r="L389" s="53"/>
    </row>
    <row r="390" spans="1:12" ht="14.25" x14ac:dyDescent="0.2">
      <c r="A390" s="65"/>
      <c r="B390" s="76"/>
      <c r="C390" s="146" t="s">
        <v>619</v>
      </c>
      <c r="D390" s="146"/>
      <c r="E390" s="146"/>
      <c r="F390" s="146"/>
      <c r="G390" s="146"/>
      <c r="H390" s="146"/>
      <c r="I390" s="53"/>
      <c r="J390" s="65"/>
      <c r="K390" s="51"/>
      <c r="L390" s="53">
        <f>SUM(AT354:AT381)</f>
        <v>17.619999999999997</v>
      </c>
    </row>
    <row r="391" spans="1:12" ht="14.25" hidden="1" x14ac:dyDescent="0.2">
      <c r="A391" s="65"/>
      <c r="B391" s="76"/>
      <c r="C391" s="146" t="s">
        <v>600</v>
      </c>
      <c r="D391" s="146"/>
      <c r="E391" s="146"/>
      <c r="F391" s="146"/>
      <c r="G391" s="146"/>
      <c r="H391" s="146"/>
      <c r="I391" s="53"/>
      <c r="J391" s="65"/>
      <c r="K391" s="51"/>
      <c r="L391" s="53">
        <f>SUM(AV354:AV381)</f>
        <v>0</v>
      </c>
    </row>
    <row r="392" spans="1:12" ht="14.25" x14ac:dyDescent="0.2">
      <c r="A392" s="65"/>
      <c r="B392" s="76"/>
      <c r="C392" s="146" t="s">
        <v>601</v>
      </c>
      <c r="D392" s="146"/>
      <c r="E392" s="146"/>
      <c r="F392" s="146"/>
      <c r="G392" s="146"/>
      <c r="H392" s="146"/>
      <c r="I392" s="53"/>
      <c r="J392" s="65"/>
      <c r="K392" s="51"/>
      <c r="L392" s="53">
        <f>L394+L395</f>
        <v>105945.76999999999</v>
      </c>
    </row>
    <row r="393" spans="1:12" ht="14.25" x14ac:dyDescent="0.2">
      <c r="A393" s="65"/>
      <c r="B393" s="76"/>
      <c r="C393" s="145" t="s">
        <v>598</v>
      </c>
      <c r="D393" s="146"/>
      <c r="E393" s="146"/>
      <c r="F393" s="146"/>
      <c r="G393" s="146"/>
      <c r="H393" s="146"/>
      <c r="I393" s="53"/>
      <c r="J393" s="65"/>
      <c r="K393" s="51"/>
      <c r="L393" s="53"/>
    </row>
    <row r="394" spans="1:12" ht="14.25" x14ac:dyDescent="0.2">
      <c r="A394" s="65"/>
      <c r="B394" s="76"/>
      <c r="C394" s="146" t="s">
        <v>602</v>
      </c>
      <c r="D394" s="146"/>
      <c r="E394" s="146"/>
      <c r="F394" s="146"/>
      <c r="G394" s="146"/>
      <c r="H394" s="146"/>
      <c r="I394" s="53"/>
      <c r="J394" s="65"/>
      <c r="K394" s="51"/>
      <c r="L394" s="53">
        <f>SUM(AW354:AW381)-SUM(BK354:BK381)</f>
        <v>105945.76999999999</v>
      </c>
    </row>
    <row r="395" spans="1:12" ht="14.25" hidden="1" x14ac:dyDescent="0.2">
      <c r="A395" s="65"/>
      <c r="B395" s="76"/>
      <c r="C395" s="146" t="s">
        <v>603</v>
      </c>
      <c r="D395" s="146"/>
      <c r="E395" s="146"/>
      <c r="F395" s="146"/>
      <c r="G395" s="146"/>
      <c r="H395" s="146"/>
      <c r="I395" s="53"/>
      <c r="J395" s="65"/>
      <c r="K395" s="51"/>
      <c r="L395" s="53">
        <f>SUM(BC354:BC381)</f>
        <v>0</v>
      </c>
    </row>
    <row r="396" spans="1:12" ht="14.25" hidden="1" x14ac:dyDescent="0.2">
      <c r="A396" s="65"/>
      <c r="B396" s="76"/>
      <c r="C396" s="146" t="s">
        <v>604</v>
      </c>
      <c r="D396" s="146"/>
      <c r="E396" s="146"/>
      <c r="F396" s="146"/>
      <c r="G396" s="146"/>
      <c r="H396" s="146"/>
      <c r="I396" s="53"/>
      <c r="J396" s="65"/>
      <c r="K396" s="51"/>
      <c r="L396" s="53">
        <f>SUM(BB354:BB381)</f>
        <v>0</v>
      </c>
    </row>
    <row r="397" spans="1:12" ht="14.25" x14ac:dyDescent="0.2">
      <c r="A397" s="65"/>
      <c r="B397" s="76"/>
      <c r="C397" s="146" t="s">
        <v>605</v>
      </c>
      <c r="D397" s="146"/>
      <c r="E397" s="146"/>
      <c r="F397" s="146"/>
      <c r="G397" s="146"/>
      <c r="H397" s="146"/>
      <c r="I397" s="53"/>
      <c r="J397" s="65"/>
      <c r="K397" s="51"/>
      <c r="L397" s="53">
        <f>SUM(AR354:AR381)+SUM(AT354:AT381)+SUM(AV354:AV381)</f>
        <v>2109.52</v>
      </c>
    </row>
    <row r="398" spans="1:12" ht="14.25" x14ac:dyDescent="0.2">
      <c r="A398" s="65"/>
      <c r="B398" s="76"/>
      <c r="C398" s="146" t="s">
        <v>606</v>
      </c>
      <c r="D398" s="146"/>
      <c r="E398" s="146"/>
      <c r="F398" s="146"/>
      <c r="G398" s="146"/>
      <c r="H398" s="146"/>
      <c r="I398" s="53"/>
      <c r="J398" s="65"/>
      <c r="K398" s="51"/>
      <c r="L398" s="53">
        <f>SUM(AZ354:AZ381)</f>
        <v>1961.85</v>
      </c>
    </row>
    <row r="399" spans="1:12" ht="14.25" x14ac:dyDescent="0.2">
      <c r="A399" s="65"/>
      <c r="B399" s="76"/>
      <c r="C399" s="146" t="s">
        <v>607</v>
      </c>
      <c r="D399" s="146"/>
      <c r="E399" s="146"/>
      <c r="F399" s="146"/>
      <c r="G399" s="146"/>
      <c r="H399" s="146"/>
      <c r="I399" s="53"/>
      <c r="J399" s="65"/>
      <c r="K399" s="51"/>
      <c r="L399" s="53">
        <f>SUM(BA354:BA381)</f>
        <v>1307.9000000000001</v>
      </c>
    </row>
    <row r="400" spans="1:12" ht="14.25" hidden="1" x14ac:dyDescent="0.2">
      <c r="A400" s="65"/>
      <c r="B400" s="76"/>
      <c r="C400" s="146" t="s">
        <v>608</v>
      </c>
      <c r="D400" s="146"/>
      <c r="E400" s="146"/>
      <c r="F400" s="146"/>
      <c r="G400" s="146"/>
      <c r="H400" s="146"/>
      <c r="I400" s="53"/>
      <c r="J400" s="65"/>
      <c r="K400" s="51"/>
      <c r="L400" s="53">
        <f>L402+L403</f>
        <v>0</v>
      </c>
    </row>
    <row r="401" spans="1:12" ht="14.25" hidden="1" x14ac:dyDescent="0.2">
      <c r="A401" s="65"/>
      <c r="B401" s="76"/>
      <c r="C401" s="145" t="s">
        <v>595</v>
      </c>
      <c r="D401" s="146"/>
      <c r="E401" s="146"/>
      <c r="F401" s="146"/>
      <c r="G401" s="146"/>
      <c r="H401" s="146"/>
      <c r="I401" s="53"/>
      <c r="J401" s="65"/>
      <c r="K401" s="51"/>
      <c r="L401" s="53"/>
    </row>
    <row r="402" spans="1:12" ht="14.25" hidden="1" x14ac:dyDescent="0.2">
      <c r="A402" s="65"/>
      <c r="B402" s="76"/>
      <c r="C402" s="146" t="s">
        <v>609</v>
      </c>
      <c r="D402" s="146"/>
      <c r="E402" s="146"/>
      <c r="F402" s="146"/>
      <c r="G402" s="146"/>
      <c r="H402" s="146"/>
      <c r="I402" s="53"/>
      <c r="J402" s="65"/>
      <c r="K402" s="51"/>
      <c r="L402" s="53">
        <f>SUM(BK354:BK381)</f>
        <v>0</v>
      </c>
    </row>
    <row r="403" spans="1:12" ht="14.25" hidden="1" x14ac:dyDescent="0.2">
      <c r="A403" s="65"/>
      <c r="B403" s="76"/>
      <c r="C403" s="146" t="s">
        <v>610</v>
      </c>
      <c r="D403" s="146"/>
      <c r="E403" s="146"/>
      <c r="F403" s="146"/>
      <c r="G403" s="146"/>
      <c r="H403" s="146"/>
      <c r="I403" s="53"/>
      <c r="J403" s="65"/>
      <c r="K403" s="51"/>
      <c r="L403" s="53">
        <f>SUM(BD354:BD381)</f>
        <v>0</v>
      </c>
    </row>
    <row r="404" spans="1:12" ht="14.25" hidden="1" x14ac:dyDescent="0.2">
      <c r="A404" s="65"/>
      <c r="B404" s="76"/>
      <c r="C404" s="146" t="s">
        <v>611</v>
      </c>
      <c r="D404" s="146"/>
      <c r="E404" s="146"/>
      <c r="F404" s="146"/>
      <c r="G404" s="146"/>
      <c r="H404" s="146"/>
      <c r="I404" s="53"/>
      <c r="J404" s="65"/>
      <c r="K404" s="51"/>
      <c r="L404" s="53"/>
    </row>
    <row r="405" spans="1:12" ht="14.25" hidden="1" x14ac:dyDescent="0.2">
      <c r="A405" s="65"/>
      <c r="B405" s="76"/>
      <c r="C405" s="146" t="s">
        <v>611</v>
      </c>
      <c r="D405" s="146"/>
      <c r="E405" s="146"/>
      <c r="F405" s="146"/>
      <c r="G405" s="146"/>
      <c r="H405" s="146"/>
      <c r="I405" s="53"/>
      <c r="J405" s="65"/>
      <c r="K405" s="51"/>
      <c r="L405" s="53">
        <f>SUM(BQ354:BQ381)</f>
        <v>0</v>
      </c>
    </row>
    <row r="406" spans="1:12" ht="14.25" hidden="1" x14ac:dyDescent="0.2">
      <c r="A406" s="65"/>
      <c r="B406" s="76"/>
      <c r="C406" s="146" t="s">
        <v>612</v>
      </c>
      <c r="D406" s="146"/>
      <c r="E406" s="146"/>
      <c r="F406" s="146"/>
      <c r="G406" s="146"/>
      <c r="H406" s="146"/>
      <c r="I406" s="53"/>
      <c r="J406" s="65"/>
      <c r="K406" s="51"/>
      <c r="L406" s="53">
        <f>SUM(BO354:BO381)</f>
        <v>0</v>
      </c>
    </row>
    <row r="407" spans="1:12" ht="15" x14ac:dyDescent="0.2">
      <c r="A407" s="77"/>
      <c r="B407" s="78"/>
      <c r="C407" s="147" t="s">
        <v>613</v>
      </c>
      <c r="D407" s="147"/>
      <c r="E407" s="147"/>
      <c r="F407" s="147"/>
      <c r="G407" s="147"/>
      <c r="H407" s="147"/>
      <c r="I407" s="56"/>
      <c r="J407" s="77"/>
      <c r="K407" s="79"/>
      <c r="L407" s="56">
        <f>L383+L398+L399+L400+L405+L406</f>
        <v>111336.96999999999</v>
      </c>
    </row>
    <row r="408" spans="1:12" ht="14.25" x14ac:dyDescent="0.2">
      <c r="A408" s="65"/>
      <c r="B408" s="76"/>
      <c r="C408" s="145" t="s">
        <v>614</v>
      </c>
      <c r="D408" s="146"/>
      <c r="E408" s="146"/>
      <c r="F408" s="146"/>
      <c r="G408" s="146"/>
      <c r="H408" s="146"/>
      <c r="I408" s="53"/>
      <c r="J408" s="65"/>
      <c r="K408" s="51"/>
      <c r="L408" s="53"/>
    </row>
    <row r="409" spans="1:12" ht="14.25" hidden="1" x14ac:dyDescent="0.2">
      <c r="A409" s="65"/>
      <c r="B409" s="76"/>
      <c r="C409" s="146" t="s">
        <v>615</v>
      </c>
      <c r="D409" s="146"/>
      <c r="E409" s="146"/>
      <c r="F409" s="146"/>
      <c r="G409" s="146"/>
      <c r="H409" s="146"/>
      <c r="I409" s="53"/>
      <c r="J409" s="65"/>
      <c r="K409" s="51"/>
      <c r="L409" s="53">
        <f>SUM(AX354:AX381)</f>
        <v>0</v>
      </c>
    </row>
    <row r="410" spans="1:12" ht="14.25" hidden="1" x14ac:dyDescent="0.2">
      <c r="A410" s="65"/>
      <c r="B410" s="76"/>
      <c r="C410" s="146" t="s">
        <v>616</v>
      </c>
      <c r="D410" s="146"/>
      <c r="E410" s="146"/>
      <c r="F410" s="146"/>
      <c r="G410" s="146"/>
      <c r="H410" s="146"/>
      <c r="I410" s="53"/>
      <c r="J410" s="65"/>
      <c r="K410" s="51"/>
      <c r="L410" s="53">
        <f>SUM(AY354:AY381)</f>
        <v>0</v>
      </c>
    </row>
    <row r="411" spans="1:12" ht="14.25" x14ac:dyDescent="0.2">
      <c r="A411" s="65"/>
      <c r="B411" s="76"/>
      <c r="C411" s="146" t="s">
        <v>617</v>
      </c>
      <c r="D411" s="146"/>
      <c r="E411" s="146"/>
      <c r="F411" s="148"/>
      <c r="G411" s="55">
        <f>Source!F145</f>
        <v>2.9269251000000001</v>
      </c>
      <c r="H411" s="65"/>
      <c r="I411" s="65"/>
      <c r="J411" s="65"/>
      <c r="K411" s="65"/>
      <c r="L411" s="65"/>
    </row>
    <row r="412" spans="1:12" ht="14.25" x14ac:dyDescent="0.2">
      <c r="A412" s="65"/>
      <c r="B412" s="76"/>
      <c r="C412" s="146" t="s">
        <v>618</v>
      </c>
      <c r="D412" s="146"/>
      <c r="E412" s="146"/>
      <c r="F412" s="148"/>
      <c r="G412" s="55">
        <f>Source!F146</f>
        <v>2.3851899999999999E-2</v>
      </c>
      <c r="H412" s="65"/>
      <c r="I412" s="65"/>
      <c r="J412" s="65"/>
      <c r="K412" s="65"/>
      <c r="L412" s="65"/>
    </row>
    <row r="415" spans="1:12" ht="15" x14ac:dyDescent="0.2">
      <c r="A415" s="80"/>
      <c r="B415" s="81"/>
      <c r="C415" s="149" t="s">
        <v>624</v>
      </c>
      <c r="D415" s="149"/>
      <c r="E415" s="149"/>
      <c r="F415" s="149"/>
      <c r="G415" s="149"/>
      <c r="H415" s="149"/>
      <c r="I415" s="82"/>
      <c r="J415" s="80"/>
      <c r="K415" s="83"/>
      <c r="L415" s="82"/>
    </row>
    <row r="417" spans="1:12" ht="15" x14ac:dyDescent="0.2">
      <c r="A417" s="77"/>
      <c r="B417" s="78"/>
      <c r="C417" s="147" t="s">
        <v>625</v>
      </c>
      <c r="D417" s="147"/>
      <c r="E417" s="147"/>
      <c r="F417" s="147"/>
      <c r="G417" s="147"/>
      <c r="H417" s="147"/>
      <c r="I417" s="56"/>
      <c r="J417" s="77"/>
      <c r="K417" s="79"/>
      <c r="L417" s="56">
        <f>L419+L434+L435</f>
        <v>132592.90999999997</v>
      </c>
    </row>
    <row r="418" spans="1:12" ht="14.25" x14ac:dyDescent="0.2">
      <c r="A418" s="65"/>
      <c r="B418" s="76"/>
      <c r="C418" s="145" t="s">
        <v>595</v>
      </c>
      <c r="D418" s="146"/>
      <c r="E418" s="146"/>
      <c r="F418" s="146"/>
      <c r="G418" s="146"/>
      <c r="H418" s="146"/>
      <c r="I418" s="53"/>
      <c r="J418" s="65"/>
      <c r="K418" s="51"/>
      <c r="L418" s="53"/>
    </row>
    <row r="419" spans="1:12" ht="14.25" x14ac:dyDescent="0.2">
      <c r="A419" s="65"/>
      <c r="B419" s="76"/>
      <c r="C419" s="146" t="s">
        <v>626</v>
      </c>
      <c r="D419" s="146"/>
      <c r="E419" s="146"/>
      <c r="F419" s="146"/>
      <c r="G419" s="146"/>
      <c r="H419" s="146"/>
      <c r="I419" s="53"/>
      <c r="J419" s="65"/>
      <c r="K419" s="51"/>
      <c r="L419" s="53">
        <f>L421+L422+L428+L432</f>
        <v>129323.15999999999</v>
      </c>
    </row>
    <row r="420" spans="1:12" ht="14.25" x14ac:dyDescent="0.2">
      <c r="A420" s="65"/>
      <c r="B420" s="76"/>
      <c r="C420" s="145" t="s">
        <v>595</v>
      </c>
      <c r="D420" s="146"/>
      <c r="E420" s="146"/>
      <c r="F420" s="146"/>
      <c r="G420" s="146"/>
      <c r="H420" s="146"/>
      <c r="I420" s="53"/>
      <c r="J420" s="65"/>
      <c r="K420" s="51"/>
      <c r="L420" s="53"/>
    </row>
    <row r="421" spans="1:12" ht="14.25" x14ac:dyDescent="0.2">
      <c r="A421" s="65"/>
      <c r="B421" s="76"/>
      <c r="C421" s="146" t="s">
        <v>627</v>
      </c>
      <c r="D421" s="146"/>
      <c r="E421" s="146"/>
      <c r="F421" s="146"/>
      <c r="G421" s="146"/>
      <c r="H421" s="146"/>
      <c r="I421" s="53"/>
      <c r="J421" s="65"/>
      <c r="K421" s="51"/>
      <c r="L421" s="53">
        <f>SUMIF(CD60:CD413, 1, AR60:AR413)</f>
        <v>2091.9</v>
      </c>
    </row>
    <row r="422" spans="1:12" ht="14.25" hidden="1" x14ac:dyDescent="0.2">
      <c r="A422" s="65"/>
      <c r="B422" s="76"/>
      <c r="C422" s="146" t="s">
        <v>597</v>
      </c>
      <c r="D422" s="146"/>
      <c r="E422" s="146"/>
      <c r="F422" s="146"/>
      <c r="G422" s="146"/>
      <c r="H422" s="146"/>
      <c r="I422" s="53"/>
      <c r="J422" s="65"/>
      <c r="K422" s="51"/>
      <c r="L422" s="53">
        <f>L424+L427+L426</f>
        <v>29.549999999999997</v>
      </c>
    </row>
    <row r="423" spans="1:12" ht="14.25" hidden="1" x14ac:dyDescent="0.2">
      <c r="A423" s="65"/>
      <c r="B423" s="76"/>
      <c r="C423" s="145" t="s">
        <v>598</v>
      </c>
      <c r="D423" s="146"/>
      <c r="E423" s="146"/>
      <c r="F423" s="146"/>
      <c r="G423" s="146"/>
      <c r="H423" s="146"/>
      <c r="I423" s="53"/>
      <c r="J423" s="65"/>
      <c r="K423" s="51"/>
      <c r="L423" s="53"/>
    </row>
    <row r="424" spans="1:12" ht="14.25" x14ac:dyDescent="0.2">
      <c r="A424" s="65"/>
      <c r="B424" s="76"/>
      <c r="C424" s="146" t="s">
        <v>597</v>
      </c>
      <c r="D424" s="146"/>
      <c r="E424" s="146"/>
      <c r="F424" s="146"/>
      <c r="G424" s="146"/>
      <c r="H424" s="146"/>
      <c r="I424" s="53"/>
      <c r="J424" s="65"/>
      <c r="K424" s="51"/>
      <c r="L424" s="53">
        <f>SUMIF(CD60:CD413, 1, AO60:AO413)</f>
        <v>11.93</v>
      </c>
    </row>
    <row r="425" spans="1:12" ht="14.25" hidden="1" x14ac:dyDescent="0.2">
      <c r="A425" s="65"/>
      <c r="B425" s="76"/>
      <c r="C425" s="145" t="s">
        <v>599</v>
      </c>
      <c r="D425" s="146"/>
      <c r="E425" s="146"/>
      <c r="F425" s="146"/>
      <c r="G425" s="146"/>
      <c r="H425" s="146"/>
      <c r="I425" s="53"/>
      <c r="J425" s="65"/>
      <c r="K425" s="51"/>
      <c r="L425" s="53"/>
    </row>
    <row r="426" spans="1:12" ht="14.25" x14ac:dyDescent="0.2">
      <c r="A426" s="65"/>
      <c r="B426" s="76"/>
      <c r="C426" s="146" t="s">
        <v>619</v>
      </c>
      <c r="D426" s="146"/>
      <c r="E426" s="146"/>
      <c r="F426" s="146"/>
      <c r="G426" s="146"/>
      <c r="H426" s="146"/>
      <c r="I426" s="53"/>
      <c r="J426" s="65"/>
      <c r="K426" s="51"/>
      <c r="L426" s="53">
        <f>SUMIF(CD60:CD413, 1, AT60:AT413)</f>
        <v>17.619999999999997</v>
      </c>
    </row>
    <row r="427" spans="1:12" ht="14.25" hidden="1" x14ac:dyDescent="0.2">
      <c r="A427" s="65"/>
      <c r="B427" s="76"/>
      <c r="C427" s="146" t="s">
        <v>600</v>
      </c>
      <c r="D427" s="146"/>
      <c r="E427" s="146"/>
      <c r="F427" s="146"/>
      <c r="G427" s="146"/>
      <c r="H427" s="146"/>
      <c r="I427" s="53"/>
      <c r="J427" s="65"/>
      <c r="K427" s="51"/>
      <c r="L427" s="53">
        <f>SUMIF(CD60:CD413, 1, AV60:AV413)</f>
        <v>0</v>
      </c>
    </row>
    <row r="428" spans="1:12" ht="14.25" x14ac:dyDescent="0.2">
      <c r="A428" s="65"/>
      <c r="B428" s="76"/>
      <c r="C428" s="146" t="s">
        <v>601</v>
      </c>
      <c r="D428" s="146"/>
      <c r="E428" s="146"/>
      <c r="F428" s="146"/>
      <c r="G428" s="146"/>
      <c r="H428" s="146"/>
      <c r="I428" s="53"/>
      <c r="J428" s="65"/>
      <c r="K428" s="51"/>
      <c r="L428" s="53">
        <f>L430+L431</f>
        <v>127201.70999999999</v>
      </c>
    </row>
    <row r="429" spans="1:12" ht="14.25" x14ac:dyDescent="0.2">
      <c r="A429" s="65"/>
      <c r="B429" s="76"/>
      <c r="C429" s="145" t="s">
        <v>598</v>
      </c>
      <c r="D429" s="146"/>
      <c r="E429" s="146"/>
      <c r="F429" s="146"/>
      <c r="G429" s="146"/>
      <c r="H429" s="146"/>
      <c r="I429" s="53"/>
      <c r="J429" s="65"/>
      <c r="K429" s="51"/>
      <c r="L429" s="53"/>
    </row>
    <row r="430" spans="1:12" ht="14.25" x14ac:dyDescent="0.2">
      <c r="A430" s="65"/>
      <c r="B430" s="76"/>
      <c r="C430" s="146" t="s">
        <v>602</v>
      </c>
      <c r="D430" s="146"/>
      <c r="E430" s="146"/>
      <c r="F430" s="146"/>
      <c r="G430" s="146"/>
      <c r="H430" s="146"/>
      <c r="I430" s="53"/>
      <c r="J430" s="65"/>
      <c r="K430" s="51"/>
      <c r="L430" s="53">
        <f>SUMIF(CD60:CD413, 1, AW60:AW413)-SUMIF(CD60:CD413, 1, BK60:BK413)</f>
        <v>127201.70999999999</v>
      </c>
    </row>
    <row r="431" spans="1:12" ht="14.25" hidden="1" x14ac:dyDescent="0.2">
      <c r="A431" s="65"/>
      <c r="B431" s="76"/>
      <c r="C431" s="146" t="s">
        <v>603</v>
      </c>
      <c r="D431" s="146"/>
      <c r="E431" s="146"/>
      <c r="F431" s="146"/>
      <c r="G431" s="146"/>
      <c r="H431" s="146"/>
      <c r="I431" s="53"/>
      <c r="J431" s="65"/>
      <c r="K431" s="51"/>
      <c r="L431" s="53">
        <f>SUMIF(CD60:CD413, 1, BC60:BC413)</f>
        <v>0</v>
      </c>
    </row>
    <row r="432" spans="1:12" ht="14.25" hidden="1" x14ac:dyDescent="0.2">
      <c r="A432" s="65"/>
      <c r="B432" s="76"/>
      <c r="C432" s="146" t="s">
        <v>604</v>
      </c>
      <c r="D432" s="146"/>
      <c r="E432" s="146"/>
      <c r="F432" s="146"/>
      <c r="G432" s="146"/>
      <c r="H432" s="146"/>
      <c r="I432" s="53"/>
      <c r="J432" s="65"/>
      <c r="K432" s="51"/>
      <c r="L432" s="53">
        <f>SUMIF(CD60:CD413, 1, BB60:BB413)</f>
        <v>0</v>
      </c>
    </row>
    <row r="433" spans="1:12" ht="14.25" x14ac:dyDescent="0.2">
      <c r="A433" s="65"/>
      <c r="B433" s="76"/>
      <c r="C433" s="146" t="s">
        <v>628</v>
      </c>
      <c r="D433" s="146"/>
      <c r="E433" s="146"/>
      <c r="F433" s="146"/>
      <c r="G433" s="146"/>
      <c r="H433" s="146"/>
      <c r="I433" s="53"/>
      <c r="J433" s="65"/>
      <c r="K433" s="51"/>
      <c r="L433" s="53">
        <f>SUMIF(CD60:CD413, 1, AR60:AR413)+SUMIF(CD60:CD413, 1, AT60:AT413)+SUMIF(CD60:CD413, 1, AV60:AV413)</f>
        <v>2109.52</v>
      </c>
    </row>
    <row r="434" spans="1:12" ht="14.25" x14ac:dyDescent="0.2">
      <c r="A434" s="65"/>
      <c r="B434" s="76"/>
      <c r="C434" s="146" t="s">
        <v>629</v>
      </c>
      <c r="D434" s="146"/>
      <c r="E434" s="146"/>
      <c r="F434" s="146"/>
      <c r="G434" s="146"/>
      <c r="H434" s="146"/>
      <c r="I434" s="53"/>
      <c r="J434" s="65"/>
      <c r="K434" s="51"/>
      <c r="L434" s="53">
        <f>SUMIF(CD60:CD413, 1, AZ60:AZ413)</f>
        <v>1961.85</v>
      </c>
    </row>
    <row r="435" spans="1:12" ht="14.25" x14ac:dyDescent="0.2">
      <c r="A435" s="65"/>
      <c r="B435" s="76"/>
      <c r="C435" s="146" t="s">
        <v>630</v>
      </c>
      <c r="D435" s="146"/>
      <c r="E435" s="146"/>
      <c r="F435" s="146"/>
      <c r="G435" s="146"/>
      <c r="H435" s="146"/>
      <c r="I435" s="53"/>
      <c r="J435" s="65"/>
      <c r="K435" s="51"/>
      <c r="L435" s="53">
        <f>SUMIF(CD60:CD413, 1, BA60:BA413)</f>
        <v>1307.9000000000001</v>
      </c>
    </row>
    <row r="437" spans="1:12" ht="15" x14ac:dyDescent="0.2">
      <c r="A437" s="77"/>
      <c r="B437" s="78"/>
      <c r="C437" s="147" t="s">
        <v>631</v>
      </c>
      <c r="D437" s="147"/>
      <c r="E437" s="147"/>
      <c r="F437" s="147"/>
      <c r="G437" s="147"/>
      <c r="H437" s="147"/>
      <c r="I437" s="56"/>
      <c r="J437" s="77"/>
      <c r="K437" s="79"/>
      <c r="L437" s="56">
        <f>L439+L454+L455</f>
        <v>190806.72000000003</v>
      </c>
    </row>
    <row r="438" spans="1:12" ht="14.25" x14ac:dyDescent="0.2">
      <c r="A438" s="65"/>
      <c r="B438" s="76"/>
      <c r="C438" s="145" t="s">
        <v>595</v>
      </c>
      <c r="D438" s="146"/>
      <c r="E438" s="146"/>
      <c r="F438" s="146"/>
      <c r="G438" s="146"/>
      <c r="H438" s="146"/>
      <c r="I438" s="53"/>
      <c r="J438" s="65"/>
      <c r="K438" s="51"/>
      <c r="L438" s="53"/>
    </row>
    <row r="439" spans="1:12" ht="14.25" x14ac:dyDescent="0.2">
      <c r="A439" s="65"/>
      <c r="B439" s="76"/>
      <c r="C439" s="146" t="s">
        <v>626</v>
      </c>
      <c r="D439" s="146"/>
      <c r="E439" s="146"/>
      <c r="F439" s="146"/>
      <c r="G439" s="146"/>
      <c r="H439" s="146"/>
      <c r="I439" s="53"/>
      <c r="J439" s="65"/>
      <c r="K439" s="51"/>
      <c r="L439" s="53">
        <f>L441+L442+L448+L452</f>
        <v>105757.48000000001</v>
      </c>
    </row>
    <row r="440" spans="1:12" ht="14.25" x14ac:dyDescent="0.2">
      <c r="A440" s="65"/>
      <c r="B440" s="76"/>
      <c r="C440" s="145" t="s">
        <v>595</v>
      </c>
      <c r="D440" s="146"/>
      <c r="E440" s="146"/>
      <c r="F440" s="146"/>
      <c r="G440" s="146"/>
      <c r="H440" s="146"/>
      <c r="I440" s="53"/>
      <c r="J440" s="65"/>
      <c r="K440" s="51"/>
      <c r="L440" s="53"/>
    </row>
    <row r="441" spans="1:12" ht="14.25" x14ac:dyDescent="0.2">
      <c r="A441" s="65"/>
      <c r="B441" s="76"/>
      <c r="C441" s="146" t="s">
        <v>627</v>
      </c>
      <c r="D441" s="146"/>
      <c r="E441" s="146"/>
      <c r="F441" s="146"/>
      <c r="G441" s="146"/>
      <c r="H441" s="146"/>
      <c r="I441" s="53"/>
      <c r="J441" s="65"/>
      <c r="K441" s="51"/>
      <c r="L441" s="53">
        <f>SUMIF(CD60:CD435, 2, AR60:AR435)</f>
        <v>59077.89</v>
      </c>
    </row>
    <row r="442" spans="1:12" ht="14.25" hidden="1" x14ac:dyDescent="0.2">
      <c r="A442" s="65"/>
      <c r="B442" s="76"/>
      <c r="C442" s="146" t="s">
        <v>597</v>
      </c>
      <c r="D442" s="146"/>
      <c r="E442" s="146"/>
      <c r="F442" s="146"/>
      <c r="G442" s="146"/>
      <c r="H442" s="146"/>
      <c r="I442" s="53"/>
      <c r="J442" s="65"/>
      <c r="K442" s="51"/>
      <c r="L442" s="53">
        <f>L444+L447+L446</f>
        <v>487.44000000000005</v>
      </c>
    </row>
    <row r="443" spans="1:12" ht="14.25" hidden="1" x14ac:dyDescent="0.2">
      <c r="A443" s="65"/>
      <c r="B443" s="76"/>
      <c r="C443" s="145" t="s">
        <v>598</v>
      </c>
      <c r="D443" s="146"/>
      <c r="E443" s="146"/>
      <c r="F443" s="146"/>
      <c r="G443" s="146"/>
      <c r="H443" s="146"/>
      <c r="I443" s="53"/>
      <c r="J443" s="65"/>
      <c r="K443" s="51"/>
      <c r="L443" s="53"/>
    </row>
    <row r="444" spans="1:12" ht="14.25" x14ac:dyDescent="0.2">
      <c r="A444" s="65"/>
      <c r="B444" s="76"/>
      <c r="C444" s="146" t="s">
        <v>597</v>
      </c>
      <c r="D444" s="146"/>
      <c r="E444" s="146"/>
      <c r="F444" s="146"/>
      <c r="G444" s="146"/>
      <c r="H444" s="146"/>
      <c r="I444" s="53"/>
      <c r="J444" s="65"/>
      <c r="K444" s="51"/>
      <c r="L444" s="53">
        <f>SUMIF(CD60:CD435, 2, AO60:AO435)</f>
        <v>294.23</v>
      </c>
    </row>
    <row r="445" spans="1:12" ht="14.25" hidden="1" x14ac:dyDescent="0.2">
      <c r="A445" s="65"/>
      <c r="B445" s="76"/>
      <c r="C445" s="145" t="s">
        <v>599</v>
      </c>
      <c r="D445" s="146"/>
      <c r="E445" s="146"/>
      <c r="F445" s="146"/>
      <c r="G445" s="146"/>
      <c r="H445" s="146"/>
      <c r="I445" s="53"/>
      <c r="J445" s="65"/>
      <c r="K445" s="51"/>
      <c r="L445" s="53"/>
    </row>
    <row r="446" spans="1:12" ht="14.25" x14ac:dyDescent="0.2">
      <c r="A446" s="65"/>
      <c r="B446" s="76"/>
      <c r="C446" s="146" t="s">
        <v>619</v>
      </c>
      <c r="D446" s="146"/>
      <c r="E446" s="146"/>
      <c r="F446" s="146"/>
      <c r="G446" s="146"/>
      <c r="H446" s="146"/>
      <c r="I446" s="53"/>
      <c r="J446" s="65"/>
      <c r="K446" s="51"/>
      <c r="L446" s="53">
        <f>SUMIF(CD60:CD435, 2, AT60:AT435)</f>
        <v>193.21</v>
      </c>
    </row>
    <row r="447" spans="1:12" ht="14.25" hidden="1" x14ac:dyDescent="0.2">
      <c r="A447" s="65"/>
      <c r="B447" s="76"/>
      <c r="C447" s="146" t="s">
        <v>600</v>
      </c>
      <c r="D447" s="146"/>
      <c r="E447" s="146"/>
      <c r="F447" s="146"/>
      <c r="G447" s="146"/>
      <c r="H447" s="146"/>
      <c r="I447" s="53"/>
      <c r="J447" s="65"/>
      <c r="K447" s="51"/>
      <c r="L447" s="53">
        <f>SUMIF(CD60:CD435, 2, AV60:AV435)</f>
        <v>0</v>
      </c>
    </row>
    <row r="448" spans="1:12" ht="14.25" x14ac:dyDescent="0.2">
      <c r="A448" s="65"/>
      <c r="B448" s="76"/>
      <c r="C448" s="146" t="s">
        <v>601</v>
      </c>
      <c r="D448" s="146"/>
      <c r="E448" s="146"/>
      <c r="F448" s="146"/>
      <c r="G448" s="146"/>
      <c r="H448" s="146"/>
      <c r="I448" s="53"/>
      <c r="J448" s="65"/>
      <c r="K448" s="51"/>
      <c r="L448" s="53">
        <f>L450+L451</f>
        <v>46192.150000000009</v>
      </c>
    </row>
    <row r="449" spans="1:12" ht="14.25" x14ac:dyDescent="0.2">
      <c r="A449" s="65"/>
      <c r="B449" s="76"/>
      <c r="C449" s="145" t="s">
        <v>598</v>
      </c>
      <c r="D449" s="146"/>
      <c r="E449" s="146"/>
      <c r="F449" s="146"/>
      <c r="G449" s="146"/>
      <c r="H449" s="146"/>
      <c r="I449" s="53"/>
      <c r="J449" s="65"/>
      <c r="K449" s="51"/>
      <c r="L449" s="53"/>
    </row>
    <row r="450" spans="1:12" ht="14.25" x14ac:dyDescent="0.2">
      <c r="A450" s="65"/>
      <c r="B450" s="76"/>
      <c r="C450" s="146" t="s">
        <v>602</v>
      </c>
      <c r="D450" s="146"/>
      <c r="E450" s="146"/>
      <c r="F450" s="146"/>
      <c r="G450" s="146"/>
      <c r="H450" s="146"/>
      <c r="I450" s="53"/>
      <c r="J450" s="65"/>
      <c r="K450" s="51"/>
      <c r="L450" s="53">
        <f>SUMIF(CD60:CD435, 2, AW60:AW435)-SUMIF(CD60:CD435, 2, BK60:BK435)</f>
        <v>46192.150000000009</v>
      </c>
    </row>
    <row r="451" spans="1:12" ht="14.25" hidden="1" x14ac:dyDescent="0.2">
      <c r="A451" s="65"/>
      <c r="B451" s="76"/>
      <c r="C451" s="146" t="s">
        <v>603</v>
      </c>
      <c r="D451" s="146"/>
      <c r="E451" s="146"/>
      <c r="F451" s="146"/>
      <c r="G451" s="146"/>
      <c r="H451" s="146"/>
      <c r="I451" s="53"/>
      <c r="J451" s="65"/>
      <c r="K451" s="51"/>
      <c r="L451" s="53">
        <f>SUMIF(CD60:CD435, 2, BC60:BC435)</f>
        <v>0</v>
      </c>
    </row>
    <row r="452" spans="1:12" ht="14.25" hidden="1" x14ac:dyDescent="0.2">
      <c r="A452" s="65"/>
      <c r="B452" s="76"/>
      <c r="C452" s="146" t="s">
        <v>604</v>
      </c>
      <c r="D452" s="146"/>
      <c r="E452" s="146"/>
      <c r="F452" s="146"/>
      <c r="G452" s="146"/>
      <c r="H452" s="146"/>
      <c r="I452" s="53"/>
      <c r="J452" s="65"/>
      <c r="K452" s="51"/>
      <c r="L452" s="53">
        <f>SUMIF(CD60:CD435, 2, BB60:BB435)</f>
        <v>0</v>
      </c>
    </row>
    <row r="453" spans="1:12" ht="14.25" x14ac:dyDescent="0.2">
      <c r="A453" s="65"/>
      <c r="B453" s="76"/>
      <c r="C453" s="146" t="s">
        <v>628</v>
      </c>
      <c r="D453" s="146"/>
      <c r="E453" s="146"/>
      <c r="F453" s="146"/>
      <c r="G453" s="146"/>
      <c r="H453" s="146"/>
      <c r="I453" s="53"/>
      <c r="J453" s="65"/>
      <c r="K453" s="51"/>
      <c r="L453" s="53">
        <f>SUMIF(CD60:CD435, 2, AR60:AR435)+SUMIF(CD60:CD435, 2, AT60:AT435)+SUMIF(CD60:CD435, 2, AV60:AV435)</f>
        <v>59271.1</v>
      </c>
    </row>
    <row r="454" spans="1:12" ht="14.25" x14ac:dyDescent="0.2">
      <c r="A454" s="65"/>
      <c r="B454" s="76"/>
      <c r="C454" s="146" t="s">
        <v>629</v>
      </c>
      <c r="D454" s="146"/>
      <c r="E454" s="146"/>
      <c r="F454" s="146"/>
      <c r="G454" s="146"/>
      <c r="H454" s="146"/>
      <c r="I454" s="53"/>
      <c r="J454" s="65"/>
      <c r="K454" s="51"/>
      <c r="L454" s="53">
        <f>SUMIF(CD60:CD435, 2, AZ60:AZ435)</f>
        <v>56040.950000000004</v>
      </c>
    </row>
    <row r="455" spans="1:12" ht="14.25" x14ac:dyDescent="0.2">
      <c r="A455" s="65"/>
      <c r="B455" s="76"/>
      <c r="C455" s="146" t="s">
        <v>630</v>
      </c>
      <c r="D455" s="146"/>
      <c r="E455" s="146"/>
      <c r="F455" s="146"/>
      <c r="G455" s="146"/>
      <c r="H455" s="146"/>
      <c r="I455" s="53"/>
      <c r="J455" s="65"/>
      <c r="K455" s="51"/>
      <c r="L455" s="53">
        <f>SUMIF(CD60:CD435, 2, BA60:BA435)</f>
        <v>29008.290000000005</v>
      </c>
    </row>
    <row r="457" spans="1:12" ht="15" x14ac:dyDescent="0.2">
      <c r="A457" s="77"/>
      <c r="B457" s="78"/>
      <c r="C457" s="147" t="s">
        <v>632</v>
      </c>
      <c r="D457" s="147"/>
      <c r="E457" s="147"/>
      <c r="F457" s="147"/>
      <c r="G457" s="147"/>
      <c r="H457" s="147"/>
      <c r="I457" s="56"/>
      <c r="J457" s="77"/>
      <c r="K457" s="79"/>
      <c r="L457" s="56">
        <f>L459+L460</f>
        <v>2506.98</v>
      </c>
    </row>
    <row r="458" spans="1:12" ht="14.25" x14ac:dyDescent="0.2">
      <c r="A458" s="65"/>
      <c r="B458" s="76"/>
      <c r="C458" s="145" t="s">
        <v>595</v>
      </c>
      <c r="D458" s="146"/>
      <c r="E458" s="146"/>
      <c r="F458" s="146"/>
      <c r="G458" s="146"/>
      <c r="H458" s="146"/>
      <c r="I458" s="53"/>
      <c r="J458" s="65"/>
      <c r="K458" s="51"/>
      <c r="L458" s="53"/>
    </row>
    <row r="459" spans="1:12" ht="14.25" x14ac:dyDescent="0.2">
      <c r="A459" s="65"/>
      <c r="B459" s="76"/>
      <c r="C459" s="146" t="s">
        <v>609</v>
      </c>
      <c r="D459" s="146"/>
      <c r="E459" s="146"/>
      <c r="F459" s="146"/>
      <c r="G459" s="146"/>
      <c r="H459" s="146"/>
      <c r="I459" s="53"/>
      <c r="J459" s="65"/>
      <c r="K459" s="51"/>
      <c r="L459" s="53">
        <f>SUMIF(CD60:CD455, 3, BK60:BK455)</f>
        <v>2506.98</v>
      </c>
    </row>
    <row r="460" spans="1:12" ht="14.25" hidden="1" x14ac:dyDescent="0.2">
      <c r="A460" s="65"/>
      <c r="B460" s="76"/>
      <c r="C460" s="146" t="s">
        <v>610</v>
      </c>
      <c r="D460" s="146"/>
      <c r="E460" s="146"/>
      <c r="F460" s="146"/>
      <c r="G460" s="146"/>
      <c r="H460" s="146"/>
      <c r="I460" s="53"/>
      <c r="J460" s="65"/>
      <c r="K460" s="51"/>
      <c r="L460" s="53">
        <f>SUMIF(CD60:CD455, 3, BD60:BD455)</f>
        <v>0</v>
      </c>
    </row>
    <row r="461" spans="1:12" hidden="1" x14ac:dyDescent="0.2"/>
    <row r="462" spans="1:12" ht="15" hidden="1" x14ac:dyDescent="0.2">
      <c r="A462" s="77"/>
      <c r="B462" s="78"/>
      <c r="C462" s="147" t="s">
        <v>633</v>
      </c>
      <c r="D462" s="147"/>
      <c r="E462" s="147"/>
      <c r="F462" s="147"/>
      <c r="G462" s="147"/>
      <c r="H462" s="147"/>
      <c r="I462" s="56"/>
      <c r="J462" s="77"/>
      <c r="K462" s="79"/>
      <c r="L462" s="56">
        <f>L470+L485+L486+L464+L465+L466+L467</f>
        <v>0</v>
      </c>
    </row>
    <row r="463" spans="1:12" ht="14.25" hidden="1" x14ac:dyDescent="0.2">
      <c r="A463" s="65"/>
      <c r="B463" s="76"/>
      <c r="C463" s="145" t="s">
        <v>595</v>
      </c>
      <c r="D463" s="146"/>
      <c r="E463" s="146"/>
      <c r="F463" s="146"/>
      <c r="G463" s="146"/>
      <c r="H463" s="146"/>
      <c r="I463" s="53"/>
      <c r="J463" s="65"/>
      <c r="K463" s="51"/>
      <c r="L463" s="53"/>
    </row>
    <row r="464" spans="1:12" ht="14.25" hidden="1" x14ac:dyDescent="0.2">
      <c r="A464" s="65"/>
      <c r="B464" s="76"/>
      <c r="C464" s="146" t="s">
        <v>634</v>
      </c>
      <c r="D464" s="146"/>
      <c r="E464" s="146"/>
      <c r="F464" s="146"/>
      <c r="G464" s="146"/>
      <c r="H464" s="146"/>
      <c r="I464" s="53"/>
      <c r="J464" s="65"/>
      <c r="K464" s="51"/>
      <c r="L464" s="53"/>
    </row>
    <row r="465" spans="1:12" ht="14.25" hidden="1" x14ac:dyDescent="0.2">
      <c r="A465" s="65"/>
      <c r="B465" s="76"/>
      <c r="C465" s="146" t="s">
        <v>634</v>
      </c>
      <c r="D465" s="146"/>
      <c r="E465" s="146"/>
      <c r="F465" s="146"/>
      <c r="G465" s="146"/>
      <c r="H465" s="146"/>
      <c r="I465" s="53"/>
      <c r="J465" s="65"/>
      <c r="K465" s="51"/>
      <c r="L465" s="53">
        <f>SUM(BQ60:BQ460)</f>
        <v>0</v>
      </c>
    </row>
    <row r="466" spans="1:12" ht="14.25" hidden="1" x14ac:dyDescent="0.2">
      <c r="A466" s="65"/>
      <c r="B466" s="76"/>
      <c r="C466" s="146" t="s">
        <v>635</v>
      </c>
      <c r="D466" s="146"/>
      <c r="E466" s="146"/>
      <c r="F466" s="146"/>
      <c r="G466" s="146"/>
      <c r="H466" s="146"/>
      <c r="I466" s="53"/>
      <c r="J466" s="65"/>
      <c r="K466" s="51"/>
      <c r="L466" s="53">
        <f>SUMIF(CD60:CD460, 4, BB60:BB460)+SUMIF(CD60:CD460, 4, BC60:BC460)+SUMIF(CD60:CD460, 4, BD60:BD460)</f>
        <v>0</v>
      </c>
    </row>
    <row r="467" spans="1:12" ht="14.25" hidden="1" x14ac:dyDescent="0.2">
      <c r="A467" s="65"/>
      <c r="B467" s="76"/>
      <c r="C467" s="146" t="s">
        <v>636</v>
      </c>
      <c r="D467" s="146"/>
      <c r="E467" s="146"/>
      <c r="F467" s="146"/>
      <c r="G467" s="146"/>
      <c r="H467" s="146"/>
      <c r="I467" s="53"/>
      <c r="J467" s="65"/>
      <c r="K467" s="51"/>
      <c r="L467" s="53">
        <f>SUM(BO60:BO460)</f>
        <v>0</v>
      </c>
    </row>
    <row r="468" spans="1:12" ht="14.25" hidden="1" x14ac:dyDescent="0.2">
      <c r="A468" s="65"/>
      <c r="B468" s="76"/>
      <c r="C468" s="146" t="s">
        <v>637</v>
      </c>
      <c r="D468" s="146"/>
      <c r="E468" s="146"/>
      <c r="F468" s="146"/>
      <c r="G468" s="146"/>
      <c r="H468" s="146"/>
      <c r="I468" s="53"/>
      <c r="J468" s="65"/>
      <c r="K468" s="51"/>
      <c r="L468" s="53">
        <f>L470+L485+L486</f>
        <v>0</v>
      </c>
    </row>
    <row r="469" spans="1:12" ht="14.25" hidden="1" x14ac:dyDescent="0.2">
      <c r="A469" s="65"/>
      <c r="B469" s="76"/>
      <c r="C469" s="145" t="s">
        <v>595</v>
      </c>
      <c r="D469" s="146"/>
      <c r="E469" s="146"/>
      <c r="F469" s="146"/>
      <c r="G469" s="146"/>
      <c r="H469" s="146"/>
      <c r="I469" s="53"/>
      <c r="J469" s="65"/>
      <c r="K469" s="51"/>
      <c r="L469" s="53"/>
    </row>
    <row r="470" spans="1:12" ht="14.25" hidden="1" x14ac:dyDescent="0.2">
      <c r="A470" s="65"/>
      <c r="B470" s="76"/>
      <c r="C470" s="146" t="s">
        <v>626</v>
      </c>
      <c r="D470" s="146"/>
      <c r="E470" s="146"/>
      <c r="F470" s="146"/>
      <c r="G470" s="146"/>
      <c r="H470" s="146"/>
      <c r="I470" s="53"/>
      <c r="J470" s="65"/>
      <c r="K470" s="51"/>
      <c r="L470" s="53">
        <f>L472+L473+L479+L483</f>
        <v>0</v>
      </c>
    </row>
    <row r="471" spans="1:12" ht="14.25" hidden="1" x14ac:dyDescent="0.2">
      <c r="A471" s="65"/>
      <c r="B471" s="76"/>
      <c r="C471" s="145" t="s">
        <v>595</v>
      </c>
      <c r="D471" s="146"/>
      <c r="E471" s="146"/>
      <c r="F471" s="146"/>
      <c r="G471" s="146"/>
      <c r="H471" s="146"/>
      <c r="I471" s="53"/>
      <c r="J471" s="65"/>
      <c r="K471" s="51"/>
      <c r="L471" s="53"/>
    </row>
    <row r="472" spans="1:12" ht="14.25" hidden="1" x14ac:dyDescent="0.2">
      <c r="A472" s="65"/>
      <c r="B472" s="76"/>
      <c r="C472" s="146" t="s">
        <v>627</v>
      </c>
      <c r="D472" s="146"/>
      <c r="E472" s="146"/>
      <c r="F472" s="146"/>
      <c r="G472" s="146"/>
      <c r="H472" s="146"/>
      <c r="I472" s="53"/>
      <c r="J472" s="65"/>
      <c r="K472" s="51"/>
      <c r="L472" s="53">
        <f>SUMIF(CD60:CD460, 4, AR60:AR460)</f>
        <v>0</v>
      </c>
    </row>
    <row r="473" spans="1:12" ht="14.25" hidden="1" x14ac:dyDescent="0.2">
      <c r="A473" s="65"/>
      <c r="B473" s="76"/>
      <c r="C473" s="146" t="s">
        <v>597</v>
      </c>
      <c r="D473" s="146"/>
      <c r="E473" s="146"/>
      <c r="F473" s="146"/>
      <c r="G473" s="146"/>
      <c r="H473" s="146"/>
      <c r="I473" s="53"/>
      <c r="J473" s="65"/>
      <c r="K473" s="51"/>
      <c r="L473" s="53">
        <f>L475+L478+L477</f>
        <v>0</v>
      </c>
    </row>
    <row r="474" spans="1:12" ht="14.25" hidden="1" x14ac:dyDescent="0.2">
      <c r="A474" s="65"/>
      <c r="B474" s="76"/>
      <c r="C474" s="145" t="s">
        <v>598</v>
      </c>
      <c r="D474" s="146"/>
      <c r="E474" s="146"/>
      <c r="F474" s="146"/>
      <c r="G474" s="146"/>
      <c r="H474" s="146"/>
      <c r="I474" s="53"/>
      <c r="J474" s="65"/>
      <c r="K474" s="51"/>
      <c r="L474" s="53"/>
    </row>
    <row r="475" spans="1:12" ht="14.25" hidden="1" x14ac:dyDescent="0.2">
      <c r="A475" s="65"/>
      <c r="B475" s="76"/>
      <c r="C475" s="146" t="s">
        <v>597</v>
      </c>
      <c r="D475" s="146"/>
      <c r="E475" s="146"/>
      <c r="F475" s="146"/>
      <c r="G475" s="146"/>
      <c r="H475" s="146"/>
      <c r="I475" s="53"/>
      <c r="J475" s="65"/>
      <c r="K475" s="51"/>
      <c r="L475" s="53">
        <f>SUMIF(CD60:CD460, 4, AO60:AO460)</f>
        <v>0</v>
      </c>
    </row>
    <row r="476" spans="1:12" ht="14.25" hidden="1" x14ac:dyDescent="0.2">
      <c r="A476" s="65"/>
      <c r="B476" s="76"/>
      <c r="C476" s="145" t="s">
        <v>599</v>
      </c>
      <c r="D476" s="146"/>
      <c r="E476" s="146"/>
      <c r="F476" s="146"/>
      <c r="G476" s="146"/>
      <c r="H476" s="146"/>
      <c r="I476" s="53"/>
      <c r="J476" s="65"/>
      <c r="K476" s="51"/>
      <c r="L476" s="53"/>
    </row>
    <row r="477" spans="1:12" ht="14.25" hidden="1" x14ac:dyDescent="0.2">
      <c r="A477" s="65"/>
      <c r="B477" s="76"/>
      <c r="C477" s="146" t="s">
        <v>619</v>
      </c>
      <c r="D477" s="146"/>
      <c r="E477" s="146"/>
      <c r="F477" s="146"/>
      <c r="G477" s="146"/>
      <c r="H477" s="146"/>
      <c r="I477" s="53"/>
      <c r="J477" s="65"/>
      <c r="K477" s="51"/>
      <c r="L477" s="53">
        <f>SUMIF(CD60:CD460, 4, AT60:AT460)</f>
        <v>0</v>
      </c>
    </row>
    <row r="478" spans="1:12" ht="14.25" hidden="1" x14ac:dyDescent="0.2">
      <c r="A478" s="65"/>
      <c r="B478" s="76"/>
      <c r="C478" s="146" t="s">
        <v>600</v>
      </c>
      <c r="D478" s="146"/>
      <c r="E478" s="146"/>
      <c r="F478" s="146"/>
      <c r="G478" s="146"/>
      <c r="H478" s="146"/>
      <c r="I478" s="53"/>
      <c r="J478" s="65"/>
      <c r="K478" s="51"/>
      <c r="L478" s="53">
        <f>SUMIF(CD60:CD460, 4, AV60:AV460)</f>
        <v>0</v>
      </c>
    </row>
    <row r="479" spans="1:12" ht="14.25" hidden="1" x14ac:dyDescent="0.2">
      <c r="A479" s="65"/>
      <c r="B479" s="76"/>
      <c r="C479" s="146" t="s">
        <v>601</v>
      </c>
      <c r="D479" s="146"/>
      <c r="E479" s="146"/>
      <c r="F479" s="146"/>
      <c r="G479" s="146"/>
      <c r="H479" s="146"/>
      <c r="I479" s="53"/>
      <c r="J479" s="65"/>
      <c r="K479" s="51"/>
      <c r="L479" s="53">
        <f>L481+L482</f>
        <v>0</v>
      </c>
    </row>
    <row r="480" spans="1:12" ht="14.25" hidden="1" x14ac:dyDescent="0.2">
      <c r="A480" s="65"/>
      <c r="B480" s="76"/>
      <c r="C480" s="145" t="s">
        <v>598</v>
      </c>
      <c r="D480" s="146"/>
      <c r="E480" s="146"/>
      <c r="F480" s="146"/>
      <c r="G480" s="146"/>
      <c r="H480" s="146"/>
      <c r="I480" s="53"/>
      <c r="J480" s="65"/>
      <c r="K480" s="51"/>
      <c r="L480" s="53"/>
    </row>
    <row r="481" spans="1:12" ht="14.25" hidden="1" x14ac:dyDescent="0.2">
      <c r="A481" s="65"/>
      <c r="B481" s="76"/>
      <c r="C481" s="146" t="s">
        <v>602</v>
      </c>
      <c r="D481" s="146"/>
      <c r="E481" s="146"/>
      <c r="F481" s="146"/>
      <c r="G481" s="146"/>
      <c r="H481" s="146"/>
      <c r="I481" s="53"/>
      <c r="J481" s="65"/>
      <c r="K481" s="51"/>
      <c r="L481" s="53">
        <f>SUMIF(CD60:CD460, 4, AW60:AW460)-SUMIF(CD60:CD460, 4, BK60:BK460)</f>
        <v>0</v>
      </c>
    </row>
    <row r="482" spans="1:12" ht="14.25" hidden="1" x14ac:dyDescent="0.2">
      <c r="A482" s="65"/>
      <c r="B482" s="76"/>
      <c r="C482" s="146" t="s">
        <v>603</v>
      </c>
      <c r="D482" s="146"/>
      <c r="E482" s="146"/>
      <c r="F482" s="146"/>
      <c r="G482" s="146"/>
      <c r="H482" s="146"/>
      <c r="I482" s="53"/>
      <c r="J482" s="65"/>
      <c r="K482" s="51"/>
      <c r="L482" s="53">
        <f>SUMIF(CD60:CD460, 4, BC60:BC460)</f>
        <v>0</v>
      </c>
    </row>
    <row r="483" spans="1:12" ht="14.25" hidden="1" x14ac:dyDescent="0.2">
      <c r="A483" s="65"/>
      <c r="B483" s="76"/>
      <c r="C483" s="146" t="s">
        <v>604</v>
      </c>
      <c r="D483" s="146"/>
      <c r="E483" s="146"/>
      <c r="F483" s="146"/>
      <c r="G483" s="146"/>
      <c r="H483" s="146"/>
      <c r="I483" s="53"/>
      <c r="J483" s="65"/>
      <c r="K483" s="51"/>
      <c r="L483" s="53">
        <f>SUMIF(CD60:CD460, 4, BB60:BB460)</f>
        <v>0</v>
      </c>
    </row>
    <row r="484" spans="1:12" ht="14.25" hidden="1" x14ac:dyDescent="0.2">
      <c r="A484" s="65"/>
      <c r="B484" s="76"/>
      <c r="C484" s="146" t="s">
        <v>628</v>
      </c>
      <c r="D484" s="146"/>
      <c r="E484" s="146"/>
      <c r="F484" s="146"/>
      <c r="G484" s="146"/>
      <c r="H484" s="146"/>
      <c r="I484" s="53"/>
      <c r="J484" s="65"/>
      <c r="K484" s="51"/>
      <c r="L484" s="53">
        <f>SUMIF(CD60:CD460, 4, AR60:AR460)+SUMIF(CD60:CD460, 4, AT60:AT460)+SUMIF(CD60:CD460, 4, AV60:AV460)</f>
        <v>0</v>
      </c>
    </row>
    <row r="485" spans="1:12" ht="14.25" hidden="1" x14ac:dyDescent="0.2">
      <c r="A485" s="65"/>
      <c r="B485" s="76"/>
      <c r="C485" s="146" t="s">
        <v>629</v>
      </c>
      <c r="D485" s="146"/>
      <c r="E485" s="146"/>
      <c r="F485" s="146"/>
      <c r="G485" s="146"/>
      <c r="H485" s="146"/>
      <c r="I485" s="53"/>
      <c r="J485" s="65"/>
      <c r="K485" s="51"/>
      <c r="L485" s="53">
        <f>SUMIF(CD60:CD460, 4, AZ60:AZ460)</f>
        <v>0</v>
      </c>
    </row>
    <row r="486" spans="1:12" ht="14.25" hidden="1" x14ac:dyDescent="0.2">
      <c r="A486" s="65"/>
      <c r="B486" s="76"/>
      <c r="C486" s="146" t="s">
        <v>630</v>
      </c>
      <c r="D486" s="146"/>
      <c r="E486" s="146"/>
      <c r="F486" s="146"/>
      <c r="G486" s="146"/>
      <c r="H486" s="146"/>
      <c r="I486" s="53"/>
      <c r="J486" s="65"/>
      <c r="K486" s="51"/>
      <c r="L486" s="53">
        <f>SUMIF(CD60:CD460, 4, BA60:BA460)</f>
        <v>0</v>
      </c>
    </row>
    <row r="488" spans="1:12" ht="15" x14ac:dyDescent="0.2">
      <c r="A488" s="77"/>
      <c r="B488" s="78"/>
      <c r="C488" s="147" t="s">
        <v>638</v>
      </c>
      <c r="D488" s="147"/>
      <c r="E488" s="147"/>
      <c r="F488" s="147"/>
      <c r="G488" s="147"/>
      <c r="H488" s="147"/>
      <c r="I488" s="56"/>
      <c r="J488" s="77"/>
      <c r="K488" s="79"/>
      <c r="L488" s="56">
        <f>L417+L437+L457+L462</f>
        <v>325906.61</v>
      </c>
    </row>
    <row r="489" spans="1:12" ht="14.25" x14ac:dyDescent="0.2">
      <c r="A489" s="65"/>
      <c r="B489" s="76"/>
      <c r="C489" s="145" t="s">
        <v>595</v>
      </c>
      <c r="D489" s="146"/>
      <c r="E489" s="146"/>
      <c r="F489" s="146"/>
      <c r="G489" s="146"/>
      <c r="H489" s="146"/>
      <c r="I489" s="53"/>
      <c r="J489" s="65"/>
      <c r="K489" s="51"/>
      <c r="L489" s="53"/>
    </row>
    <row r="490" spans="1:12" ht="14.25" x14ac:dyDescent="0.2">
      <c r="A490" s="65"/>
      <c r="B490" s="76"/>
      <c r="C490" s="146" t="s">
        <v>626</v>
      </c>
      <c r="D490" s="146"/>
      <c r="E490" s="146"/>
      <c r="F490" s="146"/>
      <c r="G490" s="146"/>
      <c r="H490" s="146"/>
      <c r="I490" s="53"/>
      <c r="J490" s="65"/>
      <c r="K490" s="51"/>
      <c r="L490" s="53">
        <f>L492+L493+L499+L503</f>
        <v>235080.63999999996</v>
      </c>
    </row>
    <row r="491" spans="1:12" ht="14.25" x14ac:dyDescent="0.2">
      <c r="A491" s="65"/>
      <c r="B491" s="76"/>
      <c r="C491" s="145" t="s">
        <v>595</v>
      </c>
      <c r="D491" s="146"/>
      <c r="E491" s="146"/>
      <c r="F491" s="146"/>
      <c r="G491" s="146"/>
      <c r="H491" s="146"/>
      <c r="I491" s="53"/>
      <c r="J491" s="65"/>
      <c r="K491" s="51"/>
      <c r="L491" s="53"/>
    </row>
    <row r="492" spans="1:12" ht="14.25" x14ac:dyDescent="0.2">
      <c r="A492" s="65"/>
      <c r="B492" s="76"/>
      <c r="C492" s="146" t="s">
        <v>627</v>
      </c>
      <c r="D492" s="146"/>
      <c r="E492" s="146"/>
      <c r="F492" s="146"/>
      <c r="G492" s="146"/>
      <c r="H492" s="146"/>
      <c r="I492" s="53"/>
      <c r="J492" s="65"/>
      <c r="K492" s="51"/>
      <c r="L492" s="53">
        <f>SUM(AR60:AR486)</f>
        <v>61169.79</v>
      </c>
    </row>
    <row r="493" spans="1:12" ht="14.25" hidden="1" x14ac:dyDescent="0.2">
      <c r="A493" s="65"/>
      <c r="B493" s="76"/>
      <c r="C493" s="146" t="s">
        <v>597</v>
      </c>
      <c r="D493" s="146"/>
      <c r="E493" s="146"/>
      <c r="F493" s="146"/>
      <c r="G493" s="146"/>
      <c r="H493" s="146"/>
      <c r="I493" s="53"/>
      <c r="J493" s="65"/>
      <c r="K493" s="51"/>
      <c r="L493" s="53">
        <f>L495+L498+L497</f>
        <v>516.99</v>
      </c>
    </row>
    <row r="494" spans="1:12" ht="14.25" hidden="1" x14ac:dyDescent="0.2">
      <c r="A494" s="65"/>
      <c r="B494" s="76"/>
      <c r="C494" s="145" t="s">
        <v>598</v>
      </c>
      <c r="D494" s="146"/>
      <c r="E494" s="146"/>
      <c r="F494" s="146"/>
      <c r="G494" s="146"/>
      <c r="H494" s="146"/>
      <c r="I494" s="53"/>
      <c r="J494" s="65"/>
      <c r="K494" s="51"/>
      <c r="L494" s="53"/>
    </row>
    <row r="495" spans="1:12" ht="14.25" x14ac:dyDescent="0.2">
      <c r="A495" s="65"/>
      <c r="B495" s="76"/>
      <c r="C495" s="146" t="s">
        <v>597</v>
      </c>
      <c r="D495" s="146"/>
      <c r="E495" s="146"/>
      <c r="F495" s="146"/>
      <c r="G495" s="146"/>
      <c r="H495" s="146"/>
      <c r="I495" s="53"/>
      <c r="J495" s="65"/>
      <c r="K495" s="51"/>
      <c r="L495" s="53">
        <f>SUM(AO60:AO486)</f>
        <v>306.16000000000003</v>
      </c>
    </row>
    <row r="496" spans="1:12" ht="14.25" hidden="1" x14ac:dyDescent="0.2">
      <c r="A496" s="65"/>
      <c r="B496" s="76"/>
      <c r="C496" s="145" t="s">
        <v>599</v>
      </c>
      <c r="D496" s="146"/>
      <c r="E496" s="146"/>
      <c r="F496" s="146"/>
      <c r="G496" s="146"/>
      <c r="H496" s="146"/>
      <c r="I496" s="53"/>
      <c r="J496" s="65"/>
      <c r="K496" s="51"/>
      <c r="L496" s="53"/>
    </row>
    <row r="497" spans="1:12" ht="14.25" x14ac:dyDescent="0.2">
      <c r="A497" s="65"/>
      <c r="B497" s="76"/>
      <c r="C497" s="146" t="s">
        <v>619</v>
      </c>
      <c r="D497" s="146"/>
      <c r="E497" s="146"/>
      <c r="F497" s="146"/>
      <c r="G497" s="146"/>
      <c r="H497" s="146"/>
      <c r="I497" s="53"/>
      <c r="J497" s="65"/>
      <c r="K497" s="51"/>
      <c r="L497" s="53">
        <f>SUM(AT60:AT486)</f>
        <v>210.83</v>
      </c>
    </row>
    <row r="498" spans="1:12" ht="14.25" hidden="1" x14ac:dyDescent="0.2">
      <c r="A498" s="65"/>
      <c r="B498" s="76"/>
      <c r="C498" s="146" t="s">
        <v>600</v>
      </c>
      <c r="D498" s="146"/>
      <c r="E498" s="146"/>
      <c r="F498" s="146"/>
      <c r="G498" s="146"/>
      <c r="H498" s="146"/>
      <c r="I498" s="53"/>
      <c r="J498" s="65"/>
      <c r="K498" s="51"/>
      <c r="L498" s="53">
        <f>SUM(AV60:AV486)</f>
        <v>0</v>
      </c>
    </row>
    <row r="499" spans="1:12" ht="14.25" x14ac:dyDescent="0.2">
      <c r="A499" s="65"/>
      <c r="B499" s="76"/>
      <c r="C499" s="146" t="s">
        <v>601</v>
      </c>
      <c r="D499" s="146"/>
      <c r="E499" s="146"/>
      <c r="F499" s="146"/>
      <c r="G499" s="146"/>
      <c r="H499" s="146"/>
      <c r="I499" s="53"/>
      <c r="J499" s="65"/>
      <c r="K499" s="51"/>
      <c r="L499" s="53">
        <f>L501+L502</f>
        <v>173393.85999999996</v>
      </c>
    </row>
    <row r="500" spans="1:12" ht="14.25" x14ac:dyDescent="0.2">
      <c r="A500" s="65"/>
      <c r="B500" s="76"/>
      <c r="C500" s="145" t="s">
        <v>598</v>
      </c>
      <c r="D500" s="146"/>
      <c r="E500" s="146"/>
      <c r="F500" s="146"/>
      <c r="G500" s="146"/>
      <c r="H500" s="146"/>
      <c r="I500" s="53"/>
      <c r="J500" s="65"/>
      <c r="K500" s="51"/>
      <c r="L500" s="53"/>
    </row>
    <row r="501" spans="1:12" ht="14.25" x14ac:dyDescent="0.2">
      <c r="A501" s="65"/>
      <c r="B501" s="76"/>
      <c r="C501" s="146" t="s">
        <v>602</v>
      </c>
      <c r="D501" s="146"/>
      <c r="E501" s="146"/>
      <c r="F501" s="146"/>
      <c r="G501" s="146"/>
      <c r="H501" s="146"/>
      <c r="I501" s="53"/>
      <c r="J501" s="65"/>
      <c r="K501" s="51"/>
      <c r="L501" s="53">
        <f>SUM(AW60:AW486)-SUM(BK60:BK486)</f>
        <v>173393.85999999996</v>
      </c>
    </row>
    <row r="502" spans="1:12" ht="14.25" hidden="1" x14ac:dyDescent="0.2">
      <c r="A502" s="65"/>
      <c r="B502" s="76"/>
      <c r="C502" s="146" t="s">
        <v>603</v>
      </c>
      <c r="D502" s="146"/>
      <c r="E502" s="146"/>
      <c r="F502" s="146"/>
      <c r="G502" s="146"/>
      <c r="H502" s="146"/>
      <c r="I502" s="53"/>
      <c r="J502" s="65"/>
      <c r="K502" s="51"/>
      <c r="L502" s="53">
        <f>SUM(BC60:BC486)</f>
        <v>0</v>
      </c>
    </row>
    <row r="503" spans="1:12" ht="14.25" hidden="1" x14ac:dyDescent="0.2">
      <c r="A503" s="65"/>
      <c r="B503" s="76"/>
      <c r="C503" s="146" t="s">
        <v>604</v>
      </c>
      <c r="D503" s="146"/>
      <c r="E503" s="146"/>
      <c r="F503" s="146"/>
      <c r="G503" s="146"/>
      <c r="H503" s="146"/>
      <c r="I503" s="53"/>
      <c r="J503" s="65"/>
      <c r="K503" s="51"/>
      <c r="L503" s="53">
        <f>SUM(BB60:BB486)</f>
        <v>0</v>
      </c>
    </row>
    <row r="504" spans="1:12" ht="14.25" x14ac:dyDescent="0.2">
      <c r="A504" s="65"/>
      <c r="B504" s="76"/>
      <c r="C504" s="146" t="s">
        <v>605</v>
      </c>
      <c r="D504" s="146"/>
      <c r="E504" s="146"/>
      <c r="F504" s="146"/>
      <c r="G504" s="146"/>
      <c r="H504" s="146"/>
      <c r="I504" s="53"/>
      <c r="J504" s="65"/>
      <c r="K504" s="51"/>
      <c r="L504" s="53">
        <f>SUM(AR60:AR486)+SUM(AT60:AT486)+SUM(AV60:AV486)</f>
        <v>61380.62</v>
      </c>
    </row>
    <row r="505" spans="1:12" ht="14.25" x14ac:dyDescent="0.2">
      <c r="A505" s="65"/>
      <c r="B505" s="76"/>
      <c r="C505" s="146" t="s">
        <v>606</v>
      </c>
      <c r="D505" s="146"/>
      <c r="E505" s="146"/>
      <c r="F505" s="146"/>
      <c r="G505" s="146"/>
      <c r="H505" s="146"/>
      <c r="I505" s="53"/>
      <c r="J505" s="65"/>
      <c r="K505" s="51"/>
      <c r="L505" s="53">
        <f>SUM(AZ60:AZ486)</f>
        <v>58002.8</v>
      </c>
    </row>
    <row r="506" spans="1:12" ht="14.25" x14ac:dyDescent="0.2">
      <c r="A506" s="65"/>
      <c r="B506" s="76"/>
      <c r="C506" s="146" t="s">
        <v>607</v>
      </c>
      <c r="D506" s="146"/>
      <c r="E506" s="146"/>
      <c r="F506" s="146"/>
      <c r="G506" s="146"/>
      <c r="H506" s="146"/>
      <c r="I506" s="53"/>
      <c r="J506" s="65"/>
      <c r="K506" s="51"/>
      <c r="L506" s="53">
        <f>SUM(BA60:BA486)</f>
        <v>30316.190000000006</v>
      </c>
    </row>
    <row r="507" spans="1:12" ht="14.25" x14ac:dyDescent="0.2">
      <c r="A507" s="65"/>
      <c r="B507" s="76"/>
      <c r="C507" s="146" t="s">
        <v>639</v>
      </c>
      <c r="D507" s="146"/>
      <c r="E507" s="146"/>
      <c r="F507" s="146"/>
      <c r="G507" s="146"/>
      <c r="H507" s="146"/>
      <c r="I507" s="53"/>
      <c r="J507" s="65"/>
      <c r="K507" s="51"/>
      <c r="L507" s="53">
        <f>L509+L510</f>
        <v>2506.98</v>
      </c>
    </row>
    <row r="508" spans="1:12" ht="14.25" x14ac:dyDescent="0.2">
      <c r="A508" s="65"/>
      <c r="B508" s="76"/>
      <c r="C508" s="145" t="s">
        <v>595</v>
      </c>
      <c r="D508" s="146"/>
      <c r="E508" s="146"/>
      <c r="F508" s="146"/>
      <c r="G508" s="146"/>
      <c r="H508" s="146"/>
      <c r="I508" s="53"/>
      <c r="J508" s="65"/>
      <c r="K508" s="51"/>
      <c r="L508" s="53"/>
    </row>
    <row r="509" spans="1:12" ht="14.25" x14ac:dyDescent="0.2">
      <c r="A509" s="65"/>
      <c r="B509" s="76"/>
      <c r="C509" s="146" t="s">
        <v>609</v>
      </c>
      <c r="D509" s="146"/>
      <c r="E509" s="146"/>
      <c r="F509" s="146"/>
      <c r="G509" s="146"/>
      <c r="H509" s="146"/>
      <c r="I509" s="53"/>
      <c r="J509" s="65"/>
      <c r="K509" s="51"/>
      <c r="L509" s="53">
        <f>SUM(BK60:BK486)</f>
        <v>2506.98</v>
      </c>
    </row>
    <row r="510" spans="1:12" ht="14.25" hidden="1" x14ac:dyDescent="0.2">
      <c r="A510" s="65"/>
      <c r="B510" s="76"/>
      <c r="C510" s="146" t="s">
        <v>610</v>
      </c>
      <c r="D510" s="146"/>
      <c r="E510" s="146"/>
      <c r="F510" s="146"/>
      <c r="G510" s="146"/>
      <c r="H510" s="146"/>
      <c r="I510" s="53"/>
      <c r="J510" s="65"/>
      <c r="K510" s="51"/>
      <c r="L510" s="53">
        <f>SUM(BD60:BD486)</f>
        <v>0</v>
      </c>
    </row>
    <row r="511" spans="1:12" ht="14.25" hidden="1" x14ac:dyDescent="0.2">
      <c r="A511" s="65"/>
      <c r="B511" s="76"/>
      <c r="C511" s="146" t="s">
        <v>640</v>
      </c>
      <c r="D511" s="146"/>
      <c r="E511" s="146"/>
      <c r="F511" s="146"/>
      <c r="G511" s="146"/>
      <c r="H511" s="146"/>
      <c r="I511" s="53"/>
      <c r="J511" s="65"/>
      <c r="K511" s="51"/>
      <c r="L511" s="53">
        <f>L462</f>
        <v>0</v>
      </c>
    </row>
    <row r="512" spans="1:12" ht="14.25" x14ac:dyDescent="0.2">
      <c r="A512" s="65"/>
      <c r="B512" s="76"/>
      <c r="C512" s="147" t="s">
        <v>614</v>
      </c>
      <c r="D512" s="146"/>
      <c r="E512" s="146"/>
      <c r="F512" s="146"/>
      <c r="G512" s="146"/>
      <c r="H512" s="146"/>
      <c r="I512" s="53"/>
      <c r="J512" s="65"/>
      <c r="K512" s="51"/>
      <c r="L512" s="53"/>
    </row>
    <row r="513" spans="1:12" ht="14.25" hidden="1" x14ac:dyDescent="0.2">
      <c r="A513" s="65"/>
      <c r="B513" s="76"/>
      <c r="C513" s="146" t="s">
        <v>615</v>
      </c>
      <c r="D513" s="146"/>
      <c r="E513" s="146"/>
      <c r="F513" s="146"/>
      <c r="G513" s="146"/>
      <c r="H513" s="146"/>
      <c r="I513" s="53"/>
      <c r="J513" s="65"/>
      <c r="K513" s="51"/>
      <c r="L513" s="53">
        <f>SUM(AX60:AX486)</f>
        <v>0</v>
      </c>
    </row>
    <row r="514" spans="1:12" ht="14.25" hidden="1" x14ac:dyDescent="0.2">
      <c r="A514" s="65"/>
      <c r="B514" s="76"/>
      <c r="C514" s="146" t="s">
        <v>616</v>
      </c>
      <c r="D514" s="146"/>
      <c r="E514" s="146"/>
      <c r="F514" s="146"/>
      <c r="G514" s="146"/>
      <c r="H514" s="146"/>
      <c r="I514" s="53"/>
      <c r="J514" s="65"/>
      <c r="K514" s="51"/>
      <c r="L514" s="53">
        <f>SUM(AY60:AY486)</f>
        <v>0</v>
      </c>
    </row>
    <row r="515" spans="1:12" ht="14.25" x14ac:dyDescent="0.2">
      <c r="A515" s="65"/>
      <c r="B515" s="76"/>
      <c r="C515" s="146" t="s">
        <v>617</v>
      </c>
      <c r="D515" s="146"/>
      <c r="E515" s="146"/>
      <c r="F515" s="148"/>
      <c r="G515" s="55">
        <f>Source!F175</f>
        <v>86.816225099999997</v>
      </c>
      <c r="H515" s="65"/>
      <c r="I515" s="65"/>
      <c r="J515" s="65"/>
      <c r="K515" s="65"/>
      <c r="L515" s="65"/>
    </row>
    <row r="516" spans="1:12" ht="14.25" x14ac:dyDescent="0.2">
      <c r="A516" s="65"/>
      <c r="B516" s="76"/>
      <c r="C516" s="146" t="s">
        <v>618</v>
      </c>
      <c r="D516" s="146"/>
      <c r="E516" s="146"/>
      <c r="F516" s="148"/>
      <c r="G516" s="55">
        <f>Source!F176</f>
        <v>0.25155189999999999</v>
      </c>
      <c r="H516" s="65"/>
      <c r="I516" s="65"/>
      <c r="J516" s="65"/>
      <c r="K516" s="65"/>
      <c r="L516" s="65"/>
    </row>
    <row r="518" spans="1:12" ht="14.25" x14ac:dyDescent="0.2">
      <c r="C518" s="152" t="str">
        <f>Source!H182</f>
        <v>Итого</v>
      </c>
      <c r="D518" s="152"/>
      <c r="E518" s="152"/>
      <c r="F518" s="152"/>
      <c r="G518" s="152"/>
      <c r="H518" s="152"/>
      <c r="I518" s="152"/>
      <c r="J518" s="152"/>
      <c r="K518" s="152"/>
      <c r="L518" s="63">
        <f>IF(Source!Y182=0, "", Source!Y182)</f>
        <v>325906.61</v>
      </c>
    </row>
    <row r="519" spans="1:12" ht="14.25" x14ac:dyDescent="0.2">
      <c r="C519" s="109" t="s">
        <v>650</v>
      </c>
      <c r="D519" s="109"/>
      <c r="E519" s="109"/>
      <c r="F519" s="109"/>
      <c r="G519" s="109"/>
      <c r="H519" s="109"/>
      <c r="I519" s="109"/>
      <c r="J519" s="109"/>
      <c r="K519" s="109"/>
      <c r="L519" s="63">
        <f>L518*0.22</f>
        <v>71699.454199999993</v>
      </c>
    </row>
    <row r="520" spans="1:12" ht="14.25" x14ac:dyDescent="0.2">
      <c r="C520" s="152" t="str">
        <f>Source!H184</f>
        <v>Итого с НДС</v>
      </c>
      <c r="D520" s="152"/>
      <c r="E520" s="152"/>
      <c r="F520" s="152"/>
      <c r="G520" s="152"/>
      <c r="H520" s="152"/>
      <c r="I520" s="152"/>
      <c r="J520" s="152"/>
      <c r="K520" s="152"/>
      <c r="L520" s="63">
        <f>L518+L519</f>
        <v>397606.06419999996</v>
      </c>
    </row>
    <row r="523" spans="1:12" ht="14.25" customHeight="1" x14ac:dyDescent="0.2">
      <c r="A523" s="88"/>
      <c r="B523" s="89" t="s">
        <v>641</v>
      </c>
      <c r="C523" s="90" t="str">
        <f>IF(Source!AC12&lt;&gt;"", Source!AC12," ")</f>
        <v xml:space="preserve"> </v>
      </c>
      <c r="D523" s="39"/>
      <c r="E523" s="39"/>
      <c r="F523" s="39"/>
      <c r="G523" s="39"/>
      <c r="H523" s="17" t="s">
        <v>651</v>
      </c>
      <c r="I523" s="29"/>
      <c r="J523" s="29"/>
      <c r="K523" s="43"/>
      <c r="L523" s="43"/>
    </row>
    <row r="524" spans="1:12" ht="14.25" customHeight="1" x14ac:dyDescent="0.2">
      <c r="A524" s="88"/>
      <c r="B524" s="91"/>
      <c r="C524" s="150" t="s">
        <v>642</v>
      </c>
      <c r="D524" s="150"/>
      <c r="E524" s="150"/>
      <c r="F524" s="150"/>
      <c r="G524" s="150"/>
      <c r="H524" s="29"/>
      <c r="I524" s="29"/>
      <c r="J524" s="29"/>
      <c r="K524" s="43"/>
      <c r="L524" s="43"/>
    </row>
    <row r="525" spans="1:12" ht="14.25" customHeight="1" x14ac:dyDescent="0.2">
      <c r="A525" s="88"/>
      <c r="B525" s="91"/>
      <c r="C525" s="16"/>
      <c r="D525" s="16"/>
      <c r="E525" s="16"/>
      <c r="F525" s="16"/>
      <c r="G525" s="16"/>
      <c r="H525" s="29"/>
      <c r="I525" s="29"/>
      <c r="J525" s="29"/>
      <c r="K525" s="43"/>
      <c r="L525" s="43"/>
    </row>
    <row r="526" spans="1:12" ht="14.25" customHeight="1" x14ac:dyDescent="0.2">
      <c r="A526" s="88"/>
      <c r="B526" s="89" t="s">
        <v>643</v>
      </c>
      <c r="C526" s="90" t="str">
        <f>IF(Source!AE12&lt;&gt;"", Source!AE12," ")</f>
        <v xml:space="preserve"> </v>
      </c>
      <c r="D526" s="39"/>
      <c r="E526" s="39"/>
      <c r="F526" s="39"/>
      <c r="G526" s="39"/>
      <c r="H526" s="17" t="s">
        <v>652</v>
      </c>
      <c r="I526" s="29"/>
      <c r="J526" s="29"/>
      <c r="K526" s="43"/>
      <c r="L526" s="43"/>
    </row>
    <row r="527" spans="1:12" ht="14.25" customHeight="1" x14ac:dyDescent="0.2">
      <c r="A527" s="16"/>
      <c r="B527" s="16"/>
      <c r="C527" s="150" t="s">
        <v>642</v>
      </c>
      <c r="D527" s="150"/>
      <c r="E527" s="150"/>
      <c r="F527" s="150"/>
      <c r="G527" s="150"/>
      <c r="H527" s="29"/>
      <c r="I527" s="29"/>
      <c r="J527" s="29"/>
      <c r="K527" s="43"/>
      <c r="L527" s="43"/>
    </row>
    <row r="528" spans="1:12" ht="15.75" customHeight="1" x14ac:dyDescent="0.2"/>
    <row r="529" spans="2:8" ht="14.25" x14ac:dyDescent="0.2">
      <c r="B529" s="110" t="s">
        <v>653</v>
      </c>
      <c r="C529" s="108" t="str">
        <f>IF(Source!AE15&lt;&gt;"", Source!AE15," ")</f>
        <v xml:space="preserve"> </v>
      </c>
      <c r="D529" s="107"/>
      <c r="E529" s="107"/>
      <c r="F529" s="107"/>
      <c r="G529" s="107"/>
      <c r="H529" s="105" t="s">
        <v>654</v>
      </c>
    </row>
    <row r="530" spans="2:8" x14ac:dyDescent="0.2">
      <c r="C530" s="150" t="s">
        <v>642</v>
      </c>
      <c r="D530" s="150"/>
      <c r="E530" s="150"/>
      <c r="F530" s="150"/>
      <c r="G530" s="150"/>
      <c r="H530" s="106"/>
    </row>
  </sheetData>
  <mergeCells count="338">
    <mergeCell ref="C527:G527"/>
    <mergeCell ref="A30:L30"/>
    <mergeCell ref="C530:G530"/>
    <mergeCell ref="B5:C5"/>
    <mergeCell ref="C516:F516"/>
    <mergeCell ref="C518:K518"/>
    <mergeCell ref="C520:K520"/>
    <mergeCell ref="C524:G524"/>
    <mergeCell ref="C510:H510"/>
    <mergeCell ref="C511:H511"/>
    <mergeCell ref="C512:H512"/>
    <mergeCell ref="C513:H513"/>
    <mergeCell ref="C514:H514"/>
    <mergeCell ref="C515:F515"/>
    <mergeCell ref="C504:H504"/>
    <mergeCell ref="C505:H505"/>
    <mergeCell ref="C506:H506"/>
    <mergeCell ref="C507:H507"/>
    <mergeCell ref="C508:H508"/>
    <mergeCell ref="C509:H509"/>
    <mergeCell ref="C498:H498"/>
    <mergeCell ref="C499:H499"/>
    <mergeCell ref="C500:H500"/>
    <mergeCell ref="C501:H501"/>
    <mergeCell ref="C502:H502"/>
    <mergeCell ref="C503:H503"/>
    <mergeCell ref="C492:H492"/>
    <mergeCell ref="C493:H493"/>
    <mergeCell ref="C494:H494"/>
    <mergeCell ref="C495:H495"/>
    <mergeCell ref="C496:H496"/>
    <mergeCell ref="C497:H497"/>
    <mergeCell ref="C485:H485"/>
    <mergeCell ref="C486:H486"/>
    <mergeCell ref="C488:H488"/>
    <mergeCell ref="C489:H489"/>
    <mergeCell ref="C490:H490"/>
    <mergeCell ref="C491:H491"/>
    <mergeCell ref="C479:H479"/>
    <mergeCell ref="C480:H480"/>
    <mergeCell ref="C481:H481"/>
    <mergeCell ref="C482:H482"/>
    <mergeCell ref="C483:H483"/>
    <mergeCell ref="C484:H484"/>
    <mergeCell ref="C473:H473"/>
    <mergeCell ref="C474:H474"/>
    <mergeCell ref="C475:H475"/>
    <mergeCell ref="C476:H476"/>
    <mergeCell ref="C477:H477"/>
    <mergeCell ref="C478:H478"/>
    <mergeCell ref="C467:H467"/>
    <mergeCell ref="C468:H468"/>
    <mergeCell ref="C469:H469"/>
    <mergeCell ref="C470:H470"/>
    <mergeCell ref="C471:H471"/>
    <mergeCell ref="C472:H472"/>
    <mergeCell ref="C460:H460"/>
    <mergeCell ref="C462:H462"/>
    <mergeCell ref="C463:H463"/>
    <mergeCell ref="C464:H464"/>
    <mergeCell ref="C465:H465"/>
    <mergeCell ref="C466:H466"/>
    <mergeCell ref="C453:H453"/>
    <mergeCell ref="C454:H454"/>
    <mergeCell ref="C455:H455"/>
    <mergeCell ref="C457:H457"/>
    <mergeCell ref="C458:H458"/>
    <mergeCell ref="C459:H459"/>
    <mergeCell ref="C447:H447"/>
    <mergeCell ref="C448:H448"/>
    <mergeCell ref="C449:H449"/>
    <mergeCell ref="C450:H450"/>
    <mergeCell ref="C451:H451"/>
    <mergeCell ref="C452:H452"/>
    <mergeCell ref="C441:H441"/>
    <mergeCell ref="C442:H442"/>
    <mergeCell ref="C443:H443"/>
    <mergeCell ref="C444:H444"/>
    <mergeCell ref="C445:H445"/>
    <mergeCell ref="C446:H446"/>
    <mergeCell ref="C434:H434"/>
    <mergeCell ref="C435:H435"/>
    <mergeCell ref="C437:H437"/>
    <mergeCell ref="C438:H438"/>
    <mergeCell ref="C439:H439"/>
    <mergeCell ref="C440:H440"/>
    <mergeCell ref="C428:H428"/>
    <mergeCell ref="C429:H429"/>
    <mergeCell ref="C430:H430"/>
    <mergeCell ref="C431:H431"/>
    <mergeCell ref="C432:H432"/>
    <mergeCell ref="C433:H433"/>
    <mergeCell ref="C422:H422"/>
    <mergeCell ref="C423:H423"/>
    <mergeCell ref="C424:H424"/>
    <mergeCell ref="C425:H425"/>
    <mergeCell ref="C426:H426"/>
    <mergeCell ref="C427:H427"/>
    <mergeCell ref="C415:H415"/>
    <mergeCell ref="C417:H417"/>
    <mergeCell ref="C418:H418"/>
    <mergeCell ref="C419:H419"/>
    <mergeCell ref="C420:H420"/>
    <mergeCell ref="C421:H421"/>
    <mergeCell ref="C407:H407"/>
    <mergeCell ref="C408:H408"/>
    <mergeCell ref="C409:H409"/>
    <mergeCell ref="C410:H410"/>
    <mergeCell ref="C411:F411"/>
    <mergeCell ref="C412:F412"/>
    <mergeCell ref="C401:H401"/>
    <mergeCell ref="C402:H402"/>
    <mergeCell ref="C403:H403"/>
    <mergeCell ref="C404:H404"/>
    <mergeCell ref="C405:H405"/>
    <mergeCell ref="C406:H406"/>
    <mergeCell ref="C395:H395"/>
    <mergeCell ref="C396:H396"/>
    <mergeCell ref="C397:H397"/>
    <mergeCell ref="C398:H398"/>
    <mergeCell ref="C399:H399"/>
    <mergeCell ref="C400:H400"/>
    <mergeCell ref="C389:H389"/>
    <mergeCell ref="C390:H390"/>
    <mergeCell ref="C391:H391"/>
    <mergeCell ref="C392:H392"/>
    <mergeCell ref="C393:H393"/>
    <mergeCell ref="C394:H394"/>
    <mergeCell ref="C383:H383"/>
    <mergeCell ref="C384:H384"/>
    <mergeCell ref="C385:H385"/>
    <mergeCell ref="C386:H386"/>
    <mergeCell ref="C387:H387"/>
    <mergeCell ref="C388:H388"/>
    <mergeCell ref="A354:L354"/>
    <mergeCell ref="C379:H379"/>
    <mergeCell ref="I379:J379"/>
    <mergeCell ref="K379:L379"/>
    <mergeCell ref="C381:H381"/>
    <mergeCell ref="I381:J381"/>
    <mergeCell ref="K381:L381"/>
    <mergeCell ref="C346:H346"/>
    <mergeCell ref="C347:H347"/>
    <mergeCell ref="C348:H348"/>
    <mergeCell ref="C349:H349"/>
    <mergeCell ref="C350:F350"/>
    <mergeCell ref="C351:F351"/>
    <mergeCell ref="C340:H340"/>
    <mergeCell ref="C341:H341"/>
    <mergeCell ref="C342:H342"/>
    <mergeCell ref="C343:H343"/>
    <mergeCell ref="C344:H344"/>
    <mergeCell ref="C345:H345"/>
    <mergeCell ref="C334:H334"/>
    <mergeCell ref="C335:H335"/>
    <mergeCell ref="C336:H336"/>
    <mergeCell ref="C337:H337"/>
    <mergeCell ref="C338:H338"/>
    <mergeCell ref="C339:H339"/>
    <mergeCell ref="C328:H328"/>
    <mergeCell ref="C329:H329"/>
    <mergeCell ref="C330:H330"/>
    <mergeCell ref="C331:H331"/>
    <mergeCell ref="C332:H332"/>
    <mergeCell ref="C333:H333"/>
    <mergeCell ref="C322:H322"/>
    <mergeCell ref="C323:H323"/>
    <mergeCell ref="C324:H324"/>
    <mergeCell ref="C325:H325"/>
    <mergeCell ref="C326:H326"/>
    <mergeCell ref="C327:H327"/>
    <mergeCell ref="C318:H318"/>
    <mergeCell ref="I318:J318"/>
    <mergeCell ref="K318:L318"/>
    <mergeCell ref="C320:H320"/>
    <mergeCell ref="I320:J320"/>
    <mergeCell ref="K320:L320"/>
    <mergeCell ref="C314:H314"/>
    <mergeCell ref="I314:J314"/>
    <mergeCell ref="K314:L314"/>
    <mergeCell ref="C316:H316"/>
    <mergeCell ref="I316:J316"/>
    <mergeCell ref="K316:L316"/>
    <mergeCell ref="C287:H287"/>
    <mergeCell ref="I287:J287"/>
    <mergeCell ref="K287:L287"/>
    <mergeCell ref="C312:H312"/>
    <mergeCell ref="I312:J312"/>
    <mergeCell ref="K312:L312"/>
    <mergeCell ref="C264:H264"/>
    <mergeCell ref="I264:J264"/>
    <mergeCell ref="K264:L264"/>
    <mergeCell ref="C285:H285"/>
    <mergeCell ref="I285:J285"/>
    <mergeCell ref="K285:L285"/>
    <mergeCell ref="C260:H260"/>
    <mergeCell ref="I260:J260"/>
    <mergeCell ref="K260:L260"/>
    <mergeCell ref="C262:H262"/>
    <mergeCell ref="I262:J262"/>
    <mergeCell ref="K262:L262"/>
    <mergeCell ref="C236:H236"/>
    <mergeCell ref="I236:J236"/>
    <mergeCell ref="K236:L236"/>
    <mergeCell ref="C239:H239"/>
    <mergeCell ref="I239:J239"/>
    <mergeCell ref="K239:L239"/>
    <mergeCell ref="C232:H232"/>
    <mergeCell ref="I232:J232"/>
    <mergeCell ref="K232:L232"/>
    <mergeCell ref="C234:H234"/>
    <mergeCell ref="I234:J234"/>
    <mergeCell ref="K234:L234"/>
    <mergeCell ref="C216:H216"/>
    <mergeCell ref="I216:J216"/>
    <mergeCell ref="K216:L216"/>
    <mergeCell ref="C219:H219"/>
    <mergeCell ref="I219:J219"/>
    <mergeCell ref="K219:L219"/>
    <mergeCell ref="C210:H210"/>
    <mergeCell ref="I210:J210"/>
    <mergeCell ref="K210:L210"/>
    <mergeCell ref="C213:H213"/>
    <mergeCell ref="I213:J213"/>
    <mergeCell ref="K213:L213"/>
    <mergeCell ref="C194:H194"/>
    <mergeCell ref="I194:J194"/>
    <mergeCell ref="K194:L194"/>
    <mergeCell ref="C197:H197"/>
    <mergeCell ref="I197:J197"/>
    <mergeCell ref="K197:L197"/>
    <mergeCell ref="C180:H180"/>
    <mergeCell ref="I180:J180"/>
    <mergeCell ref="K180:L180"/>
    <mergeCell ref="C192:H192"/>
    <mergeCell ref="I192:J192"/>
    <mergeCell ref="K192:L192"/>
    <mergeCell ref="C176:H176"/>
    <mergeCell ref="I176:J176"/>
    <mergeCell ref="K176:L176"/>
    <mergeCell ref="C178:H178"/>
    <mergeCell ref="I178:J178"/>
    <mergeCell ref="K178:L178"/>
    <mergeCell ref="C154:H154"/>
    <mergeCell ref="I154:J154"/>
    <mergeCell ref="K154:L154"/>
    <mergeCell ref="C174:H174"/>
    <mergeCell ref="I174:J174"/>
    <mergeCell ref="K174:L174"/>
    <mergeCell ref="C149:H149"/>
    <mergeCell ref="I149:J149"/>
    <mergeCell ref="K149:L149"/>
    <mergeCell ref="C151:H151"/>
    <mergeCell ref="I151:J151"/>
    <mergeCell ref="K151:L151"/>
    <mergeCell ref="C145:H145"/>
    <mergeCell ref="I145:J145"/>
    <mergeCell ref="K145:L145"/>
    <mergeCell ref="C147:H147"/>
    <mergeCell ref="I147:J147"/>
    <mergeCell ref="K147:L147"/>
    <mergeCell ref="C121:H121"/>
    <mergeCell ref="I121:J121"/>
    <mergeCell ref="K121:L121"/>
    <mergeCell ref="C143:H143"/>
    <mergeCell ref="I143:J143"/>
    <mergeCell ref="K143:L143"/>
    <mergeCell ref="C115:H115"/>
    <mergeCell ref="I115:J115"/>
    <mergeCell ref="K115:L115"/>
    <mergeCell ref="C118:H118"/>
    <mergeCell ref="I118:J118"/>
    <mergeCell ref="K118:L118"/>
    <mergeCell ref="C109:H109"/>
    <mergeCell ref="I109:J109"/>
    <mergeCell ref="K109:L109"/>
    <mergeCell ref="C112:H112"/>
    <mergeCell ref="I112:J112"/>
    <mergeCell ref="K112:L112"/>
    <mergeCell ref="C103:H103"/>
    <mergeCell ref="I103:J103"/>
    <mergeCell ref="K103:L103"/>
    <mergeCell ref="C106:H106"/>
    <mergeCell ref="I106:J106"/>
    <mergeCell ref="K106:L106"/>
    <mergeCell ref="C82:H82"/>
    <mergeCell ref="I82:J82"/>
    <mergeCell ref="K82:L82"/>
    <mergeCell ref="C85:H85"/>
    <mergeCell ref="I85:J85"/>
    <mergeCell ref="K85:L85"/>
    <mergeCell ref="E54:G57"/>
    <mergeCell ref="H54:L57"/>
    <mergeCell ref="A61:L61"/>
    <mergeCell ref="C80:H80"/>
    <mergeCell ref="I80:J80"/>
    <mergeCell ref="K80:L80"/>
    <mergeCell ref="C51:D51"/>
    <mergeCell ref="C52:D52"/>
    <mergeCell ref="A54:A58"/>
    <mergeCell ref="B54:B58"/>
    <mergeCell ref="C54:C58"/>
    <mergeCell ref="D54:D58"/>
    <mergeCell ref="A36:L36"/>
    <mergeCell ref="C41:L41"/>
    <mergeCell ref="C42:L42"/>
    <mergeCell ref="C46:D46"/>
    <mergeCell ref="C49:D49"/>
    <mergeCell ref="C50:D50"/>
    <mergeCell ref="A27:L27"/>
    <mergeCell ref="A28:L28"/>
    <mergeCell ref="A31:L31"/>
    <mergeCell ref="A33:L33"/>
    <mergeCell ref="A35:L35"/>
    <mergeCell ref="A20:E20"/>
    <mergeCell ref="F20:L20"/>
    <mergeCell ref="A22:E22"/>
    <mergeCell ref="F22:L22"/>
    <mergeCell ref="A24:E24"/>
    <mergeCell ref="F24:L24"/>
    <mergeCell ref="A14:E14"/>
    <mergeCell ref="F14:L14"/>
    <mergeCell ref="A16:E16"/>
    <mergeCell ref="F16:L16"/>
    <mergeCell ref="A18:E18"/>
    <mergeCell ref="F18:L18"/>
    <mergeCell ref="B7:E7"/>
    <mergeCell ref="H7:L7"/>
    <mergeCell ref="A10:E10"/>
    <mergeCell ref="F10:L10"/>
    <mergeCell ref="A12:E12"/>
    <mergeCell ref="F12:L12"/>
    <mergeCell ref="B3:E3"/>
    <mergeCell ref="H3:L3"/>
    <mergeCell ref="B4:E4"/>
    <mergeCell ref="H4:L4"/>
    <mergeCell ref="B6:E6"/>
    <mergeCell ref="H6:L6"/>
  </mergeCells>
  <pageMargins left="0.4" right="0.2" top="0.2" bottom="0.4" header="0.2" footer="0.2"/>
  <pageSetup paperSize="9" scale="49" fitToHeight="0" orientation="portrait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3ED62-A04C-4D27-B56D-D126708C7252}">
  <sheetPr>
    <pageSetUpPr fitToPage="1"/>
  </sheetPr>
  <dimension ref="A1:V82"/>
  <sheetViews>
    <sheetView zoomScaleNormal="100" workbookViewId="0">
      <selection activeCell="B89" sqref="B89"/>
    </sheetView>
  </sheetViews>
  <sheetFormatPr defaultRowHeight="12.75" x14ac:dyDescent="0.2"/>
  <cols>
    <col min="1" max="1" width="6.7109375" customWidth="1"/>
    <col min="2" max="2" width="75.7109375" customWidth="1"/>
    <col min="3" max="5" width="15.7109375" customWidth="1"/>
    <col min="30" max="32" width="0" hidden="1" customWidth="1"/>
  </cols>
  <sheetData>
    <row r="1" spans="1:22" x14ac:dyDescent="0.2">
      <c r="A1" s="13" t="str">
        <f>Source!B1</f>
        <v>Smeta.RU  (495) 974-1589</v>
      </c>
    </row>
    <row r="2" spans="1:22" s="112" customFormat="1" ht="102.75" customHeight="1" x14ac:dyDescent="0.2">
      <c r="A2" s="111"/>
      <c r="B2" s="2"/>
      <c r="D2" s="154" t="s">
        <v>661</v>
      </c>
      <c r="E2" s="155"/>
      <c r="F2" s="113"/>
      <c r="Q2" s="114"/>
      <c r="R2" s="114"/>
      <c r="S2" s="114"/>
      <c r="T2" s="114"/>
      <c r="U2" s="114"/>
      <c r="V2" s="114"/>
    </row>
    <row r="3" spans="1:22" s="112" customFormat="1" ht="14.25" customHeight="1" x14ac:dyDescent="0.2">
      <c r="A3" s="2"/>
      <c r="B3" s="2"/>
      <c r="C3" s="113"/>
      <c r="D3" s="113"/>
      <c r="E3" s="113"/>
      <c r="F3" s="113"/>
      <c r="Q3" s="114"/>
      <c r="R3" s="114"/>
      <c r="S3" s="114"/>
      <c r="T3" s="114"/>
      <c r="U3" s="114"/>
      <c r="V3" s="114"/>
    </row>
    <row r="4" spans="1:22" ht="15.75" customHeight="1" x14ac:dyDescent="0.25">
      <c r="A4" s="156" t="s">
        <v>662</v>
      </c>
      <c r="B4" s="157"/>
      <c r="C4" s="157"/>
      <c r="D4" s="157"/>
      <c r="E4" s="157"/>
    </row>
    <row r="5" spans="1:22" ht="15" x14ac:dyDescent="0.25">
      <c r="A5" s="158"/>
      <c r="B5" s="158"/>
      <c r="C5" s="158"/>
      <c r="D5" s="158"/>
    </row>
    <row r="6" spans="1:22" ht="33.75" customHeight="1" x14ac:dyDescent="0.25">
      <c r="A6" s="126" t="s">
        <v>663</v>
      </c>
      <c r="B6" s="159"/>
      <c r="C6" s="159"/>
      <c r="D6" s="159"/>
      <c r="E6" s="159"/>
      <c r="F6" s="26"/>
      <c r="G6" s="26"/>
      <c r="H6" s="26"/>
      <c r="I6" s="26"/>
      <c r="J6" s="26"/>
      <c r="K6" s="26"/>
      <c r="L6" s="26"/>
    </row>
    <row r="7" spans="1:22" ht="14.25" x14ac:dyDescent="0.2">
      <c r="A7" s="46"/>
      <c r="B7" s="46"/>
      <c r="C7" s="46"/>
      <c r="D7" s="46"/>
      <c r="E7" s="46"/>
    </row>
    <row r="8" spans="1:22" ht="15" x14ac:dyDescent="0.2">
      <c r="A8" s="46"/>
      <c r="B8" s="92" t="s">
        <v>644</v>
      </c>
      <c r="C8" s="46"/>
      <c r="D8" s="46"/>
      <c r="E8" s="46"/>
    </row>
    <row r="9" spans="1:22" ht="15" x14ac:dyDescent="0.2">
      <c r="A9" s="46"/>
      <c r="B9" s="92" t="s">
        <v>645</v>
      </c>
      <c r="C9" s="46"/>
      <c r="D9" s="46"/>
      <c r="E9" s="46"/>
    </row>
    <row r="10" spans="1:22" ht="15" x14ac:dyDescent="0.2">
      <c r="A10" s="46"/>
      <c r="B10" s="92" t="s">
        <v>646</v>
      </c>
      <c r="C10" s="46"/>
      <c r="D10" s="46"/>
      <c r="E10" s="46"/>
    </row>
    <row r="11" spans="1:22" ht="28.5" x14ac:dyDescent="0.2">
      <c r="A11" s="93" t="s">
        <v>534</v>
      </c>
      <c r="B11" s="93" t="s">
        <v>536</v>
      </c>
      <c r="C11" s="93" t="s">
        <v>537</v>
      </c>
      <c r="D11" s="93" t="s">
        <v>538</v>
      </c>
      <c r="E11" s="94" t="s">
        <v>647</v>
      </c>
    </row>
    <row r="12" spans="1:22" ht="14.25" x14ac:dyDescent="0.2">
      <c r="A12" s="95">
        <v>1</v>
      </c>
      <c r="B12" s="95">
        <v>2</v>
      </c>
      <c r="C12" s="95">
        <v>3</v>
      </c>
      <c r="D12" s="95">
        <v>4</v>
      </c>
      <c r="E12" s="96">
        <v>5</v>
      </c>
    </row>
    <row r="13" spans="1:22" ht="16.5" x14ac:dyDescent="0.25">
      <c r="A13" s="160" t="str">
        <f>CONCATENATE("Локальная смета: ", Source!G20)</f>
        <v>Локальная смета: Электрика КДО</v>
      </c>
      <c r="B13" s="160"/>
      <c r="C13" s="160"/>
      <c r="D13" s="160"/>
      <c r="E13" s="160"/>
    </row>
    <row r="14" spans="1:22" ht="16.5" x14ac:dyDescent="0.25">
      <c r="A14" s="160" t="str">
        <f>CONCATENATE("Раздел: ", Source!G24)</f>
        <v>Раздел: Монтажные работы</v>
      </c>
      <c r="B14" s="160"/>
      <c r="C14" s="160"/>
      <c r="D14" s="160"/>
      <c r="E14" s="160"/>
    </row>
    <row r="15" spans="1:22" ht="42.75" x14ac:dyDescent="0.2">
      <c r="A15" s="101">
        <v>1</v>
      </c>
      <c r="B15" s="102" t="str">
        <f>Source!G28</f>
        <v>Труба гофрированная ПВХ для защиты проводов и кабелей по установленным конструкциям, по стенам, колоннам, потолкам, основанию пола</v>
      </c>
      <c r="C15" s="103" t="str">
        <f>Source!H28</f>
        <v>100 м</v>
      </c>
      <c r="D15" s="104">
        <f>Source!I28</f>
        <v>1.5</v>
      </c>
      <c r="E15" s="102"/>
    </row>
    <row r="16" spans="1:22" ht="28.5" x14ac:dyDescent="0.2">
      <c r="A16" s="101">
        <v>1.1000000000000001</v>
      </c>
      <c r="B16" s="102" t="str">
        <f>Source!G29</f>
        <v>Сметная стоимость вспомогательных ненормируемых материальных ресурсов, не учтенная в сметной норме, 2%</v>
      </c>
      <c r="C16" s="103" t="str">
        <f>Source!H29</f>
        <v>%</v>
      </c>
      <c r="D16" s="104">
        <f>Source!I29</f>
        <v>2</v>
      </c>
      <c r="E16" s="102"/>
    </row>
    <row r="17" spans="1:5" ht="28.5" x14ac:dyDescent="0.2">
      <c r="A17" s="101">
        <v>2</v>
      </c>
      <c r="B17" s="102" t="str">
        <f>Source!G30</f>
        <v>Трубы гибкие гофрированные, легкие, из самозатухающего ПВХ, с протяжкой, номинальный диаметр 20 мм</v>
      </c>
      <c r="C17" s="103" t="str">
        <f>Source!H30</f>
        <v>м</v>
      </c>
      <c r="D17" s="104">
        <f>Source!I30</f>
        <v>150</v>
      </c>
      <c r="E17" s="102"/>
    </row>
    <row r="18" spans="1:5" ht="28.5" x14ac:dyDescent="0.2">
      <c r="A18" s="101">
        <v>3</v>
      </c>
      <c r="B18" s="102" t="str">
        <f>Source!G31</f>
        <v>Клипса пластиковая для крепления гофрированных или гладких пластиковых труб, номинальный диаметр крепления 20 мм</v>
      </c>
      <c r="C18" s="103" t="str">
        <f>Source!H31</f>
        <v>10 ШТ</v>
      </c>
      <c r="D18" s="104">
        <f>Source!I31</f>
        <v>30</v>
      </c>
      <c r="E18" s="102"/>
    </row>
    <row r="19" spans="1:5" ht="14.25" x14ac:dyDescent="0.2">
      <c r="A19" s="101">
        <v>4</v>
      </c>
      <c r="B19" s="102" t="str">
        <f>Source!G32</f>
        <v>Короба пластмассовые: шириной до 120 мм</v>
      </c>
      <c r="C19" s="103" t="str">
        <f>Source!H32</f>
        <v>100 м</v>
      </c>
      <c r="D19" s="104">
        <f>Source!I32</f>
        <v>0.12</v>
      </c>
      <c r="E19" s="102"/>
    </row>
    <row r="20" spans="1:5" ht="28.5" x14ac:dyDescent="0.2">
      <c r="A20" s="101">
        <v>4.0999999999999996</v>
      </c>
      <c r="B20" s="102" t="str">
        <f>Source!G33</f>
        <v>Сметная стоимость вспомогательных ненормируемых материальных ресурсов, не учтенная в сметной норме, 2%</v>
      </c>
      <c r="C20" s="103" t="str">
        <f>Source!H33</f>
        <v>%</v>
      </c>
      <c r="D20" s="104">
        <f>Source!I33</f>
        <v>2</v>
      </c>
      <c r="E20" s="102"/>
    </row>
    <row r="21" spans="1:5" ht="28.5" x14ac:dyDescent="0.2">
      <c r="A21" s="101">
        <v>5</v>
      </c>
      <c r="B21" s="102" t="str">
        <f>Source!G34</f>
        <v>Короб кабельный (кабель-канал) ПВХ с фронтальной крышкой, с направляющими, размеры 100х60 мм прим TA-GN</v>
      </c>
      <c r="C21" s="103" t="str">
        <f>Source!H34</f>
        <v>100 м</v>
      </c>
      <c r="D21" s="104">
        <f>Source!I34</f>
        <v>0.12</v>
      </c>
      <c r="E21" s="102"/>
    </row>
    <row r="22" spans="1:5" ht="28.5" x14ac:dyDescent="0.2">
      <c r="A22" s="101">
        <v>6</v>
      </c>
      <c r="B22" s="102" t="str">
        <f>Source!G35</f>
        <v>Углы плоские для кабель-канала, размеры 100х60 мм,/Угол плоский Г-образный</v>
      </c>
      <c r="C22" s="103" t="str">
        <f>Source!H35</f>
        <v>100 ШТ</v>
      </c>
      <c r="D22" s="104">
        <f>Source!I35</f>
        <v>0.03</v>
      </c>
      <c r="E22" s="102"/>
    </row>
    <row r="23" spans="1:5" ht="28.5" x14ac:dyDescent="0.2">
      <c r="A23" s="101">
        <v>7</v>
      </c>
      <c r="B23" s="102" t="str">
        <f>Source!G36</f>
        <v>Углы внутренние для кабель-канала, прим Угол внутренний изменяемый (70-120°) NIAV 100x60</v>
      </c>
      <c r="C23" s="103" t="str">
        <f>Source!H36</f>
        <v>100 ШТ</v>
      </c>
      <c r="D23" s="104">
        <f>Source!I36</f>
        <v>0.03</v>
      </c>
      <c r="E23" s="102"/>
    </row>
    <row r="24" spans="1:5" ht="14.25" x14ac:dyDescent="0.2">
      <c r="A24" s="101">
        <v>8</v>
      </c>
      <c r="B24" s="102" t="str">
        <f>Source!G37</f>
        <v>Тройники для короба прим Тройник/отвод "BRAVA"NTAN 100x60</v>
      </c>
      <c r="C24" s="103" t="str">
        <f>Source!H37</f>
        <v>100 ШТ</v>
      </c>
      <c r="D24" s="104">
        <f>Source!I37</f>
        <v>0.03</v>
      </c>
      <c r="E24" s="102"/>
    </row>
    <row r="25" spans="1:5" ht="14.25" x14ac:dyDescent="0.2">
      <c r="A25" s="101">
        <v>9</v>
      </c>
      <c r="B25" s="102" t="str">
        <f>Source!G38</f>
        <v>Заглушки для кабель-канала, размеры 100х60 мм</v>
      </c>
      <c r="C25" s="103" t="str">
        <f>Source!H38</f>
        <v>100 ШТ</v>
      </c>
      <c r="D25" s="104">
        <f>Source!I38</f>
        <v>0.05</v>
      </c>
      <c r="E25" s="102"/>
    </row>
    <row r="26" spans="1:5" ht="14.25" x14ac:dyDescent="0.2">
      <c r="A26" s="101">
        <v>10</v>
      </c>
      <c r="B26" s="102" t="str">
        <f>Source!G39</f>
        <v>Накладки на стык для кабель-канала, размеры 100х60 мм</v>
      </c>
      <c r="C26" s="103" t="str">
        <f>Source!H39</f>
        <v>100 ШТ</v>
      </c>
      <c r="D26" s="104">
        <f>Source!I39</f>
        <v>0.1</v>
      </c>
      <c r="E26" s="102"/>
    </row>
    <row r="27" spans="1:5" ht="28.5" x14ac:dyDescent="0.2">
      <c r="A27" s="101">
        <v>10.1</v>
      </c>
      <c r="B27" s="102" t="str">
        <f>Source!G41</f>
        <v>Сметная стоимость вспомогательных ненормируемых материальных ресурсов, не учтенная в сметной норме, 2%</v>
      </c>
      <c r="C27" s="103" t="str">
        <f>Source!H41</f>
        <v>%</v>
      </c>
      <c r="D27" s="104">
        <f>Source!I41</f>
        <v>2</v>
      </c>
      <c r="E27" s="102"/>
    </row>
    <row r="28" spans="1:5" ht="42.75" x14ac:dyDescent="0.2">
      <c r="A28" s="101">
        <v>11</v>
      </c>
      <c r="B28" s="102" t="str">
        <f>Source!G42</f>
        <v>Затягивание провода в проложенные трубы и металлические рукава первого одножильного или многожильного в общей оплетке, суммарное сечение: до 2,5 мм2</v>
      </c>
      <c r="C28" s="103" t="str">
        <f>Source!H42</f>
        <v>100 м</v>
      </c>
      <c r="D28" s="104">
        <f>Source!I42</f>
        <v>1.75</v>
      </c>
      <c r="E28" s="102"/>
    </row>
    <row r="29" spans="1:5" ht="28.5" x14ac:dyDescent="0.2">
      <c r="A29" s="101">
        <v>11.1</v>
      </c>
      <c r="B29" s="102" t="str">
        <f>Source!G43</f>
        <v>Сметная стоимость вспомогательных ненормируемых материальных ресурсов, не учтенная в сметной норме, 2%</v>
      </c>
      <c r="C29" s="103" t="str">
        <f>Source!H43</f>
        <v>%</v>
      </c>
      <c r="D29" s="104">
        <f>Source!I43</f>
        <v>2</v>
      </c>
      <c r="E29" s="102"/>
    </row>
    <row r="30" spans="1:5" ht="14.25" x14ac:dyDescent="0.2">
      <c r="A30" s="101">
        <v>12</v>
      </c>
      <c r="B30" s="102" t="str">
        <f>Source!G44</f>
        <v>Кабель силовой  ВВГнг(А)-LSLTX 3х1,5 медный круглый ГОСТ 31996</v>
      </c>
      <c r="C30" s="103" t="str">
        <f>Source!H44</f>
        <v>м</v>
      </c>
      <c r="D30" s="104">
        <f>Source!I44</f>
        <v>50</v>
      </c>
      <c r="E30" s="102"/>
    </row>
    <row r="31" spans="1:5" ht="14.25" x14ac:dyDescent="0.2">
      <c r="A31" s="101">
        <v>13</v>
      </c>
      <c r="B31" s="102" t="str">
        <f>Source!G45</f>
        <v>Кабель силовой ВВГнг(А)-LSLTX 3х2,5 медный круглый ГОСТ 31996</v>
      </c>
      <c r="C31" s="103" t="str">
        <f>Source!H45</f>
        <v>м</v>
      </c>
      <c r="D31" s="104">
        <f>Source!I45</f>
        <v>50</v>
      </c>
      <c r="E31" s="102"/>
    </row>
    <row r="32" spans="1:5" ht="14.25" x14ac:dyDescent="0.2">
      <c r="A32" s="101">
        <v>14</v>
      </c>
      <c r="B32" s="102" t="str">
        <f>Source!G46</f>
        <v>Кабель силовой ККЗ ВВГнг(А)-LSLTX 4х1,5 медный круглый ГОСТ 31996</v>
      </c>
      <c r="C32" s="103" t="str">
        <f>Source!H46</f>
        <v>м</v>
      </c>
      <c r="D32" s="104">
        <f>Source!I46</f>
        <v>25</v>
      </c>
      <c r="E32" s="102"/>
    </row>
    <row r="33" spans="1:5" ht="28.5" x14ac:dyDescent="0.2">
      <c r="A33" s="101">
        <v>15</v>
      </c>
      <c r="B33" s="102" t="str">
        <f>Source!G47</f>
        <v>Провод установочный ККЗ ПуГВнг(А)-LS 1х6 гибкий силовой медный (ПВ-3) желто-зеленый ГОСТ 31947</v>
      </c>
      <c r="C33" s="103" t="str">
        <f>Source!H47</f>
        <v>м</v>
      </c>
      <c r="D33" s="104">
        <f>Source!I47</f>
        <v>50</v>
      </c>
      <c r="E33" s="102"/>
    </row>
    <row r="34" spans="1:5" ht="28.5" x14ac:dyDescent="0.2">
      <c r="A34" s="101">
        <v>16</v>
      </c>
      <c r="B34" s="102" t="str">
        <f>Source!G48</f>
        <v>Наконечники кабельные медные, сечение жилы 6 мм2, диаметр отверстия 6 мм</v>
      </c>
      <c r="C34" s="103" t="str">
        <f>Source!H48</f>
        <v>100 ШТ</v>
      </c>
      <c r="D34" s="104">
        <f>Source!I48</f>
        <v>0.25</v>
      </c>
      <c r="E34" s="102"/>
    </row>
    <row r="35" spans="1:5" ht="14.25" x14ac:dyDescent="0.2">
      <c r="A35" s="101">
        <v>17</v>
      </c>
      <c r="B35" s="102" t="str">
        <f>Source!G49</f>
        <v>Световые настенные указатели</v>
      </c>
      <c r="C35" s="103" t="str">
        <f>Source!H49</f>
        <v>100 ШТ</v>
      </c>
      <c r="D35" s="104">
        <f>Source!I49</f>
        <v>0.03</v>
      </c>
      <c r="E35" s="102"/>
    </row>
    <row r="36" spans="1:5" ht="28.5" x14ac:dyDescent="0.2">
      <c r="A36" s="101">
        <v>17.100000000000001</v>
      </c>
      <c r="B36" s="102" t="str">
        <f>Source!G50</f>
        <v>Сметная стоимость вспомогательных ненормируемых материальных ресурсов, не учтенная в сметной норме, 2%</v>
      </c>
      <c r="C36" s="103" t="str">
        <f>Source!H50</f>
        <v>%</v>
      </c>
      <c r="D36" s="104">
        <f>Source!I50</f>
        <v>2</v>
      </c>
      <c r="E36" s="102"/>
    </row>
    <row r="37" spans="1:5" ht="28.5" x14ac:dyDescent="0.2">
      <c r="A37" s="101">
        <v>18</v>
      </c>
      <c r="B37" s="102" t="str">
        <f>Source!G51</f>
        <v>Указатель световой со светодиодами и аккумулятором/ не входить УФО прим</v>
      </c>
      <c r="C37" s="103" t="str">
        <f>Source!H51</f>
        <v>ШТ</v>
      </c>
      <c r="D37" s="104">
        <f>Source!I51</f>
        <v>1</v>
      </c>
      <c r="E37" s="102"/>
    </row>
    <row r="38" spans="1:5" ht="28.5" x14ac:dyDescent="0.2">
      <c r="A38" s="101">
        <v>19</v>
      </c>
      <c r="B38" s="102" t="str">
        <f>Source!G52</f>
        <v>Указатель световой прим Указатель световой со светодиодами "Не входить рентген излучение" прим</v>
      </c>
      <c r="C38" s="103" t="str">
        <f>Source!H52</f>
        <v>ШТ</v>
      </c>
      <c r="D38" s="104">
        <f>Source!I52</f>
        <v>1</v>
      </c>
      <c r="E38" s="102"/>
    </row>
    <row r="39" spans="1:5" ht="28.5" x14ac:dyDescent="0.2">
      <c r="A39" s="101">
        <v>20</v>
      </c>
      <c r="B39" s="102" t="str">
        <f>Source!G53</f>
        <v>Указатель световой прим Световое табло "ВХОДИТЕ - НЕ ВХОДИТЬ прим,</v>
      </c>
      <c r="C39" s="103" t="str">
        <f>Source!H53</f>
        <v>ШТ</v>
      </c>
      <c r="D39" s="104">
        <f>Source!I53</f>
        <v>1</v>
      </c>
      <c r="E39" s="102"/>
    </row>
    <row r="40" spans="1:5" ht="14.25" x14ac:dyDescent="0.2">
      <c r="A40" s="101">
        <v>21</v>
      </c>
      <c r="B40" s="102" t="str">
        <f>Source!G54</f>
        <v>Облучатель бактерицидный: настенный</v>
      </c>
      <c r="C40" s="103" t="str">
        <f>Source!H54</f>
        <v>ШТ</v>
      </c>
      <c r="D40" s="104">
        <f>Source!I54</f>
        <v>2</v>
      </c>
      <c r="E40" s="102"/>
    </row>
    <row r="41" spans="1:5" ht="28.5" x14ac:dyDescent="0.2">
      <c r="A41" s="101">
        <v>21.1</v>
      </c>
      <c r="B41" s="102" t="str">
        <f>Source!G55</f>
        <v>Сметная стоимость вспомогательных ненормируемых материальных ресурсов, не учтенная в сметной норме, 2%</v>
      </c>
      <c r="C41" s="103" t="str">
        <f>Source!H55</f>
        <v>%</v>
      </c>
      <c r="D41" s="104">
        <f>Source!I55</f>
        <v>2</v>
      </c>
      <c r="E41" s="102"/>
    </row>
    <row r="42" spans="1:5" ht="14.25" x14ac:dyDescent="0.2">
      <c r="A42" s="101">
        <v>21.2</v>
      </c>
      <c r="B42" s="102" t="str">
        <f>Source!G56</f>
        <v>Масса оборудования</v>
      </c>
      <c r="C42" s="103" t="str">
        <f>Source!H56</f>
        <v>т</v>
      </c>
      <c r="D42" s="104">
        <f>Source!I56</f>
        <v>0.01</v>
      </c>
      <c r="E42" s="102"/>
    </row>
    <row r="43" spans="1:5" ht="42.75" x14ac:dyDescent="0.2">
      <c r="A43" s="101">
        <v>22</v>
      </c>
      <c r="B43" s="102" t="str">
        <f>Source!G57</f>
        <v>Облучатель бактерицидный, настенно-потолочный под ультрафиолетовую лампу, производительность 180 м3/час, мощность 190 Вт, размеры 110х80х950 мм</v>
      </c>
      <c r="C43" s="103" t="str">
        <f>Source!H57</f>
        <v>ШТ</v>
      </c>
      <c r="D43" s="104">
        <f>Source!I57</f>
        <v>2</v>
      </c>
      <c r="E43" s="102"/>
    </row>
    <row r="44" spans="1:5" ht="14.25" x14ac:dyDescent="0.2">
      <c r="A44" s="101">
        <v>23</v>
      </c>
      <c r="B44" s="102" t="str">
        <f>Source!G58</f>
        <v>Лампы бактерицидные специальные безозоновые 30 Вт, 254 нм, G13</v>
      </c>
      <c r="C44" s="103" t="str">
        <f>Source!H58</f>
        <v>10 ШТ</v>
      </c>
      <c r="D44" s="104">
        <f>Source!I58</f>
        <v>0.4</v>
      </c>
      <c r="E44" s="102"/>
    </row>
    <row r="45" spans="1:5" ht="28.5" x14ac:dyDescent="0.2">
      <c r="A45" s="101">
        <v>24</v>
      </c>
      <c r="B45" s="102" t="str">
        <f>Source!G59</f>
        <v>Крышка декоративная и другие мелкие изделия (без присоединения проводов)</v>
      </c>
      <c r="C45" s="103" t="str">
        <f>Source!H59</f>
        <v>100 ШТ</v>
      </c>
      <c r="D45" s="104">
        <f>Source!I59</f>
        <v>0.1</v>
      </c>
      <c r="E45" s="102"/>
    </row>
    <row r="46" spans="1:5" ht="28.5" x14ac:dyDescent="0.2">
      <c r="A46" s="101">
        <v>24.1</v>
      </c>
      <c r="B46" s="102" t="str">
        <f>Source!G60</f>
        <v>Сметная стоимость вспомогательных ненормируемых материальных ресурсов, не учтенная в сметной норме, 2%</v>
      </c>
      <c r="C46" s="103" t="str">
        <f>Source!H60</f>
        <v>%</v>
      </c>
      <c r="D46" s="104">
        <f>Source!I60</f>
        <v>2</v>
      </c>
      <c r="E46" s="102"/>
    </row>
    <row r="47" spans="1:5" ht="14.25" x14ac:dyDescent="0.2">
      <c r="A47" s="101">
        <v>24.2</v>
      </c>
      <c r="B47" s="102" t="str">
        <f>Source!G61</f>
        <v>Масса оборудования</v>
      </c>
      <c r="C47" s="103" t="str">
        <f>Source!H61</f>
        <v>т</v>
      </c>
      <c r="D47" s="104">
        <f>Source!I61</f>
        <v>1E-3</v>
      </c>
      <c r="E47" s="102"/>
    </row>
    <row r="48" spans="1:5" ht="28.5" x14ac:dyDescent="0.2">
      <c r="A48" s="101">
        <v>25</v>
      </c>
      <c r="B48" s="102" t="str">
        <f>Source!G62</f>
        <v>Рамки пластиковые на 2 модуля для монтажа на профиль, р/Рамка-суппорт под 2 модуля Brava  PDA-3BN 100DKC прим</v>
      </c>
      <c r="C48" s="103" t="str">
        <f>Source!H62</f>
        <v>100 ШТ</v>
      </c>
      <c r="D48" s="104">
        <f>Source!I62</f>
        <v>0.03</v>
      </c>
      <c r="E48" s="102"/>
    </row>
    <row r="49" spans="1:5" ht="28.5" x14ac:dyDescent="0.2">
      <c r="A49" s="101">
        <v>26</v>
      </c>
      <c r="B49" s="102" t="str">
        <f>Source!G63</f>
        <v>Рамки пластиковые на 2 модуля для монтажа на профиль, Рамка-суппорт PDA-3BN 100 6 модулей "BRAVA" прим</v>
      </c>
      <c r="C49" s="103" t="str">
        <f>Source!H63</f>
        <v>100 ШТ</v>
      </c>
      <c r="D49" s="104">
        <f>Source!I63</f>
        <v>0.05</v>
      </c>
      <c r="E49" s="102"/>
    </row>
    <row r="50" spans="1:5" ht="28.5" x14ac:dyDescent="0.2">
      <c r="A50" s="101">
        <v>27</v>
      </c>
      <c r="B50" s="102" t="str">
        <f>Source!G64</f>
        <v>Рамки пластиковые на 2 модуля для монтажа на профиль, Рамка-суппорт под 2 модуля "BRAVA"PDA-BN 100 прим</v>
      </c>
      <c r="C50" s="103" t="str">
        <f>Source!H64</f>
        <v>100 ШТ</v>
      </c>
      <c r="D50" s="104">
        <f>Source!I64</f>
        <v>0.02</v>
      </c>
      <c r="E50" s="102"/>
    </row>
    <row r="51" spans="1:5" ht="14.25" x14ac:dyDescent="0.2">
      <c r="A51" s="101">
        <v>28</v>
      </c>
      <c r="B51" s="102" t="str">
        <f>Source!G65</f>
        <v>Коробка ответвительная на стене</v>
      </c>
      <c r="C51" s="103" t="str">
        <f>Source!H65</f>
        <v>ШТ</v>
      </c>
      <c r="D51" s="104">
        <f>Source!I65</f>
        <v>11</v>
      </c>
      <c r="E51" s="102"/>
    </row>
    <row r="52" spans="1:5" ht="28.5" x14ac:dyDescent="0.2">
      <c r="A52" s="101">
        <v>28.1</v>
      </c>
      <c r="B52" s="102" t="str">
        <f>Source!G66</f>
        <v>Сметная стоимость вспомогательных ненормируемых материальных ресурсов, не учтенная в сметной норме, 2%</v>
      </c>
      <c r="C52" s="103" t="str">
        <f>Source!H66</f>
        <v>%</v>
      </c>
      <c r="D52" s="104">
        <f>Source!I66</f>
        <v>2</v>
      </c>
      <c r="E52" s="102"/>
    </row>
    <row r="53" spans="1:5" ht="28.5" x14ac:dyDescent="0.2">
      <c r="A53" s="101">
        <v>29</v>
      </c>
      <c r="B53" s="102" t="str">
        <f>Source!G67</f>
        <v>Коробка распределительная /Распаячная коробка ОП 100х100х55мм, крышка, IP54 прим</v>
      </c>
      <c r="C53" s="103" t="str">
        <f>Source!H67</f>
        <v>ШТ</v>
      </c>
      <c r="D53" s="104">
        <f>Source!I67</f>
        <v>10</v>
      </c>
      <c r="E53" s="102"/>
    </row>
    <row r="54" spans="1:5" ht="28.5" x14ac:dyDescent="0.2">
      <c r="A54" s="101">
        <v>30</v>
      </c>
      <c r="B54" s="102" t="str">
        <f>Source!G68</f>
        <v>Коробка распределительная, размеры 250х115 мм/прим Распаячная коробка ОП 300х220х120мм, крышка, IP55</v>
      </c>
      <c r="C54" s="103" t="str">
        <f>Source!H68</f>
        <v>ШТ</v>
      </c>
      <c r="D54" s="104">
        <f>Source!I68</f>
        <v>1</v>
      </c>
      <c r="E54" s="102"/>
    </row>
    <row r="55" spans="1:5" ht="28.5" x14ac:dyDescent="0.2">
      <c r="A55" s="101">
        <v>31</v>
      </c>
      <c r="B55" s="102" t="str">
        <f>Source!G69</f>
        <v>Клеммы соединительные самозажимные /прим Клемма 4x2.5мм для распределительных коробок</v>
      </c>
      <c r="C55" s="103" t="str">
        <f>Source!H69</f>
        <v>100 ШТ</v>
      </c>
      <c r="D55" s="104">
        <f>Source!I69</f>
        <v>0.5</v>
      </c>
      <c r="E55" s="102"/>
    </row>
    <row r="56" spans="1:5" ht="14.25" x14ac:dyDescent="0.2">
      <c r="A56" s="101">
        <v>32</v>
      </c>
      <c r="B56" s="102" t="str">
        <f>Source!G70</f>
        <v>Розетка штепсельная: утопленного типа при скрытой проводке</v>
      </c>
      <c r="C56" s="103" t="str">
        <f>Source!H70</f>
        <v>100 ШТ</v>
      </c>
      <c r="D56" s="104">
        <f>Source!I70</f>
        <v>0.23</v>
      </c>
      <c r="E56" s="102"/>
    </row>
    <row r="57" spans="1:5" ht="28.5" x14ac:dyDescent="0.2">
      <c r="A57" s="101">
        <v>32.1</v>
      </c>
      <c r="B57" s="102" t="str">
        <f>Source!G71</f>
        <v>Сметная стоимость вспомогательных ненормируемых материальных ресурсов, не учтенная в сметной норме, 2%</v>
      </c>
      <c r="C57" s="103" t="str">
        <f>Source!H71</f>
        <v>%</v>
      </c>
      <c r="D57" s="104">
        <f>Source!I71</f>
        <v>2</v>
      </c>
      <c r="E57" s="102"/>
    </row>
    <row r="58" spans="1:5" ht="28.5" x14ac:dyDescent="0.2">
      <c r="A58" s="101">
        <v>33</v>
      </c>
      <c r="B58" s="102" t="str">
        <f>Source!G72</f>
        <v>Розетка скрытого монтажа с заземляющим контактом, с защитной шторкой ДКС</v>
      </c>
      <c r="C58" s="103" t="str">
        <f>Source!H72</f>
        <v>ШТ</v>
      </c>
      <c r="D58" s="104">
        <f>Source!I72</f>
        <v>17</v>
      </c>
      <c r="E58" s="102"/>
    </row>
    <row r="59" spans="1:5" ht="28.5" x14ac:dyDescent="0.2">
      <c r="A59" s="101">
        <v>34</v>
      </c>
      <c r="B59" s="102" t="str">
        <f>Source!G73</f>
        <v>Розетка компьютерная RJ-45 для монтажа в кабель-каналы, 1 модуль, 1,5 А, 150 В, цвет белый ДКС</v>
      </c>
      <c r="C59" s="103" t="str">
        <f>Source!H73</f>
        <v>ШТ</v>
      </c>
      <c r="D59" s="104">
        <f>Source!I73</f>
        <v>6</v>
      </c>
      <c r="E59" s="102"/>
    </row>
    <row r="60" spans="1:5" ht="28.5" x14ac:dyDescent="0.2">
      <c r="A60" s="101">
        <v>35</v>
      </c>
      <c r="B60" s="102" t="str">
        <f>Source!G74</f>
        <v>Проводник заземляющий открыто по строительным основаниям: из полосовой стали сечением 100 мм2</v>
      </c>
      <c r="C60" s="103" t="str">
        <f>Source!H74</f>
        <v>100 м</v>
      </c>
      <c r="D60" s="104">
        <f>Source!I74</f>
        <v>0.45</v>
      </c>
      <c r="E60" s="102"/>
    </row>
    <row r="61" spans="1:5" ht="28.5" x14ac:dyDescent="0.2">
      <c r="A61" s="101">
        <v>35.1</v>
      </c>
      <c r="B61" s="102" t="str">
        <f>Source!G75</f>
        <v>Сметная стоимость вспомогательных ненормируемых материальных ресурсов, не учтенная в сметной норме, 2%</v>
      </c>
      <c r="C61" s="103" t="str">
        <f>Source!H75</f>
        <v>%</v>
      </c>
      <c r="D61" s="104">
        <f>Source!I75</f>
        <v>2</v>
      </c>
      <c r="E61" s="102"/>
    </row>
    <row r="62" spans="1:5" ht="28.5" x14ac:dyDescent="0.2">
      <c r="A62" s="101">
        <v>36</v>
      </c>
      <c r="B62" s="102" t="str">
        <f>Source!G76</f>
        <v>Прокат стальной горячекатаный полосовой, марки стали Ст3сп, Ст3пс, размеры 25х4 мм</v>
      </c>
      <c r="C62" s="103" t="str">
        <f>Source!H76</f>
        <v>т</v>
      </c>
      <c r="D62" s="104">
        <f>Source!I76</f>
        <v>3.533E-2</v>
      </c>
      <c r="E62" s="102"/>
    </row>
    <row r="63" spans="1:5" ht="28.5" x14ac:dyDescent="0.2">
      <c r="A63" s="101">
        <v>37</v>
      </c>
      <c r="B63" s="102" t="str">
        <f>Source!G77</f>
        <v>Автомат одно-, двух-, трехполюсный, устанавливаемый на конструкции: на стене или колонне, на ток до 25 А</v>
      </c>
      <c r="C63" s="103" t="str">
        <f>Source!H77</f>
        <v>ШТ</v>
      </c>
      <c r="D63" s="104">
        <f>Source!I77</f>
        <v>5</v>
      </c>
      <c r="E63" s="102"/>
    </row>
    <row r="64" spans="1:5" ht="28.5" x14ac:dyDescent="0.2">
      <c r="A64" s="101">
        <v>37.1</v>
      </c>
      <c r="B64" s="102" t="str">
        <f>Source!G78</f>
        <v>Сметная стоимость вспомогательных ненормируемых материальных ресурсов, не учтенная в сметной норме, 2%</v>
      </c>
      <c r="C64" s="103" t="str">
        <f>Source!H78</f>
        <v>%</v>
      </c>
      <c r="D64" s="104">
        <f>Source!I78</f>
        <v>2</v>
      </c>
      <c r="E64" s="102"/>
    </row>
    <row r="65" spans="1:12" ht="14.25" x14ac:dyDescent="0.2">
      <c r="A65" s="101">
        <v>38</v>
      </c>
      <c r="B65" s="102" t="str">
        <f>Source!G79</f>
        <v>Уголок стальной оцинкованный /прим Держатель zeta50110 К188 У2 шин </v>
      </c>
      <c r="C65" s="103" t="str">
        <f>Source!H79</f>
        <v>ШТ</v>
      </c>
      <c r="D65" s="104">
        <f>Source!I79</f>
        <v>90</v>
      </c>
      <c r="E65" s="102"/>
    </row>
    <row r="66" spans="1:12" ht="14.25" x14ac:dyDescent="0.2">
      <c r="A66" s="101">
        <v>39</v>
      </c>
      <c r="B66" s="102" t="str">
        <f>Source!G80</f>
        <v>Выключатель автоматический 2P, 10 А, 4,5 кА, характеристика C</v>
      </c>
      <c r="C66" s="103" t="str">
        <f>Source!H80</f>
        <v>ШТ</v>
      </c>
      <c r="D66" s="104">
        <f>Source!I80</f>
        <v>2</v>
      </c>
      <c r="E66" s="102"/>
    </row>
    <row r="67" spans="1:12" ht="14.25" x14ac:dyDescent="0.2">
      <c r="A67" s="101">
        <v>40</v>
      </c>
      <c r="B67" s="102" t="str">
        <f>Source!G81</f>
        <v>Выключатель автоматический 2P, 25 А, 4,5 кА, характеристика C</v>
      </c>
      <c r="C67" s="103" t="str">
        <f>Source!H81</f>
        <v>ШТ</v>
      </c>
      <c r="D67" s="104">
        <f>Source!I81</f>
        <v>2</v>
      </c>
      <c r="E67" s="102"/>
    </row>
    <row r="68" spans="1:12" ht="14.25" x14ac:dyDescent="0.2">
      <c r="A68" s="101">
        <v>41</v>
      </c>
      <c r="B68" s="102" t="str">
        <f>Source!G82</f>
        <v>Устройство защитного отключения 4P, 16 А, 30 мА</v>
      </c>
      <c r="C68" s="103" t="str">
        <f>Source!H82</f>
        <v>ШТ</v>
      </c>
      <c r="D68" s="104">
        <f>Source!I82</f>
        <v>1</v>
      </c>
      <c r="E68" s="102"/>
    </row>
    <row r="69" spans="1:12" ht="16.5" x14ac:dyDescent="0.25">
      <c r="A69" s="160" t="str">
        <f>CONCATENATE("Раздел: ", Source!G114)</f>
        <v>Раздел: Рентгенозащита</v>
      </c>
      <c r="B69" s="160"/>
      <c r="C69" s="160"/>
      <c r="D69" s="160"/>
      <c r="E69" s="160"/>
    </row>
    <row r="70" spans="1:12" ht="42.75" x14ac:dyDescent="0.2">
      <c r="A70" s="101">
        <v>42</v>
      </c>
      <c r="B70" s="102" t="str">
        <f>Source!G118</f>
        <v>Установка в жилых и общественных зданиях оконных блоков из алюминиевых профилей: поворотных (откидных, поворотно-откидных) с площадью проема более 2 м2 двухстворчатых прим</v>
      </c>
      <c r="C70" s="103" t="str">
        <f>Source!H118</f>
        <v>100 м2</v>
      </c>
      <c r="D70" s="104">
        <f>Source!I118</f>
        <v>2.2085E-2</v>
      </c>
      <c r="E70" s="102"/>
    </row>
    <row r="71" spans="1:12" ht="14.25" x14ac:dyDescent="0.2">
      <c r="A71" s="101">
        <v>42.1</v>
      </c>
      <c r="B71" s="102" t="str">
        <f>Source!G120</f>
        <v>Блок оконный из алюминиевых комбинированных профилей</v>
      </c>
      <c r="C71" s="103" t="str">
        <f>Source!H120</f>
        <v>м2</v>
      </c>
      <c r="D71" s="104">
        <f>Source!I120</f>
        <v>2.2084999999999999</v>
      </c>
      <c r="E71" s="102"/>
    </row>
    <row r="72" spans="1:12" ht="71.25" x14ac:dyDescent="0.2">
      <c r="A72" s="97">
        <v>43</v>
      </c>
      <c r="B72" s="98" t="str">
        <f>Source!G121</f>
        <v>Ставни рентгенозащитные двухстворчатые распашные СтРЗ-2 из алюминиевого профиля, размер конструкции по раме h1730*1450мм, створки равнопольные, цвет RAL 9016 белый, рама замкнутая, рабочая створка правая, наличники рентгенозащитные с трёх сторон (сверху и по бокам), свинцовый эквивалент 3,0mmPb</v>
      </c>
      <c r="C72" s="99" t="str">
        <f>Source!H121</f>
        <v>ШТ</v>
      </c>
      <c r="D72" s="100">
        <f>Source!I121</f>
        <v>1</v>
      </c>
      <c r="E72" s="98"/>
    </row>
    <row r="75" spans="1:12" ht="14.25" customHeight="1" x14ac:dyDescent="0.2">
      <c r="A75" s="153" t="s">
        <v>664</v>
      </c>
      <c r="B75" s="153"/>
      <c r="H75" s="22"/>
      <c r="I75" s="106"/>
      <c r="J75" s="106"/>
      <c r="K75" s="43"/>
      <c r="L75" s="43"/>
    </row>
    <row r="76" spans="1:12" ht="14.25" customHeight="1" x14ac:dyDescent="0.2">
      <c r="A76" s="16"/>
      <c r="B76" s="115" t="s">
        <v>642</v>
      </c>
      <c r="H76" s="106"/>
      <c r="I76" s="106"/>
      <c r="J76" s="106"/>
      <c r="K76" s="43"/>
      <c r="L76" s="43"/>
    </row>
    <row r="77" spans="1:12" ht="14.25" customHeight="1" x14ac:dyDescent="0.2">
      <c r="A77" s="16"/>
      <c r="B77" s="16"/>
      <c r="H77" s="106"/>
      <c r="I77" s="106"/>
      <c r="J77" s="106"/>
      <c r="K77" s="43"/>
      <c r="L77" s="43"/>
    </row>
    <row r="78" spans="1:12" ht="14.25" customHeight="1" x14ac:dyDescent="0.2">
      <c r="A78" s="153" t="s">
        <v>665</v>
      </c>
      <c r="B78" s="153"/>
      <c r="H78" s="22"/>
      <c r="I78" s="106"/>
      <c r="J78" s="106"/>
      <c r="K78" s="43"/>
      <c r="L78" s="43"/>
    </row>
    <row r="79" spans="1:12" ht="14.25" customHeight="1" x14ac:dyDescent="0.2">
      <c r="A79" s="16"/>
      <c r="B79" s="115" t="s">
        <v>642</v>
      </c>
      <c r="H79" s="106"/>
      <c r="I79" s="106"/>
      <c r="J79" s="106"/>
      <c r="K79" s="43"/>
      <c r="L79" s="43"/>
    </row>
    <row r="81" spans="1:12" ht="14.25" customHeight="1" x14ac:dyDescent="0.2">
      <c r="A81" s="153" t="s">
        <v>666</v>
      </c>
      <c r="B81" s="153"/>
      <c r="H81" s="22"/>
      <c r="I81" s="106"/>
      <c r="J81" s="106"/>
      <c r="K81" s="43"/>
      <c r="L81" s="43"/>
    </row>
    <row r="82" spans="1:12" ht="14.25" customHeight="1" x14ac:dyDescent="0.2">
      <c r="A82" s="16"/>
      <c r="B82" s="115" t="s">
        <v>642</v>
      </c>
      <c r="H82" s="106"/>
      <c r="I82" s="106"/>
      <c r="J82" s="106"/>
      <c r="K82" s="43"/>
      <c r="L82" s="43"/>
    </row>
  </sheetData>
  <mergeCells count="10">
    <mergeCell ref="A78:B78"/>
    <mergeCell ref="A81:B81"/>
    <mergeCell ref="D2:E2"/>
    <mergeCell ref="A4:E4"/>
    <mergeCell ref="A5:D5"/>
    <mergeCell ref="A6:E6"/>
    <mergeCell ref="A75:B75"/>
    <mergeCell ref="A13:E13"/>
    <mergeCell ref="A14:E14"/>
    <mergeCell ref="A69:E69"/>
  </mergeCells>
  <pageMargins left="0.4" right="0.2" top="0.2" bottom="0.4" header="0.2" footer="0.2"/>
  <pageSetup paperSize="9" scale="77" fitToHeight="0" orientation="portrait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253"/>
  <sheetViews>
    <sheetView workbookViewId="0">
      <selection activeCell="A249" sqref="A249:AX249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75564</v>
      </c>
      <c r="M1">
        <v>10</v>
      </c>
      <c r="N1">
        <v>12</v>
      </c>
      <c r="O1">
        <v>1</v>
      </c>
      <c r="P1">
        <v>0</v>
      </c>
      <c r="Q1">
        <v>4</v>
      </c>
    </row>
    <row r="12" spans="1:133" x14ac:dyDescent="0.2">
      <c r="A12" s="1">
        <v>1</v>
      </c>
      <c r="B12" s="1">
        <v>247</v>
      </c>
      <c r="C12" s="1">
        <v>0</v>
      </c>
      <c r="D12" s="1">
        <f>ROW(A187)</f>
        <v>187</v>
      </c>
      <c r="E12" s="1">
        <v>0</v>
      </c>
      <c r="F12" s="1" t="s">
        <v>3</v>
      </c>
      <c r="G12" s="1" t="s">
        <v>4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5</v>
      </c>
      <c r="BI12" s="1" t="s">
        <v>6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7</v>
      </c>
      <c r="BZ12" s="1" t="s">
        <v>8</v>
      </c>
      <c r="CA12" s="1" t="s">
        <v>9</v>
      </c>
      <c r="CB12" s="1" t="s">
        <v>9</v>
      </c>
      <c r="CC12" s="1" t="s">
        <v>9</v>
      </c>
      <c r="CD12" s="1" t="s">
        <v>9</v>
      </c>
      <c r="CE12" s="1" t="s">
        <v>10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18</v>
      </c>
      <c r="CL12" s="1"/>
      <c r="CM12" s="1"/>
      <c r="CN12" s="1"/>
      <c r="CO12" s="1"/>
      <c r="CP12" s="1"/>
      <c r="CQ12" s="1" t="s">
        <v>11</v>
      </c>
      <c r="CR12" s="1" t="s">
        <v>12</v>
      </c>
      <c r="CS12" s="1">
        <v>46161</v>
      </c>
      <c r="CT12" s="1">
        <v>567</v>
      </c>
      <c r="CU12" s="1">
        <v>18</v>
      </c>
      <c r="CV12" s="1" t="s">
        <v>503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55" x14ac:dyDescent="0.2">
      <c r="A18" s="3">
        <v>52</v>
      </c>
      <c r="B18" s="3">
        <f t="shared" ref="B18:G18" si="0">B187</f>
        <v>247</v>
      </c>
      <c r="C18" s="3">
        <f t="shared" si="0"/>
        <v>1</v>
      </c>
      <c r="D18" s="3">
        <f t="shared" si="0"/>
        <v>12</v>
      </c>
      <c r="E18" s="3">
        <f t="shared" si="0"/>
        <v>0</v>
      </c>
      <c r="F18" s="3" t="str">
        <f t="shared" si="0"/>
        <v/>
      </c>
      <c r="G18" s="3" t="str">
        <f t="shared" si="0"/>
        <v>Электрика,(КДО каб. 34, 2-ой эт)_(06/07/26)</v>
      </c>
      <c r="H18" s="3"/>
      <c r="I18" s="3"/>
      <c r="J18" s="3"/>
      <c r="K18" s="3"/>
      <c r="L18" s="3"/>
      <c r="M18" s="3"/>
      <c r="N18" s="3"/>
      <c r="O18" s="3">
        <f t="shared" ref="O18:AT18" si="1">O187</f>
        <v>237587.62</v>
      </c>
      <c r="P18" s="3">
        <f t="shared" si="1"/>
        <v>175900.84</v>
      </c>
      <c r="Q18" s="3">
        <f t="shared" si="1"/>
        <v>306.16000000000003</v>
      </c>
      <c r="R18" s="3">
        <f t="shared" si="1"/>
        <v>210.83</v>
      </c>
      <c r="S18" s="3">
        <f t="shared" si="1"/>
        <v>61169.79</v>
      </c>
      <c r="T18" s="3">
        <f t="shared" si="1"/>
        <v>0</v>
      </c>
      <c r="U18" s="3">
        <f t="shared" si="1"/>
        <v>86.816225100000011</v>
      </c>
      <c r="V18" s="3">
        <f t="shared" si="1"/>
        <v>0.25155189999999999</v>
      </c>
      <c r="W18" s="3">
        <f t="shared" si="1"/>
        <v>0</v>
      </c>
      <c r="X18" s="3">
        <f t="shared" si="1"/>
        <v>58002.8</v>
      </c>
      <c r="Y18" s="3">
        <f t="shared" si="1"/>
        <v>30316.19</v>
      </c>
      <c r="Z18" s="3">
        <f t="shared" si="1"/>
        <v>0</v>
      </c>
      <c r="AA18" s="3">
        <f t="shared" si="1"/>
        <v>0</v>
      </c>
      <c r="AB18" s="3">
        <f t="shared" si="1"/>
        <v>0</v>
      </c>
      <c r="AC18" s="3">
        <f t="shared" si="1"/>
        <v>0</v>
      </c>
      <c r="AD18" s="3">
        <f t="shared" si="1"/>
        <v>0</v>
      </c>
      <c r="AE18" s="3">
        <f t="shared" si="1"/>
        <v>0</v>
      </c>
      <c r="AF18" s="3">
        <f t="shared" si="1"/>
        <v>0</v>
      </c>
      <c r="AG18" s="3">
        <f t="shared" si="1"/>
        <v>0</v>
      </c>
      <c r="AH18" s="3">
        <f t="shared" si="1"/>
        <v>0</v>
      </c>
      <c r="AI18" s="3">
        <f t="shared" si="1"/>
        <v>0</v>
      </c>
      <c r="AJ18" s="3">
        <f t="shared" si="1"/>
        <v>0</v>
      </c>
      <c r="AK18" s="3">
        <f t="shared" si="1"/>
        <v>0</v>
      </c>
      <c r="AL18" s="3">
        <f t="shared" si="1"/>
        <v>0</v>
      </c>
      <c r="AM18" s="3">
        <f t="shared" si="1"/>
        <v>0</v>
      </c>
      <c r="AN18" s="3">
        <f t="shared" si="1"/>
        <v>0</v>
      </c>
      <c r="AO18" s="3">
        <f t="shared" si="1"/>
        <v>0</v>
      </c>
      <c r="AP18" s="3">
        <f t="shared" si="1"/>
        <v>2506.98</v>
      </c>
      <c r="AQ18" s="3">
        <f t="shared" si="1"/>
        <v>0</v>
      </c>
      <c r="AR18" s="3">
        <f t="shared" si="1"/>
        <v>325906.61</v>
      </c>
      <c r="AS18" s="3">
        <f t="shared" si="1"/>
        <v>132592.91</v>
      </c>
      <c r="AT18" s="3">
        <f t="shared" si="1"/>
        <v>190806.72</v>
      </c>
      <c r="AU18" s="3">
        <f t="shared" ref="AU18:BZ18" si="2">AU187</f>
        <v>0</v>
      </c>
      <c r="AV18" s="3">
        <f t="shared" si="2"/>
        <v>175900.84</v>
      </c>
      <c r="AW18" s="3">
        <f t="shared" si="2"/>
        <v>173393.86</v>
      </c>
      <c r="AX18" s="3">
        <f t="shared" si="2"/>
        <v>0</v>
      </c>
      <c r="AY18" s="3">
        <f t="shared" si="2"/>
        <v>173393.86</v>
      </c>
      <c r="AZ18" s="3">
        <f t="shared" si="2"/>
        <v>2506.98</v>
      </c>
      <c r="BA18" s="3">
        <f t="shared" si="2"/>
        <v>0</v>
      </c>
      <c r="BB18" s="3">
        <f t="shared" si="2"/>
        <v>0</v>
      </c>
      <c r="BC18" s="3">
        <f t="shared" si="2"/>
        <v>0</v>
      </c>
      <c r="BD18" s="3">
        <f t="shared" si="2"/>
        <v>0</v>
      </c>
      <c r="BE18" s="3">
        <f t="shared" si="2"/>
        <v>0</v>
      </c>
      <c r="BF18" s="3">
        <f t="shared" si="2"/>
        <v>0</v>
      </c>
      <c r="BG18" s="3">
        <f t="shared" si="2"/>
        <v>0</v>
      </c>
      <c r="BH18" s="3">
        <f t="shared" si="2"/>
        <v>0</v>
      </c>
      <c r="BI18" s="3">
        <f t="shared" si="2"/>
        <v>0</v>
      </c>
      <c r="BJ18" s="3">
        <f t="shared" si="2"/>
        <v>0</v>
      </c>
      <c r="BK18" s="3">
        <f t="shared" si="2"/>
        <v>0</v>
      </c>
      <c r="BL18" s="3">
        <f t="shared" si="2"/>
        <v>0</v>
      </c>
      <c r="BM18" s="3">
        <f t="shared" si="2"/>
        <v>0</v>
      </c>
      <c r="BN18" s="3">
        <f t="shared" si="2"/>
        <v>0</v>
      </c>
      <c r="BO18" s="3">
        <f t="shared" si="2"/>
        <v>0</v>
      </c>
      <c r="BP18" s="3">
        <f t="shared" si="2"/>
        <v>0</v>
      </c>
      <c r="BQ18" s="3">
        <f t="shared" si="2"/>
        <v>0</v>
      </c>
      <c r="BR18" s="3">
        <f t="shared" si="2"/>
        <v>0</v>
      </c>
      <c r="BS18" s="3">
        <f t="shared" si="2"/>
        <v>0</v>
      </c>
      <c r="BT18" s="3">
        <f t="shared" si="2"/>
        <v>0</v>
      </c>
      <c r="BU18" s="3">
        <f t="shared" si="2"/>
        <v>0</v>
      </c>
      <c r="BV18" s="3">
        <f t="shared" si="2"/>
        <v>0</v>
      </c>
      <c r="BW18" s="3">
        <f t="shared" si="2"/>
        <v>0</v>
      </c>
      <c r="BX18" s="3">
        <f t="shared" si="2"/>
        <v>0</v>
      </c>
      <c r="BY18" s="3">
        <f t="shared" si="2"/>
        <v>0</v>
      </c>
      <c r="BZ18" s="3">
        <f t="shared" si="2"/>
        <v>0</v>
      </c>
      <c r="CA18" s="3">
        <f t="shared" ref="CA18:DF18" si="3">CA187</f>
        <v>0</v>
      </c>
      <c r="CB18" s="3">
        <f t="shared" si="3"/>
        <v>0</v>
      </c>
      <c r="CC18" s="3">
        <f t="shared" si="3"/>
        <v>0</v>
      </c>
      <c r="CD18" s="3">
        <f t="shared" si="3"/>
        <v>0</v>
      </c>
      <c r="CE18" s="3">
        <f t="shared" si="3"/>
        <v>0</v>
      </c>
      <c r="CF18" s="3">
        <f t="shared" si="3"/>
        <v>0</v>
      </c>
      <c r="CG18" s="3">
        <f t="shared" si="3"/>
        <v>0</v>
      </c>
      <c r="CH18" s="3">
        <f t="shared" si="3"/>
        <v>0</v>
      </c>
      <c r="CI18" s="3">
        <f t="shared" si="3"/>
        <v>0</v>
      </c>
      <c r="CJ18" s="3">
        <f t="shared" si="3"/>
        <v>0</v>
      </c>
      <c r="CK18" s="3">
        <f t="shared" si="3"/>
        <v>0</v>
      </c>
      <c r="CL18" s="3">
        <f t="shared" si="3"/>
        <v>0</v>
      </c>
      <c r="CM18" s="3">
        <f t="shared" si="3"/>
        <v>0</v>
      </c>
      <c r="CN18" s="3">
        <f t="shared" si="3"/>
        <v>0</v>
      </c>
      <c r="CO18" s="3">
        <f t="shared" si="3"/>
        <v>0</v>
      </c>
      <c r="CP18" s="3">
        <f t="shared" si="3"/>
        <v>0</v>
      </c>
      <c r="CQ18" s="3">
        <f t="shared" si="3"/>
        <v>0</v>
      </c>
      <c r="CR18" s="3">
        <f t="shared" si="3"/>
        <v>0</v>
      </c>
      <c r="CS18" s="3">
        <f t="shared" si="3"/>
        <v>0</v>
      </c>
      <c r="CT18" s="3">
        <f t="shared" si="3"/>
        <v>0</v>
      </c>
      <c r="CU18" s="3">
        <f t="shared" si="3"/>
        <v>0</v>
      </c>
      <c r="CV18" s="3">
        <f t="shared" si="3"/>
        <v>0</v>
      </c>
      <c r="CW18" s="3">
        <f t="shared" si="3"/>
        <v>0</v>
      </c>
      <c r="CX18" s="3">
        <f t="shared" si="3"/>
        <v>0</v>
      </c>
      <c r="CY18" s="3">
        <f t="shared" si="3"/>
        <v>0</v>
      </c>
      <c r="CZ18" s="3">
        <f t="shared" si="3"/>
        <v>0</v>
      </c>
      <c r="DA18" s="3">
        <f t="shared" si="3"/>
        <v>0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0</v>
      </c>
      <c r="DF18" s="3">
        <f t="shared" si="3"/>
        <v>0</v>
      </c>
      <c r="DG18" s="4">
        <f t="shared" ref="DG18:EL18" si="4">DG187</f>
        <v>0</v>
      </c>
      <c r="DH18" s="4">
        <f t="shared" si="4"/>
        <v>0</v>
      </c>
      <c r="DI18" s="4">
        <f t="shared" si="4"/>
        <v>0</v>
      </c>
      <c r="DJ18" s="4">
        <f t="shared" si="4"/>
        <v>0</v>
      </c>
      <c r="DK18" s="4">
        <f t="shared" si="4"/>
        <v>0</v>
      </c>
      <c r="DL18" s="4">
        <f t="shared" si="4"/>
        <v>0</v>
      </c>
      <c r="DM18" s="4">
        <f t="shared" si="4"/>
        <v>0</v>
      </c>
      <c r="DN18" s="4">
        <f t="shared" si="4"/>
        <v>0</v>
      </c>
      <c r="DO18" s="4">
        <f t="shared" si="4"/>
        <v>0</v>
      </c>
      <c r="DP18" s="4">
        <f t="shared" si="4"/>
        <v>0</v>
      </c>
      <c r="DQ18" s="4">
        <f t="shared" si="4"/>
        <v>0</v>
      </c>
      <c r="DR18" s="4">
        <f t="shared" si="4"/>
        <v>0</v>
      </c>
      <c r="DS18" s="4">
        <f t="shared" si="4"/>
        <v>0</v>
      </c>
      <c r="DT18" s="4">
        <f t="shared" si="4"/>
        <v>0</v>
      </c>
      <c r="DU18" s="4">
        <f t="shared" si="4"/>
        <v>0</v>
      </c>
      <c r="DV18" s="4">
        <f t="shared" si="4"/>
        <v>0</v>
      </c>
      <c r="DW18" s="4">
        <f t="shared" si="4"/>
        <v>0</v>
      </c>
      <c r="DX18" s="4">
        <f t="shared" si="4"/>
        <v>0</v>
      </c>
      <c r="DY18" s="4">
        <f t="shared" si="4"/>
        <v>0</v>
      </c>
      <c r="DZ18" s="4">
        <f t="shared" si="4"/>
        <v>0</v>
      </c>
      <c r="EA18" s="4">
        <f t="shared" si="4"/>
        <v>0</v>
      </c>
      <c r="EB18" s="4">
        <f t="shared" si="4"/>
        <v>0</v>
      </c>
      <c r="EC18" s="4">
        <f t="shared" si="4"/>
        <v>0</v>
      </c>
      <c r="ED18" s="4">
        <f t="shared" si="4"/>
        <v>0</v>
      </c>
      <c r="EE18" s="4">
        <f t="shared" si="4"/>
        <v>0</v>
      </c>
      <c r="EF18" s="4">
        <f t="shared" si="4"/>
        <v>0</v>
      </c>
      <c r="EG18" s="4">
        <f t="shared" si="4"/>
        <v>0</v>
      </c>
      <c r="EH18" s="4">
        <f t="shared" si="4"/>
        <v>0</v>
      </c>
      <c r="EI18" s="4">
        <f t="shared" si="4"/>
        <v>0</v>
      </c>
      <c r="EJ18" s="4">
        <f t="shared" si="4"/>
        <v>0</v>
      </c>
      <c r="EK18" s="4">
        <f t="shared" si="4"/>
        <v>0</v>
      </c>
      <c r="EL18" s="4">
        <f t="shared" si="4"/>
        <v>0</v>
      </c>
      <c r="EM18" s="4">
        <f t="shared" ref="EM18:FR18" si="5">EM187</f>
        <v>0</v>
      </c>
      <c r="EN18" s="4">
        <f t="shared" si="5"/>
        <v>0</v>
      </c>
      <c r="EO18" s="4">
        <f t="shared" si="5"/>
        <v>0</v>
      </c>
      <c r="EP18" s="4">
        <f t="shared" si="5"/>
        <v>0</v>
      </c>
      <c r="EQ18" s="4">
        <f t="shared" si="5"/>
        <v>0</v>
      </c>
      <c r="ER18" s="4">
        <f t="shared" si="5"/>
        <v>0</v>
      </c>
      <c r="ES18" s="4">
        <f t="shared" si="5"/>
        <v>0</v>
      </c>
      <c r="ET18" s="4">
        <f t="shared" si="5"/>
        <v>0</v>
      </c>
      <c r="EU18" s="4">
        <f t="shared" si="5"/>
        <v>0</v>
      </c>
      <c r="EV18" s="4">
        <f t="shared" si="5"/>
        <v>0</v>
      </c>
      <c r="EW18" s="4">
        <f t="shared" si="5"/>
        <v>0</v>
      </c>
      <c r="EX18" s="4">
        <f t="shared" si="5"/>
        <v>0</v>
      </c>
      <c r="EY18" s="4">
        <f t="shared" si="5"/>
        <v>0</v>
      </c>
      <c r="EZ18" s="4">
        <f t="shared" si="5"/>
        <v>0</v>
      </c>
      <c r="FA18" s="4">
        <f t="shared" si="5"/>
        <v>0</v>
      </c>
      <c r="FB18" s="4">
        <f t="shared" si="5"/>
        <v>0</v>
      </c>
      <c r="FC18" s="4">
        <f t="shared" si="5"/>
        <v>0</v>
      </c>
      <c r="FD18" s="4">
        <f t="shared" si="5"/>
        <v>0</v>
      </c>
      <c r="FE18" s="4">
        <f t="shared" si="5"/>
        <v>0</v>
      </c>
      <c r="FF18" s="4">
        <f t="shared" si="5"/>
        <v>0</v>
      </c>
      <c r="FG18" s="4">
        <f t="shared" si="5"/>
        <v>0</v>
      </c>
      <c r="FH18" s="4">
        <f t="shared" si="5"/>
        <v>0</v>
      </c>
      <c r="FI18" s="4">
        <f t="shared" si="5"/>
        <v>0</v>
      </c>
      <c r="FJ18" s="4">
        <f t="shared" si="5"/>
        <v>0</v>
      </c>
      <c r="FK18" s="4">
        <f t="shared" si="5"/>
        <v>0</v>
      </c>
      <c r="FL18" s="4">
        <f t="shared" si="5"/>
        <v>0</v>
      </c>
      <c r="FM18" s="4">
        <f t="shared" si="5"/>
        <v>0</v>
      </c>
      <c r="FN18" s="4">
        <f t="shared" si="5"/>
        <v>0</v>
      </c>
      <c r="FO18" s="4">
        <f t="shared" si="5"/>
        <v>0</v>
      </c>
      <c r="FP18" s="4">
        <f t="shared" si="5"/>
        <v>0</v>
      </c>
      <c r="FQ18" s="4">
        <f t="shared" si="5"/>
        <v>0</v>
      </c>
      <c r="FR18" s="4">
        <f t="shared" si="5"/>
        <v>0</v>
      </c>
      <c r="FS18" s="4">
        <f t="shared" ref="FS18:GX18" si="6">FS187</f>
        <v>0</v>
      </c>
      <c r="FT18" s="4">
        <f t="shared" si="6"/>
        <v>0</v>
      </c>
      <c r="FU18" s="4">
        <f t="shared" si="6"/>
        <v>0</v>
      </c>
      <c r="FV18" s="4">
        <f t="shared" si="6"/>
        <v>0</v>
      </c>
      <c r="FW18" s="4">
        <f t="shared" si="6"/>
        <v>0</v>
      </c>
      <c r="FX18" s="4">
        <f t="shared" si="6"/>
        <v>0</v>
      </c>
      <c r="FY18" s="4">
        <f t="shared" si="6"/>
        <v>0</v>
      </c>
      <c r="FZ18" s="4">
        <f t="shared" si="6"/>
        <v>0</v>
      </c>
      <c r="GA18" s="4">
        <f t="shared" si="6"/>
        <v>0</v>
      </c>
      <c r="GB18" s="4">
        <f t="shared" si="6"/>
        <v>0</v>
      </c>
      <c r="GC18" s="4">
        <f t="shared" si="6"/>
        <v>0</v>
      </c>
      <c r="GD18" s="4">
        <f t="shared" si="6"/>
        <v>0</v>
      </c>
      <c r="GE18" s="4">
        <f t="shared" si="6"/>
        <v>0</v>
      </c>
      <c r="GF18" s="4">
        <f t="shared" si="6"/>
        <v>0</v>
      </c>
      <c r="GG18" s="4">
        <f t="shared" si="6"/>
        <v>0</v>
      </c>
      <c r="GH18" s="4">
        <f t="shared" si="6"/>
        <v>0</v>
      </c>
      <c r="GI18" s="4">
        <f t="shared" si="6"/>
        <v>0</v>
      </c>
      <c r="GJ18" s="4">
        <f t="shared" si="6"/>
        <v>0</v>
      </c>
      <c r="GK18" s="4">
        <f t="shared" si="6"/>
        <v>0</v>
      </c>
      <c r="GL18" s="4">
        <f t="shared" si="6"/>
        <v>0</v>
      </c>
      <c r="GM18" s="4">
        <f t="shared" si="6"/>
        <v>0</v>
      </c>
      <c r="GN18" s="4">
        <f t="shared" si="6"/>
        <v>0</v>
      </c>
      <c r="GO18" s="4">
        <f t="shared" si="6"/>
        <v>0</v>
      </c>
      <c r="GP18" s="4">
        <f t="shared" si="6"/>
        <v>0</v>
      </c>
      <c r="GQ18" s="4">
        <f t="shared" si="6"/>
        <v>0</v>
      </c>
      <c r="GR18" s="4">
        <f t="shared" si="6"/>
        <v>0</v>
      </c>
      <c r="GS18" s="4">
        <f t="shared" si="6"/>
        <v>0</v>
      </c>
      <c r="GT18" s="4">
        <f t="shared" si="6"/>
        <v>0</v>
      </c>
      <c r="GU18" s="4">
        <f t="shared" si="6"/>
        <v>0</v>
      </c>
      <c r="GV18" s="4">
        <f t="shared" si="6"/>
        <v>0</v>
      </c>
      <c r="GW18" s="4">
        <f t="shared" si="6"/>
        <v>0</v>
      </c>
      <c r="GX18" s="4">
        <f t="shared" si="6"/>
        <v>0</v>
      </c>
    </row>
    <row r="20" spans="1:255" x14ac:dyDescent="0.2">
      <c r="A20" s="1">
        <v>3</v>
      </c>
      <c r="B20" s="1">
        <v>1</v>
      </c>
      <c r="C20" s="1"/>
      <c r="D20" s="1">
        <f>ROW(A153)</f>
        <v>153</v>
      </c>
      <c r="E20" s="1"/>
      <c r="F20" s="1" t="s">
        <v>3</v>
      </c>
      <c r="G20" s="1" t="s">
        <v>13</v>
      </c>
      <c r="H20" s="1" t="s">
        <v>3</v>
      </c>
      <c r="I20" s="1">
        <v>0</v>
      </c>
      <c r="J20" s="1" t="s">
        <v>3</v>
      </c>
      <c r="K20" s="1">
        <v>-1</v>
      </c>
      <c r="L20" s="1" t="s">
        <v>3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55" x14ac:dyDescent="0.2">
      <c r="A22" s="3">
        <v>52</v>
      </c>
      <c r="B22" s="3">
        <f t="shared" ref="B22:G22" si="7">B153</f>
        <v>1</v>
      </c>
      <c r="C22" s="3">
        <f t="shared" si="7"/>
        <v>3</v>
      </c>
      <c r="D22" s="3">
        <f t="shared" si="7"/>
        <v>20</v>
      </c>
      <c r="E22" s="3">
        <f t="shared" si="7"/>
        <v>0</v>
      </c>
      <c r="F22" s="3" t="str">
        <f t="shared" si="7"/>
        <v/>
      </c>
      <c r="G22" s="3" t="str">
        <f t="shared" si="7"/>
        <v>Электрика КДО</v>
      </c>
      <c r="H22" s="3"/>
      <c r="I22" s="3"/>
      <c r="J22" s="3"/>
      <c r="K22" s="3"/>
      <c r="L22" s="3"/>
      <c r="M22" s="3"/>
      <c r="N22" s="3"/>
      <c r="O22" s="3">
        <f t="shared" ref="O22:AT22" si="8">O153</f>
        <v>237587.62</v>
      </c>
      <c r="P22" s="3">
        <f t="shared" si="8"/>
        <v>175900.84</v>
      </c>
      <c r="Q22" s="3">
        <f t="shared" si="8"/>
        <v>306.16000000000003</v>
      </c>
      <c r="R22" s="3">
        <f t="shared" si="8"/>
        <v>210.83</v>
      </c>
      <c r="S22" s="3">
        <f t="shared" si="8"/>
        <v>61169.79</v>
      </c>
      <c r="T22" s="3">
        <f t="shared" si="8"/>
        <v>0</v>
      </c>
      <c r="U22" s="3">
        <f t="shared" si="8"/>
        <v>86.816225100000011</v>
      </c>
      <c r="V22" s="3">
        <f t="shared" si="8"/>
        <v>0.25155189999999999</v>
      </c>
      <c r="W22" s="3">
        <f t="shared" si="8"/>
        <v>0</v>
      </c>
      <c r="X22" s="3">
        <f t="shared" si="8"/>
        <v>58002.8</v>
      </c>
      <c r="Y22" s="3">
        <f t="shared" si="8"/>
        <v>30316.19</v>
      </c>
      <c r="Z22" s="3">
        <f t="shared" si="8"/>
        <v>0</v>
      </c>
      <c r="AA22" s="3">
        <f t="shared" si="8"/>
        <v>0</v>
      </c>
      <c r="AB22" s="3">
        <f t="shared" si="8"/>
        <v>0</v>
      </c>
      <c r="AC22" s="3">
        <f t="shared" si="8"/>
        <v>0</v>
      </c>
      <c r="AD22" s="3">
        <f t="shared" si="8"/>
        <v>0</v>
      </c>
      <c r="AE22" s="3">
        <f t="shared" si="8"/>
        <v>0</v>
      </c>
      <c r="AF22" s="3">
        <f t="shared" si="8"/>
        <v>0</v>
      </c>
      <c r="AG22" s="3">
        <f t="shared" si="8"/>
        <v>0</v>
      </c>
      <c r="AH22" s="3">
        <f t="shared" si="8"/>
        <v>0</v>
      </c>
      <c r="AI22" s="3">
        <f t="shared" si="8"/>
        <v>0</v>
      </c>
      <c r="AJ22" s="3">
        <f t="shared" si="8"/>
        <v>0</v>
      </c>
      <c r="AK22" s="3">
        <f t="shared" si="8"/>
        <v>0</v>
      </c>
      <c r="AL22" s="3">
        <f t="shared" si="8"/>
        <v>0</v>
      </c>
      <c r="AM22" s="3">
        <f t="shared" si="8"/>
        <v>0</v>
      </c>
      <c r="AN22" s="3">
        <f t="shared" si="8"/>
        <v>0</v>
      </c>
      <c r="AO22" s="3">
        <f t="shared" si="8"/>
        <v>0</v>
      </c>
      <c r="AP22" s="3">
        <f t="shared" si="8"/>
        <v>2506.98</v>
      </c>
      <c r="AQ22" s="3">
        <f t="shared" si="8"/>
        <v>0</v>
      </c>
      <c r="AR22" s="3">
        <f t="shared" si="8"/>
        <v>325906.61</v>
      </c>
      <c r="AS22" s="3">
        <f t="shared" si="8"/>
        <v>132592.91</v>
      </c>
      <c r="AT22" s="3">
        <f t="shared" si="8"/>
        <v>190806.72</v>
      </c>
      <c r="AU22" s="3">
        <f t="shared" ref="AU22:BZ22" si="9">AU153</f>
        <v>0</v>
      </c>
      <c r="AV22" s="3">
        <f t="shared" si="9"/>
        <v>175900.84</v>
      </c>
      <c r="AW22" s="3">
        <f t="shared" si="9"/>
        <v>173393.86</v>
      </c>
      <c r="AX22" s="3">
        <f t="shared" si="9"/>
        <v>0</v>
      </c>
      <c r="AY22" s="3">
        <f t="shared" si="9"/>
        <v>173393.86</v>
      </c>
      <c r="AZ22" s="3">
        <f t="shared" si="9"/>
        <v>2506.98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0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si="9"/>
        <v>0</v>
      </c>
      <c r="BQ22" s="3">
        <f t="shared" si="9"/>
        <v>0</v>
      </c>
      <c r="BR22" s="3">
        <f t="shared" si="9"/>
        <v>0</v>
      </c>
      <c r="BS22" s="3">
        <f t="shared" si="9"/>
        <v>0</v>
      </c>
      <c r="BT22" s="3">
        <f t="shared" si="9"/>
        <v>0</v>
      </c>
      <c r="BU22" s="3">
        <f t="shared" si="9"/>
        <v>0</v>
      </c>
      <c r="BV22" s="3">
        <f t="shared" si="9"/>
        <v>0</v>
      </c>
      <c r="BW22" s="3">
        <f t="shared" si="9"/>
        <v>0</v>
      </c>
      <c r="BX22" s="3">
        <f t="shared" si="9"/>
        <v>0</v>
      </c>
      <c r="BY22" s="3">
        <f t="shared" si="9"/>
        <v>0</v>
      </c>
      <c r="BZ22" s="3">
        <f t="shared" si="9"/>
        <v>0</v>
      </c>
      <c r="CA22" s="3">
        <f t="shared" ref="CA22:DF22" si="10">CA153</f>
        <v>0</v>
      </c>
      <c r="CB22" s="3">
        <f t="shared" si="10"/>
        <v>0</v>
      </c>
      <c r="CC22" s="3">
        <f t="shared" si="10"/>
        <v>0</v>
      </c>
      <c r="CD22" s="3">
        <f t="shared" si="10"/>
        <v>0</v>
      </c>
      <c r="CE22" s="3">
        <f t="shared" si="10"/>
        <v>0</v>
      </c>
      <c r="CF22" s="3">
        <f t="shared" si="10"/>
        <v>0</v>
      </c>
      <c r="CG22" s="3">
        <f t="shared" si="10"/>
        <v>0</v>
      </c>
      <c r="CH22" s="3">
        <f t="shared" si="10"/>
        <v>0</v>
      </c>
      <c r="CI22" s="3">
        <f t="shared" si="10"/>
        <v>0</v>
      </c>
      <c r="CJ22" s="3">
        <f t="shared" si="10"/>
        <v>0</v>
      </c>
      <c r="CK22" s="3">
        <f t="shared" si="10"/>
        <v>0</v>
      </c>
      <c r="CL22" s="3">
        <f t="shared" si="10"/>
        <v>0</v>
      </c>
      <c r="CM22" s="3">
        <f t="shared" si="10"/>
        <v>0</v>
      </c>
      <c r="CN22" s="3">
        <f t="shared" si="10"/>
        <v>0</v>
      </c>
      <c r="CO22" s="3">
        <f t="shared" si="10"/>
        <v>0</v>
      </c>
      <c r="CP22" s="3">
        <f t="shared" si="10"/>
        <v>0</v>
      </c>
      <c r="CQ22" s="3">
        <f t="shared" si="10"/>
        <v>0</v>
      </c>
      <c r="CR22" s="3">
        <f t="shared" si="10"/>
        <v>0</v>
      </c>
      <c r="CS22" s="3">
        <f t="shared" si="10"/>
        <v>0</v>
      </c>
      <c r="CT22" s="3">
        <f t="shared" si="10"/>
        <v>0</v>
      </c>
      <c r="CU22" s="3">
        <f t="shared" si="10"/>
        <v>0</v>
      </c>
      <c r="CV22" s="3">
        <f t="shared" si="10"/>
        <v>0</v>
      </c>
      <c r="CW22" s="3">
        <f t="shared" si="10"/>
        <v>0</v>
      </c>
      <c r="CX22" s="3">
        <f t="shared" si="10"/>
        <v>0</v>
      </c>
      <c r="CY22" s="3">
        <f t="shared" si="10"/>
        <v>0</v>
      </c>
      <c r="CZ22" s="3">
        <f t="shared" si="10"/>
        <v>0</v>
      </c>
      <c r="DA22" s="3">
        <f t="shared" si="10"/>
        <v>0</v>
      </c>
      <c r="DB22" s="3">
        <f t="shared" si="10"/>
        <v>0</v>
      </c>
      <c r="DC22" s="3">
        <f t="shared" si="10"/>
        <v>0</v>
      </c>
      <c r="DD22" s="3">
        <f t="shared" si="10"/>
        <v>0</v>
      </c>
      <c r="DE22" s="3">
        <f t="shared" si="10"/>
        <v>0</v>
      </c>
      <c r="DF22" s="3">
        <f t="shared" si="10"/>
        <v>0</v>
      </c>
      <c r="DG22" s="4">
        <f t="shared" ref="DG22:EL22" si="11">DG153</f>
        <v>0</v>
      </c>
      <c r="DH22" s="4">
        <f t="shared" si="11"/>
        <v>0</v>
      </c>
      <c r="DI22" s="4">
        <f t="shared" si="11"/>
        <v>0</v>
      </c>
      <c r="DJ22" s="4">
        <f t="shared" si="11"/>
        <v>0</v>
      </c>
      <c r="DK22" s="4">
        <f t="shared" si="11"/>
        <v>0</v>
      </c>
      <c r="DL22" s="4">
        <f t="shared" si="11"/>
        <v>0</v>
      </c>
      <c r="DM22" s="4">
        <f t="shared" si="11"/>
        <v>0</v>
      </c>
      <c r="DN22" s="4">
        <f t="shared" si="11"/>
        <v>0</v>
      </c>
      <c r="DO22" s="4">
        <f t="shared" si="11"/>
        <v>0</v>
      </c>
      <c r="DP22" s="4">
        <f t="shared" si="11"/>
        <v>0</v>
      </c>
      <c r="DQ22" s="4">
        <f t="shared" si="11"/>
        <v>0</v>
      </c>
      <c r="DR22" s="4">
        <f t="shared" si="11"/>
        <v>0</v>
      </c>
      <c r="DS22" s="4">
        <f t="shared" si="11"/>
        <v>0</v>
      </c>
      <c r="DT22" s="4">
        <f t="shared" si="11"/>
        <v>0</v>
      </c>
      <c r="DU22" s="4">
        <f t="shared" si="11"/>
        <v>0</v>
      </c>
      <c r="DV22" s="4">
        <f t="shared" si="11"/>
        <v>0</v>
      </c>
      <c r="DW22" s="4">
        <f t="shared" si="11"/>
        <v>0</v>
      </c>
      <c r="DX22" s="4">
        <f t="shared" si="11"/>
        <v>0</v>
      </c>
      <c r="DY22" s="4">
        <f t="shared" si="11"/>
        <v>0</v>
      </c>
      <c r="DZ22" s="4">
        <f t="shared" si="11"/>
        <v>0</v>
      </c>
      <c r="EA22" s="4">
        <f t="shared" si="11"/>
        <v>0</v>
      </c>
      <c r="EB22" s="4">
        <f t="shared" si="11"/>
        <v>0</v>
      </c>
      <c r="EC22" s="4">
        <f t="shared" si="11"/>
        <v>0</v>
      </c>
      <c r="ED22" s="4">
        <f t="shared" si="11"/>
        <v>0</v>
      </c>
      <c r="EE22" s="4">
        <f t="shared" si="11"/>
        <v>0</v>
      </c>
      <c r="EF22" s="4">
        <f t="shared" si="11"/>
        <v>0</v>
      </c>
      <c r="EG22" s="4">
        <f t="shared" si="11"/>
        <v>0</v>
      </c>
      <c r="EH22" s="4">
        <f t="shared" si="11"/>
        <v>0</v>
      </c>
      <c r="EI22" s="4">
        <f t="shared" si="11"/>
        <v>0</v>
      </c>
      <c r="EJ22" s="4">
        <f t="shared" si="11"/>
        <v>0</v>
      </c>
      <c r="EK22" s="4">
        <f t="shared" si="11"/>
        <v>0</v>
      </c>
      <c r="EL22" s="4">
        <f t="shared" si="11"/>
        <v>0</v>
      </c>
      <c r="EM22" s="4">
        <f t="shared" ref="EM22:FR22" si="12">EM153</f>
        <v>0</v>
      </c>
      <c r="EN22" s="4">
        <f t="shared" si="12"/>
        <v>0</v>
      </c>
      <c r="EO22" s="4">
        <f t="shared" si="12"/>
        <v>0</v>
      </c>
      <c r="EP22" s="4">
        <f t="shared" si="12"/>
        <v>0</v>
      </c>
      <c r="EQ22" s="4">
        <f t="shared" si="12"/>
        <v>0</v>
      </c>
      <c r="ER22" s="4">
        <f t="shared" si="12"/>
        <v>0</v>
      </c>
      <c r="ES22" s="4">
        <f t="shared" si="12"/>
        <v>0</v>
      </c>
      <c r="ET22" s="4">
        <f t="shared" si="12"/>
        <v>0</v>
      </c>
      <c r="EU22" s="4">
        <f t="shared" si="12"/>
        <v>0</v>
      </c>
      <c r="EV22" s="4">
        <f t="shared" si="12"/>
        <v>0</v>
      </c>
      <c r="EW22" s="4">
        <f t="shared" si="12"/>
        <v>0</v>
      </c>
      <c r="EX22" s="4">
        <f t="shared" si="12"/>
        <v>0</v>
      </c>
      <c r="EY22" s="4">
        <f t="shared" si="12"/>
        <v>0</v>
      </c>
      <c r="EZ22" s="4">
        <f t="shared" si="12"/>
        <v>0</v>
      </c>
      <c r="FA22" s="4">
        <f t="shared" si="12"/>
        <v>0</v>
      </c>
      <c r="FB22" s="4">
        <f t="shared" si="12"/>
        <v>0</v>
      </c>
      <c r="FC22" s="4">
        <f t="shared" si="12"/>
        <v>0</v>
      </c>
      <c r="FD22" s="4">
        <f t="shared" si="12"/>
        <v>0</v>
      </c>
      <c r="FE22" s="4">
        <f t="shared" si="12"/>
        <v>0</v>
      </c>
      <c r="FF22" s="4">
        <f t="shared" si="12"/>
        <v>0</v>
      </c>
      <c r="FG22" s="4">
        <f t="shared" si="12"/>
        <v>0</v>
      </c>
      <c r="FH22" s="4">
        <f t="shared" si="12"/>
        <v>0</v>
      </c>
      <c r="FI22" s="4">
        <f t="shared" si="12"/>
        <v>0</v>
      </c>
      <c r="FJ22" s="4">
        <f t="shared" si="12"/>
        <v>0</v>
      </c>
      <c r="FK22" s="4">
        <f t="shared" si="12"/>
        <v>0</v>
      </c>
      <c r="FL22" s="4">
        <f t="shared" si="12"/>
        <v>0</v>
      </c>
      <c r="FM22" s="4">
        <f t="shared" si="12"/>
        <v>0</v>
      </c>
      <c r="FN22" s="4">
        <f t="shared" si="12"/>
        <v>0</v>
      </c>
      <c r="FO22" s="4">
        <f t="shared" si="12"/>
        <v>0</v>
      </c>
      <c r="FP22" s="4">
        <f t="shared" si="12"/>
        <v>0</v>
      </c>
      <c r="FQ22" s="4">
        <f t="shared" si="12"/>
        <v>0</v>
      </c>
      <c r="FR22" s="4">
        <f t="shared" si="12"/>
        <v>0</v>
      </c>
      <c r="FS22" s="4">
        <f t="shared" ref="FS22:GX22" si="13">FS153</f>
        <v>0</v>
      </c>
      <c r="FT22" s="4">
        <f t="shared" si="13"/>
        <v>0</v>
      </c>
      <c r="FU22" s="4">
        <f t="shared" si="13"/>
        <v>0</v>
      </c>
      <c r="FV22" s="4">
        <f t="shared" si="13"/>
        <v>0</v>
      </c>
      <c r="FW22" s="4">
        <f t="shared" si="13"/>
        <v>0</v>
      </c>
      <c r="FX22" s="4">
        <f t="shared" si="13"/>
        <v>0</v>
      </c>
      <c r="FY22" s="4">
        <f t="shared" si="13"/>
        <v>0</v>
      </c>
      <c r="FZ22" s="4">
        <f t="shared" si="13"/>
        <v>0</v>
      </c>
      <c r="GA22" s="4">
        <f t="shared" si="13"/>
        <v>0</v>
      </c>
      <c r="GB22" s="4">
        <f t="shared" si="13"/>
        <v>0</v>
      </c>
      <c r="GC22" s="4">
        <f t="shared" si="13"/>
        <v>0</v>
      </c>
      <c r="GD22" s="4">
        <f t="shared" si="13"/>
        <v>0</v>
      </c>
      <c r="GE22" s="4">
        <f t="shared" si="13"/>
        <v>0</v>
      </c>
      <c r="GF22" s="4">
        <f t="shared" si="13"/>
        <v>0</v>
      </c>
      <c r="GG22" s="4">
        <f t="shared" si="13"/>
        <v>0</v>
      </c>
      <c r="GH22" s="4">
        <f t="shared" si="13"/>
        <v>0</v>
      </c>
      <c r="GI22" s="4">
        <f t="shared" si="13"/>
        <v>0</v>
      </c>
      <c r="GJ22" s="4">
        <f t="shared" si="13"/>
        <v>0</v>
      </c>
      <c r="GK22" s="4">
        <f t="shared" si="13"/>
        <v>0</v>
      </c>
      <c r="GL22" s="4">
        <f t="shared" si="13"/>
        <v>0</v>
      </c>
      <c r="GM22" s="4">
        <f t="shared" si="13"/>
        <v>0</v>
      </c>
      <c r="GN22" s="4">
        <f t="shared" si="13"/>
        <v>0</v>
      </c>
      <c r="GO22" s="4">
        <f t="shared" si="13"/>
        <v>0</v>
      </c>
      <c r="GP22" s="4">
        <f t="shared" si="13"/>
        <v>0</v>
      </c>
      <c r="GQ22" s="4">
        <f t="shared" si="13"/>
        <v>0</v>
      </c>
      <c r="GR22" s="4">
        <f t="shared" si="13"/>
        <v>0</v>
      </c>
      <c r="GS22" s="4">
        <f t="shared" si="13"/>
        <v>0</v>
      </c>
      <c r="GT22" s="4">
        <f t="shared" si="13"/>
        <v>0</v>
      </c>
      <c r="GU22" s="4">
        <f t="shared" si="13"/>
        <v>0</v>
      </c>
      <c r="GV22" s="4">
        <f t="shared" si="13"/>
        <v>0</v>
      </c>
      <c r="GW22" s="4">
        <f t="shared" si="13"/>
        <v>0</v>
      </c>
      <c r="GX22" s="4">
        <f t="shared" si="13"/>
        <v>0</v>
      </c>
    </row>
    <row r="24" spans="1:255" x14ac:dyDescent="0.2">
      <c r="A24" s="1">
        <v>4</v>
      </c>
      <c r="B24" s="1">
        <v>1</v>
      </c>
      <c r="C24" s="1"/>
      <c r="D24" s="1">
        <f>ROW(A84)</f>
        <v>84</v>
      </c>
      <c r="E24" s="1"/>
      <c r="F24" s="1" t="s">
        <v>3</v>
      </c>
      <c r="G24" s="1" t="s">
        <v>14</v>
      </c>
      <c r="H24" s="1" t="s">
        <v>3</v>
      </c>
      <c r="I24" s="1">
        <v>0</v>
      </c>
      <c r="J24" s="1"/>
      <c r="K24" s="1">
        <v>-1</v>
      </c>
      <c r="L24" s="1"/>
      <c r="M24" s="1" t="s">
        <v>3</v>
      </c>
      <c r="N24" s="1"/>
      <c r="O24" s="1"/>
      <c r="P24" s="1"/>
      <c r="Q24" s="1"/>
      <c r="R24" s="1"/>
      <c r="S24" s="1">
        <v>0</v>
      </c>
      <c r="T24" s="1"/>
      <c r="U24" s="1" t="s">
        <v>3</v>
      </c>
      <c r="V24" s="1">
        <v>0</v>
      </c>
      <c r="W24" s="1"/>
      <c r="X24" s="1"/>
      <c r="Y24" s="1"/>
      <c r="Z24" s="1"/>
      <c r="AA24" s="1"/>
      <c r="AB24" s="1" t="s">
        <v>3</v>
      </c>
      <c r="AC24" s="1" t="s">
        <v>3</v>
      </c>
      <c r="AD24" s="1" t="s">
        <v>3</v>
      </c>
      <c r="AE24" s="1" t="s">
        <v>3</v>
      </c>
      <c r="AF24" s="1" t="s">
        <v>3</v>
      </c>
      <c r="AG24" s="1" t="s">
        <v>3</v>
      </c>
      <c r="AH24" s="1"/>
      <c r="AI24" s="1"/>
      <c r="AJ24" s="1"/>
      <c r="AK24" s="1"/>
      <c r="AL24" s="1"/>
      <c r="AM24" s="1"/>
      <c r="AN24" s="1"/>
      <c r="AO24" s="1"/>
      <c r="AP24" s="1" t="s">
        <v>3</v>
      </c>
      <c r="AQ24" s="1" t="s">
        <v>3</v>
      </c>
      <c r="AR24" s="1" t="s">
        <v>3</v>
      </c>
      <c r="AS24" s="1"/>
      <c r="AT24" s="1"/>
      <c r="AU24" s="1"/>
      <c r="AV24" s="1"/>
      <c r="AW24" s="1"/>
      <c r="AX24" s="1"/>
      <c r="AY24" s="1"/>
      <c r="AZ24" s="1" t="s">
        <v>3</v>
      </c>
      <c r="BA24" s="1"/>
      <c r="BB24" s="1" t="s">
        <v>3</v>
      </c>
      <c r="BC24" s="1" t="s">
        <v>3</v>
      </c>
      <c r="BD24" s="1" t="s">
        <v>3</v>
      </c>
      <c r="BE24" s="1" t="s">
        <v>3</v>
      </c>
      <c r="BF24" s="1" t="s">
        <v>3</v>
      </c>
      <c r="BG24" s="1" t="s">
        <v>3</v>
      </c>
      <c r="BH24" s="1" t="s">
        <v>3</v>
      </c>
      <c r="BI24" s="1" t="s">
        <v>3</v>
      </c>
      <c r="BJ24" s="1" t="s">
        <v>3</v>
      </c>
      <c r="BK24" s="1" t="s">
        <v>3</v>
      </c>
      <c r="BL24" s="1" t="s">
        <v>3</v>
      </c>
      <c r="BM24" s="1" t="s">
        <v>3</v>
      </c>
      <c r="BN24" s="1" t="s">
        <v>3</v>
      </c>
      <c r="BO24" s="1" t="s">
        <v>3</v>
      </c>
      <c r="BP24" s="1" t="s">
        <v>3</v>
      </c>
      <c r="BQ24" s="1"/>
      <c r="BR24" s="1"/>
      <c r="BS24" s="1"/>
      <c r="BT24" s="1"/>
      <c r="BU24" s="1"/>
      <c r="BV24" s="1"/>
      <c r="BW24" s="1"/>
      <c r="BX24" s="1">
        <v>0</v>
      </c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>
        <v>0</v>
      </c>
    </row>
    <row r="26" spans="1:255" x14ac:dyDescent="0.2">
      <c r="A26" s="3">
        <v>52</v>
      </c>
      <c r="B26" s="3">
        <f t="shared" ref="B26:G26" si="14">B84</f>
        <v>1</v>
      </c>
      <c r="C26" s="3">
        <f t="shared" si="14"/>
        <v>4</v>
      </c>
      <c r="D26" s="3">
        <f t="shared" si="14"/>
        <v>24</v>
      </c>
      <c r="E26" s="3">
        <f t="shared" si="14"/>
        <v>0</v>
      </c>
      <c r="F26" s="3" t="str">
        <f t="shared" si="14"/>
        <v/>
      </c>
      <c r="G26" s="3" t="str">
        <f t="shared" si="14"/>
        <v>Монтажные работы</v>
      </c>
      <c r="H26" s="3"/>
      <c r="I26" s="3"/>
      <c r="J26" s="3"/>
      <c r="K26" s="3"/>
      <c r="L26" s="3"/>
      <c r="M26" s="3"/>
      <c r="N26" s="3"/>
      <c r="O26" s="3">
        <f t="shared" ref="O26:AT26" si="15">O84</f>
        <v>129520.4</v>
      </c>
      <c r="P26" s="3">
        <f t="shared" si="15"/>
        <v>69955.070000000007</v>
      </c>
      <c r="Q26" s="3">
        <f t="shared" si="15"/>
        <v>294.23</v>
      </c>
      <c r="R26" s="3">
        <f t="shared" si="15"/>
        <v>193.21</v>
      </c>
      <c r="S26" s="3">
        <f t="shared" si="15"/>
        <v>59077.89</v>
      </c>
      <c r="T26" s="3">
        <f t="shared" si="15"/>
        <v>0</v>
      </c>
      <c r="U26" s="3">
        <f t="shared" si="15"/>
        <v>83.889300000000006</v>
      </c>
      <c r="V26" s="3">
        <f t="shared" si="15"/>
        <v>0.22770000000000001</v>
      </c>
      <c r="W26" s="3">
        <f t="shared" si="15"/>
        <v>0</v>
      </c>
      <c r="X26" s="3">
        <f t="shared" si="15"/>
        <v>56040.95</v>
      </c>
      <c r="Y26" s="3">
        <f t="shared" si="15"/>
        <v>29008.29</v>
      </c>
      <c r="Z26" s="3">
        <f t="shared" si="15"/>
        <v>0</v>
      </c>
      <c r="AA26" s="3">
        <f t="shared" si="15"/>
        <v>0</v>
      </c>
      <c r="AB26" s="3">
        <f t="shared" si="15"/>
        <v>129520.4</v>
      </c>
      <c r="AC26" s="3">
        <f t="shared" si="15"/>
        <v>69955.070000000007</v>
      </c>
      <c r="AD26" s="3">
        <f t="shared" si="15"/>
        <v>294.23</v>
      </c>
      <c r="AE26" s="3">
        <f t="shared" si="15"/>
        <v>193.21</v>
      </c>
      <c r="AF26" s="3">
        <f t="shared" si="15"/>
        <v>59077.89</v>
      </c>
      <c r="AG26" s="3">
        <f t="shared" si="15"/>
        <v>0</v>
      </c>
      <c r="AH26" s="3">
        <f t="shared" si="15"/>
        <v>83.889300000000006</v>
      </c>
      <c r="AI26" s="3">
        <f t="shared" si="15"/>
        <v>0.22770000000000001</v>
      </c>
      <c r="AJ26" s="3">
        <f t="shared" si="15"/>
        <v>0</v>
      </c>
      <c r="AK26" s="3">
        <f t="shared" si="15"/>
        <v>56040.95</v>
      </c>
      <c r="AL26" s="3">
        <f t="shared" si="15"/>
        <v>29008.29</v>
      </c>
      <c r="AM26" s="3">
        <f t="shared" si="15"/>
        <v>0</v>
      </c>
      <c r="AN26" s="3">
        <f t="shared" si="15"/>
        <v>0</v>
      </c>
      <c r="AO26" s="3">
        <f t="shared" si="15"/>
        <v>0</v>
      </c>
      <c r="AP26" s="3">
        <f t="shared" si="15"/>
        <v>2506.98</v>
      </c>
      <c r="AQ26" s="3">
        <f t="shared" si="15"/>
        <v>0</v>
      </c>
      <c r="AR26" s="3">
        <f t="shared" si="15"/>
        <v>214569.64</v>
      </c>
      <c r="AS26" s="3">
        <f t="shared" si="15"/>
        <v>21255.94</v>
      </c>
      <c r="AT26" s="3">
        <f t="shared" si="15"/>
        <v>190806.72</v>
      </c>
      <c r="AU26" s="3">
        <f t="shared" ref="AU26:BZ26" si="16">AU84</f>
        <v>0</v>
      </c>
      <c r="AV26" s="3">
        <f t="shared" si="16"/>
        <v>69955.070000000007</v>
      </c>
      <c r="AW26" s="3">
        <f t="shared" si="16"/>
        <v>67448.09</v>
      </c>
      <c r="AX26" s="3">
        <f t="shared" si="16"/>
        <v>0</v>
      </c>
      <c r="AY26" s="3">
        <f t="shared" si="16"/>
        <v>67448.09</v>
      </c>
      <c r="AZ26" s="3">
        <f t="shared" si="16"/>
        <v>2506.98</v>
      </c>
      <c r="BA26" s="3">
        <f t="shared" si="16"/>
        <v>0</v>
      </c>
      <c r="BB26" s="3">
        <f t="shared" si="16"/>
        <v>0</v>
      </c>
      <c r="BC26" s="3">
        <f t="shared" si="16"/>
        <v>0</v>
      </c>
      <c r="BD26" s="3">
        <f t="shared" si="16"/>
        <v>0</v>
      </c>
      <c r="BE26" s="3">
        <f t="shared" si="16"/>
        <v>0</v>
      </c>
      <c r="BF26" s="3">
        <f t="shared" si="16"/>
        <v>0</v>
      </c>
      <c r="BG26" s="3">
        <f t="shared" si="16"/>
        <v>0</v>
      </c>
      <c r="BH26" s="3">
        <f t="shared" si="16"/>
        <v>0</v>
      </c>
      <c r="BI26" s="3">
        <f t="shared" si="16"/>
        <v>0</v>
      </c>
      <c r="BJ26" s="3">
        <f t="shared" si="16"/>
        <v>0</v>
      </c>
      <c r="BK26" s="3">
        <f t="shared" si="16"/>
        <v>0</v>
      </c>
      <c r="BL26" s="3">
        <f t="shared" si="16"/>
        <v>0</v>
      </c>
      <c r="BM26" s="3">
        <f t="shared" si="16"/>
        <v>0</v>
      </c>
      <c r="BN26" s="3">
        <f t="shared" si="16"/>
        <v>0</v>
      </c>
      <c r="BO26" s="3">
        <f t="shared" si="16"/>
        <v>0</v>
      </c>
      <c r="BP26" s="3">
        <f t="shared" si="16"/>
        <v>0</v>
      </c>
      <c r="BQ26" s="3">
        <f t="shared" si="16"/>
        <v>0</v>
      </c>
      <c r="BR26" s="3">
        <f t="shared" si="16"/>
        <v>0</v>
      </c>
      <c r="BS26" s="3">
        <f t="shared" si="16"/>
        <v>0</v>
      </c>
      <c r="BT26" s="3">
        <f t="shared" si="16"/>
        <v>0</v>
      </c>
      <c r="BU26" s="3">
        <f t="shared" si="16"/>
        <v>0</v>
      </c>
      <c r="BV26" s="3">
        <f t="shared" si="16"/>
        <v>0</v>
      </c>
      <c r="BW26" s="3">
        <f t="shared" si="16"/>
        <v>0</v>
      </c>
      <c r="BX26" s="3">
        <f t="shared" si="16"/>
        <v>0</v>
      </c>
      <c r="BY26" s="3">
        <f t="shared" si="16"/>
        <v>2506.98</v>
      </c>
      <c r="BZ26" s="3">
        <f t="shared" si="16"/>
        <v>0</v>
      </c>
      <c r="CA26" s="3">
        <f t="shared" ref="CA26:DF26" si="17">CA84</f>
        <v>214569.64</v>
      </c>
      <c r="CB26" s="3">
        <f t="shared" si="17"/>
        <v>21255.94</v>
      </c>
      <c r="CC26" s="3">
        <f t="shared" si="17"/>
        <v>190806.72</v>
      </c>
      <c r="CD26" s="3">
        <f t="shared" si="17"/>
        <v>0</v>
      </c>
      <c r="CE26" s="3">
        <f t="shared" si="17"/>
        <v>69955.070000000007</v>
      </c>
      <c r="CF26" s="3">
        <f t="shared" si="17"/>
        <v>67448.090000000011</v>
      </c>
      <c r="CG26" s="3">
        <f t="shared" si="17"/>
        <v>0</v>
      </c>
      <c r="CH26" s="3">
        <f t="shared" si="17"/>
        <v>67448.090000000011</v>
      </c>
      <c r="CI26" s="3">
        <f t="shared" si="17"/>
        <v>2506.98</v>
      </c>
      <c r="CJ26" s="3">
        <f t="shared" si="17"/>
        <v>0</v>
      </c>
      <c r="CK26" s="3">
        <f t="shared" si="17"/>
        <v>0</v>
      </c>
      <c r="CL26" s="3">
        <f t="shared" si="17"/>
        <v>0</v>
      </c>
      <c r="CM26" s="3">
        <f t="shared" si="17"/>
        <v>0</v>
      </c>
      <c r="CN26" s="3">
        <f t="shared" si="17"/>
        <v>0</v>
      </c>
      <c r="CO26" s="3">
        <f t="shared" si="17"/>
        <v>0</v>
      </c>
      <c r="CP26" s="3">
        <f t="shared" si="17"/>
        <v>0</v>
      </c>
      <c r="CQ26" s="3">
        <f t="shared" si="17"/>
        <v>0</v>
      </c>
      <c r="CR26" s="3">
        <f t="shared" si="17"/>
        <v>0</v>
      </c>
      <c r="CS26" s="3">
        <f t="shared" si="17"/>
        <v>0</v>
      </c>
      <c r="CT26" s="3">
        <f t="shared" si="17"/>
        <v>0</v>
      </c>
      <c r="CU26" s="3">
        <f t="shared" si="17"/>
        <v>0</v>
      </c>
      <c r="CV26" s="3">
        <f t="shared" si="17"/>
        <v>0</v>
      </c>
      <c r="CW26" s="3">
        <f t="shared" si="17"/>
        <v>0</v>
      </c>
      <c r="CX26" s="3">
        <f t="shared" si="17"/>
        <v>0</v>
      </c>
      <c r="CY26" s="3">
        <f t="shared" si="17"/>
        <v>0</v>
      </c>
      <c r="CZ26" s="3">
        <f t="shared" si="17"/>
        <v>0</v>
      </c>
      <c r="DA26" s="3">
        <f t="shared" si="17"/>
        <v>0</v>
      </c>
      <c r="DB26" s="3">
        <f t="shared" si="17"/>
        <v>0</v>
      </c>
      <c r="DC26" s="3">
        <f t="shared" si="17"/>
        <v>0</v>
      </c>
      <c r="DD26" s="3">
        <f t="shared" si="17"/>
        <v>0</v>
      </c>
      <c r="DE26" s="3">
        <f t="shared" si="17"/>
        <v>0</v>
      </c>
      <c r="DF26" s="3">
        <f t="shared" si="17"/>
        <v>0</v>
      </c>
      <c r="DG26" s="4">
        <f t="shared" ref="DG26:EL26" si="18">DG84</f>
        <v>0</v>
      </c>
      <c r="DH26" s="4">
        <f t="shared" si="18"/>
        <v>0</v>
      </c>
      <c r="DI26" s="4">
        <f t="shared" si="18"/>
        <v>0</v>
      </c>
      <c r="DJ26" s="4">
        <f t="shared" si="18"/>
        <v>0</v>
      </c>
      <c r="DK26" s="4">
        <f t="shared" si="18"/>
        <v>0</v>
      </c>
      <c r="DL26" s="4">
        <f t="shared" si="18"/>
        <v>0</v>
      </c>
      <c r="DM26" s="4">
        <f t="shared" si="18"/>
        <v>0</v>
      </c>
      <c r="DN26" s="4">
        <f t="shared" si="18"/>
        <v>0</v>
      </c>
      <c r="DO26" s="4">
        <f t="shared" si="18"/>
        <v>0</v>
      </c>
      <c r="DP26" s="4">
        <f t="shared" si="18"/>
        <v>0</v>
      </c>
      <c r="DQ26" s="4">
        <f t="shared" si="18"/>
        <v>0</v>
      </c>
      <c r="DR26" s="4">
        <f t="shared" si="18"/>
        <v>0</v>
      </c>
      <c r="DS26" s="4">
        <f t="shared" si="18"/>
        <v>0</v>
      </c>
      <c r="DT26" s="4">
        <f t="shared" si="18"/>
        <v>0</v>
      </c>
      <c r="DU26" s="4">
        <f t="shared" si="18"/>
        <v>0</v>
      </c>
      <c r="DV26" s="4">
        <f t="shared" si="18"/>
        <v>0</v>
      </c>
      <c r="DW26" s="4">
        <f t="shared" si="18"/>
        <v>0</v>
      </c>
      <c r="DX26" s="4">
        <f t="shared" si="18"/>
        <v>0</v>
      </c>
      <c r="DY26" s="4">
        <f t="shared" si="18"/>
        <v>0</v>
      </c>
      <c r="DZ26" s="4">
        <f t="shared" si="18"/>
        <v>0</v>
      </c>
      <c r="EA26" s="4">
        <f t="shared" si="18"/>
        <v>0</v>
      </c>
      <c r="EB26" s="4">
        <f t="shared" si="18"/>
        <v>0</v>
      </c>
      <c r="EC26" s="4">
        <f t="shared" si="18"/>
        <v>0</v>
      </c>
      <c r="ED26" s="4">
        <f t="shared" si="18"/>
        <v>0</v>
      </c>
      <c r="EE26" s="4">
        <f t="shared" si="18"/>
        <v>0</v>
      </c>
      <c r="EF26" s="4">
        <f t="shared" si="18"/>
        <v>0</v>
      </c>
      <c r="EG26" s="4">
        <f t="shared" si="18"/>
        <v>0</v>
      </c>
      <c r="EH26" s="4">
        <f t="shared" si="18"/>
        <v>0</v>
      </c>
      <c r="EI26" s="4">
        <f t="shared" si="18"/>
        <v>0</v>
      </c>
      <c r="EJ26" s="4">
        <f t="shared" si="18"/>
        <v>0</v>
      </c>
      <c r="EK26" s="4">
        <f t="shared" si="18"/>
        <v>0</v>
      </c>
      <c r="EL26" s="4">
        <f t="shared" si="18"/>
        <v>0</v>
      </c>
      <c r="EM26" s="4">
        <f t="shared" ref="EM26:FR26" si="19">EM84</f>
        <v>0</v>
      </c>
      <c r="EN26" s="4">
        <f t="shared" si="19"/>
        <v>0</v>
      </c>
      <c r="EO26" s="4">
        <f t="shared" si="19"/>
        <v>0</v>
      </c>
      <c r="EP26" s="4">
        <f t="shared" si="19"/>
        <v>0</v>
      </c>
      <c r="EQ26" s="4">
        <f t="shared" si="19"/>
        <v>0</v>
      </c>
      <c r="ER26" s="4">
        <f t="shared" si="19"/>
        <v>0</v>
      </c>
      <c r="ES26" s="4">
        <f t="shared" si="19"/>
        <v>0</v>
      </c>
      <c r="ET26" s="4">
        <f t="shared" si="19"/>
        <v>0</v>
      </c>
      <c r="EU26" s="4">
        <f t="shared" si="19"/>
        <v>0</v>
      </c>
      <c r="EV26" s="4">
        <f t="shared" si="19"/>
        <v>0</v>
      </c>
      <c r="EW26" s="4">
        <f t="shared" si="19"/>
        <v>0</v>
      </c>
      <c r="EX26" s="4">
        <f t="shared" si="19"/>
        <v>0</v>
      </c>
      <c r="EY26" s="4">
        <f t="shared" si="19"/>
        <v>0</v>
      </c>
      <c r="EZ26" s="4">
        <f t="shared" si="19"/>
        <v>0</v>
      </c>
      <c r="FA26" s="4">
        <f t="shared" si="19"/>
        <v>0</v>
      </c>
      <c r="FB26" s="4">
        <f t="shared" si="19"/>
        <v>0</v>
      </c>
      <c r="FC26" s="4">
        <f t="shared" si="19"/>
        <v>0</v>
      </c>
      <c r="FD26" s="4">
        <f t="shared" si="19"/>
        <v>0</v>
      </c>
      <c r="FE26" s="4">
        <f t="shared" si="19"/>
        <v>0</v>
      </c>
      <c r="FF26" s="4">
        <f t="shared" si="19"/>
        <v>0</v>
      </c>
      <c r="FG26" s="4">
        <f t="shared" si="19"/>
        <v>0</v>
      </c>
      <c r="FH26" s="4">
        <f t="shared" si="19"/>
        <v>0</v>
      </c>
      <c r="FI26" s="4">
        <f t="shared" si="19"/>
        <v>0</v>
      </c>
      <c r="FJ26" s="4">
        <f t="shared" si="19"/>
        <v>0</v>
      </c>
      <c r="FK26" s="4">
        <f t="shared" si="19"/>
        <v>0</v>
      </c>
      <c r="FL26" s="4">
        <f t="shared" si="19"/>
        <v>0</v>
      </c>
      <c r="FM26" s="4">
        <f t="shared" si="19"/>
        <v>0</v>
      </c>
      <c r="FN26" s="4">
        <f t="shared" si="19"/>
        <v>0</v>
      </c>
      <c r="FO26" s="4">
        <f t="shared" si="19"/>
        <v>0</v>
      </c>
      <c r="FP26" s="4">
        <f t="shared" si="19"/>
        <v>0</v>
      </c>
      <c r="FQ26" s="4">
        <f t="shared" si="19"/>
        <v>0</v>
      </c>
      <c r="FR26" s="4">
        <f t="shared" si="19"/>
        <v>0</v>
      </c>
      <c r="FS26" s="4">
        <f t="shared" ref="FS26:GX26" si="20">FS84</f>
        <v>0</v>
      </c>
      <c r="FT26" s="4">
        <f t="shared" si="20"/>
        <v>0</v>
      </c>
      <c r="FU26" s="4">
        <f t="shared" si="20"/>
        <v>0</v>
      </c>
      <c r="FV26" s="4">
        <f t="shared" si="20"/>
        <v>0</v>
      </c>
      <c r="FW26" s="4">
        <f t="shared" si="20"/>
        <v>0</v>
      </c>
      <c r="FX26" s="4">
        <f t="shared" si="20"/>
        <v>0</v>
      </c>
      <c r="FY26" s="4">
        <f t="shared" si="20"/>
        <v>0</v>
      </c>
      <c r="FZ26" s="4">
        <f t="shared" si="20"/>
        <v>0</v>
      </c>
      <c r="GA26" s="4">
        <f t="shared" si="20"/>
        <v>0</v>
      </c>
      <c r="GB26" s="4">
        <f t="shared" si="20"/>
        <v>0</v>
      </c>
      <c r="GC26" s="4">
        <f t="shared" si="20"/>
        <v>0</v>
      </c>
      <c r="GD26" s="4">
        <f t="shared" si="20"/>
        <v>0</v>
      </c>
      <c r="GE26" s="4">
        <f t="shared" si="20"/>
        <v>0</v>
      </c>
      <c r="GF26" s="4">
        <f t="shared" si="20"/>
        <v>0</v>
      </c>
      <c r="GG26" s="4">
        <f t="shared" si="20"/>
        <v>0</v>
      </c>
      <c r="GH26" s="4">
        <f t="shared" si="20"/>
        <v>0</v>
      </c>
      <c r="GI26" s="4">
        <f t="shared" si="20"/>
        <v>0</v>
      </c>
      <c r="GJ26" s="4">
        <f t="shared" si="20"/>
        <v>0</v>
      </c>
      <c r="GK26" s="4">
        <f t="shared" si="20"/>
        <v>0</v>
      </c>
      <c r="GL26" s="4">
        <f t="shared" si="20"/>
        <v>0</v>
      </c>
      <c r="GM26" s="4">
        <f t="shared" si="20"/>
        <v>0</v>
      </c>
      <c r="GN26" s="4">
        <f t="shared" si="20"/>
        <v>0</v>
      </c>
      <c r="GO26" s="4">
        <f t="shared" si="20"/>
        <v>0</v>
      </c>
      <c r="GP26" s="4">
        <f t="shared" si="20"/>
        <v>0</v>
      </c>
      <c r="GQ26" s="4">
        <f t="shared" si="20"/>
        <v>0</v>
      </c>
      <c r="GR26" s="4">
        <f t="shared" si="20"/>
        <v>0</v>
      </c>
      <c r="GS26" s="4">
        <f t="shared" si="20"/>
        <v>0</v>
      </c>
      <c r="GT26" s="4">
        <f t="shared" si="20"/>
        <v>0</v>
      </c>
      <c r="GU26" s="4">
        <f t="shared" si="20"/>
        <v>0</v>
      </c>
      <c r="GV26" s="4">
        <f t="shared" si="20"/>
        <v>0</v>
      </c>
      <c r="GW26" s="4">
        <f t="shared" si="20"/>
        <v>0</v>
      </c>
      <c r="GX26" s="4">
        <f t="shared" si="20"/>
        <v>0</v>
      </c>
    </row>
    <row r="28" spans="1:255" x14ac:dyDescent="0.2">
      <c r="A28" s="2">
        <v>17</v>
      </c>
      <c r="B28" s="2">
        <v>1</v>
      </c>
      <c r="C28" s="2">
        <f>ROW(SmtRes!A8)</f>
        <v>8</v>
      </c>
      <c r="D28" s="2">
        <f>ROW(EtalonRes!A8)</f>
        <v>8</v>
      </c>
      <c r="E28" s="2" t="s">
        <v>15</v>
      </c>
      <c r="F28" s="2" t="s">
        <v>16</v>
      </c>
      <c r="G28" s="2" t="s">
        <v>17</v>
      </c>
      <c r="H28" s="2" t="s">
        <v>18</v>
      </c>
      <c r="I28" s="2">
        <f>ROUND(150/100,7)</f>
        <v>1.5</v>
      </c>
      <c r="J28" s="2">
        <v>0</v>
      </c>
      <c r="K28" s="2">
        <f>ROUND(150/100,7)</f>
        <v>1.5</v>
      </c>
      <c r="L28" s="2"/>
      <c r="M28" s="2"/>
      <c r="N28" s="2"/>
      <c r="O28" s="2">
        <f>ROUND(CP28,2)</f>
        <v>16053.65</v>
      </c>
      <c r="P28" s="2">
        <f>SUMIF(SmtRes!AQ1:'SmtRes'!AQ8,"=1",SmtRes!DF1:'SmtRes'!DF8)</f>
        <v>251</v>
      </c>
      <c r="Q28" s="2">
        <f>SUMIF(SmtRes!AQ1:'SmtRes'!AQ8,"=1",SmtRes!DG1:'SmtRes'!DG8)</f>
        <v>8.17</v>
      </c>
      <c r="R28" s="2">
        <f>SUMIF(SmtRes!AQ1:'SmtRes'!AQ8,"=1",SmtRes!DH1:'SmtRes'!DH8)</f>
        <v>10.97</v>
      </c>
      <c r="S28" s="2">
        <f>SUMIF(SmtRes!AQ1:'SmtRes'!AQ8,"=1",SmtRes!DI1:'SmtRes'!DI8)</f>
        <v>15783.51</v>
      </c>
      <c r="T28" s="2">
        <f t="shared" ref="T28:T59" si="21">ROUND(CU28*I28,2)</f>
        <v>0</v>
      </c>
      <c r="U28" s="2">
        <f>SUMIF(SmtRes!AQ1:'SmtRes'!AQ8,"=1",SmtRes!CV1:'SmtRes'!CV8)</f>
        <v>23.400000000000002</v>
      </c>
      <c r="V28" s="2">
        <f>SUMIF(SmtRes!AQ1:'SmtRes'!AQ8,"=1",SmtRes!CW1:'SmtRes'!CW8)</f>
        <v>1.4999999999999999E-2</v>
      </c>
      <c r="W28" s="2">
        <f t="shared" ref="W28:W59" si="22">ROUND(CX28*I28,2)</f>
        <v>0</v>
      </c>
      <c r="X28" s="2">
        <f t="shared" ref="X28:X59" si="23">ROUND(CY28,2)</f>
        <v>15320.65</v>
      </c>
      <c r="Y28" s="2">
        <f t="shared" ref="Y28:Y59" si="24">ROUND(CZ28,2)</f>
        <v>8055.18</v>
      </c>
      <c r="Z28" s="2"/>
      <c r="AA28" s="2">
        <v>52718353</v>
      </c>
      <c r="AB28" s="2">
        <f t="shared" ref="AB28:AB59" si="25">ROUND((AC28+AD28+AF28),6)</f>
        <v>10667.7662</v>
      </c>
      <c r="AC28" s="2">
        <f>ROUND((SUM(SmtRes!BQ1:'SmtRes'!BQ8)),6)</f>
        <v>139.977</v>
      </c>
      <c r="AD28" s="2">
        <f>ROUND((((SUM(SmtRes!BR1:'SmtRes'!BR8))-(SUM(SmtRes!BS1:'SmtRes'!BS8)))+AE28),6)</f>
        <v>5.4492000000000003</v>
      </c>
      <c r="AE28" s="2">
        <f>ROUND((SUM(SmtRes!BS1:'SmtRes'!BS8)),6)</f>
        <v>7.3108000000000004</v>
      </c>
      <c r="AF28" s="2">
        <f>ROUND((SUM(SmtRes!BT1:'SmtRes'!BT8)),6)</f>
        <v>10522.34</v>
      </c>
      <c r="AG28" s="2">
        <f t="shared" ref="AG28:AG59" si="26">ROUND((AP28),6)</f>
        <v>0</v>
      </c>
      <c r="AH28" s="2">
        <f>(SUM(SmtRes!BU1:'SmtRes'!BU8))</f>
        <v>15.6</v>
      </c>
      <c r="AI28" s="2">
        <f>(SUM(SmtRes!BV1:'SmtRes'!BV8))</f>
        <v>0.01</v>
      </c>
      <c r="AJ28" s="2">
        <f t="shared" ref="AJ28:AJ59" si="27">(AS28)</f>
        <v>0</v>
      </c>
      <c r="AK28" s="2">
        <v>10675.076999999999</v>
      </c>
      <c r="AL28" s="2">
        <v>139.977</v>
      </c>
      <c r="AM28" s="2">
        <v>5.4491999999999994</v>
      </c>
      <c r="AN28" s="2">
        <v>7.3108000000000004</v>
      </c>
      <c r="AO28" s="2">
        <v>10522.34</v>
      </c>
      <c r="AP28" s="2">
        <v>0</v>
      </c>
      <c r="AQ28" s="2">
        <v>15.6</v>
      </c>
      <c r="AR28" s="2">
        <v>0.01</v>
      </c>
      <c r="AS28" s="2">
        <v>0</v>
      </c>
      <c r="AT28" s="2">
        <v>97</v>
      </c>
      <c r="AU28" s="2">
        <v>51</v>
      </c>
      <c r="AV28" s="2">
        <v>1</v>
      </c>
      <c r="AW28" s="2">
        <v>1</v>
      </c>
      <c r="AX28" s="2"/>
      <c r="AY28" s="2"/>
      <c r="AZ28" s="2">
        <v>1</v>
      </c>
      <c r="BA28" s="2">
        <v>1</v>
      </c>
      <c r="BB28" s="2">
        <v>1</v>
      </c>
      <c r="BC28" s="2">
        <v>1</v>
      </c>
      <c r="BD28" s="2" t="s">
        <v>3</v>
      </c>
      <c r="BE28" s="2" t="s">
        <v>3</v>
      </c>
      <c r="BF28" s="2" t="s">
        <v>3</v>
      </c>
      <c r="BG28" s="2" t="s">
        <v>3</v>
      </c>
      <c r="BH28" s="2">
        <v>0</v>
      </c>
      <c r="BI28" s="2">
        <v>2</v>
      </c>
      <c r="BJ28" s="2" t="s">
        <v>19</v>
      </c>
      <c r="BK28" s="2"/>
      <c r="BL28" s="2"/>
      <c r="BM28" s="2">
        <v>108001</v>
      </c>
      <c r="BN28" s="2">
        <v>0</v>
      </c>
      <c r="BO28" s="2" t="s">
        <v>3</v>
      </c>
      <c r="BP28" s="2">
        <v>0</v>
      </c>
      <c r="BQ28" s="2">
        <v>3</v>
      </c>
      <c r="BR28" s="2">
        <v>0</v>
      </c>
      <c r="BS28" s="2">
        <v>1</v>
      </c>
      <c r="BT28" s="2">
        <v>1</v>
      </c>
      <c r="BU28" s="2">
        <v>1</v>
      </c>
      <c r="BV28" s="2">
        <v>1</v>
      </c>
      <c r="BW28" s="2">
        <v>1</v>
      </c>
      <c r="BX28" s="2">
        <v>1</v>
      </c>
      <c r="BY28" s="2" t="s">
        <v>3</v>
      </c>
      <c r="BZ28" s="2">
        <v>97</v>
      </c>
      <c r="CA28" s="2">
        <v>51</v>
      </c>
      <c r="CB28" s="2" t="s">
        <v>3</v>
      </c>
      <c r="CC28" s="2"/>
      <c r="CD28" s="2"/>
      <c r="CE28" s="2">
        <v>0</v>
      </c>
      <c r="CF28" s="2">
        <v>0</v>
      </c>
      <c r="CG28" s="2">
        <v>0</v>
      </c>
      <c r="CH28" s="2"/>
      <c r="CI28" s="2"/>
      <c r="CJ28" s="2"/>
      <c r="CK28" s="2"/>
      <c r="CL28" s="2"/>
      <c r="CM28" s="2">
        <v>0</v>
      </c>
      <c r="CN28" s="2" t="s">
        <v>3</v>
      </c>
      <c r="CO28" s="2">
        <v>0</v>
      </c>
      <c r="CP28" s="2">
        <f>(P28+Q28+S28+R28)</f>
        <v>16053.65</v>
      </c>
      <c r="CQ28" s="2">
        <f>SUMIF(SmtRes!AQ1:'SmtRes'!AQ8,"=1",SmtRes!AA1:'SmtRes'!AA8)</f>
        <v>72.350000000000009</v>
      </c>
      <c r="CR28" s="2">
        <f>SUMIF(SmtRes!AQ1:'SmtRes'!AQ8,"=1",SmtRes!AB1:'SmtRes'!AB8)</f>
        <v>544.91999999999996</v>
      </c>
      <c r="CS28" s="2">
        <f>SUMIF(SmtRes!AQ1:'SmtRes'!AQ8,"=1",SmtRes!AC1:'SmtRes'!AC8)</f>
        <v>731.08</v>
      </c>
      <c r="CT28" s="2">
        <f>SUMIF(SmtRes!AQ1:'SmtRes'!AQ8,"=1",SmtRes!AD1:'SmtRes'!AD8)</f>
        <v>1975</v>
      </c>
      <c r="CU28" s="2">
        <f>AG28</f>
        <v>0</v>
      </c>
      <c r="CV28" s="2">
        <f>SUMIF(SmtRes!AQ1:'SmtRes'!AQ8,"=1",SmtRes!BU1:'SmtRes'!BU8)</f>
        <v>15.6</v>
      </c>
      <c r="CW28" s="2">
        <f>SUMIF(SmtRes!AQ1:'SmtRes'!AQ8,"=1",SmtRes!BV1:'SmtRes'!BV8)</f>
        <v>0.01</v>
      </c>
      <c r="CX28" s="2">
        <f>AJ28</f>
        <v>0</v>
      </c>
      <c r="CY28" s="2">
        <f>(((S28+R28)*AT28)/100)</f>
        <v>15320.6456</v>
      </c>
      <c r="CZ28" s="2">
        <f>(((S28+R28)*AU28)/100)</f>
        <v>8055.1848</v>
      </c>
      <c r="DA28" s="2"/>
      <c r="DB28" s="2"/>
      <c r="DC28" s="2" t="s">
        <v>3</v>
      </c>
      <c r="DD28" s="2" t="s">
        <v>3</v>
      </c>
      <c r="DE28" s="2" t="s">
        <v>3</v>
      </c>
      <c r="DF28" s="2" t="s">
        <v>3</v>
      </c>
      <c r="DG28" s="2" t="s">
        <v>3</v>
      </c>
      <c r="DH28" s="2" t="s">
        <v>3</v>
      </c>
      <c r="DI28" s="2" t="s">
        <v>3</v>
      </c>
      <c r="DJ28" s="2" t="s">
        <v>3</v>
      </c>
      <c r="DK28" s="2" t="s">
        <v>3</v>
      </c>
      <c r="DL28" s="2" t="s">
        <v>3</v>
      </c>
      <c r="DM28" s="2" t="s">
        <v>3</v>
      </c>
      <c r="DN28" s="2">
        <v>0</v>
      </c>
      <c r="DO28" s="2">
        <v>0</v>
      </c>
      <c r="DP28" s="2">
        <v>1</v>
      </c>
      <c r="DQ28" s="2">
        <v>1</v>
      </c>
      <c r="DR28" s="2"/>
      <c r="DS28" s="2"/>
      <c r="DT28" s="2"/>
      <c r="DU28" s="2">
        <v>1003</v>
      </c>
      <c r="DV28" s="2" t="s">
        <v>18</v>
      </c>
      <c r="DW28" s="2" t="s">
        <v>18</v>
      </c>
      <c r="DX28" s="2">
        <v>100</v>
      </c>
      <c r="DY28" s="2"/>
      <c r="DZ28" s="2" t="s">
        <v>3</v>
      </c>
      <c r="EA28" s="2" t="s">
        <v>3</v>
      </c>
      <c r="EB28" s="2" t="s">
        <v>3</v>
      </c>
      <c r="EC28" s="2" t="s">
        <v>3</v>
      </c>
      <c r="ED28" s="2"/>
      <c r="EE28" s="2">
        <v>50991719</v>
      </c>
      <c r="EF28" s="2">
        <v>3</v>
      </c>
      <c r="EG28" s="2" t="s">
        <v>14</v>
      </c>
      <c r="EH28" s="2">
        <v>0</v>
      </c>
      <c r="EI28" s="2" t="s">
        <v>3</v>
      </c>
      <c r="EJ28" s="2">
        <v>2</v>
      </c>
      <c r="EK28" s="2">
        <v>108001</v>
      </c>
      <c r="EL28" s="2" t="s">
        <v>20</v>
      </c>
      <c r="EM28" s="2" t="s">
        <v>21</v>
      </c>
      <c r="EN28" s="2"/>
      <c r="EO28" s="2" t="s">
        <v>3</v>
      </c>
      <c r="EP28" s="2"/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15.6</v>
      </c>
      <c r="EX28" s="2">
        <v>0.01</v>
      </c>
      <c r="EY28" s="2">
        <v>0</v>
      </c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>
        <v>0</v>
      </c>
      <c r="FR28" s="2">
        <v>0</v>
      </c>
      <c r="FS28" s="2">
        <v>0</v>
      </c>
      <c r="FT28" s="2"/>
      <c r="FU28" s="2"/>
      <c r="FV28" s="2"/>
      <c r="FW28" s="2"/>
      <c r="FX28" s="2">
        <v>97</v>
      </c>
      <c r="FY28" s="2">
        <v>51</v>
      </c>
      <c r="FZ28" s="2"/>
      <c r="GA28" s="2" t="s">
        <v>3</v>
      </c>
      <c r="GB28" s="2"/>
      <c r="GC28" s="2"/>
      <c r="GD28" s="2">
        <v>1</v>
      </c>
      <c r="GE28" s="2"/>
      <c r="GF28" s="2">
        <v>-228334775</v>
      </c>
      <c r="GG28" s="2">
        <v>2</v>
      </c>
      <c r="GH28" s="2">
        <v>1</v>
      </c>
      <c r="GI28" s="2">
        <v>-2</v>
      </c>
      <c r="GJ28" s="2">
        <v>0</v>
      </c>
      <c r="GK28" s="2">
        <v>0</v>
      </c>
      <c r="GL28" s="2">
        <f t="shared" ref="GL28:GL59" si="28">ROUND(IF(AND(BH28=3,BI28=3,FS28&lt;&gt;0),P28,0),2)</f>
        <v>0</v>
      </c>
      <c r="GM28" s="2">
        <f t="shared" ref="GM28:GM59" si="29">ROUND(O28+X28+Y28,2)+GX28</f>
        <v>39429.480000000003</v>
      </c>
      <c r="GN28" s="2">
        <f t="shared" ref="GN28:GN59" si="30">IF(OR(BI28=0,BI28=1),GM28-GX28,0)</f>
        <v>0</v>
      </c>
      <c r="GO28" s="2">
        <f t="shared" ref="GO28:GO59" si="31">IF(BI28=2,GM28-GX28,0)</f>
        <v>39429.480000000003</v>
      </c>
      <c r="GP28" s="2">
        <f t="shared" ref="GP28:GP59" si="32">IF(BI28=4,GM28-GX28,0)</f>
        <v>0</v>
      </c>
      <c r="GQ28" s="2"/>
      <c r="GR28" s="2">
        <v>0</v>
      </c>
      <c r="GS28" s="2">
        <v>3</v>
      </c>
      <c r="GT28" s="2">
        <v>0</v>
      </c>
      <c r="GU28" s="2" t="s">
        <v>3</v>
      </c>
      <c r="GV28" s="2">
        <f t="shared" ref="GV28:GV59" si="33">ROUND((GT28),6)</f>
        <v>0</v>
      </c>
      <c r="GW28" s="2">
        <v>1</v>
      </c>
      <c r="GX28" s="2">
        <f t="shared" ref="GX28:GX59" si="34">ROUND(HC28*I28,2)</f>
        <v>0</v>
      </c>
      <c r="GY28" s="2"/>
      <c r="GZ28" s="2"/>
      <c r="HA28" s="2">
        <v>0</v>
      </c>
      <c r="HB28" s="2">
        <v>0</v>
      </c>
      <c r="HC28" s="2">
        <f>GV28*GW28</f>
        <v>0</v>
      </c>
      <c r="HD28" s="2"/>
      <c r="HE28" s="2" t="s">
        <v>3</v>
      </c>
      <c r="HF28" s="2" t="s">
        <v>3</v>
      </c>
      <c r="HG28" s="2"/>
      <c r="HH28" s="2"/>
      <c r="HI28" s="2"/>
      <c r="HJ28" s="2"/>
      <c r="HK28" s="2"/>
      <c r="HL28" s="2"/>
      <c r="HM28" s="2" t="s">
        <v>3</v>
      </c>
      <c r="HN28" s="2" t="s">
        <v>22</v>
      </c>
      <c r="HO28" s="2" t="s">
        <v>23</v>
      </c>
      <c r="HP28" s="2" t="s">
        <v>20</v>
      </c>
      <c r="HQ28" s="2" t="s">
        <v>20</v>
      </c>
      <c r="HR28" s="2"/>
      <c r="HS28" s="2">
        <v>0</v>
      </c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>
        <v>0</v>
      </c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x14ac:dyDescent="0.2">
      <c r="A29" s="2">
        <v>18</v>
      </c>
      <c r="B29" s="2">
        <v>1</v>
      </c>
      <c r="C29" s="2">
        <v>8</v>
      </c>
      <c r="D29" s="2"/>
      <c r="E29" s="2" t="s">
        <v>24</v>
      </c>
      <c r="F29" s="2" t="s">
        <v>25</v>
      </c>
      <c r="G29" s="2" t="s">
        <v>26</v>
      </c>
      <c r="H29" s="2" t="s">
        <v>27</v>
      </c>
      <c r="I29" s="2">
        <f>J29</f>
        <v>2</v>
      </c>
      <c r="J29" s="2">
        <v>2</v>
      </c>
      <c r="K29" s="2">
        <v>2</v>
      </c>
      <c r="L29" s="2"/>
      <c r="M29" s="2"/>
      <c r="N29" s="2"/>
      <c r="O29" s="2">
        <f>ROUND(P29,2)</f>
        <v>315.67</v>
      </c>
      <c r="P29" s="2">
        <f>ROUND(ROUND(ROUND(SUMIF(SmtRes!AQ1:'SmtRes'!AQ8,"=1",SmtRes!CU1:'SmtRes'!CU8),2),2)*I29/100,2)</f>
        <v>315.67</v>
      </c>
      <c r="Q29" s="2">
        <f>ROUND(CR29*I29,2)</f>
        <v>0</v>
      </c>
      <c r="R29" s="2">
        <f>ROUND(CS29*I29,2)</f>
        <v>0</v>
      </c>
      <c r="S29" s="2">
        <f>ROUND(CT29*I29,2)</f>
        <v>0</v>
      </c>
      <c r="T29" s="2">
        <f t="shared" si="21"/>
        <v>0</v>
      </c>
      <c r="U29" s="2">
        <f>ROUND(CV29*I29,7)</f>
        <v>0</v>
      </c>
      <c r="V29" s="2">
        <f>ROUND(CW29*I29,7)</f>
        <v>0</v>
      </c>
      <c r="W29" s="2">
        <f t="shared" si="22"/>
        <v>0</v>
      </c>
      <c r="X29" s="2">
        <f t="shared" si="23"/>
        <v>0</v>
      </c>
      <c r="Y29" s="2">
        <f t="shared" si="24"/>
        <v>0</v>
      </c>
      <c r="Z29" s="2"/>
      <c r="AA29" s="2">
        <v>52718353</v>
      </c>
      <c r="AB29" s="2">
        <f t="shared" si="25"/>
        <v>0</v>
      </c>
      <c r="AC29" s="2">
        <f>ROUND((ES29),6)</f>
        <v>0</v>
      </c>
      <c r="AD29" s="2">
        <f>ROUND((((ET29)-(EU29))+AE29),6)</f>
        <v>0</v>
      </c>
      <c r="AE29" s="2">
        <f t="shared" ref="AE29:AF31" si="35">ROUND((EU29),6)</f>
        <v>0</v>
      </c>
      <c r="AF29" s="2">
        <f t="shared" si="35"/>
        <v>0</v>
      </c>
      <c r="AG29" s="2">
        <f t="shared" si="26"/>
        <v>0</v>
      </c>
      <c r="AH29" s="2">
        <f t="shared" ref="AH29:AI31" si="36">(EW29)</f>
        <v>0</v>
      </c>
      <c r="AI29" s="2">
        <f t="shared" si="36"/>
        <v>0</v>
      </c>
      <c r="AJ29" s="2">
        <f t="shared" si="27"/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97</v>
      </c>
      <c r="AU29" s="2">
        <v>51</v>
      </c>
      <c r="AV29" s="2">
        <v>1</v>
      </c>
      <c r="AW29" s="2">
        <v>1</v>
      </c>
      <c r="AX29" s="2"/>
      <c r="AY29" s="2"/>
      <c r="AZ29" s="2">
        <v>1</v>
      </c>
      <c r="BA29" s="2">
        <v>1</v>
      </c>
      <c r="BB29" s="2">
        <v>1</v>
      </c>
      <c r="BC29" s="2">
        <v>1</v>
      </c>
      <c r="BD29" s="2" t="s">
        <v>3</v>
      </c>
      <c r="BE29" s="2" t="s">
        <v>3</v>
      </c>
      <c r="BF29" s="2" t="s">
        <v>3</v>
      </c>
      <c r="BG29" s="2" t="s">
        <v>3</v>
      </c>
      <c r="BH29" s="2">
        <v>3</v>
      </c>
      <c r="BI29" s="2">
        <v>2</v>
      </c>
      <c r="BJ29" s="2" t="s">
        <v>3</v>
      </c>
      <c r="BK29" s="2"/>
      <c r="BL29" s="2"/>
      <c r="BM29" s="2">
        <v>108001</v>
      </c>
      <c r="BN29" s="2">
        <v>0</v>
      </c>
      <c r="BO29" s="2" t="s">
        <v>3</v>
      </c>
      <c r="BP29" s="2">
        <v>0</v>
      </c>
      <c r="BQ29" s="2">
        <v>3</v>
      </c>
      <c r="BR29" s="2">
        <v>0</v>
      </c>
      <c r="BS29" s="2">
        <v>1</v>
      </c>
      <c r="BT29" s="2">
        <v>1</v>
      </c>
      <c r="BU29" s="2">
        <v>1</v>
      </c>
      <c r="BV29" s="2">
        <v>1</v>
      </c>
      <c r="BW29" s="2">
        <v>1</v>
      </c>
      <c r="BX29" s="2">
        <v>1</v>
      </c>
      <c r="BY29" s="2" t="s">
        <v>3</v>
      </c>
      <c r="BZ29" s="2">
        <v>97</v>
      </c>
      <c r="CA29" s="2">
        <v>51</v>
      </c>
      <c r="CB29" s="2" t="s">
        <v>3</v>
      </c>
      <c r="CC29" s="2"/>
      <c r="CD29" s="2"/>
      <c r="CE29" s="2">
        <v>0</v>
      </c>
      <c r="CF29" s="2">
        <v>0</v>
      </c>
      <c r="CG29" s="2">
        <v>0</v>
      </c>
      <c r="CH29" s="2"/>
      <c r="CI29" s="2"/>
      <c r="CJ29" s="2"/>
      <c r="CK29" s="2"/>
      <c r="CL29" s="2"/>
      <c r="CM29" s="2">
        <v>0</v>
      </c>
      <c r="CN29" s="2" t="s">
        <v>3</v>
      </c>
      <c r="CO29" s="2">
        <v>0</v>
      </c>
      <c r="CP29" s="2">
        <f>0</f>
        <v>0</v>
      </c>
      <c r="CQ29" s="2">
        <f>0</f>
        <v>0</v>
      </c>
      <c r="CR29" s="2">
        <f>0</f>
        <v>0</v>
      </c>
      <c r="CS29" s="2">
        <f>0</f>
        <v>0</v>
      </c>
      <c r="CT29" s="2">
        <f>0</f>
        <v>0</v>
      </c>
      <c r="CU29" s="2">
        <f>0</f>
        <v>0</v>
      </c>
      <c r="CV29" s="2">
        <f>0</f>
        <v>0</v>
      </c>
      <c r="CW29" s="2">
        <f>0</f>
        <v>0</v>
      </c>
      <c r="CX29" s="2">
        <f>0</f>
        <v>0</v>
      </c>
      <c r="CY29" s="2">
        <f>0</f>
        <v>0</v>
      </c>
      <c r="CZ29" s="2">
        <f>0</f>
        <v>0</v>
      </c>
      <c r="DA29" s="2"/>
      <c r="DB29" s="2"/>
      <c r="DC29" s="2" t="s">
        <v>3</v>
      </c>
      <c r="DD29" s="2" t="s">
        <v>3</v>
      </c>
      <c r="DE29" s="2" t="s">
        <v>3</v>
      </c>
      <c r="DF29" s="2" t="s">
        <v>3</v>
      </c>
      <c r="DG29" s="2" t="s">
        <v>3</v>
      </c>
      <c r="DH29" s="2" t="s">
        <v>3</v>
      </c>
      <c r="DI29" s="2" t="s">
        <v>3</v>
      </c>
      <c r="DJ29" s="2" t="s">
        <v>3</v>
      </c>
      <c r="DK29" s="2" t="s">
        <v>3</v>
      </c>
      <c r="DL29" s="2" t="s">
        <v>3</v>
      </c>
      <c r="DM29" s="2" t="s">
        <v>3</v>
      </c>
      <c r="DN29" s="2">
        <v>0</v>
      </c>
      <c r="DO29" s="2">
        <v>0</v>
      </c>
      <c r="DP29" s="2">
        <v>1</v>
      </c>
      <c r="DQ29" s="2">
        <v>1</v>
      </c>
      <c r="DR29" s="2"/>
      <c r="DS29" s="2"/>
      <c r="DT29" s="2"/>
      <c r="DU29" s="2">
        <v>1013</v>
      </c>
      <c r="DV29" s="2" t="s">
        <v>27</v>
      </c>
      <c r="DW29" s="2" t="s">
        <v>27</v>
      </c>
      <c r="DX29" s="2">
        <v>1</v>
      </c>
      <c r="DY29" s="2"/>
      <c r="DZ29" s="2" t="s">
        <v>3</v>
      </c>
      <c r="EA29" s="2" t="s">
        <v>3</v>
      </c>
      <c r="EB29" s="2" t="s">
        <v>3</v>
      </c>
      <c r="EC29" s="2" t="s">
        <v>3</v>
      </c>
      <c r="ED29" s="2"/>
      <c r="EE29" s="2">
        <v>50991719</v>
      </c>
      <c r="EF29" s="2">
        <v>3</v>
      </c>
      <c r="EG29" s="2" t="s">
        <v>14</v>
      </c>
      <c r="EH29" s="2">
        <v>0</v>
      </c>
      <c r="EI29" s="2" t="s">
        <v>3</v>
      </c>
      <c r="EJ29" s="2">
        <v>2</v>
      </c>
      <c r="EK29" s="2">
        <v>108001</v>
      </c>
      <c r="EL29" s="2" t="s">
        <v>20</v>
      </c>
      <c r="EM29" s="2" t="s">
        <v>21</v>
      </c>
      <c r="EN29" s="2"/>
      <c r="EO29" s="2" t="s">
        <v>3</v>
      </c>
      <c r="EP29" s="2"/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>
        <v>0</v>
      </c>
      <c r="FR29" s="2">
        <v>0</v>
      </c>
      <c r="FS29" s="2">
        <v>0</v>
      </c>
      <c r="FT29" s="2"/>
      <c r="FU29" s="2"/>
      <c r="FV29" s="2"/>
      <c r="FW29" s="2"/>
      <c r="FX29" s="2">
        <v>97</v>
      </c>
      <c r="FY29" s="2">
        <v>51</v>
      </c>
      <c r="FZ29" s="2"/>
      <c r="GA29" s="2" t="s">
        <v>3</v>
      </c>
      <c r="GB29" s="2"/>
      <c r="GC29" s="2"/>
      <c r="GD29" s="2">
        <v>1</v>
      </c>
      <c r="GE29" s="2"/>
      <c r="GF29" s="2">
        <v>274903907</v>
      </c>
      <c r="GG29" s="2">
        <v>2</v>
      </c>
      <c r="GH29" s="2">
        <v>1</v>
      </c>
      <c r="GI29" s="2">
        <v>-2</v>
      </c>
      <c r="GJ29" s="2">
        <v>0</v>
      </c>
      <c r="GK29" s="2">
        <v>0</v>
      </c>
      <c r="GL29" s="2">
        <f t="shared" si="28"/>
        <v>0</v>
      </c>
      <c r="GM29" s="2">
        <f t="shared" si="29"/>
        <v>315.67</v>
      </c>
      <c r="GN29" s="2">
        <f t="shared" si="30"/>
        <v>0</v>
      </c>
      <c r="GO29" s="2">
        <f t="shared" si="31"/>
        <v>315.67</v>
      </c>
      <c r="GP29" s="2">
        <f t="shared" si="32"/>
        <v>0</v>
      </c>
      <c r="GQ29" s="2"/>
      <c r="GR29" s="2">
        <v>0</v>
      </c>
      <c r="GS29" s="2">
        <v>3</v>
      </c>
      <c r="GT29" s="2">
        <v>0</v>
      </c>
      <c r="GU29" s="2" t="s">
        <v>3</v>
      </c>
      <c r="GV29" s="2">
        <f t="shared" si="33"/>
        <v>0</v>
      </c>
      <c r="GW29" s="2">
        <v>1</v>
      </c>
      <c r="GX29" s="2">
        <f t="shared" si="34"/>
        <v>0</v>
      </c>
      <c r="GY29" s="2"/>
      <c r="GZ29" s="2"/>
      <c r="HA29" s="2">
        <v>0</v>
      </c>
      <c r="HB29" s="2">
        <v>0</v>
      </c>
      <c r="HC29" s="2">
        <f>0</f>
        <v>0</v>
      </c>
      <c r="HD29" s="2"/>
      <c r="HE29" s="2" t="s">
        <v>3</v>
      </c>
      <c r="HF29" s="2" t="s">
        <v>3</v>
      </c>
      <c r="HG29" s="2"/>
      <c r="HH29" s="2"/>
      <c r="HI29" s="2"/>
      <c r="HJ29" s="2"/>
      <c r="HK29" s="2"/>
      <c r="HL29" s="2"/>
      <c r="HM29" s="2" t="s">
        <v>3</v>
      </c>
      <c r="HN29" s="2" t="s">
        <v>22</v>
      </c>
      <c r="HO29" s="2" t="s">
        <v>23</v>
      </c>
      <c r="HP29" s="2" t="s">
        <v>20</v>
      </c>
      <c r="HQ29" s="2" t="s">
        <v>20</v>
      </c>
      <c r="HR29" s="2"/>
      <c r="HS29" s="2">
        <v>0</v>
      </c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>
        <v>0</v>
      </c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5" x14ac:dyDescent="0.2">
      <c r="A30" s="2">
        <v>17</v>
      </c>
      <c r="B30" s="2">
        <v>1</v>
      </c>
      <c r="C30" s="2"/>
      <c r="D30" s="2"/>
      <c r="E30" s="2" t="s">
        <v>28</v>
      </c>
      <c r="F30" s="2" t="s">
        <v>29</v>
      </c>
      <c r="G30" s="2" t="s">
        <v>30</v>
      </c>
      <c r="H30" s="2" t="s">
        <v>31</v>
      </c>
      <c r="I30" s="2">
        <v>150</v>
      </c>
      <c r="J30" s="2">
        <v>0</v>
      </c>
      <c r="K30" s="2">
        <v>150</v>
      </c>
      <c r="L30" s="2"/>
      <c r="M30" s="2"/>
      <c r="N30" s="2"/>
      <c r="O30" s="2">
        <f>ROUND(CP30,2)</f>
        <v>1773</v>
      </c>
      <c r="P30" s="2">
        <f>ROUND(CQ30*I30,2)</f>
        <v>1773</v>
      </c>
      <c r="Q30" s="2">
        <f>ROUND(CR30*I30,2)</f>
        <v>0</v>
      </c>
      <c r="R30" s="2">
        <f>ROUND(CS30*I30,2)</f>
        <v>0</v>
      </c>
      <c r="S30" s="2">
        <f>ROUND(CT30*I30,2)</f>
        <v>0</v>
      </c>
      <c r="T30" s="2">
        <f t="shared" si="21"/>
        <v>0</v>
      </c>
      <c r="U30" s="2">
        <f>ROUND(CV30*I30,7)</f>
        <v>0</v>
      </c>
      <c r="V30" s="2">
        <f>ROUND(CW30*I30,7)</f>
        <v>0</v>
      </c>
      <c r="W30" s="2">
        <f t="shared" si="22"/>
        <v>0</v>
      </c>
      <c r="X30" s="2">
        <f t="shared" si="23"/>
        <v>0</v>
      </c>
      <c r="Y30" s="2">
        <f t="shared" si="24"/>
        <v>0</v>
      </c>
      <c r="Z30" s="2"/>
      <c r="AA30" s="2">
        <v>52718353</v>
      </c>
      <c r="AB30" s="2">
        <f t="shared" si="25"/>
        <v>11.82</v>
      </c>
      <c r="AC30" s="2">
        <f>ROUND((ES30),6)</f>
        <v>11.82</v>
      </c>
      <c r="AD30" s="2">
        <f>ROUND((((ET30)-(EU30))+AE30),6)</f>
        <v>0</v>
      </c>
      <c r="AE30" s="2">
        <f t="shared" si="35"/>
        <v>0</v>
      </c>
      <c r="AF30" s="2">
        <f t="shared" si="35"/>
        <v>0</v>
      </c>
      <c r="AG30" s="2">
        <f t="shared" si="26"/>
        <v>0</v>
      </c>
      <c r="AH30" s="2">
        <f t="shared" si="36"/>
        <v>0</v>
      </c>
      <c r="AI30" s="2">
        <f t="shared" si="36"/>
        <v>0</v>
      </c>
      <c r="AJ30" s="2">
        <f t="shared" si="27"/>
        <v>0</v>
      </c>
      <c r="AK30" s="2">
        <v>11.82</v>
      </c>
      <c r="AL30" s="2">
        <v>11.82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1</v>
      </c>
      <c r="AW30" s="2">
        <v>1</v>
      </c>
      <c r="AX30" s="2"/>
      <c r="AY30" s="2"/>
      <c r="AZ30" s="2">
        <v>1</v>
      </c>
      <c r="BA30" s="2">
        <v>1</v>
      </c>
      <c r="BB30" s="2">
        <v>1</v>
      </c>
      <c r="BC30" s="2">
        <v>1</v>
      </c>
      <c r="BD30" s="2" t="s">
        <v>3</v>
      </c>
      <c r="BE30" s="2" t="s">
        <v>3</v>
      </c>
      <c r="BF30" s="2" t="s">
        <v>3</v>
      </c>
      <c r="BG30" s="2" t="s">
        <v>3</v>
      </c>
      <c r="BH30" s="2">
        <v>3</v>
      </c>
      <c r="BI30" s="2">
        <v>1</v>
      </c>
      <c r="BJ30" s="2" t="s">
        <v>32</v>
      </c>
      <c r="BK30" s="2"/>
      <c r="BL30" s="2"/>
      <c r="BM30" s="2">
        <v>500001</v>
      </c>
      <c r="BN30" s="2">
        <v>0</v>
      </c>
      <c r="BO30" s="2" t="s">
        <v>3</v>
      </c>
      <c r="BP30" s="2">
        <v>0</v>
      </c>
      <c r="BQ30" s="2">
        <v>8</v>
      </c>
      <c r="BR30" s="2">
        <v>0</v>
      </c>
      <c r="BS30" s="2">
        <v>1</v>
      </c>
      <c r="BT30" s="2">
        <v>1</v>
      </c>
      <c r="BU30" s="2">
        <v>1</v>
      </c>
      <c r="BV30" s="2">
        <v>1</v>
      </c>
      <c r="BW30" s="2">
        <v>1</v>
      </c>
      <c r="BX30" s="2">
        <v>1</v>
      </c>
      <c r="BY30" s="2" t="s">
        <v>3</v>
      </c>
      <c r="BZ30" s="2">
        <v>0</v>
      </c>
      <c r="CA30" s="2">
        <v>0</v>
      </c>
      <c r="CB30" s="2" t="s">
        <v>3</v>
      </c>
      <c r="CC30" s="2"/>
      <c r="CD30" s="2"/>
      <c r="CE30" s="2">
        <v>0</v>
      </c>
      <c r="CF30" s="2">
        <v>0</v>
      </c>
      <c r="CG30" s="2">
        <v>0</v>
      </c>
      <c r="CH30" s="2"/>
      <c r="CI30" s="2"/>
      <c r="CJ30" s="2"/>
      <c r="CK30" s="2"/>
      <c r="CL30" s="2"/>
      <c r="CM30" s="2">
        <v>0</v>
      </c>
      <c r="CN30" s="2" t="s">
        <v>3</v>
      </c>
      <c r="CO30" s="2">
        <v>0</v>
      </c>
      <c r="CP30" s="2">
        <f>(P30+Q30+S30+R30)</f>
        <v>1773</v>
      </c>
      <c r="CQ30" s="2">
        <f>ROUND(AL30*BC30,2)</f>
        <v>11.82</v>
      </c>
      <c r="CR30" s="2">
        <f>ROUND(AM30*BB30,2)</f>
        <v>0</v>
      </c>
      <c r="CS30" s="2">
        <f>ROUND(AN30*BS30,2)</f>
        <v>0</v>
      </c>
      <c r="CT30" s="2">
        <f>ROUND(AO30*BA30,2)</f>
        <v>0</v>
      </c>
      <c r="CU30" s="2">
        <f t="shared" ref="CU30:CX31" si="37">AG30</f>
        <v>0</v>
      </c>
      <c r="CV30" s="2">
        <f t="shared" si="37"/>
        <v>0</v>
      </c>
      <c r="CW30" s="2">
        <f t="shared" si="37"/>
        <v>0</v>
      </c>
      <c r="CX30" s="2">
        <f t="shared" si="37"/>
        <v>0</v>
      </c>
      <c r="CY30" s="2">
        <f>0</f>
        <v>0</v>
      </c>
      <c r="CZ30" s="2">
        <f>0</f>
        <v>0</v>
      </c>
      <c r="DA30" s="2"/>
      <c r="DB30" s="2"/>
      <c r="DC30" s="2" t="s">
        <v>3</v>
      </c>
      <c r="DD30" s="2" t="s">
        <v>3</v>
      </c>
      <c r="DE30" s="2" t="s">
        <v>3</v>
      </c>
      <c r="DF30" s="2" t="s">
        <v>3</v>
      </c>
      <c r="DG30" s="2" t="s">
        <v>3</v>
      </c>
      <c r="DH30" s="2" t="s">
        <v>3</v>
      </c>
      <c r="DI30" s="2" t="s">
        <v>3</v>
      </c>
      <c r="DJ30" s="2" t="s">
        <v>3</v>
      </c>
      <c r="DK30" s="2" t="s">
        <v>3</v>
      </c>
      <c r="DL30" s="2" t="s">
        <v>3</v>
      </c>
      <c r="DM30" s="2" t="s">
        <v>3</v>
      </c>
      <c r="DN30" s="2">
        <v>0</v>
      </c>
      <c r="DO30" s="2">
        <v>0</v>
      </c>
      <c r="DP30" s="2">
        <v>1</v>
      </c>
      <c r="DQ30" s="2">
        <v>1</v>
      </c>
      <c r="DR30" s="2"/>
      <c r="DS30" s="2"/>
      <c r="DT30" s="2"/>
      <c r="DU30" s="2">
        <v>1003</v>
      </c>
      <c r="DV30" s="2" t="s">
        <v>31</v>
      </c>
      <c r="DW30" s="2" t="s">
        <v>31</v>
      </c>
      <c r="DX30" s="2">
        <v>1</v>
      </c>
      <c r="DY30" s="2"/>
      <c r="DZ30" s="2" t="s">
        <v>3</v>
      </c>
      <c r="EA30" s="2" t="s">
        <v>3</v>
      </c>
      <c r="EB30" s="2" t="s">
        <v>3</v>
      </c>
      <c r="EC30" s="2" t="s">
        <v>3</v>
      </c>
      <c r="ED30" s="2"/>
      <c r="EE30" s="2">
        <v>50991776</v>
      </c>
      <c r="EF30" s="2">
        <v>8</v>
      </c>
      <c r="EG30" s="2" t="s">
        <v>33</v>
      </c>
      <c r="EH30" s="2">
        <v>0</v>
      </c>
      <c r="EI30" s="2" t="s">
        <v>3</v>
      </c>
      <c r="EJ30" s="2">
        <v>1</v>
      </c>
      <c r="EK30" s="2">
        <v>500001</v>
      </c>
      <c r="EL30" s="2" t="s">
        <v>34</v>
      </c>
      <c r="EM30" s="2" t="s">
        <v>35</v>
      </c>
      <c r="EN30" s="2"/>
      <c r="EO30" s="2" t="s">
        <v>3</v>
      </c>
      <c r="EP30" s="2"/>
      <c r="EQ30" s="2">
        <v>0</v>
      </c>
      <c r="ER30" s="2">
        <v>11.82</v>
      </c>
      <c r="ES30" s="2">
        <v>11.82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>
        <v>0</v>
      </c>
      <c r="FR30" s="2">
        <v>0</v>
      </c>
      <c r="FS30" s="2">
        <v>0</v>
      </c>
      <c r="FT30" s="2"/>
      <c r="FU30" s="2"/>
      <c r="FV30" s="2"/>
      <c r="FW30" s="2"/>
      <c r="FX30" s="2">
        <v>0</v>
      </c>
      <c r="FY30" s="2">
        <v>0</v>
      </c>
      <c r="FZ30" s="2"/>
      <c r="GA30" s="2" t="s">
        <v>3</v>
      </c>
      <c r="GB30" s="2"/>
      <c r="GC30" s="2"/>
      <c r="GD30" s="2">
        <v>1</v>
      </c>
      <c r="GE30" s="2">
        <v>12.11</v>
      </c>
      <c r="GF30" s="2">
        <v>881279873</v>
      </c>
      <c r="GG30" s="2">
        <v>2</v>
      </c>
      <c r="GH30" s="2">
        <v>1</v>
      </c>
      <c r="GI30" s="2">
        <v>-2</v>
      </c>
      <c r="GJ30" s="2">
        <v>0</v>
      </c>
      <c r="GK30" s="2">
        <v>0</v>
      </c>
      <c r="GL30" s="2">
        <f t="shared" si="28"/>
        <v>0</v>
      </c>
      <c r="GM30" s="2">
        <f t="shared" si="29"/>
        <v>1773</v>
      </c>
      <c r="GN30" s="2">
        <f t="shared" si="30"/>
        <v>1773</v>
      </c>
      <c r="GO30" s="2">
        <f t="shared" si="31"/>
        <v>0</v>
      </c>
      <c r="GP30" s="2">
        <f t="shared" si="32"/>
        <v>0</v>
      </c>
      <c r="GQ30" s="2"/>
      <c r="GR30" s="2">
        <v>3</v>
      </c>
      <c r="GS30" s="2">
        <v>3</v>
      </c>
      <c r="GT30" s="2">
        <v>0</v>
      </c>
      <c r="GU30" s="2" t="s">
        <v>3</v>
      </c>
      <c r="GV30" s="2">
        <f t="shared" si="33"/>
        <v>0</v>
      </c>
      <c r="GW30" s="2">
        <v>1</v>
      </c>
      <c r="GX30" s="2">
        <f t="shared" si="34"/>
        <v>0</v>
      </c>
      <c r="GY30" s="2"/>
      <c r="GZ30" s="2"/>
      <c r="HA30" s="2">
        <v>0</v>
      </c>
      <c r="HB30" s="2">
        <v>0</v>
      </c>
      <c r="HC30" s="2">
        <f>GV30*GW30</f>
        <v>0</v>
      </c>
      <c r="HD30" s="2"/>
      <c r="HE30" s="2" t="s">
        <v>3</v>
      </c>
      <c r="HF30" s="2" t="s">
        <v>3</v>
      </c>
      <c r="HG30" s="2"/>
      <c r="HH30" s="2"/>
      <c r="HI30" s="2"/>
      <c r="HJ30" s="2"/>
      <c r="HK30" s="2"/>
      <c r="HL30" s="2"/>
      <c r="HM30" s="2" t="s">
        <v>3</v>
      </c>
      <c r="HN30" s="2" t="s">
        <v>3</v>
      </c>
      <c r="HO30" s="2" t="s">
        <v>3</v>
      </c>
      <c r="HP30" s="2" t="s">
        <v>3</v>
      </c>
      <c r="HQ30" s="2" t="s">
        <v>3</v>
      </c>
      <c r="HR30" s="2"/>
      <c r="HS30" s="2">
        <v>0</v>
      </c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>
        <v>0</v>
      </c>
      <c r="IL30" s="2"/>
      <c r="IM30" s="2"/>
      <c r="IN30" s="2"/>
      <c r="IO30" s="2"/>
      <c r="IP30" s="2"/>
      <c r="IQ30" s="2"/>
      <c r="IR30" s="2"/>
      <c r="IS30" s="2"/>
      <c r="IT30" s="2"/>
      <c r="IU30" s="2"/>
    </row>
    <row r="31" spans="1:255" x14ac:dyDescent="0.2">
      <c r="A31" s="2">
        <v>17</v>
      </c>
      <c r="B31" s="2">
        <v>1</v>
      </c>
      <c r="C31" s="2"/>
      <c r="D31" s="2"/>
      <c r="E31" s="2" t="s">
        <v>36</v>
      </c>
      <c r="F31" s="2" t="s">
        <v>37</v>
      </c>
      <c r="G31" s="2" t="s">
        <v>38</v>
      </c>
      <c r="H31" s="2" t="s">
        <v>39</v>
      </c>
      <c r="I31" s="2">
        <f>ROUND(300/10,7)</f>
        <v>30</v>
      </c>
      <c r="J31" s="2">
        <v>0</v>
      </c>
      <c r="K31" s="2">
        <f>ROUND(300/10,7)</f>
        <v>30</v>
      </c>
      <c r="L31" s="2"/>
      <c r="M31" s="2"/>
      <c r="N31" s="2"/>
      <c r="O31" s="2">
        <f>ROUND(CP31,2)</f>
        <v>1304.0999999999999</v>
      </c>
      <c r="P31" s="2">
        <f>ROUND(CQ31*I31,2)</f>
        <v>1304.0999999999999</v>
      </c>
      <c r="Q31" s="2">
        <f>ROUND(CR31*I31,2)</f>
        <v>0</v>
      </c>
      <c r="R31" s="2">
        <f>ROUND(CS31*I31,2)</f>
        <v>0</v>
      </c>
      <c r="S31" s="2">
        <f>ROUND(CT31*I31,2)</f>
        <v>0</v>
      </c>
      <c r="T31" s="2">
        <f t="shared" si="21"/>
        <v>0</v>
      </c>
      <c r="U31" s="2">
        <f>ROUND(CV31*I31,7)</f>
        <v>0</v>
      </c>
      <c r="V31" s="2">
        <f>ROUND(CW31*I31,7)</f>
        <v>0</v>
      </c>
      <c r="W31" s="2">
        <f t="shared" si="22"/>
        <v>0</v>
      </c>
      <c r="X31" s="2">
        <f t="shared" si="23"/>
        <v>0</v>
      </c>
      <c r="Y31" s="2">
        <f t="shared" si="24"/>
        <v>0</v>
      </c>
      <c r="Z31" s="2"/>
      <c r="AA31" s="2">
        <v>52718353</v>
      </c>
      <c r="AB31" s="2">
        <f t="shared" si="25"/>
        <v>31.73</v>
      </c>
      <c r="AC31" s="2">
        <f>ROUND((ES31),6)</f>
        <v>31.73</v>
      </c>
      <c r="AD31" s="2">
        <f>ROUND((((ET31)-(EU31))+AE31),6)</f>
        <v>0</v>
      </c>
      <c r="AE31" s="2">
        <f t="shared" si="35"/>
        <v>0</v>
      </c>
      <c r="AF31" s="2">
        <f t="shared" si="35"/>
        <v>0</v>
      </c>
      <c r="AG31" s="2">
        <f t="shared" si="26"/>
        <v>0</v>
      </c>
      <c r="AH31" s="2">
        <f t="shared" si="36"/>
        <v>0</v>
      </c>
      <c r="AI31" s="2">
        <f t="shared" si="36"/>
        <v>0</v>
      </c>
      <c r="AJ31" s="2">
        <f t="shared" si="27"/>
        <v>0</v>
      </c>
      <c r="AK31" s="2">
        <v>31.73</v>
      </c>
      <c r="AL31" s="2">
        <v>31.73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1</v>
      </c>
      <c r="AW31" s="2">
        <v>1</v>
      </c>
      <c r="AX31" s="2"/>
      <c r="AY31" s="2"/>
      <c r="AZ31" s="2">
        <v>1</v>
      </c>
      <c r="BA31" s="2">
        <v>1</v>
      </c>
      <c r="BB31" s="2">
        <v>1</v>
      </c>
      <c r="BC31" s="2">
        <v>1.37</v>
      </c>
      <c r="BD31" s="2" t="s">
        <v>3</v>
      </c>
      <c r="BE31" s="2" t="s">
        <v>3</v>
      </c>
      <c r="BF31" s="2" t="s">
        <v>3</v>
      </c>
      <c r="BG31" s="2" t="s">
        <v>3</v>
      </c>
      <c r="BH31" s="2">
        <v>3</v>
      </c>
      <c r="BI31" s="2">
        <v>1</v>
      </c>
      <c r="BJ31" s="2" t="s">
        <v>40</v>
      </c>
      <c r="BK31" s="2"/>
      <c r="BL31" s="2"/>
      <c r="BM31" s="2">
        <v>500001</v>
      </c>
      <c r="BN31" s="2">
        <v>0</v>
      </c>
      <c r="BO31" s="2" t="s">
        <v>37</v>
      </c>
      <c r="BP31" s="2">
        <v>1</v>
      </c>
      <c r="BQ31" s="2">
        <v>8</v>
      </c>
      <c r="BR31" s="2">
        <v>0</v>
      </c>
      <c r="BS31" s="2">
        <v>1</v>
      </c>
      <c r="BT31" s="2">
        <v>1</v>
      </c>
      <c r="BU31" s="2">
        <v>1</v>
      </c>
      <c r="BV31" s="2">
        <v>1</v>
      </c>
      <c r="BW31" s="2">
        <v>1</v>
      </c>
      <c r="BX31" s="2">
        <v>1</v>
      </c>
      <c r="BY31" s="2" t="s">
        <v>3</v>
      </c>
      <c r="BZ31" s="2">
        <v>0</v>
      </c>
      <c r="CA31" s="2">
        <v>0</v>
      </c>
      <c r="CB31" s="2" t="s">
        <v>3</v>
      </c>
      <c r="CC31" s="2"/>
      <c r="CD31" s="2"/>
      <c r="CE31" s="2">
        <v>0</v>
      </c>
      <c r="CF31" s="2">
        <v>0</v>
      </c>
      <c r="CG31" s="2">
        <v>0</v>
      </c>
      <c r="CH31" s="2"/>
      <c r="CI31" s="2"/>
      <c r="CJ31" s="2"/>
      <c r="CK31" s="2"/>
      <c r="CL31" s="2"/>
      <c r="CM31" s="2">
        <v>0</v>
      </c>
      <c r="CN31" s="2" t="s">
        <v>3</v>
      </c>
      <c r="CO31" s="2">
        <v>0</v>
      </c>
      <c r="CP31" s="2">
        <f>(P31+Q31+S31+R31)</f>
        <v>1304.0999999999999</v>
      </c>
      <c r="CQ31" s="2">
        <f>ROUND(AL31*BC31,2)</f>
        <v>43.47</v>
      </c>
      <c r="CR31" s="2">
        <f>ROUND(AM31*BB31,2)</f>
        <v>0</v>
      </c>
      <c r="CS31" s="2">
        <f>ROUND(AN31*BS31,2)</f>
        <v>0</v>
      </c>
      <c r="CT31" s="2">
        <f>ROUND(AO31*BA31,2)</f>
        <v>0</v>
      </c>
      <c r="CU31" s="2">
        <f t="shared" si="37"/>
        <v>0</v>
      </c>
      <c r="CV31" s="2">
        <f t="shared" si="37"/>
        <v>0</v>
      </c>
      <c r="CW31" s="2">
        <f t="shared" si="37"/>
        <v>0</v>
      </c>
      <c r="CX31" s="2">
        <f t="shared" si="37"/>
        <v>0</v>
      </c>
      <c r="CY31" s="2">
        <f>0</f>
        <v>0</v>
      </c>
      <c r="CZ31" s="2">
        <f>0</f>
        <v>0</v>
      </c>
      <c r="DA31" s="2"/>
      <c r="DB31" s="2"/>
      <c r="DC31" s="2" t="s">
        <v>3</v>
      </c>
      <c r="DD31" s="2" t="s">
        <v>3</v>
      </c>
      <c r="DE31" s="2" t="s">
        <v>3</v>
      </c>
      <c r="DF31" s="2" t="s">
        <v>3</v>
      </c>
      <c r="DG31" s="2" t="s">
        <v>3</v>
      </c>
      <c r="DH31" s="2" t="s">
        <v>3</v>
      </c>
      <c r="DI31" s="2" t="s">
        <v>3</v>
      </c>
      <c r="DJ31" s="2" t="s">
        <v>3</v>
      </c>
      <c r="DK31" s="2" t="s">
        <v>3</v>
      </c>
      <c r="DL31" s="2" t="s">
        <v>3</v>
      </c>
      <c r="DM31" s="2" t="s">
        <v>3</v>
      </c>
      <c r="DN31" s="2">
        <v>0</v>
      </c>
      <c r="DO31" s="2">
        <v>0</v>
      </c>
      <c r="DP31" s="2">
        <v>1</v>
      </c>
      <c r="DQ31" s="2">
        <v>1</v>
      </c>
      <c r="DR31" s="2"/>
      <c r="DS31" s="2"/>
      <c r="DT31" s="2"/>
      <c r="DU31" s="2">
        <v>1013</v>
      </c>
      <c r="DV31" s="2" t="s">
        <v>39</v>
      </c>
      <c r="DW31" s="2" t="s">
        <v>39</v>
      </c>
      <c r="DX31" s="2">
        <v>1</v>
      </c>
      <c r="DY31" s="2"/>
      <c r="DZ31" s="2" t="s">
        <v>3</v>
      </c>
      <c r="EA31" s="2" t="s">
        <v>3</v>
      </c>
      <c r="EB31" s="2" t="s">
        <v>3</v>
      </c>
      <c r="EC31" s="2" t="s">
        <v>3</v>
      </c>
      <c r="ED31" s="2"/>
      <c r="EE31" s="2">
        <v>50991776</v>
      </c>
      <c r="EF31" s="2">
        <v>8</v>
      </c>
      <c r="EG31" s="2" t="s">
        <v>33</v>
      </c>
      <c r="EH31" s="2">
        <v>0</v>
      </c>
      <c r="EI31" s="2" t="s">
        <v>3</v>
      </c>
      <c r="EJ31" s="2">
        <v>1</v>
      </c>
      <c r="EK31" s="2">
        <v>500001</v>
      </c>
      <c r="EL31" s="2" t="s">
        <v>34</v>
      </c>
      <c r="EM31" s="2" t="s">
        <v>35</v>
      </c>
      <c r="EN31" s="2"/>
      <c r="EO31" s="2" t="s">
        <v>3</v>
      </c>
      <c r="EP31" s="2"/>
      <c r="EQ31" s="2">
        <v>0</v>
      </c>
      <c r="ER31" s="2">
        <v>31.73</v>
      </c>
      <c r="ES31" s="2">
        <v>31.73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</v>
      </c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>
        <v>0</v>
      </c>
      <c r="FR31" s="2">
        <v>0</v>
      </c>
      <c r="FS31" s="2">
        <v>0</v>
      </c>
      <c r="FT31" s="2"/>
      <c r="FU31" s="2"/>
      <c r="FV31" s="2"/>
      <c r="FW31" s="2"/>
      <c r="FX31" s="2">
        <v>0</v>
      </c>
      <c r="FY31" s="2">
        <v>0</v>
      </c>
      <c r="FZ31" s="2"/>
      <c r="GA31" s="2" t="s">
        <v>3</v>
      </c>
      <c r="GB31" s="2"/>
      <c r="GC31" s="2"/>
      <c r="GD31" s="2">
        <v>1</v>
      </c>
      <c r="GE31" s="2"/>
      <c r="GF31" s="2">
        <v>-414916288</v>
      </c>
      <c r="GG31" s="2">
        <v>2</v>
      </c>
      <c r="GH31" s="2">
        <v>1</v>
      </c>
      <c r="GI31" s="2">
        <v>2</v>
      </c>
      <c r="GJ31" s="2">
        <v>0</v>
      </c>
      <c r="GK31" s="2">
        <v>0</v>
      </c>
      <c r="GL31" s="2">
        <f t="shared" si="28"/>
        <v>0</v>
      </c>
      <c r="GM31" s="2">
        <f t="shared" si="29"/>
        <v>1304.0999999999999</v>
      </c>
      <c r="GN31" s="2">
        <f t="shared" si="30"/>
        <v>1304.0999999999999</v>
      </c>
      <c r="GO31" s="2">
        <f t="shared" si="31"/>
        <v>0</v>
      </c>
      <c r="GP31" s="2">
        <f t="shared" si="32"/>
        <v>0</v>
      </c>
      <c r="GQ31" s="2"/>
      <c r="GR31" s="2">
        <v>0</v>
      </c>
      <c r="GS31" s="2">
        <v>3</v>
      </c>
      <c r="GT31" s="2">
        <v>0</v>
      </c>
      <c r="GU31" s="2" t="s">
        <v>3</v>
      </c>
      <c r="GV31" s="2">
        <f t="shared" si="33"/>
        <v>0</v>
      </c>
      <c r="GW31" s="2">
        <v>1</v>
      </c>
      <c r="GX31" s="2">
        <f t="shared" si="34"/>
        <v>0</v>
      </c>
      <c r="GY31" s="2"/>
      <c r="GZ31" s="2"/>
      <c r="HA31" s="2">
        <v>0</v>
      </c>
      <c r="HB31" s="2">
        <v>0</v>
      </c>
      <c r="HC31" s="2">
        <f>GV31*GW31</f>
        <v>0</v>
      </c>
      <c r="HD31" s="2"/>
      <c r="HE31" s="2" t="s">
        <v>3</v>
      </c>
      <c r="HF31" s="2" t="s">
        <v>3</v>
      </c>
      <c r="HG31" s="2"/>
      <c r="HH31" s="2"/>
      <c r="HI31" s="2"/>
      <c r="HJ31" s="2"/>
      <c r="HK31" s="2"/>
      <c r="HL31" s="2"/>
      <c r="HM31" s="2" t="s">
        <v>3</v>
      </c>
      <c r="HN31" s="2" t="s">
        <v>3</v>
      </c>
      <c r="HO31" s="2" t="s">
        <v>3</v>
      </c>
      <c r="HP31" s="2" t="s">
        <v>3</v>
      </c>
      <c r="HQ31" s="2" t="s">
        <v>3</v>
      </c>
      <c r="HR31" s="2"/>
      <c r="HS31" s="2">
        <v>0</v>
      </c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>
        <v>0</v>
      </c>
      <c r="IL31" s="2"/>
      <c r="IM31" s="2"/>
      <c r="IN31" s="2"/>
      <c r="IO31" s="2"/>
      <c r="IP31" s="2"/>
      <c r="IQ31" s="2"/>
      <c r="IR31" s="2"/>
      <c r="IS31" s="2"/>
      <c r="IT31" s="2"/>
      <c r="IU31" s="2"/>
    </row>
    <row r="32" spans="1:255" x14ac:dyDescent="0.2">
      <c r="A32" s="2">
        <v>17</v>
      </c>
      <c r="B32" s="2">
        <v>1</v>
      </c>
      <c r="C32" s="2">
        <f>ROW(SmtRes!A15)</f>
        <v>15</v>
      </c>
      <c r="D32" s="2">
        <f>ROW(EtalonRes!A15)</f>
        <v>15</v>
      </c>
      <c r="E32" s="2" t="s">
        <v>41</v>
      </c>
      <c r="F32" s="2" t="s">
        <v>42</v>
      </c>
      <c r="G32" s="2" t="s">
        <v>43</v>
      </c>
      <c r="H32" s="2" t="s">
        <v>18</v>
      </c>
      <c r="I32" s="2">
        <f>ROUND(12/100,7)</f>
        <v>0.12</v>
      </c>
      <c r="J32" s="2">
        <v>0</v>
      </c>
      <c r="K32" s="2">
        <f>ROUND(12/100,7)</f>
        <v>0.12</v>
      </c>
      <c r="L32" s="2"/>
      <c r="M32" s="2"/>
      <c r="N32" s="2"/>
      <c r="O32" s="2">
        <f>ROUND(CP32,2)</f>
        <v>1809.5</v>
      </c>
      <c r="P32" s="2">
        <f>SUMIF(SmtRes!AQ9:'SmtRes'!AQ15,"=1",SmtRes!DF9:'SmtRes'!DF15)</f>
        <v>45.09</v>
      </c>
      <c r="Q32" s="2">
        <f>SUMIF(SmtRes!AQ9:'SmtRes'!AQ15,"=1",SmtRes!DG9:'SmtRes'!DG15)</f>
        <v>7.0000000000000007E-2</v>
      </c>
      <c r="R32" s="2">
        <f>SUMIF(SmtRes!AQ9:'SmtRes'!AQ15,"=1",SmtRes!DH9:'SmtRes'!DH15)</f>
        <v>0.78</v>
      </c>
      <c r="S32" s="2">
        <f>SUMIF(SmtRes!AQ9:'SmtRes'!AQ15,"=1",SmtRes!DI9:'SmtRes'!DI15)</f>
        <v>1763.56</v>
      </c>
      <c r="T32" s="2">
        <f t="shared" si="21"/>
        <v>0</v>
      </c>
      <c r="U32" s="2">
        <f>SUMIF(SmtRes!AQ9:'SmtRes'!AQ15,"=1",SmtRes!CV9:'SmtRes'!CV15)</f>
        <v>2.4396</v>
      </c>
      <c r="V32" s="2">
        <f>SUMIF(SmtRes!AQ9:'SmtRes'!AQ15,"=1",SmtRes!CW9:'SmtRes'!CW15)</f>
        <v>1.1999999999999999E-3</v>
      </c>
      <c r="W32" s="2">
        <f t="shared" si="22"/>
        <v>0</v>
      </c>
      <c r="X32" s="2">
        <f t="shared" si="23"/>
        <v>1711.41</v>
      </c>
      <c r="Y32" s="2">
        <f t="shared" si="24"/>
        <v>899.81</v>
      </c>
      <c r="Z32" s="2"/>
      <c r="AA32" s="2">
        <v>52718353</v>
      </c>
      <c r="AB32" s="2">
        <f t="shared" si="25"/>
        <v>14997.053812</v>
      </c>
      <c r="AC32" s="2">
        <f>ROUND((SUM(SmtRes!BQ9:'SmtRes'!BQ15)),6)</f>
        <v>300.32691199999999</v>
      </c>
      <c r="AD32" s="2">
        <f>ROUND((((SUM(SmtRes!BR9:'SmtRes'!BR15))-(SUM(SmtRes!BS9:'SmtRes'!BS15)))+AE32),6)</f>
        <v>0.37319999999999998</v>
      </c>
      <c r="AE32" s="2">
        <f>ROUND((SUM(SmtRes!BS9:'SmtRes'!BS15)),6)</f>
        <v>6.4923999999999999</v>
      </c>
      <c r="AF32" s="2">
        <f>ROUND((SUM(SmtRes!BT9:'SmtRes'!BT15)),6)</f>
        <v>14696.3537</v>
      </c>
      <c r="AG32" s="2">
        <f t="shared" si="26"/>
        <v>0</v>
      </c>
      <c r="AH32" s="2">
        <f>(SUM(SmtRes!BU9:'SmtRes'!BU15))</f>
        <v>20.329999999999998</v>
      </c>
      <c r="AI32" s="2">
        <f>(SUM(SmtRes!BV9:'SmtRes'!BV15))</f>
        <v>0.01</v>
      </c>
      <c r="AJ32" s="2">
        <f t="shared" si="27"/>
        <v>0</v>
      </c>
      <c r="AK32" s="2">
        <v>15003.546211999997</v>
      </c>
      <c r="AL32" s="2">
        <v>300.32691199999999</v>
      </c>
      <c r="AM32" s="2">
        <v>0.37320000000000003</v>
      </c>
      <c r="AN32" s="2">
        <v>6.4923999999999999</v>
      </c>
      <c r="AO32" s="2">
        <v>14696.353699999998</v>
      </c>
      <c r="AP32" s="2">
        <v>0</v>
      </c>
      <c r="AQ32" s="2">
        <v>20.329999999999998</v>
      </c>
      <c r="AR32" s="2">
        <v>0.01</v>
      </c>
      <c r="AS32" s="2">
        <v>0</v>
      </c>
      <c r="AT32" s="2">
        <v>97</v>
      </c>
      <c r="AU32" s="2">
        <v>51</v>
      </c>
      <c r="AV32" s="2">
        <v>1</v>
      </c>
      <c r="AW32" s="2">
        <v>1</v>
      </c>
      <c r="AX32" s="2"/>
      <c r="AY32" s="2"/>
      <c r="AZ32" s="2">
        <v>1</v>
      </c>
      <c r="BA32" s="2">
        <v>1</v>
      </c>
      <c r="BB32" s="2">
        <v>1</v>
      </c>
      <c r="BC32" s="2">
        <v>1</v>
      </c>
      <c r="BD32" s="2" t="s">
        <v>3</v>
      </c>
      <c r="BE32" s="2" t="s">
        <v>3</v>
      </c>
      <c r="BF32" s="2" t="s">
        <v>3</v>
      </c>
      <c r="BG32" s="2" t="s">
        <v>3</v>
      </c>
      <c r="BH32" s="2">
        <v>0</v>
      </c>
      <c r="BI32" s="2">
        <v>2</v>
      </c>
      <c r="BJ32" s="2" t="s">
        <v>44</v>
      </c>
      <c r="BK32" s="2"/>
      <c r="BL32" s="2"/>
      <c r="BM32" s="2">
        <v>108001</v>
      </c>
      <c r="BN32" s="2">
        <v>0</v>
      </c>
      <c r="BO32" s="2" t="s">
        <v>3</v>
      </c>
      <c r="BP32" s="2">
        <v>0</v>
      </c>
      <c r="BQ32" s="2">
        <v>3</v>
      </c>
      <c r="BR32" s="2">
        <v>0</v>
      </c>
      <c r="BS32" s="2">
        <v>1</v>
      </c>
      <c r="BT32" s="2">
        <v>1</v>
      </c>
      <c r="BU32" s="2">
        <v>1</v>
      </c>
      <c r="BV32" s="2">
        <v>1</v>
      </c>
      <c r="BW32" s="2">
        <v>1</v>
      </c>
      <c r="BX32" s="2">
        <v>1</v>
      </c>
      <c r="BY32" s="2" t="s">
        <v>3</v>
      </c>
      <c r="BZ32" s="2">
        <v>97</v>
      </c>
      <c r="CA32" s="2">
        <v>51</v>
      </c>
      <c r="CB32" s="2" t="s">
        <v>3</v>
      </c>
      <c r="CC32" s="2"/>
      <c r="CD32" s="2"/>
      <c r="CE32" s="2">
        <v>0</v>
      </c>
      <c r="CF32" s="2">
        <v>0</v>
      </c>
      <c r="CG32" s="2">
        <v>0</v>
      </c>
      <c r="CH32" s="2"/>
      <c r="CI32" s="2"/>
      <c r="CJ32" s="2"/>
      <c r="CK32" s="2"/>
      <c r="CL32" s="2"/>
      <c r="CM32" s="2">
        <v>0</v>
      </c>
      <c r="CN32" s="2" t="s">
        <v>3</v>
      </c>
      <c r="CO32" s="2">
        <v>0</v>
      </c>
      <c r="CP32" s="2">
        <f>(P32+Q32+S32+R32)</f>
        <v>1809.5</v>
      </c>
      <c r="CQ32" s="2">
        <f>SUMIF(SmtRes!AQ9:'SmtRes'!AQ15,"=1",SmtRes!AA9:'SmtRes'!AA15)</f>
        <v>130289.11</v>
      </c>
      <c r="CR32" s="2">
        <f>SUMIF(SmtRes!AQ9:'SmtRes'!AQ15,"=1",SmtRes!AB9:'SmtRes'!AB15)</f>
        <v>58.59</v>
      </c>
      <c r="CS32" s="2">
        <f>SUMIF(SmtRes!AQ9:'SmtRes'!AQ15,"=1",SmtRes!AC9:'SmtRes'!AC15)</f>
        <v>649.24</v>
      </c>
      <c r="CT32" s="2">
        <f>SUMIF(SmtRes!AQ9:'SmtRes'!AQ15,"=1",SmtRes!AD9:'SmtRes'!AD15)</f>
        <v>722.89</v>
      </c>
      <c r="CU32" s="2">
        <f>AG32</f>
        <v>0</v>
      </c>
      <c r="CV32" s="2">
        <f>SUMIF(SmtRes!AQ9:'SmtRes'!AQ15,"=1",SmtRes!BU9:'SmtRes'!BU15)</f>
        <v>20.329999999999998</v>
      </c>
      <c r="CW32" s="2">
        <f>SUMIF(SmtRes!AQ9:'SmtRes'!AQ15,"=1",SmtRes!BV9:'SmtRes'!BV15)</f>
        <v>0.01</v>
      </c>
      <c r="CX32" s="2">
        <f>AJ32</f>
        <v>0</v>
      </c>
      <c r="CY32" s="2">
        <f>(((S32+R32)*AT32)/100)</f>
        <v>1711.4097999999999</v>
      </c>
      <c r="CZ32" s="2">
        <f>(((S32+R32)*AU32)/100)</f>
        <v>899.8134</v>
      </c>
      <c r="DA32" s="2"/>
      <c r="DB32" s="2"/>
      <c r="DC32" s="2" t="s">
        <v>3</v>
      </c>
      <c r="DD32" s="2" t="s">
        <v>3</v>
      </c>
      <c r="DE32" s="2" t="s">
        <v>3</v>
      </c>
      <c r="DF32" s="2" t="s">
        <v>3</v>
      </c>
      <c r="DG32" s="2" t="s">
        <v>3</v>
      </c>
      <c r="DH32" s="2" t="s">
        <v>3</v>
      </c>
      <c r="DI32" s="2" t="s">
        <v>3</v>
      </c>
      <c r="DJ32" s="2" t="s">
        <v>3</v>
      </c>
      <c r="DK32" s="2" t="s">
        <v>3</v>
      </c>
      <c r="DL32" s="2" t="s">
        <v>3</v>
      </c>
      <c r="DM32" s="2" t="s">
        <v>3</v>
      </c>
      <c r="DN32" s="2">
        <v>0</v>
      </c>
      <c r="DO32" s="2">
        <v>0</v>
      </c>
      <c r="DP32" s="2">
        <v>1</v>
      </c>
      <c r="DQ32" s="2">
        <v>1</v>
      </c>
      <c r="DR32" s="2"/>
      <c r="DS32" s="2"/>
      <c r="DT32" s="2"/>
      <c r="DU32" s="2">
        <v>1003</v>
      </c>
      <c r="DV32" s="2" t="s">
        <v>18</v>
      </c>
      <c r="DW32" s="2" t="s">
        <v>18</v>
      </c>
      <c r="DX32" s="2">
        <v>100</v>
      </c>
      <c r="DY32" s="2"/>
      <c r="DZ32" s="2" t="s">
        <v>3</v>
      </c>
      <c r="EA32" s="2" t="s">
        <v>3</v>
      </c>
      <c r="EB32" s="2" t="s">
        <v>3</v>
      </c>
      <c r="EC32" s="2" t="s">
        <v>3</v>
      </c>
      <c r="ED32" s="2"/>
      <c r="EE32" s="2">
        <v>50991719</v>
      </c>
      <c r="EF32" s="2">
        <v>3</v>
      </c>
      <c r="EG32" s="2" t="s">
        <v>14</v>
      </c>
      <c r="EH32" s="2">
        <v>0</v>
      </c>
      <c r="EI32" s="2" t="s">
        <v>3</v>
      </c>
      <c r="EJ32" s="2">
        <v>2</v>
      </c>
      <c r="EK32" s="2">
        <v>108001</v>
      </c>
      <c r="EL32" s="2" t="s">
        <v>20</v>
      </c>
      <c r="EM32" s="2" t="s">
        <v>21</v>
      </c>
      <c r="EN32" s="2"/>
      <c r="EO32" s="2" t="s">
        <v>3</v>
      </c>
      <c r="EP32" s="2"/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20.329999999999998</v>
      </c>
      <c r="EX32" s="2">
        <v>0.01</v>
      </c>
      <c r="EY32" s="2">
        <v>0</v>
      </c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>
        <v>0</v>
      </c>
      <c r="FR32" s="2">
        <v>0</v>
      </c>
      <c r="FS32" s="2">
        <v>0</v>
      </c>
      <c r="FT32" s="2"/>
      <c r="FU32" s="2"/>
      <c r="FV32" s="2"/>
      <c r="FW32" s="2"/>
      <c r="FX32" s="2">
        <v>97</v>
      </c>
      <c r="FY32" s="2">
        <v>51</v>
      </c>
      <c r="FZ32" s="2"/>
      <c r="GA32" s="2" t="s">
        <v>3</v>
      </c>
      <c r="GB32" s="2"/>
      <c r="GC32" s="2"/>
      <c r="GD32" s="2">
        <v>1</v>
      </c>
      <c r="GE32" s="2"/>
      <c r="GF32" s="2">
        <v>594973875</v>
      </c>
      <c r="GG32" s="2">
        <v>2</v>
      </c>
      <c r="GH32" s="2">
        <v>1</v>
      </c>
      <c r="GI32" s="2">
        <v>-2</v>
      </c>
      <c r="GJ32" s="2">
        <v>0</v>
      </c>
      <c r="GK32" s="2">
        <v>0</v>
      </c>
      <c r="GL32" s="2">
        <f t="shared" si="28"/>
        <v>0</v>
      </c>
      <c r="GM32" s="2">
        <f t="shared" si="29"/>
        <v>4420.72</v>
      </c>
      <c r="GN32" s="2">
        <f t="shared" si="30"/>
        <v>0</v>
      </c>
      <c r="GO32" s="2">
        <f t="shared" si="31"/>
        <v>4420.72</v>
      </c>
      <c r="GP32" s="2">
        <f t="shared" si="32"/>
        <v>0</v>
      </c>
      <c r="GQ32" s="2"/>
      <c r="GR32" s="2">
        <v>0</v>
      </c>
      <c r="GS32" s="2">
        <v>3</v>
      </c>
      <c r="GT32" s="2">
        <v>0</v>
      </c>
      <c r="GU32" s="2" t="s">
        <v>3</v>
      </c>
      <c r="GV32" s="2">
        <f t="shared" si="33"/>
        <v>0</v>
      </c>
      <c r="GW32" s="2">
        <v>1</v>
      </c>
      <c r="GX32" s="2">
        <f t="shared" si="34"/>
        <v>0</v>
      </c>
      <c r="GY32" s="2"/>
      <c r="GZ32" s="2"/>
      <c r="HA32" s="2">
        <v>0</v>
      </c>
      <c r="HB32" s="2">
        <v>0</v>
      </c>
      <c r="HC32" s="2">
        <f>GV32*GW32</f>
        <v>0</v>
      </c>
      <c r="HD32" s="2"/>
      <c r="HE32" s="2" t="s">
        <v>3</v>
      </c>
      <c r="HF32" s="2" t="s">
        <v>3</v>
      </c>
      <c r="HG32" s="2"/>
      <c r="HH32" s="2"/>
      <c r="HI32" s="2"/>
      <c r="HJ32" s="2"/>
      <c r="HK32" s="2"/>
      <c r="HL32" s="2"/>
      <c r="HM32" s="2" t="s">
        <v>3</v>
      </c>
      <c r="HN32" s="2" t="s">
        <v>22</v>
      </c>
      <c r="HO32" s="2" t="s">
        <v>23</v>
      </c>
      <c r="HP32" s="2" t="s">
        <v>20</v>
      </c>
      <c r="HQ32" s="2" t="s">
        <v>20</v>
      </c>
      <c r="HR32" s="2"/>
      <c r="HS32" s="2">
        <v>0</v>
      </c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>
        <v>0</v>
      </c>
      <c r="IL32" s="2"/>
      <c r="IM32" s="2"/>
      <c r="IN32" s="2"/>
      <c r="IO32" s="2"/>
      <c r="IP32" s="2"/>
      <c r="IQ32" s="2"/>
      <c r="IR32" s="2"/>
      <c r="IS32" s="2"/>
      <c r="IT32" s="2"/>
      <c r="IU32" s="2"/>
    </row>
    <row r="33" spans="1:255" x14ac:dyDescent="0.2">
      <c r="A33" s="2">
        <v>18</v>
      </c>
      <c r="B33" s="2">
        <v>1</v>
      </c>
      <c r="C33" s="2">
        <v>15</v>
      </c>
      <c r="D33" s="2"/>
      <c r="E33" s="2" t="s">
        <v>45</v>
      </c>
      <c r="F33" s="2" t="s">
        <v>25</v>
      </c>
      <c r="G33" s="2" t="s">
        <v>26</v>
      </c>
      <c r="H33" s="2" t="s">
        <v>27</v>
      </c>
      <c r="I33" s="2">
        <f>J33</f>
        <v>2</v>
      </c>
      <c r="J33" s="2">
        <v>2</v>
      </c>
      <c r="K33" s="2">
        <v>2</v>
      </c>
      <c r="L33" s="2"/>
      <c r="M33" s="2"/>
      <c r="N33" s="2"/>
      <c r="O33" s="2">
        <f>ROUND(P33,2)</f>
        <v>35.270000000000003</v>
      </c>
      <c r="P33" s="2">
        <f>ROUND(ROUND(ROUND(SUMIF(SmtRes!AQ9:'SmtRes'!AQ15,"=1",SmtRes!CU9:'SmtRes'!CU15),2),2)*I33/100,2)</f>
        <v>35.270000000000003</v>
      </c>
      <c r="Q33" s="2">
        <f t="shared" ref="Q33:Q39" si="38">ROUND(CR33*I33,2)</f>
        <v>0</v>
      </c>
      <c r="R33" s="2">
        <f t="shared" ref="R33:R39" si="39">ROUND(CS33*I33,2)</f>
        <v>0</v>
      </c>
      <c r="S33" s="2">
        <f t="shared" ref="S33:S39" si="40">ROUND(CT33*I33,2)</f>
        <v>0</v>
      </c>
      <c r="T33" s="2">
        <f t="shared" si="21"/>
        <v>0</v>
      </c>
      <c r="U33" s="2">
        <f t="shared" ref="U33:U39" si="41">ROUND(CV33*I33,7)</f>
        <v>0</v>
      </c>
      <c r="V33" s="2">
        <f t="shared" ref="V33:V39" si="42">ROUND(CW33*I33,7)</f>
        <v>0</v>
      </c>
      <c r="W33" s="2">
        <f t="shared" si="22"/>
        <v>0</v>
      </c>
      <c r="X33" s="2">
        <f t="shared" si="23"/>
        <v>0</v>
      </c>
      <c r="Y33" s="2">
        <f t="shared" si="24"/>
        <v>0</v>
      </c>
      <c r="Z33" s="2"/>
      <c r="AA33" s="2">
        <v>52718353</v>
      </c>
      <c r="AB33" s="2">
        <f t="shared" si="25"/>
        <v>0</v>
      </c>
      <c r="AC33" s="2">
        <f t="shared" ref="AC33:AC39" si="43">ROUND((ES33),6)</f>
        <v>0</v>
      </c>
      <c r="AD33" s="2">
        <f t="shared" ref="AD33:AD39" si="44">ROUND((((ET33)-(EU33))+AE33),6)</f>
        <v>0</v>
      </c>
      <c r="AE33" s="2">
        <f t="shared" ref="AE33:AF39" si="45">ROUND((EU33),6)</f>
        <v>0</v>
      </c>
      <c r="AF33" s="2">
        <f t="shared" si="45"/>
        <v>0</v>
      </c>
      <c r="AG33" s="2">
        <f t="shared" si="26"/>
        <v>0</v>
      </c>
      <c r="AH33" s="2">
        <f t="shared" ref="AH33:AI39" si="46">(EW33)</f>
        <v>0</v>
      </c>
      <c r="AI33" s="2">
        <f t="shared" si="46"/>
        <v>0</v>
      </c>
      <c r="AJ33" s="2">
        <f t="shared" si="27"/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97</v>
      </c>
      <c r="AU33" s="2">
        <v>51</v>
      </c>
      <c r="AV33" s="2">
        <v>1</v>
      </c>
      <c r="AW33" s="2">
        <v>1</v>
      </c>
      <c r="AX33" s="2"/>
      <c r="AY33" s="2"/>
      <c r="AZ33" s="2">
        <v>1</v>
      </c>
      <c r="BA33" s="2">
        <v>1</v>
      </c>
      <c r="BB33" s="2">
        <v>1</v>
      </c>
      <c r="BC33" s="2">
        <v>1</v>
      </c>
      <c r="BD33" s="2" t="s">
        <v>3</v>
      </c>
      <c r="BE33" s="2" t="s">
        <v>3</v>
      </c>
      <c r="BF33" s="2" t="s">
        <v>3</v>
      </c>
      <c r="BG33" s="2" t="s">
        <v>3</v>
      </c>
      <c r="BH33" s="2">
        <v>3</v>
      </c>
      <c r="BI33" s="2">
        <v>2</v>
      </c>
      <c r="BJ33" s="2" t="s">
        <v>3</v>
      </c>
      <c r="BK33" s="2"/>
      <c r="BL33" s="2"/>
      <c r="BM33" s="2">
        <v>108001</v>
      </c>
      <c r="BN33" s="2">
        <v>0</v>
      </c>
      <c r="BO33" s="2" t="s">
        <v>3</v>
      </c>
      <c r="BP33" s="2">
        <v>0</v>
      </c>
      <c r="BQ33" s="2">
        <v>3</v>
      </c>
      <c r="BR33" s="2">
        <v>0</v>
      </c>
      <c r="BS33" s="2">
        <v>1</v>
      </c>
      <c r="BT33" s="2">
        <v>1</v>
      </c>
      <c r="BU33" s="2">
        <v>1</v>
      </c>
      <c r="BV33" s="2">
        <v>1</v>
      </c>
      <c r="BW33" s="2">
        <v>1</v>
      </c>
      <c r="BX33" s="2">
        <v>1</v>
      </c>
      <c r="BY33" s="2" t="s">
        <v>3</v>
      </c>
      <c r="BZ33" s="2">
        <v>97</v>
      </c>
      <c r="CA33" s="2">
        <v>51</v>
      </c>
      <c r="CB33" s="2" t="s">
        <v>3</v>
      </c>
      <c r="CC33" s="2"/>
      <c r="CD33" s="2"/>
      <c r="CE33" s="2">
        <v>0</v>
      </c>
      <c r="CF33" s="2">
        <v>0</v>
      </c>
      <c r="CG33" s="2">
        <v>0</v>
      </c>
      <c r="CH33" s="2"/>
      <c r="CI33" s="2"/>
      <c r="CJ33" s="2"/>
      <c r="CK33" s="2"/>
      <c r="CL33" s="2"/>
      <c r="CM33" s="2">
        <v>0</v>
      </c>
      <c r="CN33" s="2" t="s">
        <v>3</v>
      </c>
      <c r="CO33" s="2">
        <v>0</v>
      </c>
      <c r="CP33" s="2">
        <f>0</f>
        <v>0</v>
      </c>
      <c r="CQ33" s="2">
        <f>0</f>
        <v>0</v>
      </c>
      <c r="CR33" s="2">
        <f>0</f>
        <v>0</v>
      </c>
      <c r="CS33" s="2">
        <f>0</f>
        <v>0</v>
      </c>
      <c r="CT33" s="2">
        <f>0</f>
        <v>0</v>
      </c>
      <c r="CU33" s="2">
        <f>0</f>
        <v>0</v>
      </c>
      <c r="CV33" s="2">
        <f>0</f>
        <v>0</v>
      </c>
      <c r="CW33" s="2">
        <f>0</f>
        <v>0</v>
      </c>
      <c r="CX33" s="2">
        <f>0</f>
        <v>0</v>
      </c>
      <c r="CY33" s="2">
        <f>0</f>
        <v>0</v>
      </c>
      <c r="CZ33" s="2">
        <f>0</f>
        <v>0</v>
      </c>
      <c r="DA33" s="2"/>
      <c r="DB33" s="2"/>
      <c r="DC33" s="2" t="s">
        <v>3</v>
      </c>
      <c r="DD33" s="2" t="s">
        <v>3</v>
      </c>
      <c r="DE33" s="2" t="s">
        <v>3</v>
      </c>
      <c r="DF33" s="2" t="s">
        <v>3</v>
      </c>
      <c r="DG33" s="2" t="s">
        <v>3</v>
      </c>
      <c r="DH33" s="2" t="s">
        <v>3</v>
      </c>
      <c r="DI33" s="2" t="s">
        <v>3</v>
      </c>
      <c r="DJ33" s="2" t="s">
        <v>3</v>
      </c>
      <c r="DK33" s="2" t="s">
        <v>3</v>
      </c>
      <c r="DL33" s="2" t="s">
        <v>3</v>
      </c>
      <c r="DM33" s="2" t="s">
        <v>3</v>
      </c>
      <c r="DN33" s="2">
        <v>0</v>
      </c>
      <c r="DO33" s="2">
        <v>0</v>
      </c>
      <c r="DP33" s="2">
        <v>1</v>
      </c>
      <c r="DQ33" s="2">
        <v>1</v>
      </c>
      <c r="DR33" s="2"/>
      <c r="DS33" s="2"/>
      <c r="DT33" s="2"/>
      <c r="DU33" s="2">
        <v>1013</v>
      </c>
      <c r="DV33" s="2" t="s">
        <v>27</v>
      </c>
      <c r="DW33" s="2" t="s">
        <v>27</v>
      </c>
      <c r="DX33" s="2">
        <v>1</v>
      </c>
      <c r="DY33" s="2"/>
      <c r="DZ33" s="2" t="s">
        <v>3</v>
      </c>
      <c r="EA33" s="2" t="s">
        <v>3</v>
      </c>
      <c r="EB33" s="2" t="s">
        <v>3</v>
      </c>
      <c r="EC33" s="2" t="s">
        <v>3</v>
      </c>
      <c r="ED33" s="2"/>
      <c r="EE33" s="2">
        <v>50991719</v>
      </c>
      <c r="EF33" s="2">
        <v>3</v>
      </c>
      <c r="EG33" s="2" t="s">
        <v>14</v>
      </c>
      <c r="EH33" s="2">
        <v>0</v>
      </c>
      <c r="EI33" s="2" t="s">
        <v>3</v>
      </c>
      <c r="EJ33" s="2">
        <v>2</v>
      </c>
      <c r="EK33" s="2">
        <v>108001</v>
      </c>
      <c r="EL33" s="2" t="s">
        <v>20</v>
      </c>
      <c r="EM33" s="2" t="s">
        <v>21</v>
      </c>
      <c r="EN33" s="2"/>
      <c r="EO33" s="2" t="s">
        <v>3</v>
      </c>
      <c r="EP33" s="2"/>
      <c r="EQ33" s="2">
        <v>0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>
        <v>0</v>
      </c>
      <c r="FR33" s="2">
        <v>0</v>
      </c>
      <c r="FS33" s="2">
        <v>0</v>
      </c>
      <c r="FT33" s="2"/>
      <c r="FU33" s="2"/>
      <c r="FV33" s="2"/>
      <c r="FW33" s="2"/>
      <c r="FX33" s="2">
        <v>97</v>
      </c>
      <c r="FY33" s="2">
        <v>51</v>
      </c>
      <c r="FZ33" s="2"/>
      <c r="GA33" s="2" t="s">
        <v>3</v>
      </c>
      <c r="GB33" s="2"/>
      <c r="GC33" s="2"/>
      <c r="GD33" s="2">
        <v>1</v>
      </c>
      <c r="GE33" s="2"/>
      <c r="GF33" s="2">
        <v>274903907</v>
      </c>
      <c r="GG33" s="2">
        <v>2</v>
      </c>
      <c r="GH33" s="2">
        <v>1</v>
      </c>
      <c r="GI33" s="2">
        <v>-2</v>
      </c>
      <c r="GJ33" s="2">
        <v>0</v>
      </c>
      <c r="GK33" s="2">
        <v>0</v>
      </c>
      <c r="GL33" s="2">
        <f t="shared" si="28"/>
        <v>0</v>
      </c>
      <c r="GM33" s="2">
        <f t="shared" si="29"/>
        <v>35.270000000000003</v>
      </c>
      <c r="GN33" s="2">
        <f t="shared" si="30"/>
        <v>0</v>
      </c>
      <c r="GO33" s="2">
        <f t="shared" si="31"/>
        <v>35.270000000000003</v>
      </c>
      <c r="GP33" s="2">
        <f t="shared" si="32"/>
        <v>0</v>
      </c>
      <c r="GQ33" s="2"/>
      <c r="GR33" s="2">
        <v>0</v>
      </c>
      <c r="GS33" s="2">
        <v>3</v>
      </c>
      <c r="GT33" s="2">
        <v>0</v>
      </c>
      <c r="GU33" s="2" t="s">
        <v>3</v>
      </c>
      <c r="GV33" s="2">
        <f t="shared" si="33"/>
        <v>0</v>
      </c>
      <c r="GW33" s="2">
        <v>1</v>
      </c>
      <c r="GX33" s="2">
        <f t="shared" si="34"/>
        <v>0</v>
      </c>
      <c r="GY33" s="2"/>
      <c r="GZ33" s="2"/>
      <c r="HA33" s="2">
        <v>0</v>
      </c>
      <c r="HB33" s="2">
        <v>0</v>
      </c>
      <c r="HC33" s="2">
        <f>0</f>
        <v>0</v>
      </c>
      <c r="HD33" s="2"/>
      <c r="HE33" s="2" t="s">
        <v>3</v>
      </c>
      <c r="HF33" s="2" t="s">
        <v>3</v>
      </c>
      <c r="HG33" s="2"/>
      <c r="HH33" s="2"/>
      <c r="HI33" s="2"/>
      <c r="HJ33" s="2"/>
      <c r="HK33" s="2"/>
      <c r="HL33" s="2"/>
      <c r="HM33" s="2" t="s">
        <v>3</v>
      </c>
      <c r="HN33" s="2" t="s">
        <v>22</v>
      </c>
      <c r="HO33" s="2" t="s">
        <v>23</v>
      </c>
      <c r="HP33" s="2" t="s">
        <v>20</v>
      </c>
      <c r="HQ33" s="2" t="s">
        <v>20</v>
      </c>
      <c r="HR33" s="2"/>
      <c r="HS33" s="2">
        <v>0</v>
      </c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>
        <v>0</v>
      </c>
      <c r="IL33" s="2"/>
      <c r="IM33" s="2"/>
      <c r="IN33" s="2"/>
      <c r="IO33" s="2"/>
      <c r="IP33" s="2"/>
      <c r="IQ33" s="2"/>
      <c r="IR33" s="2"/>
      <c r="IS33" s="2"/>
      <c r="IT33" s="2"/>
      <c r="IU33" s="2"/>
    </row>
    <row r="34" spans="1:255" x14ac:dyDescent="0.2">
      <c r="A34" s="2">
        <v>17</v>
      </c>
      <c r="B34" s="2">
        <v>1</v>
      </c>
      <c r="C34" s="2"/>
      <c r="D34" s="2"/>
      <c r="E34" s="2" t="s">
        <v>46</v>
      </c>
      <c r="F34" s="2" t="s">
        <v>47</v>
      </c>
      <c r="G34" s="2" t="s">
        <v>48</v>
      </c>
      <c r="H34" s="2" t="s">
        <v>18</v>
      </c>
      <c r="I34" s="2">
        <f>ROUND(12/100,7)</f>
        <v>0.12</v>
      </c>
      <c r="J34" s="2">
        <v>0</v>
      </c>
      <c r="K34" s="2">
        <f>ROUND(12/100,7)</f>
        <v>0.12</v>
      </c>
      <c r="L34" s="2"/>
      <c r="M34" s="2"/>
      <c r="N34" s="2"/>
      <c r="O34" s="2">
        <f t="shared" ref="O34:O40" si="47">ROUND(CP34,2)</f>
        <v>7819.63</v>
      </c>
      <c r="P34" s="2">
        <f t="shared" ref="P34:P39" si="48">ROUND(CQ34*I34,2)</f>
        <v>7819.63</v>
      </c>
      <c r="Q34" s="2">
        <f t="shared" si="38"/>
        <v>0</v>
      </c>
      <c r="R34" s="2">
        <f t="shared" si="39"/>
        <v>0</v>
      </c>
      <c r="S34" s="2">
        <f t="shared" si="40"/>
        <v>0</v>
      </c>
      <c r="T34" s="2">
        <f t="shared" si="21"/>
        <v>0</v>
      </c>
      <c r="U34" s="2">
        <f t="shared" si="41"/>
        <v>0</v>
      </c>
      <c r="V34" s="2">
        <f t="shared" si="42"/>
        <v>0</v>
      </c>
      <c r="W34" s="2">
        <f t="shared" si="22"/>
        <v>0</v>
      </c>
      <c r="X34" s="2">
        <f t="shared" si="23"/>
        <v>0</v>
      </c>
      <c r="Y34" s="2">
        <f t="shared" si="24"/>
        <v>0</v>
      </c>
      <c r="Z34" s="2"/>
      <c r="AA34" s="2">
        <v>52718353</v>
      </c>
      <c r="AB34" s="2">
        <f t="shared" si="25"/>
        <v>52130.86</v>
      </c>
      <c r="AC34" s="2">
        <f t="shared" si="43"/>
        <v>52130.86</v>
      </c>
      <c r="AD34" s="2">
        <f t="shared" si="44"/>
        <v>0</v>
      </c>
      <c r="AE34" s="2">
        <f t="shared" si="45"/>
        <v>0</v>
      </c>
      <c r="AF34" s="2">
        <f t="shared" si="45"/>
        <v>0</v>
      </c>
      <c r="AG34" s="2">
        <f t="shared" si="26"/>
        <v>0</v>
      </c>
      <c r="AH34" s="2">
        <f t="shared" si="46"/>
        <v>0</v>
      </c>
      <c r="AI34" s="2">
        <f t="shared" si="46"/>
        <v>0</v>
      </c>
      <c r="AJ34" s="2">
        <f t="shared" si="27"/>
        <v>0</v>
      </c>
      <c r="AK34" s="2">
        <v>52130.86</v>
      </c>
      <c r="AL34" s="2">
        <v>52130.86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1</v>
      </c>
      <c r="AW34" s="2">
        <v>1</v>
      </c>
      <c r="AX34" s="2"/>
      <c r="AY34" s="2"/>
      <c r="AZ34" s="2">
        <v>1</v>
      </c>
      <c r="BA34" s="2">
        <v>1</v>
      </c>
      <c r="BB34" s="2">
        <v>1</v>
      </c>
      <c r="BC34" s="2">
        <v>1.25</v>
      </c>
      <c r="BD34" s="2" t="s">
        <v>3</v>
      </c>
      <c r="BE34" s="2" t="s">
        <v>3</v>
      </c>
      <c r="BF34" s="2" t="s">
        <v>3</v>
      </c>
      <c r="BG34" s="2" t="s">
        <v>3</v>
      </c>
      <c r="BH34" s="2">
        <v>3</v>
      </c>
      <c r="BI34" s="2">
        <v>2</v>
      </c>
      <c r="BJ34" s="2" t="s">
        <v>49</v>
      </c>
      <c r="BK34" s="2"/>
      <c r="BL34" s="2"/>
      <c r="BM34" s="2">
        <v>500002</v>
      </c>
      <c r="BN34" s="2">
        <v>0</v>
      </c>
      <c r="BO34" s="2" t="s">
        <v>47</v>
      </c>
      <c r="BP34" s="2">
        <v>1</v>
      </c>
      <c r="BQ34" s="2">
        <v>12</v>
      </c>
      <c r="BR34" s="2">
        <v>0</v>
      </c>
      <c r="BS34" s="2">
        <v>1</v>
      </c>
      <c r="BT34" s="2">
        <v>1</v>
      </c>
      <c r="BU34" s="2">
        <v>1</v>
      </c>
      <c r="BV34" s="2">
        <v>1</v>
      </c>
      <c r="BW34" s="2">
        <v>1</v>
      </c>
      <c r="BX34" s="2">
        <v>1</v>
      </c>
      <c r="BY34" s="2" t="s">
        <v>3</v>
      </c>
      <c r="BZ34" s="2">
        <v>0</v>
      </c>
      <c r="CA34" s="2">
        <v>0</v>
      </c>
      <c r="CB34" s="2" t="s">
        <v>3</v>
      </c>
      <c r="CC34" s="2"/>
      <c r="CD34" s="2"/>
      <c r="CE34" s="2">
        <v>0</v>
      </c>
      <c r="CF34" s="2">
        <v>0</v>
      </c>
      <c r="CG34" s="2">
        <v>0</v>
      </c>
      <c r="CH34" s="2"/>
      <c r="CI34" s="2"/>
      <c r="CJ34" s="2"/>
      <c r="CK34" s="2"/>
      <c r="CL34" s="2"/>
      <c r="CM34" s="2">
        <v>0</v>
      </c>
      <c r="CN34" s="2" t="s">
        <v>3</v>
      </c>
      <c r="CO34" s="2">
        <v>0</v>
      </c>
      <c r="CP34" s="2">
        <f t="shared" ref="CP34:CP40" si="49">(P34+Q34+S34+R34)</f>
        <v>7819.63</v>
      </c>
      <c r="CQ34" s="2">
        <f t="shared" ref="CQ34:CQ39" si="50">ROUND(AL34*BC34,2)</f>
        <v>65163.58</v>
      </c>
      <c r="CR34" s="2">
        <f t="shared" ref="CR34:CR39" si="51">ROUND(AM34*BB34,2)</f>
        <v>0</v>
      </c>
      <c r="CS34" s="2">
        <f t="shared" ref="CS34:CS39" si="52">ROUND(AN34*BS34,2)</f>
        <v>0</v>
      </c>
      <c r="CT34" s="2">
        <f t="shared" ref="CT34:CT39" si="53">ROUND(AO34*BA34,2)</f>
        <v>0</v>
      </c>
      <c r="CU34" s="2">
        <f t="shared" ref="CU34:CX39" si="54">AG34</f>
        <v>0</v>
      </c>
      <c r="CV34" s="2">
        <f t="shared" si="54"/>
        <v>0</v>
      </c>
      <c r="CW34" s="2">
        <f t="shared" si="54"/>
        <v>0</v>
      </c>
      <c r="CX34" s="2">
        <f t="shared" si="54"/>
        <v>0</v>
      </c>
      <c r="CY34" s="2">
        <f>0</f>
        <v>0</v>
      </c>
      <c r="CZ34" s="2">
        <f>0</f>
        <v>0</v>
      </c>
      <c r="DA34" s="2"/>
      <c r="DB34" s="2"/>
      <c r="DC34" s="2" t="s">
        <v>3</v>
      </c>
      <c r="DD34" s="2" t="s">
        <v>3</v>
      </c>
      <c r="DE34" s="2" t="s">
        <v>3</v>
      </c>
      <c r="DF34" s="2" t="s">
        <v>3</v>
      </c>
      <c r="DG34" s="2" t="s">
        <v>3</v>
      </c>
      <c r="DH34" s="2" t="s">
        <v>3</v>
      </c>
      <c r="DI34" s="2" t="s">
        <v>3</v>
      </c>
      <c r="DJ34" s="2" t="s">
        <v>3</v>
      </c>
      <c r="DK34" s="2" t="s">
        <v>3</v>
      </c>
      <c r="DL34" s="2" t="s">
        <v>3</v>
      </c>
      <c r="DM34" s="2" t="s">
        <v>3</v>
      </c>
      <c r="DN34" s="2">
        <v>0</v>
      </c>
      <c r="DO34" s="2">
        <v>0</v>
      </c>
      <c r="DP34" s="2">
        <v>1</v>
      </c>
      <c r="DQ34" s="2">
        <v>1</v>
      </c>
      <c r="DR34" s="2"/>
      <c r="DS34" s="2"/>
      <c r="DT34" s="2"/>
      <c r="DU34" s="2">
        <v>1003</v>
      </c>
      <c r="DV34" s="2" t="s">
        <v>18</v>
      </c>
      <c r="DW34" s="2" t="s">
        <v>18</v>
      </c>
      <c r="DX34" s="2">
        <v>100</v>
      </c>
      <c r="DY34" s="2"/>
      <c r="DZ34" s="2" t="s">
        <v>3</v>
      </c>
      <c r="EA34" s="2" t="s">
        <v>3</v>
      </c>
      <c r="EB34" s="2" t="s">
        <v>3</v>
      </c>
      <c r="EC34" s="2" t="s">
        <v>3</v>
      </c>
      <c r="ED34" s="2"/>
      <c r="EE34" s="2">
        <v>50991777</v>
      </c>
      <c r="EF34" s="2">
        <v>12</v>
      </c>
      <c r="EG34" s="2" t="s">
        <v>50</v>
      </c>
      <c r="EH34" s="2">
        <v>0</v>
      </c>
      <c r="EI34" s="2" t="s">
        <v>3</v>
      </c>
      <c r="EJ34" s="2">
        <v>2</v>
      </c>
      <c r="EK34" s="2">
        <v>500002</v>
      </c>
      <c r="EL34" s="2" t="s">
        <v>51</v>
      </c>
      <c r="EM34" s="2" t="s">
        <v>52</v>
      </c>
      <c r="EN34" s="2"/>
      <c r="EO34" s="2" t="s">
        <v>3</v>
      </c>
      <c r="EP34" s="2"/>
      <c r="EQ34" s="2">
        <v>0</v>
      </c>
      <c r="ER34" s="2">
        <v>52130.86</v>
      </c>
      <c r="ES34" s="2">
        <v>52130.86</v>
      </c>
      <c r="ET34" s="2">
        <v>0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>
        <v>0</v>
      </c>
      <c r="FR34" s="2">
        <v>0</v>
      </c>
      <c r="FS34" s="2">
        <v>0</v>
      </c>
      <c r="FT34" s="2"/>
      <c r="FU34" s="2"/>
      <c r="FV34" s="2"/>
      <c r="FW34" s="2"/>
      <c r="FX34" s="2">
        <v>0</v>
      </c>
      <c r="FY34" s="2">
        <v>0</v>
      </c>
      <c r="FZ34" s="2"/>
      <c r="GA34" s="2" t="s">
        <v>3</v>
      </c>
      <c r="GB34" s="2"/>
      <c r="GC34" s="2"/>
      <c r="GD34" s="2">
        <v>1</v>
      </c>
      <c r="GE34" s="2"/>
      <c r="GF34" s="2">
        <v>-1846170631</v>
      </c>
      <c r="GG34" s="2">
        <v>2</v>
      </c>
      <c r="GH34" s="2">
        <v>1</v>
      </c>
      <c r="GI34" s="2">
        <v>2</v>
      </c>
      <c r="GJ34" s="2">
        <v>0</v>
      </c>
      <c r="GK34" s="2">
        <v>0</v>
      </c>
      <c r="GL34" s="2">
        <f t="shared" si="28"/>
        <v>0</v>
      </c>
      <c r="GM34" s="2">
        <f t="shared" si="29"/>
        <v>7819.63</v>
      </c>
      <c r="GN34" s="2">
        <f t="shared" si="30"/>
        <v>0</v>
      </c>
      <c r="GO34" s="2">
        <f t="shared" si="31"/>
        <v>7819.63</v>
      </c>
      <c r="GP34" s="2">
        <f t="shared" si="32"/>
        <v>0</v>
      </c>
      <c r="GQ34" s="2"/>
      <c r="GR34" s="2">
        <v>0</v>
      </c>
      <c r="GS34" s="2">
        <v>3</v>
      </c>
      <c r="GT34" s="2">
        <v>0</v>
      </c>
      <c r="GU34" s="2" t="s">
        <v>3</v>
      </c>
      <c r="GV34" s="2">
        <f t="shared" si="33"/>
        <v>0</v>
      </c>
      <c r="GW34" s="2">
        <v>1</v>
      </c>
      <c r="GX34" s="2">
        <f t="shared" si="34"/>
        <v>0</v>
      </c>
      <c r="GY34" s="2"/>
      <c r="GZ34" s="2"/>
      <c r="HA34" s="2">
        <v>0</v>
      </c>
      <c r="HB34" s="2">
        <v>0</v>
      </c>
      <c r="HC34" s="2">
        <f t="shared" ref="HC34:HC40" si="55">GV34*GW34</f>
        <v>0</v>
      </c>
      <c r="HD34" s="2"/>
      <c r="HE34" s="2" t="s">
        <v>3</v>
      </c>
      <c r="HF34" s="2" t="s">
        <v>3</v>
      </c>
      <c r="HG34" s="2"/>
      <c r="HH34" s="2"/>
      <c r="HI34" s="2"/>
      <c r="HJ34" s="2"/>
      <c r="HK34" s="2"/>
      <c r="HL34" s="2"/>
      <c r="HM34" s="2" t="s">
        <v>3</v>
      </c>
      <c r="HN34" s="2" t="s">
        <v>3</v>
      </c>
      <c r="HO34" s="2" t="s">
        <v>3</v>
      </c>
      <c r="HP34" s="2" t="s">
        <v>3</v>
      </c>
      <c r="HQ34" s="2" t="s">
        <v>3</v>
      </c>
      <c r="HR34" s="2"/>
      <c r="HS34" s="2">
        <v>0</v>
      </c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>
        <v>0</v>
      </c>
      <c r="IL34" s="2"/>
      <c r="IM34" s="2"/>
      <c r="IN34" s="2"/>
      <c r="IO34" s="2"/>
      <c r="IP34" s="2"/>
      <c r="IQ34" s="2"/>
      <c r="IR34" s="2"/>
      <c r="IS34" s="2"/>
      <c r="IT34" s="2"/>
      <c r="IU34" s="2"/>
    </row>
    <row r="35" spans="1:255" x14ac:dyDescent="0.2">
      <c r="A35" s="2">
        <v>17</v>
      </c>
      <c r="B35" s="2">
        <v>1</v>
      </c>
      <c r="C35" s="2"/>
      <c r="D35" s="2"/>
      <c r="E35" s="2" t="s">
        <v>53</v>
      </c>
      <c r="F35" s="2" t="s">
        <v>54</v>
      </c>
      <c r="G35" s="2" t="s">
        <v>55</v>
      </c>
      <c r="H35" s="2" t="s">
        <v>56</v>
      </c>
      <c r="I35" s="2">
        <f>ROUND(3/100,7)</f>
        <v>0.03</v>
      </c>
      <c r="J35" s="2">
        <v>0</v>
      </c>
      <c r="K35" s="2">
        <f>ROUND(3/100,7)</f>
        <v>0.03</v>
      </c>
      <c r="L35" s="2"/>
      <c r="M35" s="2"/>
      <c r="N35" s="2"/>
      <c r="O35" s="2">
        <f t="shared" si="47"/>
        <v>1689.13</v>
      </c>
      <c r="P35" s="2">
        <f t="shared" si="48"/>
        <v>1689.13</v>
      </c>
      <c r="Q35" s="2">
        <f t="shared" si="38"/>
        <v>0</v>
      </c>
      <c r="R35" s="2">
        <f t="shared" si="39"/>
        <v>0</v>
      </c>
      <c r="S35" s="2">
        <f t="shared" si="40"/>
        <v>0</v>
      </c>
      <c r="T35" s="2">
        <f t="shared" si="21"/>
        <v>0</v>
      </c>
      <c r="U35" s="2">
        <f t="shared" si="41"/>
        <v>0</v>
      </c>
      <c r="V35" s="2">
        <f t="shared" si="42"/>
        <v>0</v>
      </c>
      <c r="W35" s="2">
        <f t="shared" si="22"/>
        <v>0</v>
      </c>
      <c r="X35" s="2">
        <f t="shared" si="23"/>
        <v>0</v>
      </c>
      <c r="Y35" s="2">
        <f t="shared" si="24"/>
        <v>0</v>
      </c>
      <c r="Z35" s="2"/>
      <c r="AA35" s="2">
        <v>52718353</v>
      </c>
      <c r="AB35" s="2">
        <f t="shared" si="25"/>
        <v>45043.5</v>
      </c>
      <c r="AC35" s="2">
        <f t="shared" si="43"/>
        <v>45043.5</v>
      </c>
      <c r="AD35" s="2">
        <f t="shared" si="44"/>
        <v>0</v>
      </c>
      <c r="AE35" s="2">
        <f t="shared" si="45"/>
        <v>0</v>
      </c>
      <c r="AF35" s="2">
        <f t="shared" si="45"/>
        <v>0</v>
      </c>
      <c r="AG35" s="2">
        <f t="shared" si="26"/>
        <v>0</v>
      </c>
      <c r="AH35" s="2">
        <f t="shared" si="46"/>
        <v>0</v>
      </c>
      <c r="AI35" s="2">
        <f t="shared" si="46"/>
        <v>0</v>
      </c>
      <c r="AJ35" s="2">
        <f t="shared" si="27"/>
        <v>0</v>
      </c>
      <c r="AK35" s="2">
        <v>45043.5</v>
      </c>
      <c r="AL35" s="2">
        <v>45043.5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1</v>
      </c>
      <c r="AW35" s="2">
        <v>1</v>
      </c>
      <c r="AX35" s="2"/>
      <c r="AY35" s="2"/>
      <c r="AZ35" s="2">
        <v>1</v>
      </c>
      <c r="BA35" s="2">
        <v>1</v>
      </c>
      <c r="BB35" s="2">
        <v>1</v>
      </c>
      <c r="BC35" s="2">
        <v>1.25</v>
      </c>
      <c r="BD35" s="2" t="s">
        <v>3</v>
      </c>
      <c r="BE35" s="2" t="s">
        <v>3</v>
      </c>
      <c r="BF35" s="2" t="s">
        <v>3</v>
      </c>
      <c r="BG35" s="2" t="s">
        <v>3</v>
      </c>
      <c r="BH35" s="2">
        <v>3</v>
      </c>
      <c r="BI35" s="2">
        <v>2</v>
      </c>
      <c r="BJ35" s="2" t="s">
        <v>57</v>
      </c>
      <c r="BK35" s="2"/>
      <c r="BL35" s="2"/>
      <c r="BM35" s="2">
        <v>500002</v>
      </c>
      <c r="BN35" s="2">
        <v>0</v>
      </c>
      <c r="BO35" s="2" t="s">
        <v>54</v>
      </c>
      <c r="BP35" s="2">
        <v>1</v>
      </c>
      <c r="BQ35" s="2">
        <v>12</v>
      </c>
      <c r="BR35" s="2">
        <v>0</v>
      </c>
      <c r="BS35" s="2">
        <v>1</v>
      </c>
      <c r="BT35" s="2">
        <v>1</v>
      </c>
      <c r="BU35" s="2">
        <v>1</v>
      </c>
      <c r="BV35" s="2">
        <v>1</v>
      </c>
      <c r="BW35" s="2">
        <v>1</v>
      </c>
      <c r="BX35" s="2">
        <v>1</v>
      </c>
      <c r="BY35" s="2" t="s">
        <v>3</v>
      </c>
      <c r="BZ35" s="2">
        <v>0</v>
      </c>
      <c r="CA35" s="2">
        <v>0</v>
      </c>
      <c r="CB35" s="2" t="s">
        <v>3</v>
      </c>
      <c r="CC35" s="2"/>
      <c r="CD35" s="2"/>
      <c r="CE35" s="2">
        <v>0</v>
      </c>
      <c r="CF35" s="2">
        <v>0</v>
      </c>
      <c r="CG35" s="2">
        <v>0</v>
      </c>
      <c r="CH35" s="2"/>
      <c r="CI35" s="2"/>
      <c r="CJ35" s="2"/>
      <c r="CK35" s="2"/>
      <c r="CL35" s="2"/>
      <c r="CM35" s="2">
        <v>0</v>
      </c>
      <c r="CN35" s="2" t="s">
        <v>3</v>
      </c>
      <c r="CO35" s="2">
        <v>0</v>
      </c>
      <c r="CP35" s="2">
        <f t="shared" si="49"/>
        <v>1689.13</v>
      </c>
      <c r="CQ35" s="2">
        <f t="shared" si="50"/>
        <v>56304.38</v>
      </c>
      <c r="CR35" s="2">
        <f t="shared" si="51"/>
        <v>0</v>
      </c>
      <c r="CS35" s="2">
        <f t="shared" si="52"/>
        <v>0</v>
      </c>
      <c r="CT35" s="2">
        <f t="shared" si="53"/>
        <v>0</v>
      </c>
      <c r="CU35" s="2">
        <f t="shared" si="54"/>
        <v>0</v>
      </c>
      <c r="CV35" s="2">
        <f t="shared" si="54"/>
        <v>0</v>
      </c>
      <c r="CW35" s="2">
        <f t="shared" si="54"/>
        <v>0</v>
      </c>
      <c r="CX35" s="2">
        <f t="shared" si="54"/>
        <v>0</v>
      </c>
      <c r="CY35" s="2">
        <f>0</f>
        <v>0</v>
      </c>
      <c r="CZ35" s="2">
        <f>0</f>
        <v>0</v>
      </c>
      <c r="DA35" s="2"/>
      <c r="DB35" s="2"/>
      <c r="DC35" s="2" t="s">
        <v>3</v>
      </c>
      <c r="DD35" s="2" t="s">
        <v>3</v>
      </c>
      <c r="DE35" s="2" t="s">
        <v>3</v>
      </c>
      <c r="DF35" s="2" t="s">
        <v>3</v>
      </c>
      <c r="DG35" s="2" t="s">
        <v>3</v>
      </c>
      <c r="DH35" s="2" t="s">
        <v>3</v>
      </c>
      <c r="DI35" s="2" t="s">
        <v>3</v>
      </c>
      <c r="DJ35" s="2" t="s">
        <v>3</v>
      </c>
      <c r="DK35" s="2" t="s">
        <v>3</v>
      </c>
      <c r="DL35" s="2" t="s">
        <v>3</v>
      </c>
      <c r="DM35" s="2" t="s">
        <v>3</v>
      </c>
      <c r="DN35" s="2">
        <v>0</v>
      </c>
      <c r="DO35" s="2">
        <v>0</v>
      </c>
      <c r="DP35" s="2">
        <v>1</v>
      </c>
      <c r="DQ35" s="2">
        <v>1</v>
      </c>
      <c r="DR35" s="2"/>
      <c r="DS35" s="2"/>
      <c r="DT35" s="2"/>
      <c r="DU35" s="2">
        <v>1013</v>
      </c>
      <c r="DV35" s="2" t="s">
        <v>56</v>
      </c>
      <c r="DW35" s="2" t="s">
        <v>56</v>
      </c>
      <c r="DX35" s="2">
        <v>1</v>
      </c>
      <c r="DY35" s="2"/>
      <c r="DZ35" s="2" t="s">
        <v>3</v>
      </c>
      <c r="EA35" s="2" t="s">
        <v>3</v>
      </c>
      <c r="EB35" s="2" t="s">
        <v>3</v>
      </c>
      <c r="EC35" s="2" t="s">
        <v>3</v>
      </c>
      <c r="ED35" s="2"/>
      <c r="EE35" s="2">
        <v>50991777</v>
      </c>
      <c r="EF35" s="2">
        <v>12</v>
      </c>
      <c r="EG35" s="2" t="s">
        <v>50</v>
      </c>
      <c r="EH35" s="2">
        <v>0</v>
      </c>
      <c r="EI35" s="2" t="s">
        <v>3</v>
      </c>
      <c r="EJ35" s="2">
        <v>2</v>
      </c>
      <c r="EK35" s="2">
        <v>500002</v>
      </c>
      <c r="EL35" s="2" t="s">
        <v>51</v>
      </c>
      <c r="EM35" s="2" t="s">
        <v>52</v>
      </c>
      <c r="EN35" s="2"/>
      <c r="EO35" s="2" t="s">
        <v>3</v>
      </c>
      <c r="EP35" s="2"/>
      <c r="EQ35" s="2">
        <v>0</v>
      </c>
      <c r="ER35" s="2">
        <v>45043.5</v>
      </c>
      <c r="ES35" s="2">
        <v>45043.5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>
        <v>0</v>
      </c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>
        <v>0</v>
      </c>
      <c r="FR35" s="2">
        <v>0</v>
      </c>
      <c r="FS35" s="2">
        <v>0</v>
      </c>
      <c r="FT35" s="2"/>
      <c r="FU35" s="2"/>
      <c r="FV35" s="2"/>
      <c r="FW35" s="2"/>
      <c r="FX35" s="2">
        <v>0</v>
      </c>
      <c r="FY35" s="2">
        <v>0</v>
      </c>
      <c r="FZ35" s="2"/>
      <c r="GA35" s="2" t="s">
        <v>3</v>
      </c>
      <c r="GB35" s="2"/>
      <c r="GC35" s="2"/>
      <c r="GD35" s="2">
        <v>1</v>
      </c>
      <c r="GE35" s="2"/>
      <c r="GF35" s="2">
        <v>1642937238</v>
      </c>
      <c r="GG35" s="2">
        <v>2</v>
      </c>
      <c r="GH35" s="2">
        <v>1</v>
      </c>
      <c r="GI35" s="2">
        <v>2</v>
      </c>
      <c r="GJ35" s="2">
        <v>0</v>
      </c>
      <c r="GK35" s="2">
        <v>0</v>
      </c>
      <c r="GL35" s="2">
        <f t="shared" si="28"/>
        <v>0</v>
      </c>
      <c r="GM35" s="2">
        <f t="shared" si="29"/>
        <v>1689.13</v>
      </c>
      <c r="GN35" s="2">
        <f t="shared" si="30"/>
        <v>0</v>
      </c>
      <c r="GO35" s="2">
        <f t="shared" si="31"/>
        <v>1689.13</v>
      </c>
      <c r="GP35" s="2">
        <f t="shared" si="32"/>
        <v>0</v>
      </c>
      <c r="GQ35" s="2"/>
      <c r="GR35" s="2">
        <v>0</v>
      </c>
      <c r="GS35" s="2">
        <v>3</v>
      </c>
      <c r="GT35" s="2">
        <v>0</v>
      </c>
      <c r="GU35" s="2" t="s">
        <v>3</v>
      </c>
      <c r="GV35" s="2">
        <f t="shared" si="33"/>
        <v>0</v>
      </c>
      <c r="GW35" s="2">
        <v>1</v>
      </c>
      <c r="GX35" s="2">
        <f t="shared" si="34"/>
        <v>0</v>
      </c>
      <c r="GY35" s="2"/>
      <c r="GZ35" s="2"/>
      <c r="HA35" s="2">
        <v>0</v>
      </c>
      <c r="HB35" s="2">
        <v>0</v>
      </c>
      <c r="HC35" s="2">
        <f t="shared" si="55"/>
        <v>0</v>
      </c>
      <c r="HD35" s="2"/>
      <c r="HE35" s="2" t="s">
        <v>3</v>
      </c>
      <c r="HF35" s="2" t="s">
        <v>3</v>
      </c>
      <c r="HG35" s="2"/>
      <c r="HH35" s="2"/>
      <c r="HI35" s="2"/>
      <c r="HJ35" s="2"/>
      <c r="HK35" s="2"/>
      <c r="HL35" s="2"/>
      <c r="HM35" s="2" t="s">
        <v>3</v>
      </c>
      <c r="HN35" s="2" t="s">
        <v>3</v>
      </c>
      <c r="HO35" s="2" t="s">
        <v>3</v>
      </c>
      <c r="HP35" s="2" t="s">
        <v>3</v>
      </c>
      <c r="HQ35" s="2" t="s">
        <v>3</v>
      </c>
      <c r="HR35" s="2"/>
      <c r="HS35" s="2">
        <v>0</v>
      </c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>
        <v>0</v>
      </c>
      <c r="IL35" s="2"/>
      <c r="IM35" s="2"/>
      <c r="IN35" s="2"/>
      <c r="IO35" s="2"/>
      <c r="IP35" s="2"/>
      <c r="IQ35" s="2"/>
      <c r="IR35" s="2"/>
      <c r="IS35" s="2"/>
      <c r="IT35" s="2"/>
      <c r="IU35" s="2"/>
    </row>
    <row r="36" spans="1:255" x14ac:dyDescent="0.2">
      <c r="A36" s="2">
        <v>17</v>
      </c>
      <c r="B36" s="2">
        <v>1</v>
      </c>
      <c r="C36" s="2"/>
      <c r="D36" s="2"/>
      <c r="E36" s="2" t="s">
        <v>58</v>
      </c>
      <c r="F36" s="2" t="s">
        <v>59</v>
      </c>
      <c r="G36" s="2" t="s">
        <v>60</v>
      </c>
      <c r="H36" s="2" t="s">
        <v>56</v>
      </c>
      <c r="I36" s="2">
        <f>ROUND(3/100,7)</f>
        <v>0.03</v>
      </c>
      <c r="J36" s="2">
        <v>0</v>
      </c>
      <c r="K36" s="2">
        <f>ROUND(3/100,7)</f>
        <v>0.03</v>
      </c>
      <c r="L36" s="2"/>
      <c r="M36" s="2"/>
      <c r="N36" s="2"/>
      <c r="O36" s="2">
        <f t="shared" si="47"/>
        <v>2803.83</v>
      </c>
      <c r="P36" s="2">
        <f t="shared" si="48"/>
        <v>2803.83</v>
      </c>
      <c r="Q36" s="2">
        <f t="shared" si="38"/>
        <v>0</v>
      </c>
      <c r="R36" s="2">
        <f t="shared" si="39"/>
        <v>0</v>
      </c>
      <c r="S36" s="2">
        <f t="shared" si="40"/>
        <v>0</v>
      </c>
      <c r="T36" s="2">
        <f t="shared" si="21"/>
        <v>0</v>
      </c>
      <c r="U36" s="2">
        <f t="shared" si="41"/>
        <v>0</v>
      </c>
      <c r="V36" s="2">
        <f t="shared" si="42"/>
        <v>0</v>
      </c>
      <c r="W36" s="2">
        <f t="shared" si="22"/>
        <v>0</v>
      </c>
      <c r="X36" s="2">
        <f t="shared" si="23"/>
        <v>0</v>
      </c>
      <c r="Y36" s="2">
        <f t="shared" si="24"/>
        <v>0</v>
      </c>
      <c r="Z36" s="2"/>
      <c r="AA36" s="2">
        <v>52718353</v>
      </c>
      <c r="AB36" s="2">
        <f t="shared" si="25"/>
        <v>74768.789999999994</v>
      </c>
      <c r="AC36" s="2">
        <f t="shared" si="43"/>
        <v>74768.789999999994</v>
      </c>
      <c r="AD36" s="2">
        <f t="shared" si="44"/>
        <v>0</v>
      </c>
      <c r="AE36" s="2">
        <f t="shared" si="45"/>
        <v>0</v>
      </c>
      <c r="AF36" s="2">
        <f t="shared" si="45"/>
        <v>0</v>
      </c>
      <c r="AG36" s="2">
        <f t="shared" si="26"/>
        <v>0</v>
      </c>
      <c r="AH36" s="2">
        <f t="shared" si="46"/>
        <v>0</v>
      </c>
      <c r="AI36" s="2">
        <f t="shared" si="46"/>
        <v>0</v>
      </c>
      <c r="AJ36" s="2">
        <f t="shared" si="27"/>
        <v>0</v>
      </c>
      <c r="AK36" s="2">
        <v>74768.789999999994</v>
      </c>
      <c r="AL36" s="2">
        <v>74768.789999999994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1</v>
      </c>
      <c r="AW36" s="2">
        <v>1</v>
      </c>
      <c r="AX36" s="2"/>
      <c r="AY36" s="2"/>
      <c r="AZ36" s="2">
        <v>1</v>
      </c>
      <c r="BA36" s="2">
        <v>1</v>
      </c>
      <c r="BB36" s="2">
        <v>1</v>
      </c>
      <c r="BC36" s="2">
        <v>1.25</v>
      </c>
      <c r="BD36" s="2" t="s">
        <v>3</v>
      </c>
      <c r="BE36" s="2" t="s">
        <v>3</v>
      </c>
      <c r="BF36" s="2" t="s">
        <v>3</v>
      </c>
      <c r="BG36" s="2" t="s">
        <v>3</v>
      </c>
      <c r="BH36" s="2">
        <v>3</v>
      </c>
      <c r="BI36" s="2">
        <v>2</v>
      </c>
      <c r="BJ36" s="2" t="s">
        <v>61</v>
      </c>
      <c r="BK36" s="2"/>
      <c r="BL36" s="2"/>
      <c r="BM36" s="2">
        <v>500002</v>
      </c>
      <c r="BN36" s="2">
        <v>0</v>
      </c>
      <c r="BO36" s="2" t="s">
        <v>59</v>
      </c>
      <c r="BP36" s="2">
        <v>1</v>
      </c>
      <c r="BQ36" s="2">
        <v>12</v>
      </c>
      <c r="BR36" s="2">
        <v>0</v>
      </c>
      <c r="BS36" s="2">
        <v>1</v>
      </c>
      <c r="BT36" s="2">
        <v>1</v>
      </c>
      <c r="BU36" s="2">
        <v>1</v>
      </c>
      <c r="BV36" s="2">
        <v>1</v>
      </c>
      <c r="BW36" s="2">
        <v>1</v>
      </c>
      <c r="BX36" s="2">
        <v>1</v>
      </c>
      <c r="BY36" s="2" t="s">
        <v>3</v>
      </c>
      <c r="BZ36" s="2">
        <v>0</v>
      </c>
      <c r="CA36" s="2">
        <v>0</v>
      </c>
      <c r="CB36" s="2" t="s">
        <v>3</v>
      </c>
      <c r="CC36" s="2"/>
      <c r="CD36" s="2"/>
      <c r="CE36" s="2">
        <v>0</v>
      </c>
      <c r="CF36" s="2">
        <v>0</v>
      </c>
      <c r="CG36" s="2">
        <v>0</v>
      </c>
      <c r="CH36" s="2"/>
      <c r="CI36" s="2"/>
      <c r="CJ36" s="2"/>
      <c r="CK36" s="2"/>
      <c r="CL36" s="2"/>
      <c r="CM36" s="2">
        <v>0</v>
      </c>
      <c r="CN36" s="2" t="s">
        <v>3</v>
      </c>
      <c r="CO36" s="2">
        <v>0</v>
      </c>
      <c r="CP36" s="2">
        <f t="shared" si="49"/>
        <v>2803.83</v>
      </c>
      <c r="CQ36" s="2">
        <f t="shared" si="50"/>
        <v>93460.99</v>
      </c>
      <c r="CR36" s="2">
        <f t="shared" si="51"/>
        <v>0</v>
      </c>
      <c r="CS36" s="2">
        <f t="shared" si="52"/>
        <v>0</v>
      </c>
      <c r="CT36" s="2">
        <f t="shared" si="53"/>
        <v>0</v>
      </c>
      <c r="CU36" s="2">
        <f t="shared" si="54"/>
        <v>0</v>
      </c>
      <c r="CV36" s="2">
        <f t="shared" si="54"/>
        <v>0</v>
      </c>
      <c r="CW36" s="2">
        <f t="shared" si="54"/>
        <v>0</v>
      </c>
      <c r="CX36" s="2">
        <f t="shared" si="54"/>
        <v>0</v>
      </c>
      <c r="CY36" s="2">
        <f>0</f>
        <v>0</v>
      </c>
      <c r="CZ36" s="2">
        <f>0</f>
        <v>0</v>
      </c>
      <c r="DA36" s="2"/>
      <c r="DB36" s="2"/>
      <c r="DC36" s="2" t="s">
        <v>3</v>
      </c>
      <c r="DD36" s="2" t="s">
        <v>3</v>
      </c>
      <c r="DE36" s="2" t="s">
        <v>3</v>
      </c>
      <c r="DF36" s="2" t="s">
        <v>3</v>
      </c>
      <c r="DG36" s="2" t="s">
        <v>3</v>
      </c>
      <c r="DH36" s="2" t="s">
        <v>3</v>
      </c>
      <c r="DI36" s="2" t="s">
        <v>3</v>
      </c>
      <c r="DJ36" s="2" t="s">
        <v>3</v>
      </c>
      <c r="DK36" s="2" t="s">
        <v>3</v>
      </c>
      <c r="DL36" s="2" t="s">
        <v>3</v>
      </c>
      <c r="DM36" s="2" t="s">
        <v>3</v>
      </c>
      <c r="DN36" s="2">
        <v>0</v>
      </c>
      <c r="DO36" s="2">
        <v>0</v>
      </c>
      <c r="DP36" s="2">
        <v>1</v>
      </c>
      <c r="DQ36" s="2">
        <v>1</v>
      </c>
      <c r="DR36" s="2"/>
      <c r="DS36" s="2"/>
      <c r="DT36" s="2"/>
      <c r="DU36" s="2">
        <v>1013</v>
      </c>
      <c r="DV36" s="2" t="s">
        <v>56</v>
      </c>
      <c r="DW36" s="2" t="s">
        <v>56</v>
      </c>
      <c r="DX36" s="2">
        <v>1</v>
      </c>
      <c r="DY36" s="2"/>
      <c r="DZ36" s="2" t="s">
        <v>3</v>
      </c>
      <c r="EA36" s="2" t="s">
        <v>3</v>
      </c>
      <c r="EB36" s="2" t="s">
        <v>3</v>
      </c>
      <c r="EC36" s="2" t="s">
        <v>3</v>
      </c>
      <c r="ED36" s="2"/>
      <c r="EE36" s="2">
        <v>50991777</v>
      </c>
      <c r="EF36" s="2">
        <v>12</v>
      </c>
      <c r="EG36" s="2" t="s">
        <v>50</v>
      </c>
      <c r="EH36" s="2">
        <v>0</v>
      </c>
      <c r="EI36" s="2" t="s">
        <v>3</v>
      </c>
      <c r="EJ36" s="2">
        <v>2</v>
      </c>
      <c r="EK36" s="2">
        <v>500002</v>
      </c>
      <c r="EL36" s="2" t="s">
        <v>51</v>
      </c>
      <c r="EM36" s="2" t="s">
        <v>52</v>
      </c>
      <c r="EN36" s="2"/>
      <c r="EO36" s="2" t="s">
        <v>3</v>
      </c>
      <c r="EP36" s="2"/>
      <c r="EQ36" s="2">
        <v>0</v>
      </c>
      <c r="ER36" s="2">
        <v>74768.789999999994</v>
      </c>
      <c r="ES36" s="2">
        <v>74768.789999999994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>
        <v>0</v>
      </c>
      <c r="FR36" s="2">
        <v>0</v>
      </c>
      <c r="FS36" s="2">
        <v>0</v>
      </c>
      <c r="FT36" s="2"/>
      <c r="FU36" s="2"/>
      <c r="FV36" s="2"/>
      <c r="FW36" s="2"/>
      <c r="FX36" s="2">
        <v>0</v>
      </c>
      <c r="FY36" s="2">
        <v>0</v>
      </c>
      <c r="FZ36" s="2"/>
      <c r="GA36" s="2" t="s">
        <v>3</v>
      </c>
      <c r="GB36" s="2"/>
      <c r="GC36" s="2"/>
      <c r="GD36" s="2">
        <v>1</v>
      </c>
      <c r="GE36" s="2"/>
      <c r="GF36" s="2">
        <v>-208855111</v>
      </c>
      <c r="GG36" s="2">
        <v>2</v>
      </c>
      <c r="GH36" s="2">
        <v>1</v>
      </c>
      <c r="GI36" s="2">
        <v>2</v>
      </c>
      <c r="GJ36" s="2">
        <v>0</v>
      </c>
      <c r="GK36" s="2">
        <v>0</v>
      </c>
      <c r="GL36" s="2">
        <f t="shared" si="28"/>
        <v>0</v>
      </c>
      <c r="GM36" s="2">
        <f t="shared" si="29"/>
        <v>2803.83</v>
      </c>
      <c r="GN36" s="2">
        <f t="shared" si="30"/>
        <v>0</v>
      </c>
      <c r="GO36" s="2">
        <f t="shared" si="31"/>
        <v>2803.83</v>
      </c>
      <c r="GP36" s="2">
        <f t="shared" si="32"/>
        <v>0</v>
      </c>
      <c r="GQ36" s="2"/>
      <c r="GR36" s="2">
        <v>0</v>
      </c>
      <c r="GS36" s="2">
        <v>3</v>
      </c>
      <c r="GT36" s="2">
        <v>0</v>
      </c>
      <c r="GU36" s="2" t="s">
        <v>3</v>
      </c>
      <c r="GV36" s="2">
        <f t="shared" si="33"/>
        <v>0</v>
      </c>
      <c r="GW36" s="2">
        <v>1</v>
      </c>
      <c r="GX36" s="2">
        <f t="shared" si="34"/>
        <v>0</v>
      </c>
      <c r="GY36" s="2"/>
      <c r="GZ36" s="2"/>
      <c r="HA36" s="2">
        <v>0</v>
      </c>
      <c r="HB36" s="2">
        <v>0</v>
      </c>
      <c r="HC36" s="2">
        <f t="shared" si="55"/>
        <v>0</v>
      </c>
      <c r="HD36" s="2"/>
      <c r="HE36" s="2" t="s">
        <v>3</v>
      </c>
      <c r="HF36" s="2" t="s">
        <v>3</v>
      </c>
      <c r="HG36" s="2"/>
      <c r="HH36" s="2"/>
      <c r="HI36" s="2"/>
      <c r="HJ36" s="2"/>
      <c r="HK36" s="2"/>
      <c r="HL36" s="2"/>
      <c r="HM36" s="2" t="s">
        <v>3</v>
      </c>
      <c r="HN36" s="2" t="s">
        <v>3</v>
      </c>
      <c r="HO36" s="2" t="s">
        <v>3</v>
      </c>
      <c r="HP36" s="2" t="s">
        <v>3</v>
      </c>
      <c r="HQ36" s="2" t="s">
        <v>3</v>
      </c>
      <c r="HR36" s="2"/>
      <c r="HS36" s="2">
        <v>0</v>
      </c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>
        <v>0</v>
      </c>
      <c r="IL36" s="2"/>
      <c r="IM36" s="2"/>
      <c r="IN36" s="2"/>
      <c r="IO36" s="2"/>
      <c r="IP36" s="2"/>
      <c r="IQ36" s="2"/>
      <c r="IR36" s="2"/>
      <c r="IS36" s="2"/>
      <c r="IT36" s="2"/>
      <c r="IU36" s="2"/>
    </row>
    <row r="37" spans="1:255" x14ac:dyDescent="0.2">
      <c r="A37" s="2">
        <v>17</v>
      </c>
      <c r="B37" s="2">
        <v>1</v>
      </c>
      <c r="C37" s="2"/>
      <c r="D37" s="2"/>
      <c r="E37" s="2" t="s">
        <v>62</v>
      </c>
      <c r="F37" s="2" t="s">
        <v>63</v>
      </c>
      <c r="G37" s="2" t="s">
        <v>64</v>
      </c>
      <c r="H37" s="2" t="s">
        <v>56</v>
      </c>
      <c r="I37" s="2">
        <f>ROUND(3/100,7)</f>
        <v>0.03</v>
      </c>
      <c r="J37" s="2">
        <v>0</v>
      </c>
      <c r="K37" s="2">
        <f>ROUND(3/100,7)</f>
        <v>0.03</v>
      </c>
      <c r="L37" s="2"/>
      <c r="M37" s="2"/>
      <c r="N37" s="2"/>
      <c r="O37" s="2">
        <f t="shared" si="47"/>
        <v>663.66</v>
      </c>
      <c r="P37" s="2">
        <f t="shared" si="48"/>
        <v>663.66</v>
      </c>
      <c r="Q37" s="2">
        <f t="shared" si="38"/>
        <v>0</v>
      </c>
      <c r="R37" s="2">
        <f t="shared" si="39"/>
        <v>0</v>
      </c>
      <c r="S37" s="2">
        <f t="shared" si="40"/>
        <v>0</v>
      </c>
      <c r="T37" s="2">
        <f t="shared" si="21"/>
        <v>0</v>
      </c>
      <c r="U37" s="2">
        <f t="shared" si="41"/>
        <v>0</v>
      </c>
      <c r="V37" s="2">
        <f t="shared" si="42"/>
        <v>0</v>
      </c>
      <c r="W37" s="2">
        <f t="shared" si="22"/>
        <v>0</v>
      </c>
      <c r="X37" s="2">
        <f t="shared" si="23"/>
        <v>0</v>
      </c>
      <c r="Y37" s="2">
        <f t="shared" si="24"/>
        <v>0</v>
      </c>
      <c r="Z37" s="2"/>
      <c r="AA37" s="2">
        <v>52718353</v>
      </c>
      <c r="AB37" s="2">
        <f t="shared" si="25"/>
        <v>17697.64</v>
      </c>
      <c r="AC37" s="2">
        <f t="shared" si="43"/>
        <v>17697.64</v>
      </c>
      <c r="AD37" s="2">
        <f t="shared" si="44"/>
        <v>0</v>
      </c>
      <c r="AE37" s="2">
        <f t="shared" si="45"/>
        <v>0</v>
      </c>
      <c r="AF37" s="2">
        <f t="shared" si="45"/>
        <v>0</v>
      </c>
      <c r="AG37" s="2">
        <f t="shared" si="26"/>
        <v>0</v>
      </c>
      <c r="AH37" s="2">
        <f t="shared" si="46"/>
        <v>0</v>
      </c>
      <c r="AI37" s="2">
        <f t="shared" si="46"/>
        <v>0</v>
      </c>
      <c r="AJ37" s="2">
        <f t="shared" si="27"/>
        <v>0</v>
      </c>
      <c r="AK37" s="2">
        <v>17697.64</v>
      </c>
      <c r="AL37" s="2">
        <v>17697.64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1</v>
      </c>
      <c r="AW37" s="2">
        <v>1</v>
      </c>
      <c r="AX37" s="2"/>
      <c r="AY37" s="2"/>
      <c r="AZ37" s="2">
        <v>1</v>
      </c>
      <c r="BA37" s="2">
        <v>1</v>
      </c>
      <c r="BB37" s="2">
        <v>1</v>
      </c>
      <c r="BC37" s="2">
        <v>1.25</v>
      </c>
      <c r="BD37" s="2" t="s">
        <v>3</v>
      </c>
      <c r="BE37" s="2" t="s">
        <v>3</v>
      </c>
      <c r="BF37" s="2" t="s">
        <v>3</v>
      </c>
      <c r="BG37" s="2" t="s">
        <v>3</v>
      </c>
      <c r="BH37" s="2">
        <v>3</v>
      </c>
      <c r="BI37" s="2">
        <v>2</v>
      </c>
      <c r="BJ37" s="2" t="s">
        <v>65</v>
      </c>
      <c r="BK37" s="2"/>
      <c r="BL37" s="2"/>
      <c r="BM37" s="2">
        <v>500002</v>
      </c>
      <c r="BN37" s="2">
        <v>0</v>
      </c>
      <c r="BO37" s="2" t="s">
        <v>63</v>
      </c>
      <c r="BP37" s="2">
        <v>1</v>
      </c>
      <c r="BQ37" s="2">
        <v>12</v>
      </c>
      <c r="BR37" s="2">
        <v>0</v>
      </c>
      <c r="BS37" s="2">
        <v>1</v>
      </c>
      <c r="BT37" s="2">
        <v>1</v>
      </c>
      <c r="BU37" s="2">
        <v>1</v>
      </c>
      <c r="BV37" s="2">
        <v>1</v>
      </c>
      <c r="BW37" s="2">
        <v>1</v>
      </c>
      <c r="BX37" s="2">
        <v>1</v>
      </c>
      <c r="BY37" s="2" t="s">
        <v>3</v>
      </c>
      <c r="BZ37" s="2">
        <v>0</v>
      </c>
      <c r="CA37" s="2">
        <v>0</v>
      </c>
      <c r="CB37" s="2" t="s">
        <v>3</v>
      </c>
      <c r="CC37" s="2"/>
      <c r="CD37" s="2"/>
      <c r="CE37" s="2">
        <v>0</v>
      </c>
      <c r="CF37" s="2">
        <v>0</v>
      </c>
      <c r="CG37" s="2">
        <v>0</v>
      </c>
      <c r="CH37" s="2"/>
      <c r="CI37" s="2"/>
      <c r="CJ37" s="2"/>
      <c r="CK37" s="2"/>
      <c r="CL37" s="2"/>
      <c r="CM37" s="2">
        <v>0</v>
      </c>
      <c r="CN37" s="2" t="s">
        <v>3</v>
      </c>
      <c r="CO37" s="2">
        <v>0</v>
      </c>
      <c r="CP37" s="2">
        <f t="shared" si="49"/>
        <v>663.66</v>
      </c>
      <c r="CQ37" s="2">
        <f t="shared" si="50"/>
        <v>22122.05</v>
      </c>
      <c r="CR37" s="2">
        <f t="shared" si="51"/>
        <v>0</v>
      </c>
      <c r="CS37" s="2">
        <f t="shared" si="52"/>
        <v>0</v>
      </c>
      <c r="CT37" s="2">
        <f t="shared" si="53"/>
        <v>0</v>
      </c>
      <c r="CU37" s="2">
        <f t="shared" si="54"/>
        <v>0</v>
      </c>
      <c r="CV37" s="2">
        <f t="shared" si="54"/>
        <v>0</v>
      </c>
      <c r="CW37" s="2">
        <f t="shared" si="54"/>
        <v>0</v>
      </c>
      <c r="CX37" s="2">
        <f t="shared" si="54"/>
        <v>0</v>
      </c>
      <c r="CY37" s="2">
        <f>0</f>
        <v>0</v>
      </c>
      <c r="CZ37" s="2">
        <f>0</f>
        <v>0</v>
      </c>
      <c r="DA37" s="2"/>
      <c r="DB37" s="2"/>
      <c r="DC37" s="2" t="s">
        <v>3</v>
      </c>
      <c r="DD37" s="2" t="s">
        <v>3</v>
      </c>
      <c r="DE37" s="2" t="s">
        <v>3</v>
      </c>
      <c r="DF37" s="2" t="s">
        <v>3</v>
      </c>
      <c r="DG37" s="2" t="s">
        <v>3</v>
      </c>
      <c r="DH37" s="2" t="s">
        <v>3</v>
      </c>
      <c r="DI37" s="2" t="s">
        <v>3</v>
      </c>
      <c r="DJ37" s="2" t="s">
        <v>3</v>
      </c>
      <c r="DK37" s="2" t="s">
        <v>3</v>
      </c>
      <c r="DL37" s="2" t="s">
        <v>3</v>
      </c>
      <c r="DM37" s="2" t="s">
        <v>3</v>
      </c>
      <c r="DN37" s="2">
        <v>0</v>
      </c>
      <c r="DO37" s="2">
        <v>0</v>
      </c>
      <c r="DP37" s="2">
        <v>1</v>
      </c>
      <c r="DQ37" s="2">
        <v>1</v>
      </c>
      <c r="DR37" s="2"/>
      <c r="DS37" s="2"/>
      <c r="DT37" s="2"/>
      <c r="DU37" s="2">
        <v>1013</v>
      </c>
      <c r="DV37" s="2" t="s">
        <v>56</v>
      </c>
      <c r="DW37" s="2" t="s">
        <v>56</v>
      </c>
      <c r="DX37" s="2">
        <v>1</v>
      </c>
      <c r="DY37" s="2"/>
      <c r="DZ37" s="2" t="s">
        <v>3</v>
      </c>
      <c r="EA37" s="2" t="s">
        <v>3</v>
      </c>
      <c r="EB37" s="2" t="s">
        <v>3</v>
      </c>
      <c r="EC37" s="2" t="s">
        <v>3</v>
      </c>
      <c r="ED37" s="2"/>
      <c r="EE37" s="2">
        <v>50991777</v>
      </c>
      <c r="EF37" s="2">
        <v>12</v>
      </c>
      <c r="EG37" s="2" t="s">
        <v>50</v>
      </c>
      <c r="EH37" s="2">
        <v>0</v>
      </c>
      <c r="EI37" s="2" t="s">
        <v>3</v>
      </c>
      <c r="EJ37" s="2">
        <v>2</v>
      </c>
      <c r="EK37" s="2">
        <v>500002</v>
      </c>
      <c r="EL37" s="2" t="s">
        <v>51</v>
      </c>
      <c r="EM37" s="2" t="s">
        <v>52</v>
      </c>
      <c r="EN37" s="2"/>
      <c r="EO37" s="2" t="s">
        <v>3</v>
      </c>
      <c r="EP37" s="2"/>
      <c r="EQ37" s="2">
        <v>0</v>
      </c>
      <c r="ER37" s="2">
        <v>17697.64</v>
      </c>
      <c r="ES37" s="2">
        <v>17697.64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>
        <v>0</v>
      </c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>
        <v>0</v>
      </c>
      <c r="FR37" s="2">
        <v>0</v>
      </c>
      <c r="FS37" s="2">
        <v>0</v>
      </c>
      <c r="FT37" s="2"/>
      <c r="FU37" s="2"/>
      <c r="FV37" s="2"/>
      <c r="FW37" s="2"/>
      <c r="FX37" s="2">
        <v>0</v>
      </c>
      <c r="FY37" s="2">
        <v>0</v>
      </c>
      <c r="FZ37" s="2"/>
      <c r="GA37" s="2" t="s">
        <v>3</v>
      </c>
      <c r="GB37" s="2"/>
      <c r="GC37" s="2"/>
      <c r="GD37" s="2">
        <v>1</v>
      </c>
      <c r="GE37" s="2"/>
      <c r="GF37" s="2">
        <v>286934333</v>
      </c>
      <c r="GG37" s="2">
        <v>2</v>
      </c>
      <c r="GH37" s="2">
        <v>1</v>
      </c>
      <c r="GI37" s="2">
        <v>2</v>
      </c>
      <c r="GJ37" s="2">
        <v>0</v>
      </c>
      <c r="GK37" s="2">
        <v>0</v>
      </c>
      <c r="GL37" s="2">
        <f t="shared" si="28"/>
        <v>0</v>
      </c>
      <c r="GM37" s="2">
        <f t="shared" si="29"/>
        <v>663.66</v>
      </c>
      <c r="GN37" s="2">
        <f t="shared" si="30"/>
        <v>0</v>
      </c>
      <c r="GO37" s="2">
        <f t="shared" si="31"/>
        <v>663.66</v>
      </c>
      <c r="GP37" s="2">
        <f t="shared" si="32"/>
        <v>0</v>
      </c>
      <c r="GQ37" s="2"/>
      <c r="GR37" s="2">
        <v>0</v>
      </c>
      <c r="GS37" s="2">
        <v>3</v>
      </c>
      <c r="GT37" s="2">
        <v>0</v>
      </c>
      <c r="GU37" s="2" t="s">
        <v>3</v>
      </c>
      <c r="GV37" s="2">
        <f t="shared" si="33"/>
        <v>0</v>
      </c>
      <c r="GW37" s="2">
        <v>1</v>
      </c>
      <c r="GX37" s="2">
        <f t="shared" si="34"/>
        <v>0</v>
      </c>
      <c r="GY37" s="2"/>
      <c r="GZ37" s="2"/>
      <c r="HA37" s="2">
        <v>0</v>
      </c>
      <c r="HB37" s="2">
        <v>0</v>
      </c>
      <c r="HC37" s="2">
        <f t="shared" si="55"/>
        <v>0</v>
      </c>
      <c r="HD37" s="2"/>
      <c r="HE37" s="2" t="s">
        <v>3</v>
      </c>
      <c r="HF37" s="2" t="s">
        <v>3</v>
      </c>
      <c r="HG37" s="2"/>
      <c r="HH37" s="2"/>
      <c r="HI37" s="2"/>
      <c r="HJ37" s="2"/>
      <c r="HK37" s="2"/>
      <c r="HL37" s="2"/>
      <c r="HM37" s="2" t="s">
        <v>3</v>
      </c>
      <c r="HN37" s="2" t="s">
        <v>3</v>
      </c>
      <c r="HO37" s="2" t="s">
        <v>3</v>
      </c>
      <c r="HP37" s="2" t="s">
        <v>3</v>
      </c>
      <c r="HQ37" s="2" t="s">
        <v>3</v>
      </c>
      <c r="HR37" s="2"/>
      <c r="HS37" s="2">
        <v>0</v>
      </c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>
        <v>0</v>
      </c>
      <c r="IL37" s="2"/>
      <c r="IM37" s="2"/>
      <c r="IN37" s="2"/>
      <c r="IO37" s="2"/>
      <c r="IP37" s="2"/>
      <c r="IQ37" s="2"/>
      <c r="IR37" s="2"/>
      <c r="IS37" s="2"/>
      <c r="IT37" s="2"/>
      <c r="IU37" s="2"/>
    </row>
    <row r="38" spans="1:255" x14ac:dyDescent="0.2">
      <c r="A38" s="2">
        <v>17</v>
      </c>
      <c r="B38" s="2">
        <v>1</v>
      </c>
      <c r="C38" s="2"/>
      <c r="D38" s="2"/>
      <c r="E38" s="2" t="s">
        <v>66</v>
      </c>
      <c r="F38" s="2" t="s">
        <v>67</v>
      </c>
      <c r="G38" s="2" t="s">
        <v>68</v>
      </c>
      <c r="H38" s="2" t="s">
        <v>56</v>
      </c>
      <c r="I38" s="2">
        <f>ROUND(5/100,7)</f>
        <v>0.05</v>
      </c>
      <c r="J38" s="2">
        <v>0</v>
      </c>
      <c r="K38" s="2">
        <f>ROUND(5/100,7)</f>
        <v>0.05</v>
      </c>
      <c r="L38" s="2"/>
      <c r="M38" s="2"/>
      <c r="N38" s="2"/>
      <c r="O38" s="2">
        <f t="shared" si="47"/>
        <v>1066.97</v>
      </c>
      <c r="P38" s="2">
        <f t="shared" si="48"/>
        <v>1066.97</v>
      </c>
      <c r="Q38" s="2">
        <f t="shared" si="38"/>
        <v>0</v>
      </c>
      <c r="R38" s="2">
        <f t="shared" si="39"/>
        <v>0</v>
      </c>
      <c r="S38" s="2">
        <f t="shared" si="40"/>
        <v>0</v>
      </c>
      <c r="T38" s="2">
        <f t="shared" si="21"/>
        <v>0</v>
      </c>
      <c r="U38" s="2">
        <f t="shared" si="41"/>
        <v>0</v>
      </c>
      <c r="V38" s="2">
        <f t="shared" si="42"/>
        <v>0</v>
      </c>
      <c r="W38" s="2">
        <f t="shared" si="22"/>
        <v>0</v>
      </c>
      <c r="X38" s="2">
        <f t="shared" si="23"/>
        <v>0</v>
      </c>
      <c r="Y38" s="2">
        <f t="shared" si="24"/>
        <v>0</v>
      </c>
      <c r="Z38" s="2"/>
      <c r="AA38" s="2">
        <v>52718353</v>
      </c>
      <c r="AB38" s="2">
        <f t="shared" si="25"/>
        <v>17071.47</v>
      </c>
      <c r="AC38" s="2">
        <f t="shared" si="43"/>
        <v>17071.47</v>
      </c>
      <c r="AD38" s="2">
        <f t="shared" si="44"/>
        <v>0</v>
      </c>
      <c r="AE38" s="2">
        <f t="shared" si="45"/>
        <v>0</v>
      </c>
      <c r="AF38" s="2">
        <f t="shared" si="45"/>
        <v>0</v>
      </c>
      <c r="AG38" s="2">
        <f t="shared" si="26"/>
        <v>0</v>
      </c>
      <c r="AH38" s="2">
        <f t="shared" si="46"/>
        <v>0</v>
      </c>
      <c r="AI38" s="2">
        <f t="shared" si="46"/>
        <v>0</v>
      </c>
      <c r="AJ38" s="2">
        <f t="shared" si="27"/>
        <v>0</v>
      </c>
      <c r="AK38" s="2">
        <v>17071.47</v>
      </c>
      <c r="AL38" s="2">
        <v>17071.47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1</v>
      </c>
      <c r="AW38" s="2">
        <v>1</v>
      </c>
      <c r="AX38" s="2"/>
      <c r="AY38" s="2"/>
      <c r="AZ38" s="2">
        <v>1</v>
      </c>
      <c r="BA38" s="2">
        <v>1</v>
      </c>
      <c r="BB38" s="2">
        <v>1</v>
      </c>
      <c r="BC38" s="2">
        <v>1.25</v>
      </c>
      <c r="BD38" s="2" t="s">
        <v>3</v>
      </c>
      <c r="BE38" s="2" t="s">
        <v>3</v>
      </c>
      <c r="BF38" s="2" t="s">
        <v>3</v>
      </c>
      <c r="BG38" s="2" t="s">
        <v>3</v>
      </c>
      <c r="BH38" s="2">
        <v>3</v>
      </c>
      <c r="BI38" s="2">
        <v>2</v>
      </c>
      <c r="BJ38" s="2" t="s">
        <v>69</v>
      </c>
      <c r="BK38" s="2"/>
      <c r="BL38" s="2"/>
      <c r="BM38" s="2">
        <v>500002</v>
      </c>
      <c r="BN38" s="2">
        <v>0</v>
      </c>
      <c r="BO38" s="2" t="s">
        <v>67</v>
      </c>
      <c r="BP38" s="2">
        <v>1</v>
      </c>
      <c r="BQ38" s="2">
        <v>12</v>
      </c>
      <c r="BR38" s="2">
        <v>0</v>
      </c>
      <c r="BS38" s="2">
        <v>1</v>
      </c>
      <c r="BT38" s="2">
        <v>1</v>
      </c>
      <c r="BU38" s="2">
        <v>1</v>
      </c>
      <c r="BV38" s="2">
        <v>1</v>
      </c>
      <c r="BW38" s="2">
        <v>1</v>
      </c>
      <c r="BX38" s="2">
        <v>1</v>
      </c>
      <c r="BY38" s="2" t="s">
        <v>3</v>
      </c>
      <c r="BZ38" s="2">
        <v>0</v>
      </c>
      <c r="CA38" s="2">
        <v>0</v>
      </c>
      <c r="CB38" s="2" t="s">
        <v>3</v>
      </c>
      <c r="CC38" s="2"/>
      <c r="CD38" s="2"/>
      <c r="CE38" s="2">
        <v>0</v>
      </c>
      <c r="CF38" s="2">
        <v>0</v>
      </c>
      <c r="CG38" s="2">
        <v>0</v>
      </c>
      <c r="CH38" s="2"/>
      <c r="CI38" s="2"/>
      <c r="CJ38" s="2"/>
      <c r="CK38" s="2"/>
      <c r="CL38" s="2"/>
      <c r="CM38" s="2">
        <v>0</v>
      </c>
      <c r="CN38" s="2" t="s">
        <v>3</v>
      </c>
      <c r="CO38" s="2">
        <v>0</v>
      </c>
      <c r="CP38" s="2">
        <f t="shared" si="49"/>
        <v>1066.97</v>
      </c>
      <c r="CQ38" s="2">
        <f t="shared" si="50"/>
        <v>21339.34</v>
      </c>
      <c r="CR38" s="2">
        <f t="shared" si="51"/>
        <v>0</v>
      </c>
      <c r="CS38" s="2">
        <f t="shared" si="52"/>
        <v>0</v>
      </c>
      <c r="CT38" s="2">
        <f t="shared" si="53"/>
        <v>0</v>
      </c>
      <c r="CU38" s="2">
        <f t="shared" si="54"/>
        <v>0</v>
      </c>
      <c r="CV38" s="2">
        <f t="shared" si="54"/>
        <v>0</v>
      </c>
      <c r="CW38" s="2">
        <f t="shared" si="54"/>
        <v>0</v>
      </c>
      <c r="CX38" s="2">
        <f t="shared" si="54"/>
        <v>0</v>
      </c>
      <c r="CY38" s="2">
        <f>0</f>
        <v>0</v>
      </c>
      <c r="CZ38" s="2">
        <f>0</f>
        <v>0</v>
      </c>
      <c r="DA38" s="2"/>
      <c r="DB38" s="2"/>
      <c r="DC38" s="2" t="s">
        <v>3</v>
      </c>
      <c r="DD38" s="2" t="s">
        <v>3</v>
      </c>
      <c r="DE38" s="2" t="s">
        <v>3</v>
      </c>
      <c r="DF38" s="2" t="s">
        <v>3</v>
      </c>
      <c r="DG38" s="2" t="s">
        <v>3</v>
      </c>
      <c r="DH38" s="2" t="s">
        <v>3</v>
      </c>
      <c r="DI38" s="2" t="s">
        <v>3</v>
      </c>
      <c r="DJ38" s="2" t="s">
        <v>3</v>
      </c>
      <c r="DK38" s="2" t="s">
        <v>3</v>
      </c>
      <c r="DL38" s="2" t="s">
        <v>3</v>
      </c>
      <c r="DM38" s="2" t="s">
        <v>3</v>
      </c>
      <c r="DN38" s="2">
        <v>0</v>
      </c>
      <c r="DO38" s="2">
        <v>0</v>
      </c>
      <c r="DP38" s="2">
        <v>1</v>
      </c>
      <c r="DQ38" s="2">
        <v>1</v>
      </c>
      <c r="DR38" s="2"/>
      <c r="DS38" s="2"/>
      <c r="DT38" s="2"/>
      <c r="DU38" s="2">
        <v>1013</v>
      </c>
      <c r="DV38" s="2" t="s">
        <v>56</v>
      </c>
      <c r="DW38" s="2" t="s">
        <v>56</v>
      </c>
      <c r="DX38" s="2">
        <v>1</v>
      </c>
      <c r="DY38" s="2"/>
      <c r="DZ38" s="2" t="s">
        <v>3</v>
      </c>
      <c r="EA38" s="2" t="s">
        <v>3</v>
      </c>
      <c r="EB38" s="2" t="s">
        <v>3</v>
      </c>
      <c r="EC38" s="2" t="s">
        <v>3</v>
      </c>
      <c r="ED38" s="2"/>
      <c r="EE38" s="2">
        <v>50991777</v>
      </c>
      <c r="EF38" s="2">
        <v>12</v>
      </c>
      <c r="EG38" s="2" t="s">
        <v>50</v>
      </c>
      <c r="EH38" s="2">
        <v>0</v>
      </c>
      <c r="EI38" s="2" t="s">
        <v>3</v>
      </c>
      <c r="EJ38" s="2">
        <v>2</v>
      </c>
      <c r="EK38" s="2">
        <v>500002</v>
      </c>
      <c r="EL38" s="2" t="s">
        <v>51</v>
      </c>
      <c r="EM38" s="2" t="s">
        <v>52</v>
      </c>
      <c r="EN38" s="2"/>
      <c r="EO38" s="2" t="s">
        <v>3</v>
      </c>
      <c r="EP38" s="2"/>
      <c r="EQ38" s="2">
        <v>0</v>
      </c>
      <c r="ER38" s="2">
        <v>17071.47</v>
      </c>
      <c r="ES38" s="2">
        <v>17071.47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0</v>
      </c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>
        <v>0</v>
      </c>
      <c r="FR38" s="2">
        <v>0</v>
      </c>
      <c r="FS38" s="2">
        <v>0</v>
      </c>
      <c r="FT38" s="2"/>
      <c r="FU38" s="2"/>
      <c r="FV38" s="2"/>
      <c r="FW38" s="2"/>
      <c r="FX38" s="2">
        <v>0</v>
      </c>
      <c r="FY38" s="2">
        <v>0</v>
      </c>
      <c r="FZ38" s="2"/>
      <c r="GA38" s="2" t="s">
        <v>3</v>
      </c>
      <c r="GB38" s="2"/>
      <c r="GC38" s="2"/>
      <c r="GD38" s="2">
        <v>1</v>
      </c>
      <c r="GE38" s="2"/>
      <c r="GF38" s="2">
        <v>-52551594</v>
      </c>
      <c r="GG38" s="2">
        <v>2</v>
      </c>
      <c r="GH38" s="2">
        <v>1</v>
      </c>
      <c r="GI38" s="2">
        <v>2</v>
      </c>
      <c r="GJ38" s="2">
        <v>0</v>
      </c>
      <c r="GK38" s="2">
        <v>0</v>
      </c>
      <c r="GL38" s="2">
        <f t="shared" si="28"/>
        <v>0</v>
      </c>
      <c r="GM38" s="2">
        <f t="shared" si="29"/>
        <v>1066.97</v>
      </c>
      <c r="GN38" s="2">
        <f t="shared" si="30"/>
        <v>0</v>
      </c>
      <c r="GO38" s="2">
        <f t="shared" si="31"/>
        <v>1066.97</v>
      </c>
      <c r="GP38" s="2">
        <f t="shared" si="32"/>
        <v>0</v>
      </c>
      <c r="GQ38" s="2"/>
      <c r="GR38" s="2">
        <v>0</v>
      </c>
      <c r="GS38" s="2">
        <v>3</v>
      </c>
      <c r="GT38" s="2">
        <v>0</v>
      </c>
      <c r="GU38" s="2" t="s">
        <v>3</v>
      </c>
      <c r="GV38" s="2">
        <f t="shared" si="33"/>
        <v>0</v>
      </c>
      <c r="GW38" s="2">
        <v>1</v>
      </c>
      <c r="GX38" s="2">
        <f t="shared" si="34"/>
        <v>0</v>
      </c>
      <c r="GY38" s="2"/>
      <c r="GZ38" s="2"/>
      <c r="HA38" s="2">
        <v>0</v>
      </c>
      <c r="HB38" s="2">
        <v>0</v>
      </c>
      <c r="HC38" s="2">
        <f t="shared" si="55"/>
        <v>0</v>
      </c>
      <c r="HD38" s="2"/>
      <c r="HE38" s="2" t="s">
        <v>3</v>
      </c>
      <c r="HF38" s="2" t="s">
        <v>3</v>
      </c>
      <c r="HG38" s="2"/>
      <c r="HH38" s="2"/>
      <c r="HI38" s="2"/>
      <c r="HJ38" s="2"/>
      <c r="HK38" s="2"/>
      <c r="HL38" s="2"/>
      <c r="HM38" s="2" t="s">
        <v>3</v>
      </c>
      <c r="HN38" s="2" t="s">
        <v>3</v>
      </c>
      <c r="HO38" s="2" t="s">
        <v>3</v>
      </c>
      <c r="HP38" s="2" t="s">
        <v>3</v>
      </c>
      <c r="HQ38" s="2" t="s">
        <v>3</v>
      </c>
      <c r="HR38" s="2"/>
      <c r="HS38" s="2">
        <v>0</v>
      </c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>
        <v>0</v>
      </c>
      <c r="IL38" s="2"/>
      <c r="IM38" s="2"/>
      <c r="IN38" s="2"/>
      <c r="IO38" s="2"/>
      <c r="IP38" s="2"/>
      <c r="IQ38" s="2"/>
      <c r="IR38" s="2"/>
      <c r="IS38" s="2"/>
      <c r="IT38" s="2"/>
      <c r="IU38" s="2"/>
    </row>
    <row r="39" spans="1:255" x14ac:dyDescent="0.2">
      <c r="A39" s="2">
        <v>17</v>
      </c>
      <c r="B39" s="2">
        <v>1</v>
      </c>
      <c r="C39" s="2"/>
      <c r="D39" s="2"/>
      <c r="E39" s="2" t="s">
        <v>70</v>
      </c>
      <c r="F39" s="2" t="s">
        <v>71</v>
      </c>
      <c r="G39" s="2" t="s">
        <v>72</v>
      </c>
      <c r="H39" s="2" t="s">
        <v>56</v>
      </c>
      <c r="I39" s="2">
        <f>ROUND(10/100,7)</f>
        <v>0.1</v>
      </c>
      <c r="J39" s="2">
        <v>0</v>
      </c>
      <c r="K39" s="2">
        <f>ROUND(10/100,7)</f>
        <v>0.1</v>
      </c>
      <c r="L39" s="2"/>
      <c r="M39" s="2"/>
      <c r="N39" s="2"/>
      <c r="O39" s="2">
        <f t="shared" si="47"/>
        <v>235.88</v>
      </c>
      <c r="P39" s="2">
        <f t="shared" si="48"/>
        <v>235.88</v>
      </c>
      <c r="Q39" s="2">
        <f t="shared" si="38"/>
        <v>0</v>
      </c>
      <c r="R39" s="2">
        <f t="shared" si="39"/>
        <v>0</v>
      </c>
      <c r="S39" s="2">
        <f t="shared" si="40"/>
        <v>0</v>
      </c>
      <c r="T39" s="2">
        <f t="shared" si="21"/>
        <v>0</v>
      </c>
      <c r="U39" s="2">
        <f t="shared" si="41"/>
        <v>0</v>
      </c>
      <c r="V39" s="2">
        <f t="shared" si="42"/>
        <v>0</v>
      </c>
      <c r="W39" s="2">
        <f t="shared" si="22"/>
        <v>0</v>
      </c>
      <c r="X39" s="2">
        <f t="shared" si="23"/>
        <v>0</v>
      </c>
      <c r="Y39" s="2">
        <f t="shared" si="24"/>
        <v>0</v>
      </c>
      <c r="Z39" s="2"/>
      <c r="AA39" s="2">
        <v>52718353</v>
      </c>
      <c r="AB39" s="2">
        <f t="shared" si="25"/>
        <v>1887.03</v>
      </c>
      <c r="AC39" s="2">
        <f t="shared" si="43"/>
        <v>1887.03</v>
      </c>
      <c r="AD39" s="2">
        <f t="shared" si="44"/>
        <v>0</v>
      </c>
      <c r="AE39" s="2">
        <f t="shared" si="45"/>
        <v>0</v>
      </c>
      <c r="AF39" s="2">
        <f t="shared" si="45"/>
        <v>0</v>
      </c>
      <c r="AG39" s="2">
        <f t="shared" si="26"/>
        <v>0</v>
      </c>
      <c r="AH39" s="2">
        <f t="shared" si="46"/>
        <v>0</v>
      </c>
      <c r="AI39" s="2">
        <f t="shared" si="46"/>
        <v>0</v>
      </c>
      <c r="AJ39" s="2">
        <f t="shared" si="27"/>
        <v>0</v>
      </c>
      <c r="AK39" s="2">
        <v>1887.03</v>
      </c>
      <c r="AL39" s="2">
        <v>1887.03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1</v>
      </c>
      <c r="AW39" s="2">
        <v>1</v>
      </c>
      <c r="AX39" s="2"/>
      <c r="AY39" s="2"/>
      <c r="AZ39" s="2">
        <v>1</v>
      </c>
      <c r="BA39" s="2">
        <v>1</v>
      </c>
      <c r="BB39" s="2">
        <v>1</v>
      </c>
      <c r="BC39" s="2">
        <v>1.25</v>
      </c>
      <c r="BD39" s="2" t="s">
        <v>3</v>
      </c>
      <c r="BE39" s="2" t="s">
        <v>3</v>
      </c>
      <c r="BF39" s="2" t="s">
        <v>3</v>
      </c>
      <c r="BG39" s="2" t="s">
        <v>3</v>
      </c>
      <c r="BH39" s="2">
        <v>3</v>
      </c>
      <c r="BI39" s="2">
        <v>2</v>
      </c>
      <c r="BJ39" s="2" t="s">
        <v>73</v>
      </c>
      <c r="BK39" s="2"/>
      <c r="BL39" s="2"/>
      <c r="BM39" s="2">
        <v>500002</v>
      </c>
      <c r="BN39" s="2">
        <v>0</v>
      </c>
      <c r="BO39" s="2" t="s">
        <v>71</v>
      </c>
      <c r="BP39" s="2">
        <v>1</v>
      </c>
      <c r="BQ39" s="2">
        <v>12</v>
      </c>
      <c r="BR39" s="2">
        <v>0</v>
      </c>
      <c r="BS39" s="2">
        <v>1</v>
      </c>
      <c r="BT39" s="2">
        <v>1</v>
      </c>
      <c r="BU39" s="2">
        <v>1</v>
      </c>
      <c r="BV39" s="2">
        <v>1</v>
      </c>
      <c r="BW39" s="2">
        <v>1</v>
      </c>
      <c r="BX39" s="2">
        <v>1</v>
      </c>
      <c r="BY39" s="2" t="s">
        <v>3</v>
      </c>
      <c r="BZ39" s="2">
        <v>0</v>
      </c>
      <c r="CA39" s="2">
        <v>0</v>
      </c>
      <c r="CB39" s="2" t="s">
        <v>3</v>
      </c>
      <c r="CC39" s="2"/>
      <c r="CD39" s="2"/>
      <c r="CE39" s="2">
        <v>0</v>
      </c>
      <c r="CF39" s="2">
        <v>0</v>
      </c>
      <c r="CG39" s="2">
        <v>0</v>
      </c>
      <c r="CH39" s="2"/>
      <c r="CI39" s="2"/>
      <c r="CJ39" s="2"/>
      <c r="CK39" s="2"/>
      <c r="CL39" s="2"/>
      <c r="CM39" s="2">
        <v>0</v>
      </c>
      <c r="CN39" s="2" t="s">
        <v>3</v>
      </c>
      <c r="CO39" s="2">
        <v>0</v>
      </c>
      <c r="CP39" s="2">
        <f t="shared" si="49"/>
        <v>235.88</v>
      </c>
      <c r="CQ39" s="2">
        <f t="shared" si="50"/>
        <v>2358.79</v>
      </c>
      <c r="CR39" s="2">
        <f t="shared" si="51"/>
        <v>0</v>
      </c>
      <c r="CS39" s="2">
        <f t="shared" si="52"/>
        <v>0</v>
      </c>
      <c r="CT39" s="2">
        <f t="shared" si="53"/>
        <v>0</v>
      </c>
      <c r="CU39" s="2">
        <f t="shared" si="54"/>
        <v>0</v>
      </c>
      <c r="CV39" s="2">
        <f t="shared" si="54"/>
        <v>0</v>
      </c>
      <c r="CW39" s="2">
        <f t="shared" si="54"/>
        <v>0</v>
      </c>
      <c r="CX39" s="2">
        <f t="shared" si="54"/>
        <v>0</v>
      </c>
      <c r="CY39" s="2">
        <f>0</f>
        <v>0</v>
      </c>
      <c r="CZ39" s="2">
        <f>0</f>
        <v>0</v>
      </c>
      <c r="DA39" s="2"/>
      <c r="DB39" s="2"/>
      <c r="DC39" s="2" t="s">
        <v>3</v>
      </c>
      <c r="DD39" s="2" t="s">
        <v>3</v>
      </c>
      <c r="DE39" s="2" t="s">
        <v>3</v>
      </c>
      <c r="DF39" s="2" t="s">
        <v>3</v>
      </c>
      <c r="DG39" s="2" t="s">
        <v>3</v>
      </c>
      <c r="DH39" s="2" t="s">
        <v>3</v>
      </c>
      <c r="DI39" s="2" t="s">
        <v>3</v>
      </c>
      <c r="DJ39" s="2" t="s">
        <v>3</v>
      </c>
      <c r="DK39" s="2" t="s">
        <v>3</v>
      </c>
      <c r="DL39" s="2" t="s">
        <v>3</v>
      </c>
      <c r="DM39" s="2" t="s">
        <v>3</v>
      </c>
      <c r="DN39" s="2">
        <v>0</v>
      </c>
      <c r="DO39" s="2">
        <v>0</v>
      </c>
      <c r="DP39" s="2">
        <v>1</v>
      </c>
      <c r="DQ39" s="2">
        <v>1</v>
      </c>
      <c r="DR39" s="2"/>
      <c r="DS39" s="2"/>
      <c r="DT39" s="2"/>
      <c r="DU39" s="2">
        <v>1013</v>
      </c>
      <c r="DV39" s="2" t="s">
        <v>56</v>
      </c>
      <c r="DW39" s="2" t="s">
        <v>56</v>
      </c>
      <c r="DX39" s="2">
        <v>1</v>
      </c>
      <c r="DY39" s="2"/>
      <c r="DZ39" s="2" t="s">
        <v>3</v>
      </c>
      <c r="EA39" s="2" t="s">
        <v>3</v>
      </c>
      <c r="EB39" s="2" t="s">
        <v>3</v>
      </c>
      <c r="EC39" s="2" t="s">
        <v>3</v>
      </c>
      <c r="ED39" s="2"/>
      <c r="EE39" s="2">
        <v>50991777</v>
      </c>
      <c r="EF39" s="2">
        <v>12</v>
      </c>
      <c r="EG39" s="2" t="s">
        <v>50</v>
      </c>
      <c r="EH39" s="2">
        <v>0</v>
      </c>
      <c r="EI39" s="2" t="s">
        <v>3</v>
      </c>
      <c r="EJ39" s="2">
        <v>2</v>
      </c>
      <c r="EK39" s="2">
        <v>500002</v>
      </c>
      <c r="EL39" s="2" t="s">
        <v>51</v>
      </c>
      <c r="EM39" s="2" t="s">
        <v>52</v>
      </c>
      <c r="EN39" s="2"/>
      <c r="EO39" s="2" t="s">
        <v>3</v>
      </c>
      <c r="EP39" s="2"/>
      <c r="EQ39" s="2">
        <v>0</v>
      </c>
      <c r="ER39" s="2">
        <v>1887.03</v>
      </c>
      <c r="ES39" s="2">
        <v>1887.03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>
        <v>0</v>
      </c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>
        <v>0</v>
      </c>
      <c r="FR39" s="2">
        <v>0</v>
      </c>
      <c r="FS39" s="2">
        <v>0</v>
      </c>
      <c r="FT39" s="2"/>
      <c r="FU39" s="2"/>
      <c r="FV39" s="2"/>
      <c r="FW39" s="2"/>
      <c r="FX39" s="2">
        <v>0</v>
      </c>
      <c r="FY39" s="2">
        <v>0</v>
      </c>
      <c r="FZ39" s="2"/>
      <c r="GA39" s="2" t="s">
        <v>3</v>
      </c>
      <c r="GB39" s="2"/>
      <c r="GC39" s="2"/>
      <c r="GD39" s="2">
        <v>1</v>
      </c>
      <c r="GE39" s="2"/>
      <c r="GF39" s="2">
        <v>425006740</v>
      </c>
      <c r="GG39" s="2">
        <v>2</v>
      </c>
      <c r="GH39" s="2">
        <v>1</v>
      </c>
      <c r="GI39" s="2">
        <v>2</v>
      </c>
      <c r="GJ39" s="2">
        <v>0</v>
      </c>
      <c r="GK39" s="2">
        <v>0</v>
      </c>
      <c r="GL39" s="2">
        <f t="shared" si="28"/>
        <v>0</v>
      </c>
      <c r="GM39" s="2">
        <f t="shared" si="29"/>
        <v>235.88</v>
      </c>
      <c r="GN39" s="2">
        <f t="shared" si="30"/>
        <v>0</v>
      </c>
      <c r="GO39" s="2">
        <f t="shared" si="31"/>
        <v>235.88</v>
      </c>
      <c r="GP39" s="2">
        <f t="shared" si="32"/>
        <v>0</v>
      </c>
      <c r="GQ39" s="2"/>
      <c r="GR39" s="2">
        <v>0</v>
      </c>
      <c r="GS39" s="2">
        <v>3</v>
      </c>
      <c r="GT39" s="2">
        <v>0</v>
      </c>
      <c r="GU39" s="2" t="s">
        <v>3</v>
      </c>
      <c r="GV39" s="2">
        <f t="shared" si="33"/>
        <v>0</v>
      </c>
      <c r="GW39" s="2">
        <v>1</v>
      </c>
      <c r="GX39" s="2">
        <f t="shared" si="34"/>
        <v>0</v>
      </c>
      <c r="GY39" s="2"/>
      <c r="GZ39" s="2"/>
      <c r="HA39" s="2">
        <v>0</v>
      </c>
      <c r="HB39" s="2">
        <v>0</v>
      </c>
      <c r="HC39" s="2">
        <f t="shared" si="55"/>
        <v>0</v>
      </c>
      <c r="HD39" s="2"/>
      <c r="HE39" s="2" t="s">
        <v>3</v>
      </c>
      <c r="HF39" s="2" t="s">
        <v>3</v>
      </c>
      <c r="HG39" s="2"/>
      <c r="HH39" s="2"/>
      <c r="HI39" s="2"/>
      <c r="HJ39" s="2"/>
      <c r="HK39" s="2"/>
      <c r="HL39" s="2"/>
      <c r="HM39" s="2" t="s">
        <v>3</v>
      </c>
      <c r="HN39" s="2" t="s">
        <v>3</v>
      </c>
      <c r="HO39" s="2" t="s">
        <v>3</v>
      </c>
      <c r="HP39" s="2" t="s">
        <v>3</v>
      </c>
      <c r="HQ39" s="2" t="s">
        <v>3</v>
      </c>
      <c r="HR39" s="2"/>
      <c r="HS39" s="2">
        <v>0</v>
      </c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>
        <v>0</v>
      </c>
      <c r="IL39" s="2"/>
      <c r="IM39" s="2"/>
      <c r="IN39" s="2"/>
      <c r="IO39" s="2"/>
      <c r="IP39" s="2"/>
      <c r="IQ39" s="2"/>
      <c r="IR39" s="2"/>
      <c r="IS39" s="2"/>
      <c r="IT39" s="2"/>
      <c r="IU39" s="2"/>
    </row>
    <row r="40" spans="1:255" x14ac:dyDescent="0.2">
      <c r="A40" s="2">
        <v>17</v>
      </c>
      <c r="B40" s="2">
        <v>1</v>
      </c>
      <c r="C40" s="2">
        <f>ROW(SmtRes!A23)</f>
        <v>23</v>
      </c>
      <c r="D40" s="2">
        <f>ROW(EtalonRes!A23)</f>
        <v>23</v>
      </c>
      <c r="E40" s="2" t="s">
        <v>74</v>
      </c>
      <c r="F40" s="2" t="s">
        <v>75</v>
      </c>
      <c r="G40" s="2" t="s">
        <v>76</v>
      </c>
      <c r="H40" s="2" t="s">
        <v>18</v>
      </c>
      <c r="I40" s="2">
        <v>0</v>
      </c>
      <c r="J40" s="2">
        <v>0</v>
      </c>
      <c r="K40" s="2">
        <v>0</v>
      </c>
      <c r="L40" s="2"/>
      <c r="M40" s="2"/>
      <c r="N40" s="2"/>
      <c r="O40" s="2">
        <f t="shared" si="47"/>
        <v>0</v>
      </c>
      <c r="P40" s="2">
        <f>SUMIF(SmtRes!AQ16:'SmtRes'!AQ23,"=1",SmtRes!DF16:'SmtRes'!DF23)</f>
        <v>0</v>
      </c>
      <c r="Q40" s="2">
        <f>SUMIF(SmtRes!AQ16:'SmtRes'!AQ23,"=1",SmtRes!DG16:'SmtRes'!DG23)</f>
        <v>0</v>
      </c>
      <c r="R40" s="2">
        <f>SUMIF(SmtRes!AQ16:'SmtRes'!AQ23,"=1",SmtRes!DH16:'SmtRes'!DH23)</f>
        <v>0</v>
      </c>
      <c r="S40" s="2">
        <f>SUMIF(SmtRes!AQ16:'SmtRes'!AQ23,"=1",SmtRes!DI16:'SmtRes'!DI23)</f>
        <v>0</v>
      </c>
      <c r="T40" s="2">
        <f t="shared" si="21"/>
        <v>0</v>
      </c>
      <c r="U40" s="2">
        <f>SUMIF(SmtRes!AQ16:'SmtRes'!AQ23,"=1",SmtRes!CV16:'SmtRes'!CV23)</f>
        <v>0</v>
      </c>
      <c r="V40" s="2">
        <f>SUMIF(SmtRes!AQ16:'SmtRes'!AQ23,"=1",SmtRes!CW16:'SmtRes'!CW23)</f>
        <v>0</v>
      </c>
      <c r="W40" s="2">
        <f t="shared" si="22"/>
        <v>0</v>
      </c>
      <c r="X40" s="2">
        <f t="shared" si="23"/>
        <v>0</v>
      </c>
      <c r="Y40" s="2">
        <f t="shared" si="24"/>
        <v>0</v>
      </c>
      <c r="Z40" s="2"/>
      <c r="AA40" s="2">
        <v>52718353</v>
      </c>
      <c r="AB40" s="2">
        <f t="shared" si="25"/>
        <v>2137.8831</v>
      </c>
      <c r="AC40" s="2">
        <f>ROUND((SUM(SmtRes!BQ16:'SmtRes'!BQ23)),6)</f>
        <v>101.09610000000001</v>
      </c>
      <c r="AD40" s="2">
        <f>ROUND((((SUM(SmtRes!BR16:'SmtRes'!BR23))-(SUM(SmtRes!BS16:'SmtRes'!BS23)))+AE40),6)</f>
        <v>21.3048</v>
      </c>
      <c r="AE40" s="2">
        <f>ROUND((SUM(SmtRes!BS16:'SmtRes'!BS23)),6)</f>
        <v>17.1312</v>
      </c>
      <c r="AF40" s="2">
        <f>ROUND((SUM(SmtRes!BT16:'SmtRes'!BT23)),6)</f>
        <v>2015.4821999999999</v>
      </c>
      <c r="AG40" s="2">
        <f t="shared" si="26"/>
        <v>0</v>
      </c>
      <c r="AH40" s="2">
        <f>(SUM(SmtRes!BU16:'SmtRes'!BU23))</f>
        <v>2.82</v>
      </c>
      <c r="AI40" s="2">
        <f>(SUM(SmtRes!BV16:'SmtRes'!BV23))</f>
        <v>0.02</v>
      </c>
      <c r="AJ40" s="2">
        <f t="shared" si="27"/>
        <v>0</v>
      </c>
      <c r="AK40" s="2">
        <v>2155.0142999999998</v>
      </c>
      <c r="AL40" s="2">
        <v>101.09610000000001</v>
      </c>
      <c r="AM40" s="2">
        <v>21.3048</v>
      </c>
      <c r="AN40" s="2">
        <v>17.1312</v>
      </c>
      <c r="AO40" s="2">
        <v>2015.4821999999999</v>
      </c>
      <c r="AP40" s="2">
        <v>0</v>
      </c>
      <c r="AQ40" s="2">
        <v>2.82</v>
      </c>
      <c r="AR40" s="2">
        <v>0.02</v>
      </c>
      <c r="AS40" s="2">
        <v>0</v>
      </c>
      <c r="AT40" s="2">
        <v>97</v>
      </c>
      <c r="AU40" s="2">
        <v>51</v>
      </c>
      <c r="AV40" s="2">
        <v>1</v>
      </c>
      <c r="AW40" s="2">
        <v>1</v>
      </c>
      <c r="AX40" s="2"/>
      <c r="AY40" s="2"/>
      <c r="AZ40" s="2">
        <v>1</v>
      </c>
      <c r="BA40" s="2">
        <v>1</v>
      </c>
      <c r="BB40" s="2">
        <v>1</v>
      </c>
      <c r="BC40" s="2">
        <v>1</v>
      </c>
      <c r="BD40" s="2" t="s">
        <v>3</v>
      </c>
      <c r="BE40" s="2" t="s">
        <v>3</v>
      </c>
      <c r="BF40" s="2" t="s">
        <v>3</v>
      </c>
      <c r="BG40" s="2" t="s">
        <v>3</v>
      </c>
      <c r="BH40" s="2">
        <v>0</v>
      </c>
      <c r="BI40" s="2">
        <v>2</v>
      </c>
      <c r="BJ40" s="2" t="s">
        <v>77</v>
      </c>
      <c r="BK40" s="2"/>
      <c r="BL40" s="2"/>
      <c r="BM40" s="2">
        <v>108001</v>
      </c>
      <c r="BN40" s="2">
        <v>0</v>
      </c>
      <c r="BO40" s="2" t="s">
        <v>3</v>
      </c>
      <c r="BP40" s="2">
        <v>0</v>
      </c>
      <c r="BQ40" s="2">
        <v>3</v>
      </c>
      <c r="BR40" s="2">
        <v>0</v>
      </c>
      <c r="BS40" s="2">
        <v>1</v>
      </c>
      <c r="BT40" s="2">
        <v>1</v>
      </c>
      <c r="BU40" s="2">
        <v>1</v>
      </c>
      <c r="BV40" s="2">
        <v>1</v>
      </c>
      <c r="BW40" s="2">
        <v>1</v>
      </c>
      <c r="BX40" s="2">
        <v>1</v>
      </c>
      <c r="BY40" s="2" t="s">
        <v>3</v>
      </c>
      <c r="BZ40" s="2">
        <v>97</v>
      </c>
      <c r="CA40" s="2">
        <v>51</v>
      </c>
      <c r="CB40" s="2" t="s">
        <v>3</v>
      </c>
      <c r="CC40" s="2"/>
      <c r="CD40" s="2"/>
      <c r="CE40" s="2">
        <v>0</v>
      </c>
      <c r="CF40" s="2">
        <v>0</v>
      </c>
      <c r="CG40" s="2">
        <v>0</v>
      </c>
      <c r="CH40" s="2"/>
      <c r="CI40" s="2"/>
      <c r="CJ40" s="2"/>
      <c r="CK40" s="2"/>
      <c r="CL40" s="2"/>
      <c r="CM40" s="2">
        <v>0</v>
      </c>
      <c r="CN40" s="2" t="s">
        <v>3</v>
      </c>
      <c r="CO40" s="2">
        <v>0</v>
      </c>
      <c r="CP40" s="2">
        <f t="shared" si="49"/>
        <v>0</v>
      </c>
      <c r="CQ40" s="2">
        <f>SUMIF(SmtRes!AQ16:'SmtRes'!AQ23,"=1",SmtRes!AA16:'SmtRes'!AA23)</f>
        <v>173.41</v>
      </c>
      <c r="CR40" s="2">
        <f>SUMIF(SmtRes!AQ16:'SmtRes'!AQ23,"=1",SmtRes!AB16:'SmtRes'!AB23)</f>
        <v>2130.48</v>
      </c>
      <c r="CS40" s="2">
        <f>SUMIF(SmtRes!AQ16:'SmtRes'!AQ23,"=1",SmtRes!AC16:'SmtRes'!AC23)</f>
        <v>1713.12</v>
      </c>
      <c r="CT40" s="2">
        <f>SUMIF(SmtRes!AQ16:'SmtRes'!AQ23,"=1",SmtRes!AD16:'SmtRes'!AD23)</f>
        <v>714.71</v>
      </c>
      <c r="CU40" s="2">
        <f>AG40</f>
        <v>0</v>
      </c>
      <c r="CV40" s="2">
        <f>SUMIF(SmtRes!AQ16:'SmtRes'!AQ23,"=1",SmtRes!BU16:'SmtRes'!BU23)</f>
        <v>2.82</v>
      </c>
      <c r="CW40" s="2">
        <f>SUMIF(SmtRes!AQ16:'SmtRes'!AQ23,"=1",SmtRes!BV16:'SmtRes'!BV23)</f>
        <v>0.02</v>
      </c>
      <c r="CX40" s="2">
        <f>AJ40</f>
        <v>0</v>
      </c>
      <c r="CY40" s="2">
        <f>(((S40+R40)*AT40)/100)</f>
        <v>0</v>
      </c>
      <c r="CZ40" s="2">
        <f>(((S40+R40)*AU40)/100)</f>
        <v>0</v>
      </c>
      <c r="DA40" s="2"/>
      <c r="DB40" s="2"/>
      <c r="DC40" s="2" t="s">
        <v>3</v>
      </c>
      <c r="DD40" s="2" t="s">
        <v>3</v>
      </c>
      <c r="DE40" s="2" t="s">
        <v>3</v>
      </c>
      <c r="DF40" s="2" t="s">
        <v>3</v>
      </c>
      <c r="DG40" s="2" t="s">
        <v>3</v>
      </c>
      <c r="DH40" s="2" t="s">
        <v>3</v>
      </c>
      <c r="DI40" s="2" t="s">
        <v>3</v>
      </c>
      <c r="DJ40" s="2" t="s">
        <v>3</v>
      </c>
      <c r="DK40" s="2" t="s">
        <v>3</v>
      </c>
      <c r="DL40" s="2" t="s">
        <v>3</v>
      </c>
      <c r="DM40" s="2" t="s">
        <v>3</v>
      </c>
      <c r="DN40" s="2">
        <v>0</v>
      </c>
      <c r="DO40" s="2">
        <v>0</v>
      </c>
      <c r="DP40" s="2">
        <v>1</v>
      </c>
      <c r="DQ40" s="2">
        <v>1</v>
      </c>
      <c r="DR40" s="2"/>
      <c r="DS40" s="2"/>
      <c r="DT40" s="2"/>
      <c r="DU40" s="2">
        <v>1003</v>
      </c>
      <c r="DV40" s="2" t="s">
        <v>18</v>
      </c>
      <c r="DW40" s="2" t="s">
        <v>18</v>
      </c>
      <c r="DX40" s="2">
        <v>100</v>
      </c>
      <c r="DY40" s="2"/>
      <c r="DZ40" s="2" t="s">
        <v>3</v>
      </c>
      <c r="EA40" s="2" t="s">
        <v>3</v>
      </c>
      <c r="EB40" s="2" t="s">
        <v>3</v>
      </c>
      <c r="EC40" s="2" t="s">
        <v>3</v>
      </c>
      <c r="ED40" s="2"/>
      <c r="EE40" s="2">
        <v>50991719</v>
      </c>
      <c r="EF40" s="2">
        <v>3</v>
      </c>
      <c r="EG40" s="2" t="s">
        <v>14</v>
      </c>
      <c r="EH40" s="2">
        <v>0</v>
      </c>
      <c r="EI40" s="2" t="s">
        <v>3</v>
      </c>
      <c r="EJ40" s="2">
        <v>2</v>
      </c>
      <c r="EK40" s="2">
        <v>108001</v>
      </c>
      <c r="EL40" s="2" t="s">
        <v>20</v>
      </c>
      <c r="EM40" s="2" t="s">
        <v>21</v>
      </c>
      <c r="EN40" s="2"/>
      <c r="EO40" s="2" t="s">
        <v>3</v>
      </c>
      <c r="EP40" s="2"/>
      <c r="EQ40" s="2">
        <v>0</v>
      </c>
      <c r="ER40" s="2">
        <v>0</v>
      </c>
      <c r="ES40" s="2">
        <v>0</v>
      </c>
      <c r="ET40" s="2">
        <v>0</v>
      </c>
      <c r="EU40" s="2">
        <v>0</v>
      </c>
      <c r="EV40" s="2">
        <v>0</v>
      </c>
      <c r="EW40" s="2">
        <v>2.82</v>
      </c>
      <c r="EX40" s="2">
        <v>0.02</v>
      </c>
      <c r="EY40" s="2">
        <v>0</v>
      </c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>
        <v>0</v>
      </c>
      <c r="FR40" s="2">
        <v>0</v>
      </c>
      <c r="FS40" s="2">
        <v>0</v>
      </c>
      <c r="FT40" s="2"/>
      <c r="FU40" s="2"/>
      <c r="FV40" s="2"/>
      <c r="FW40" s="2"/>
      <c r="FX40" s="2">
        <v>97</v>
      </c>
      <c r="FY40" s="2">
        <v>51</v>
      </c>
      <c r="FZ40" s="2"/>
      <c r="GA40" s="2" t="s">
        <v>3</v>
      </c>
      <c r="GB40" s="2"/>
      <c r="GC40" s="2"/>
      <c r="GD40" s="2">
        <v>1</v>
      </c>
      <c r="GE40" s="2"/>
      <c r="GF40" s="2">
        <v>-1057771119</v>
      </c>
      <c r="GG40" s="2">
        <v>2</v>
      </c>
      <c r="GH40" s="2">
        <v>1</v>
      </c>
      <c r="GI40" s="2">
        <v>-2</v>
      </c>
      <c r="GJ40" s="2">
        <v>0</v>
      </c>
      <c r="GK40" s="2">
        <v>0</v>
      </c>
      <c r="GL40" s="2">
        <f t="shared" si="28"/>
        <v>0</v>
      </c>
      <c r="GM40" s="2">
        <f t="shared" si="29"/>
        <v>0</v>
      </c>
      <c r="GN40" s="2">
        <f t="shared" si="30"/>
        <v>0</v>
      </c>
      <c r="GO40" s="2">
        <f t="shared" si="31"/>
        <v>0</v>
      </c>
      <c r="GP40" s="2">
        <f t="shared" si="32"/>
        <v>0</v>
      </c>
      <c r="GQ40" s="2"/>
      <c r="GR40" s="2">
        <v>0</v>
      </c>
      <c r="GS40" s="2">
        <v>3</v>
      </c>
      <c r="GT40" s="2">
        <v>0</v>
      </c>
      <c r="GU40" s="2" t="s">
        <v>3</v>
      </c>
      <c r="GV40" s="2">
        <f t="shared" si="33"/>
        <v>0</v>
      </c>
      <c r="GW40" s="2">
        <v>1</v>
      </c>
      <c r="GX40" s="2">
        <f t="shared" si="34"/>
        <v>0</v>
      </c>
      <c r="GY40" s="2"/>
      <c r="GZ40" s="2"/>
      <c r="HA40" s="2">
        <v>0</v>
      </c>
      <c r="HB40" s="2">
        <v>0</v>
      </c>
      <c r="HC40" s="2">
        <f t="shared" si="55"/>
        <v>0</v>
      </c>
      <c r="HD40" s="2"/>
      <c r="HE40" s="2" t="s">
        <v>3</v>
      </c>
      <c r="HF40" s="2" t="s">
        <v>3</v>
      </c>
      <c r="HG40" s="2"/>
      <c r="HH40" s="2"/>
      <c r="HI40" s="2"/>
      <c r="HJ40" s="2"/>
      <c r="HK40" s="2"/>
      <c r="HL40" s="2"/>
      <c r="HM40" s="2" t="s">
        <v>3</v>
      </c>
      <c r="HN40" s="2" t="s">
        <v>22</v>
      </c>
      <c r="HO40" s="2" t="s">
        <v>23</v>
      </c>
      <c r="HP40" s="2" t="s">
        <v>20</v>
      </c>
      <c r="HQ40" s="2" t="s">
        <v>20</v>
      </c>
      <c r="HR40" s="2"/>
      <c r="HS40" s="2">
        <v>0</v>
      </c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>
        <v>0</v>
      </c>
      <c r="IL40" s="2"/>
      <c r="IM40" s="2"/>
      <c r="IN40" s="2"/>
      <c r="IO40" s="2"/>
      <c r="IP40" s="2"/>
      <c r="IQ40" s="2"/>
      <c r="IR40" s="2"/>
      <c r="IS40" s="2"/>
      <c r="IT40" s="2"/>
      <c r="IU40" s="2"/>
    </row>
    <row r="41" spans="1:255" x14ac:dyDescent="0.2">
      <c r="A41" s="2">
        <v>18</v>
      </c>
      <c r="B41" s="2">
        <v>1</v>
      </c>
      <c r="C41" s="2">
        <v>23</v>
      </c>
      <c r="D41" s="2"/>
      <c r="E41" s="2" t="s">
        <v>78</v>
      </c>
      <c r="F41" s="2" t="s">
        <v>25</v>
      </c>
      <c r="G41" s="2" t="s">
        <v>26</v>
      </c>
      <c r="H41" s="2" t="s">
        <v>27</v>
      </c>
      <c r="I41" s="2">
        <f>J41</f>
        <v>2</v>
      </c>
      <c r="J41" s="2">
        <v>2</v>
      </c>
      <c r="K41" s="2">
        <v>2</v>
      </c>
      <c r="L41" s="2"/>
      <c r="M41" s="2"/>
      <c r="N41" s="2"/>
      <c r="O41" s="2">
        <f>ROUND(P41,2)</f>
        <v>0</v>
      </c>
      <c r="P41" s="2">
        <f>ROUND(ROUND(ROUND(SUMIF(SmtRes!AQ16:'SmtRes'!AQ23,"=1",SmtRes!CU16:'SmtRes'!CU23),2),2)*I41/100,2)</f>
        <v>0</v>
      </c>
      <c r="Q41" s="2">
        <f>ROUND(CR41*I41,2)</f>
        <v>0</v>
      </c>
      <c r="R41" s="2">
        <f>ROUND(CS41*I41,2)</f>
        <v>0</v>
      </c>
      <c r="S41" s="2">
        <f>ROUND(CT41*I41,2)</f>
        <v>0</v>
      </c>
      <c r="T41" s="2">
        <f t="shared" si="21"/>
        <v>0</v>
      </c>
      <c r="U41" s="2">
        <f>ROUND(CV41*I41,7)</f>
        <v>0</v>
      </c>
      <c r="V41" s="2">
        <f>ROUND(CW41*I41,7)</f>
        <v>0</v>
      </c>
      <c r="W41" s="2">
        <f t="shared" si="22"/>
        <v>0</v>
      </c>
      <c r="X41" s="2">
        <f t="shared" si="23"/>
        <v>0</v>
      </c>
      <c r="Y41" s="2">
        <f t="shared" si="24"/>
        <v>0</v>
      </c>
      <c r="Z41" s="2"/>
      <c r="AA41" s="2">
        <v>52718353</v>
      </c>
      <c r="AB41" s="2">
        <f t="shared" si="25"/>
        <v>0</v>
      </c>
      <c r="AC41" s="2">
        <f>ROUND((ES41),6)</f>
        <v>0</v>
      </c>
      <c r="AD41" s="2">
        <f>ROUND((((ET41)-(EU41))+AE41),6)</f>
        <v>0</v>
      </c>
      <c r="AE41" s="2">
        <f>ROUND((EU41),6)</f>
        <v>0</v>
      </c>
      <c r="AF41" s="2">
        <f>ROUND((EV41),6)</f>
        <v>0</v>
      </c>
      <c r="AG41" s="2">
        <f t="shared" si="26"/>
        <v>0</v>
      </c>
      <c r="AH41" s="2">
        <f>(EW41)</f>
        <v>0</v>
      </c>
      <c r="AI41" s="2">
        <f>(EX41)</f>
        <v>0</v>
      </c>
      <c r="AJ41" s="2">
        <f t="shared" si="27"/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97</v>
      </c>
      <c r="AU41" s="2">
        <v>51</v>
      </c>
      <c r="AV41" s="2">
        <v>1</v>
      </c>
      <c r="AW41" s="2">
        <v>1</v>
      </c>
      <c r="AX41" s="2"/>
      <c r="AY41" s="2"/>
      <c r="AZ41" s="2">
        <v>1</v>
      </c>
      <c r="BA41" s="2">
        <v>1</v>
      </c>
      <c r="BB41" s="2">
        <v>1</v>
      </c>
      <c r="BC41" s="2">
        <v>1</v>
      </c>
      <c r="BD41" s="2" t="s">
        <v>3</v>
      </c>
      <c r="BE41" s="2" t="s">
        <v>3</v>
      </c>
      <c r="BF41" s="2" t="s">
        <v>3</v>
      </c>
      <c r="BG41" s="2" t="s">
        <v>3</v>
      </c>
      <c r="BH41" s="2">
        <v>3</v>
      </c>
      <c r="BI41" s="2">
        <v>2</v>
      </c>
      <c r="BJ41" s="2" t="s">
        <v>3</v>
      </c>
      <c r="BK41" s="2"/>
      <c r="BL41" s="2"/>
      <c r="BM41" s="2">
        <v>108001</v>
      </c>
      <c r="BN41" s="2">
        <v>0</v>
      </c>
      <c r="BO41" s="2" t="s">
        <v>3</v>
      </c>
      <c r="BP41" s="2">
        <v>0</v>
      </c>
      <c r="BQ41" s="2">
        <v>3</v>
      </c>
      <c r="BR41" s="2">
        <v>0</v>
      </c>
      <c r="BS41" s="2">
        <v>1</v>
      </c>
      <c r="BT41" s="2">
        <v>1</v>
      </c>
      <c r="BU41" s="2">
        <v>1</v>
      </c>
      <c r="BV41" s="2">
        <v>1</v>
      </c>
      <c r="BW41" s="2">
        <v>1</v>
      </c>
      <c r="BX41" s="2">
        <v>1</v>
      </c>
      <c r="BY41" s="2" t="s">
        <v>3</v>
      </c>
      <c r="BZ41" s="2">
        <v>97</v>
      </c>
      <c r="CA41" s="2">
        <v>51</v>
      </c>
      <c r="CB41" s="2" t="s">
        <v>3</v>
      </c>
      <c r="CC41" s="2"/>
      <c r="CD41" s="2"/>
      <c r="CE41" s="2">
        <v>0</v>
      </c>
      <c r="CF41" s="2">
        <v>0</v>
      </c>
      <c r="CG41" s="2">
        <v>0</v>
      </c>
      <c r="CH41" s="2"/>
      <c r="CI41" s="2"/>
      <c r="CJ41" s="2"/>
      <c r="CK41" s="2"/>
      <c r="CL41" s="2"/>
      <c r="CM41" s="2">
        <v>0</v>
      </c>
      <c r="CN41" s="2" t="s">
        <v>3</v>
      </c>
      <c r="CO41" s="2">
        <v>0</v>
      </c>
      <c r="CP41" s="2">
        <f>0</f>
        <v>0</v>
      </c>
      <c r="CQ41" s="2">
        <f>0</f>
        <v>0</v>
      </c>
      <c r="CR41" s="2">
        <f>0</f>
        <v>0</v>
      </c>
      <c r="CS41" s="2">
        <f>0</f>
        <v>0</v>
      </c>
      <c r="CT41" s="2">
        <f>0</f>
        <v>0</v>
      </c>
      <c r="CU41" s="2">
        <f>0</f>
        <v>0</v>
      </c>
      <c r="CV41" s="2">
        <f>0</f>
        <v>0</v>
      </c>
      <c r="CW41" s="2">
        <f>0</f>
        <v>0</v>
      </c>
      <c r="CX41" s="2">
        <f>0</f>
        <v>0</v>
      </c>
      <c r="CY41" s="2">
        <f>0</f>
        <v>0</v>
      </c>
      <c r="CZ41" s="2">
        <f>0</f>
        <v>0</v>
      </c>
      <c r="DA41" s="2"/>
      <c r="DB41" s="2"/>
      <c r="DC41" s="2" t="s">
        <v>3</v>
      </c>
      <c r="DD41" s="2" t="s">
        <v>3</v>
      </c>
      <c r="DE41" s="2" t="s">
        <v>3</v>
      </c>
      <c r="DF41" s="2" t="s">
        <v>3</v>
      </c>
      <c r="DG41" s="2" t="s">
        <v>3</v>
      </c>
      <c r="DH41" s="2" t="s">
        <v>3</v>
      </c>
      <c r="DI41" s="2" t="s">
        <v>3</v>
      </c>
      <c r="DJ41" s="2" t="s">
        <v>3</v>
      </c>
      <c r="DK41" s="2" t="s">
        <v>3</v>
      </c>
      <c r="DL41" s="2" t="s">
        <v>3</v>
      </c>
      <c r="DM41" s="2" t="s">
        <v>3</v>
      </c>
      <c r="DN41" s="2">
        <v>0</v>
      </c>
      <c r="DO41" s="2">
        <v>0</v>
      </c>
      <c r="DP41" s="2">
        <v>1</v>
      </c>
      <c r="DQ41" s="2">
        <v>1</v>
      </c>
      <c r="DR41" s="2"/>
      <c r="DS41" s="2"/>
      <c r="DT41" s="2"/>
      <c r="DU41" s="2">
        <v>1013</v>
      </c>
      <c r="DV41" s="2" t="s">
        <v>27</v>
      </c>
      <c r="DW41" s="2" t="s">
        <v>27</v>
      </c>
      <c r="DX41" s="2">
        <v>1</v>
      </c>
      <c r="DY41" s="2"/>
      <c r="DZ41" s="2" t="s">
        <v>3</v>
      </c>
      <c r="EA41" s="2" t="s">
        <v>3</v>
      </c>
      <c r="EB41" s="2" t="s">
        <v>3</v>
      </c>
      <c r="EC41" s="2" t="s">
        <v>3</v>
      </c>
      <c r="ED41" s="2"/>
      <c r="EE41" s="2">
        <v>50991719</v>
      </c>
      <c r="EF41" s="2">
        <v>3</v>
      </c>
      <c r="EG41" s="2" t="s">
        <v>14</v>
      </c>
      <c r="EH41" s="2">
        <v>0</v>
      </c>
      <c r="EI41" s="2" t="s">
        <v>3</v>
      </c>
      <c r="EJ41" s="2">
        <v>2</v>
      </c>
      <c r="EK41" s="2">
        <v>108001</v>
      </c>
      <c r="EL41" s="2" t="s">
        <v>20</v>
      </c>
      <c r="EM41" s="2" t="s">
        <v>21</v>
      </c>
      <c r="EN41" s="2"/>
      <c r="EO41" s="2" t="s">
        <v>3</v>
      </c>
      <c r="EP41" s="2"/>
      <c r="EQ41" s="2">
        <v>0</v>
      </c>
      <c r="ER41" s="2">
        <v>0</v>
      </c>
      <c r="ES41" s="2">
        <v>0</v>
      </c>
      <c r="ET41" s="2">
        <v>0</v>
      </c>
      <c r="EU41" s="2">
        <v>0</v>
      </c>
      <c r="EV41" s="2">
        <v>0</v>
      </c>
      <c r="EW41" s="2">
        <v>0</v>
      </c>
      <c r="EX41" s="2">
        <v>0</v>
      </c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>
        <v>0</v>
      </c>
      <c r="FR41" s="2">
        <v>0</v>
      </c>
      <c r="FS41" s="2">
        <v>0</v>
      </c>
      <c r="FT41" s="2"/>
      <c r="FU41" s="2"/>
      <c r="FV41" s="2"/>
      <c r="FW41" s="2"/>
      <c r="FX41" s="2">
        <v>97</v>
      </c>
      <c r="FY41" s="2">
        <v>51</v>
      </c>
      <c r="FZ41" s="2"/>
      <c r="GA41" s="2" t="s">
        <v>3</v>
      </c>
      <c r="GB41" s="2"/>
      <c r="GC41" s="2"/>
      <c r="GD41" s="2">
        <v>1</v>
      </c>
      <c r="GE41" s="2"/>
      <c r="GF41" s="2">
        <v>274903907</v>
      </c>
      <c r="GG41" s="2">
        <v>2</v>
      </c>
      <c r="GH41" s="2">
        <v>1</v>
      </c>
      <c r="GI41" s="2">
        <v>-2</v>
      </c>
      <c r="GJ41" s="2">
        <v>0</v>
      </c>
      <c r="GK41" s="2">
        <v>0</v>
      </c>
      <c r="GL41" s="2">
        <f t="shared" si="28"/>
        <v>0</v>
      </c>
      <c r="GM41" s="2">
        <f t="shared" si="29"/>
        <v>0</v>
      </c>
      <c r="GN41" s="2">
        <f t="shared" si="30"/>
        <v>0</v>
      </c>
      <c r="GO41" s="2">
        <f t="shared" si="31"/>
        <v>0</v>
      </c>
      <c r="GP41" s="2">
        <f t="shared" si="32"/>
        <v>0</v>
      </c>
      <c r="GQ41" s="2"/>
      <c r="GR41" s="2">
        <v>0</v>
      </c>
      <c r="GS41" s="2">
        <v>3</v>
      </c>
      <c r="GT41" s="2">
        <v>0</v>
      </c>
      <c r="GU41" s="2" t="s">
        <v>3</v>
      </c>
      <c r="GV41" s="2">
        <f t="shared" si="33"/>
        <v>0</v>
      </c>
      <c r="GW41" s="2">
        <v>1</v>
      </c>
      <c r="GX41" s="2">
        <f t="shared" si="34"/>
        <v>0</v>
      </c>
      <c r="GY41" s="2"/>
      <c r="GZ41" s="2"/>
      <c r="HA41" s="2">
        <v>0</v>
      </c>
      <c r="HB41" s="2">
        <v>0</v>
      </c>
      <c r="HC41" s="2">
        <f>0</f>
        <v>0</v>
      </c>
      <c r="HD41" s="2"/>
      <c r="HE41" s="2" t="s">
        <v>3</v>
      </c>
      <c r="HF41" s="2" t="s">
        <v>3</v>
      </c>
      <c r="HG41" s="2"/>
      <c r="HH41" s="2"/>
      <c r="HI41" s="2"/>
      <c r="HJ41" s="2"/>
      <c r="HK41" s="2"/>
      <c r="HL41" s="2"/>
      <c r="HM41" s="2" t="s">
        <v>3</v>
      </c>
      <c r="HN41" s="2" t="s">
        <v>22</v>
      </c>
      <c r="HO41" s="2" t="s">
        <v>23</v>
      </c>
      <c r="HP41" s="2" t="s">
        <v>20</v>
      </c>
      <c r="HQ41" s="2" t="s">
        <v>20</v>
      </c>
      <c r="HR41" s="2"/>
      <c r="HS41" s="2">
        <v>0</v>
      </c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>
        <v>0</v>
      </c>
      <c r="IL41" s="2"/>
      <c r="IM41" s="2"/>
      <c r="IN41" s="2"/>
      <c r="IO41" s="2"/>
      <c r="IP41" s="2"/>
      <c r="IQ41" s="2"/>
      <c r="IR41" s="2"/>
      <c r="IS41" s="2"/>
      <c r="IT41" s="2"/>
      <c r="IU41" s="2"/>
    </row>
    <row r="42" spans="1:255" x14ac:dyDescent="0.2">
      <c r="A42" s="2">
        <v>17</v>
      </c>
      <c r="B42" s="2">
        <v>1</v>
      </c>
      <c r="C42" s="2">
        <f>ROW(SmtRes!A33)</f>
        <v>33</v>
      </c>
      <c r="D42" s="2">
        <f>ROW(EtalonRes!A33)</f>
        <v>33</v>
      </c>
      <c r="E42" s="2" t="s">
        <v>79</v>
      </c>
      <c r="F42" s="2" t="s">
        <v>80</v>
      </c>
      <c r="G42" s="2" t="s">
        <v>81</v>
      </c>
      <c r="H42" s="2" t="s">
        <v>18</v>
      </c>
      <c r="I42" s="2">
        <f>ROUND(175/100,7)</f>
        <v>1.75</v>
      </c>
      <c r="J42" s="2">
        <v>0</v>
      </c>
      <c r="K42" s="2">
        <f>ROUND(175/100,7)</f>
        <v>1.75</v>
      </c>
      <c r="L42" s="2"/>
      <c r="M42" s="2"/>
      <c r="N42" s="2"/>
      <c r="O42" s="2">
        <f>ROUND(CP42,2)</f>
        <v>5936.83</v>
      </c>
      <c r="P42" s="2">
        <f>SUMIF(SmtRes!AQ24:'SmtRes'!AQ33,"=1",SmtRes!DF24:'SmtRes'!DF33)</f>
        <v>253.73</v>
      </c>
      <c r="Q42" s="2">
        <f>SUMIF(SmtRes!AQ24:'SmtRes'!AQ33,"=1",SmtRes!DG24:'SmtRes'!DG33)</f>
        <v>37.29</v>
      </c>
      <c r="R42" s="2">
        <f>SUMIF(SmtRes!AQ24:'SmtRes'!AQ33,"=1",SmtRes!DH24:'SmtRes'!DH33)</f>
        <v>29.98</v>
      </c>
      <c r="S42" s="2">
        <f>SUMIF(SmtRes!AQ24:'SmtRes'!AQ33,"=1",SmtRes!DI24:'SmtRes'!DI33)</f>
        <v>5615.83</v>
      </c>
      <c r="T42" s="2">
        <f t="shared" si="21"/>
        <v>0</v>
      </c>
      <c r="U42" s="2">
        <f>SUMIF(SmtRes!AQ24:'SmtRes'!AQ33,"=1",SmtRes!CV24:'SmtRes'!CV33)</f>
        <v>7.8574999999999999</v>
      </c>
      <c r="V42" s="2">
        <f>SUMIF(SmtRes!AQ24:'SmtRes'!AQ33,"=1",SmtRes!CW24:'SmtRes'!CW33)</f>
        <v>3.5000000000000003E-2</v>
      </c>
      <c r="W42" s="2">
        <f t="shared" si="22"/>
        <v>0</v>
      </c>
      <c r="X42" s="2">
        <f t="shared" si="23"/>
        <v>5476.44</v>
      </c>
      <c r="Y42" s="2">
        <f t="shared" si="24"/>
        <v>2879.36</v>
      </c>
      <c r="Z42" s="2"/>
      <c r="AA42" s="2">
        <v>52718353</v>
      </c>
      <c r="AB42" s="2">
        <f t="shared" si="25"/>
        <v>3367.7608479999999</v>
      </c>
      <c r="AC42" s="2">
        <f>ROUND((SUM(SmtRes!BQ24:'SmtRes'!BQ33)),6)</f>
        <v>137.40814800000001</v>
      </c>
      <c r="AD42" s="2">
        <f>ROUND((((SUM(SmtRes!BR24:'SmtRes'!BR33))-(SUM(SmtRes!BS24:'SmtRes'!BS33)))+AE42),6)</f>
        <v>21.3048</v>
      </c>
      <c r="AE42" s="2">
        <f>ROUND((SUM(SmtRes!BS24:'SmtRes'!BS33)),6)</f>
        <v>17.1312</v>
      </c>
      <c r="AF42" s="2">
        <f>ROUND((SUM(SmtRes!BT24:'SmtRes'!BT33)),6)</f>
        <v>3209.0479</v>
      </c>
      <c r="AG42" s="2">
        <f t="shared" si="26"/>
        <v>0</v>
      </c>
      <c r="AH42" s="2">
        <f>(SUM(SmtRes!BU24:'SmtRes'!BU33))</f>
        <v>4.49</v>
      </c>
      <c r="AI42" s="2">
        <f>(SUM(SmtRes!BV24:'SmtRes'!BV33))</f>
        <v>0.02</v>
      </c>
      <c r="AJ42" s="2">
        <f t="shared" si="27"/>
        <v>0</v>
      </c>
      <c r="AK42" s="2">
        <v>3384.8920479000003</v>
      </c>
      <c r="AL42" s="2">
        <v>137.40814790000002</v>
      </c>
      <c r="AM42" s="2">
        <v>21.3048</v>
      </c>
      <c r="AN42" s="2">
        <v>17.1312</v>
      </c>
      <c r="AO42" s="2">
        <v>3209.0479000000005</v>
      </c>
      <c r="AP42" s="2">
        <v>0</v>
      </c>
      <c r="AQ42" s="2">
        <v>4.49</v>
      </c>
      <c r="AR42" s="2">
        <v>0.02</v>
      </c>
      <c r="AS42" s="2">
        <v>0</v>
      </c>
      <c r="AT42" s="2">
        <v>97</v>
      </c>
      <c r="AU42" s="2">
        <v>51</v>
      </c>
      <c r="AV42" s="2">
        <v>1</v>
      </c>
      <c r="AW42" s="2">
        <v>1</v>
      </c>
      <c r="AX42" s="2"/>
      <c r="AY42" s="2"/>
      <c r="AZ42" s="2">
        <v>1</v>
      </c>
      <c r="BA42" s="2">
        <v>1</v>
      </c>
      <c r="BB42" s="2">
        <v>1</v>
      </c>
      <c r="BC42" s="2">
        <v>1</v>
      </c>
      <c r="BD42" s="2" t="s">
        <v>3</v>
      </c>
      <c r="BE42" s="2" t="s">
        <v>3</v>
      </c>
      <c r="BF42" s="2" t="s">
        <v>3</v>
      </c>
      <c r="BG42" s="2" t="s">
        <v>3</v>
      </c>
      <c r="BH42" s="2">
        <v>0</v>
      </c>
      <c r="BI42" s="2">
        <v>2</v>
      </c>
      <c r="BJ42" s="2" t="s">
        <v>82</v>
      </c>
      <c r="BK42" s="2"/>
      <c r="BL42" s="2"/>
      <c r="BM42" s="2">
        <v>108001</v>
      </c>
      <c r="BN42" s="2">
        <v>0</v>
      </c>
      <c r="BO42" s="2" t="s">
        <v>3</v>
      </c>
      <c r="BP42" s="2">
        <v>0</v>
      </c>
      <c r="BQ42" s="2">
        <v>3</v>
      </c>
      <c r="BR42" s="2">
        <v>0</v>
      </c>
      <c r="BS42" s="2">
        <v>1</v>
      </c>
      <c r="BT42" s="2">
        <v>1</v>
      </c>
      <c r="BU42" s="2">
        <v>1</v>
      </c>
      <c r="BV42" s="2">
        <v>1</v>
      </c>
      <c r="BW42" s="2">
        <v>1</v>
      </c>
      <c r="BX42" s="2">
        <v>1</v>
      </c>
      <c r="BY42" s="2" t="s">
        <v>3</v>
      </c>
      <c r="BZ42" s="2">
        <v>97</v>
      </c>
      <c r="CA42" s="2">
        <v>51</v>
      </c>
      <c r="CB42" s="2" t="s">
        <v>3</v>
      </c>
      <c r="CC42" s="2"/>
      <c r="CD42" s="2"/>
      <c r="CE42" s="2">
        <v>0</v>
      </c>
      <c r="CF42" s="2">
        <v>0</v>
      </c>
      <c r="CG42" s="2">
        <v>0</v>
      </c>
      <c r="CH42" s="2"/>
      <c r="CI42" s="2"/>
      <c r="CJ42" s="2"/>
      <c r="CK42" s="2"/>
      <c r="CL42" s="2"/>
      <c r="CM42" s="2">
        <v>0</v>
      </c>
      <c r="CN42" s="2" t="s">
        <v>3</v>
      </c>
      <c r="CO42" s="2">
        <v>0</v>
      </c>
      <c r="CP42" s="2">
        <f>(P42+Q42+S42+R42)</f>
        <v>5936.83</v>
      </c>
      <c r="CQ42" s="2">
        <f>SUMIF(SmtRes!AQ24:'SmtRes'!AQ33,"=1",SmtRes!AA24:'SmtRes'!AA33)</f>
        <v>61658.9</v>
      </c>
      <c r="CR42" s="2">
        <f>SUMIF(SmtRes!AQ24:'SmtRes'!AQ33,"=1",SmtRes!AB24:'SmtRes'!AB33)</f>
        <v>2130.48</v>
      </c>
      <c r="CS42" s="2">
        <f>SUMIF(SmtRes!AQ24:'SmtRes'!AQ33,"=1",SmtRes!AC24:'SmtRes'!AC33)</f>
        <v>1713.12</v>
      </c>
      <c r="CT42" s="2">
        <f>SUMIF(SmtRes!AQ24:'SmtRes'!AQ33,"=1",SmtRes!AD24:'SmtRes'!AD33)</f>
        <v>714.71</v>
      </c>
      <c r="CU42" s="2">
        <f>AG42</f>
        <v>0</v>
      </c>
      <c r="CV42" s="2">
        <f>SUMIF(SmtRes!AQ24:'SmtRes'!AQ33,"=1",SmtRes!BU24:'SmtRes'!BU33)</f>
        <v>4.49</v>
      </c>
      <c r="CW42" s="2">
        <f>SUMIF(SmtRes!AQ24:'SmtRes'!AQ33,"=1",SmtRes!BV24:'SmtRes'!BV33)</f>
        <v>0.02</v>
      </c>
      <c r="CX42" s="2">
        <f>AJ42</f>
        <v>0</v>
      </c>
      <c r="CY42" s="2">
        <f>(((S42+R42)*AT42)/100)</f>
        <v>5476.4356999999991</v>
      </c>
      <c r="CZ42" s="2">
        <f>(((S42+R42)*AU42)/100)</f>
        <v>2879.3631</v>
      </c>
      <c r="DA42" s="2"/>
      <c r="DB42" s="2"/>
      <c r="DC42" s="2" t="s">
        <v>3</v>
      </c>
      <c r="DD42" s="2" t="s">
        <v>3</v>
      </c>
      <c r="DE42" s="2" t="s">
        <v>3</v>
      </c>
      <c r="DF42" s="2" t="s">
        <v>3</v>
      </c>
      <c r="DG42" s="2" t="s">
        <v>3</v>
      </c>
      <c r="DH42" s="2" t="s">
        <v>3</v>
      </c>
      <c r="DI42" s="2" t="s">
        <v>3</v>
      </c>
      <c r="DJ42" s="2" t="s">
        <v>3</v>
      </c>
      <c r="DK42" s="2" t="s">
        <v>3</v>
      </c>
      <c r="DL42" s="2" t="s">
        <v>3</v>
      </c>
      <c r="DM42" s="2" t="s">
        <v>3</v>
      </c>
      <c r="DN42" s="2">
        <v>0</v>
      </c>
      <c r="DO42" s="2">
        <v>0</v>
      </c>
      <c r="DP42" s="2">
        <v>1</v>
      </c>
      <c r="DQ42" s="2">
        <v>1</v>
      </c>
      <c r="DR42" s="2"/>
      <c r="DS42" s="2"/>
      <c r="DT42" s="2"/>
      <c r="DU42" s="2">
        <v>1003</v>
      </c>
      <c r="DV42" s="2" t="s">
        <v>18</v>
      </c>
      <c r="DW42" s="2" t="s">
        <v>18</v>
      </c>
      <c r="DX42" s="2">
        <v>100</v>
      </c>
      <c r="DY42" s="2"/>
      <c r="DZ42" s="2" t="s">
        <v>3</v>
      </c>
      <c r="EA42" s="2" t="s">
        <v>3</v>
      </c>
      <c r="EB42" s="2" t="s">
        <v>3</v>
      </c>
      <c r="EC42" s="2" t="s">
        <v>3</v>
      </c>
      <c r="ED42" s="2"/>
      <c r="EE42" s="2">
        <v>50991719</v>
      </c>
      <c r="EF42" s="2">
        <v>3</v>
      </c>
      <c r="EG42" s="2" t="s">
        <v>14</v>
      </c>
      <c r="EH42" s="2">
        <v>0</v>
      </c>
      <c r="EI42" s="2" t="s">
        <v>3</v>
      </c>
      <c r="EJ42" s="2">
        <v>2</v>
      </c>
      <c r="EK42" s="2">
        <v>108001</v>
      </c>
      <c r="EL42" s="2" t="s">
        <v>20</v>
      </c>
      <c r="EM42" s="2" t="s">
        <v>21</v>
      </c>
      <c r="EN42" s="2"/>
      <c r="EO42" s="2" t="s">
        <v>3</v>
      </c>
      <c r="EP42" s="2"/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4.49</v>
      </c>
      <c r="EX42" s="2">
        <v>0.02</v>
      </c>
      <c r="EY42" s="2">
        <v>0</v>
      </c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>
        <v>0</v>
      </c>
      <c r="FR42" s="2">
        <v>0</v>
      </c>
      <c r="FS42" s="2">
        <v>0</v>
      </c>
      <c r="FT42" s="2"/>
      <c r="FU42" s="2"/>
      <c r="FV42" s="2"/>
      <c r="FW42" s="2"/>
      <c r="FX42" s="2">
        <v>97</v>
      </c>
      <c r="FY42" s="2">
        <v>51</v>
      </c>
      <c r="FZ42" s="2"/>
      <c r="GA42" s="2" t="s">
        <v>3</v>
      </c>
      <c r="GB42" s="2"/>
      <c r="GC42" s="2"/>
      <c r="GD42" s="2">
        <v>1</v>
      </c>
      <c r="GE42" s="2"/>
      <c r="GF42" s="2">
        <v>-821002293</v>
      </c>
      <c r="GG42" s="2">
        <v>2</v>
      </c>
      <c r="GH42" s="2">
        <v>1</v>
      </c>
      <c r="GI42" s="2">
        <v>-2</v>
      </c>
      <c r="GJ42" s="2">
        <v>0</v>
      </c>
      <c r="GK42" s="2">
        <v>0</v>
      </c>
      <c r="GL42" s="2">
        <f t="shared" si="28"/>
        <v>0</v>
      </c>
      <c r="GM42" s="2">
        <f t="shared" si="29"/>
        <v>14292.63</v>
      </c>
      <c r="GN42" s="2">
        <f t="shared" si="30"/>
        <v>0</v>
      </c>
      <c r="GO42" s="2">
        <f t="shared" si="31"/>
        <v>14292.63</v>
      </c>
      <c r="GP42" s="2">
        <f t="shared" si="32"/>
        <v>0</v>
      </c>
      <c r="GQ42" s="2"/>
      <c r="GR42" s="2">
        <v>0</v>
      </c>
      <c r="GS42" s="2">
        <v>3</v>
      </c>
      <c r="GT42" s="2">
        <v>0</v>
      </c>
      <c r="GU42" s="2" t="s">
        <v>3</v>
      </c>
      <c r="GV42" s="2">
        <f t="shared" si="33"/>
        <v>0</v>
      </c>
      <c r="GW42" s="2">
        <v>1</v>
      </c>
      <c r="GX42" s="2">
        <f t="shared" si="34"/>
        <v>0</v>
      </c>
      <c r="GY42" s="2"/>
      <c r="GZ42" s="2"/>
      <c r="HA42" s="2">
        <v>0</v>
      </c>
      <c r="HB42" s="2">
        <v>0</v>
      </c>
      <c r="HC42" s="2">
        <f>GV42*GW42</f>
        <v>0</v>
      </c>
      <c r="HD42" s="2"/>
      <c r="HE42" s="2" t="s">
        <v>3</v>
      </c>
      <c r="HF42" s="2" t="s">
        <v>3</v>
      </c>
      <c r="HG42" s="2"/>
      <c r="HH42" s="2"/>
      <c r="HI42" s="2"/>
      <c r="HJ42" s="2"/>
      <c r="HK42" s="2"/>
      <c r="HL42" s="2"/>
      <c r="HM42" s="2" t="s">
        <v>3</v>
      </c>
      <c r="HN42" s="2" t="s">
        <v>22</v>
      </c>
      <c r="HO42" s="2" t="s">
        <v>23</v>
      </c>
      <c r="HP42" s="2" t="s">
        <v>20</v>
      </c>
      <c r="HQ42" s="2" t="s">
        <v>20</v>
      </c>
      <c r="HR42" s="2"/>
      <c r="HS42" s="2">
        <v>0</v>
      </c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>
        <v>0</v>
      </c>
      <c r="IL42" s="2"/>
      <c r="IM42" s="2"/>
      <c r="IN42" s="2"/>
      <c r="IO42" s="2"/>
      <c r="IP42" s="2"/>
      <c r="IQ42" s="2"/>
      <c r="IR42" s="2"/>
      <c r="IS42" s="2"/>
      <c r="IT42" s="2"/>
      <c r="IU42" s="2"/>
    </row>
    <row r="43" spans="1:255" x14ac:dyDescent="0.2">
      <c r="A43" s="2">
        <v>18</v>
      </c>
      <c r="B43" s="2">
        <v>1</v>
      </c>
      <c r="C43" s="2">
        <v>33</v>
      </c>
      <c r="D43" s="2"/>
      <c r="E43" s="2" t="s">
        <v>83</v>
      </c>
      <c r="F43" s="2" t="s">
        <v>25</v>
      </c>
      <c r="G43" s="2" t="s">
        <v>26</v>
      </c>
      <c r="H43" s="2" t="s">
        <v>27</v>
      </c>
      <c r="I43" s="2">
        <f>J43</f>
        <v>2</v>
      </c>
      <c r="J43" s="2">
        <v>2</v>
      </c>
      <c r="K43" s="2">
        <v>2</v>
      </c>
      <c r="L43" s="2"/>
      <c r="M43" s="2"/>
      <c r="N43" s="2"/>
      <c r="O43" s="2">
        <f>ROUND(P43,2)</f>
        <v>112.32</v>
      </c>
      <c r="P43" s="2">
        <f>ROUND(ROUND(ROUND(SUMIF(SmtRes!AQ24:'SmtRes'!AQ33,"=1",SmtRes!CU24:'SmtRes'!CU33),2),2)*I43/100,2)</f>
        <v>112.32</v>
      </c>
      <c r="Q43" s="2">
        <f t="shared" ref="Q43:Q48" si="56">ROUND(CR43*I43,2)</f>
        <v>0</v>
      </c>
      <c r="R43" s="2">
        <f t="shared" ref="R43:R48" si="57">ROUND(CS43*I43,2)</f>
        <v>0</v>
      </c>
      <c r="S43" s="2">
        <f t="shared" ref="S43:S48" si="58">ROUND(CT43*I43,2)</f>
        <v>0</v>
      </c>
      <c r="T43" s="2">
        <f t="shared" si="21"/>
        <v>0</v>
      </c>
      <c r="U43" s="2">
        <f t="shared" ref="U43:U48" si="59">ROUND(CV43*I43,7)</f>
        <v>0</v>
      </c>
      <c r="V43" s="2">
        <f t="shared" ref="V43:V48" si="60">ROUND(CW43*I43,7)</f>
        <v>0</v>
      </c>
      <c r="W43" s="2">
        <f t="shared" si="22"/>
        <v>0</v>
      </c>
      <c r="X43" s="2">
        <f t="shared" si="23"/>
        <v>0</v>
      </c>
      <c r="Y43" s="2">
        <f t="shared" si="24"/>
        <v>0</v>
      </c>
      <c r="Z43" s="2"/>
      <c r="AA43" s="2">
        <v>52718353</v>
      </c>
      <c r="AB43" s="2">
        <f t="shared" si="25"/>
        <v>0</v>
      </c>
      <c r="AC43" s="2">
        <f t="shared" ref="AC43:AC48" si="61">ROUND((ES43),6)</f>
        <v>0</v>
      </c>
      <c r="AD43" s="2">
        <f t="shared" ref="AD43:AD48" si="62">ROUND((((ET43)-(EU43))+AE43),6)</f>
        <v>0</v>
      </c>
      <c r="AE43" s="2">
        <f t="shared" ref="AE43:AF48" si="63">ROUND((EU43),6)</f>
        <v>0</v>
      </c>
      <c r="AF43" s="2">
        <f t="shared" si="63"/>
        <v>0</v>
      </c>
      <c r="AG43" s="2">
        <f t="shared" si="26"/>
        <v>0</v>
      </c>
      <c r="AH43" s="2">
        <f t="shared" ref="AH43:AI48" si="64">(EW43)</f>
        <v>0</v>
      </c>
      <c r="AI43" s="2">
        <f t="shared" si="64"/>
        <v>0</v>
      </c>
      <c r="AJ43" s="2">
        <f t="shared" si="27"/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97</v>
      </c>
      <c r="AU43" s="2">
        <v>51</v>
      </c>
      <c r="AV43" s="2">
        <v>1</v>
      </c>
      <c r="AW43" s="2">
        <v>1</v>
      </c>
      <c r="AX43" s="2"/>
      <c r="AY43" s="2"/>
      <c r="AZ43" s="2">
        <v>1</v>
      </c>
      <c r="BA43" s="2">
        <v>1</v>
      </c>
      <c r="BB43" s="2">
        <v>1</v>
      </c>
      <c r="BC43" s="2">
        <v>1</v>
      </c>
      <c r="BD43" s="2" t="s">
        <v>3</v>
      </c>
      <c r="BE43" s="2" t="s">
        <v>3</v>
      </c>
      <c r="BF43" s="2" t="s">
        <v>3</v>
      </c>
      <c r="BG43" s="2" t="s">
        <v>3</v>
      </c>
      <c r="BH43" s="2">
        <v>3</v>
      </c>
      <c r="BI43" s="2">
        <v>2</v>
      </c>
      <c r="BJ43" s="2" t="s">
        <v>3</v>
      </c>
      <c r="BK43" s="2"/>
      <c r="BL43" s="2"/>
      <c r="BM43" s="2">
        <v>108001</v>
      </c>
      <c r="BN43" s="2">
        <v>0</v>
      </c>
      <c r="BO43" s="2" t="s">
        <v>3</v>
      </c>
      <c r="BP43" s="2">
        <v>0</v>
      </c>
      <c r="BQ43" s="2">
        <v>3</v>
      </c>
      <c r="BR43" s="2">
        <v>0</v>
      </c>
      <c r="BS43" s="2">
        <v>1</v>
      </c>
      <c r="BT43" s="2">
        <v>1</v>
      </c>
      <c r="BU43" s="2">
        <v>1</v>
      </c>
      <c r="BV43" s="2">
        <v>1</v>
      </c>
      <c r="BW43" s="2">
        <v>1</v>
      </c>
      <c r="BX43" s="2">
        <v>1</v>
      </c>
      <c r="BY43" s="2" t="s">
        <v>3</v>
      </c>
      <c r="BZ43" s="2">
        <v>97</v>
      </c>
      <c r="CA43" s="2">
        <v>51</v>
      </c>
      <c r="CB43" s="2" t="s">
        <v>3</v>
      </c>
      <c r="CC43" s="2"/>
      <c r="CD43" s="2"/>
      <c r="CE43" s="2">
        <v>0</v>
      </c>
      <c r="CF43" s="2">
        <v>0</v>
      </c>
      <c r="CG43" s="2">
        <v>0</v>
      </c>
      <c r="CH43" s="2"/>
      <c r="CI43" s="2"/>
      <c r="CJ43" s="2"/>
      <c r="CK43" s="2"/>
      <c r="CL43" s="2"/>
      <c r="CM43" s="2">
        <v>0</v>
      </c>
      <c r="CN43" s="2" t="s">
        <v>3</v>
      </c>
      <c r="CO43" s="2">
        <v>0</v>
      </c>
      <c r="CP43" s="2">
        <f>0</f>
        <v>0</v>
      </c>
      <c r="CQ43" s="2">
        <f>0</f>
        <v>0</v>
      </c>
      <c r="CR43" s="2">
        <f>0</f>
        <v>0</v>
      </c>
      <c r="CS43" s="2">
        <f>0</f>
        <v>0</v>
      </c>
      <c r="CT43" s="2">
        <f>0</f>
        <v>0</v>
      </c>
      <c r="CU43" s="2">
        <f>0</f>
        <v>0</v>
      </c>
      <c r="CV43" s="2">
        <f>0</f>
        <v>0</v>
      </c>
      <c r="CW43" s="2">
        <f>0</f>
        <v>0</v>
      </c>
      <c r="CX43" s="2">
        <f>0</f>
        <v>0</v>
      </c>
      <c r="CY43" s="2">
        <f>0</f>
        <v>0</v>
      </c>
      <c r="CZ43" s="2">
        <f>0</f>
        <v>0</v>
      </c>
      <c r="DA43" s="2"/>
      <c r="DB43" s="2"/>
      <c r="DC43" s="2" t="s">
        <v>3</v>
      </c>
      <c r="DD43" s="2" t="s">
        <v>3</v>
      </c>
      <c r="DE43" s="2" t="s">
        <v>3</v>
      </c>
      <c r="DF43" s="2" t="s">
        <v>3</v>
      </c>
      <c r="DG43" s="2" t="s">
        <v>3</v>
      </c>
      <c r="DH43" s="2" t="s">
        <v>3</v>
      </c>
      <c r="DI43" s="2" t="s">
        <v>3</v>
      </c>
      <c r="DJ43" s="2" t="s">
        <v>3</v>
      </c>
      <c r="DK43" s="2" t="s">
        <v>3</v>
      </c>
      <c r="DL43" s="2" t="s">
        <v>3</v>
      </c>
      <c r="DM43" s="2" t="s">
        <v>3</v>
      </c>
      <c r="DN43" s="2">
        <v>0</v>
      </c>
      <c r="DO43" s="2">
        <v>0</v>
      </c>
      <c r="DP43" s="2">
        <v>1</v>
      </c>
      <c r="DQ43" s="2">
        <v>1</v>
      </c>
      <c r="DR43" s="2"/>
      <c r="DS43" s="2"/>
      <c r="DT43" s="2"/>
      <c r="DU43" s="2">
        <v>1013</v>
      </c>
      <c r="DV43" s="2" t="s">
        <v>27</v>
      </c>
      <c r="DW43" s="2" t="s">
        <v>27</v>
      </c>
      <c r="DX43" s="2">
        <v>1</v>
      </c>
      <c r="DY43" s="2"/>
      <c r="DZ43" s="2" t="s">
        <v>3</v>
      </c>
      <c r="EA43" s="2" t="s">
        <v>3</v>
      </c>
      <c r="EB43" s="2" t="s">
        <v>3</v>
      </c>
      <c r="EC43" s="2" t="s">
        <v>3</v>
      </c>
      <c r="ED43" s="2"/>
      <c r="EE43" s="2">
        <v>50991719</v>
      </c>
      <c r="EF43" s="2">
        <v>3</v>
      </c>
      <c r="EG43" s="2" t="s">
        <v>14</v>
      </c>
      <c r="EH43" s="2">
        <v>0</v>
      </c>
      <c r="EI43" s="2" t="s">
        <v>3</v>
      </c>
      <c r="EJ43" s="2">
        <v>2</v>
      </c>
      <c r="EK43" s="2">
        <v>108001</v>
      </c>
      <c r="EL43" s="2" t="s">
        <v>20</v>
      </c>
      <c r="EM43" s="2" t="s">
        <v>21</v>
      </c>
      <c r="EN43" s="2"/>
      <c r="EO43" s="2" t="s">
        <v>3</v>
      </c>
      <c r="EP43" s="2"/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>
        <v>0</v>
      </c>
      <c r="FR43" s="2">
        <v>0</v>
      </c>
      <c r="FS43" s="2">
        <v>0</v>
      </c>
      <c r="FT43" s="2"/>
      <c r="FU43" s="2"/>
      <c r="FV43" s="2"/>
      <c r="FW43" s="2"/>
      <c r="FX43" s="2">
        <v>97</v>
      </c>
      <c r="FY43" s="2">
        <v>51</v>
      </c>
      <c r="FZ43" s="2"/>
      <c r="GA43" s="2" t="s">
        <v>3</v>
      </c>
      <c r="GB43" s="2"/>
      <c r="GC43" s="2"/>
      <c r="GD43" s="2">
        <v>1</v>
      </c>
      <c r="GE43" s="2"/>
      <c r="GF43" s="2">
        <v>274903907</v>
      </c>
      <c r="GG43" s="2">
        <v>2</v>
      </c>
      <c r="GH43" s="2">
        <v>1</v>
      </c>
      <c r="GI43" s="2">
        <v>-2</v>
      </c>
      <c r="GJ43" s="2">
        <v>0</v>
      </c>
      <c r="GK43" s="2">
        <v>0</v>
      </c>
      <c r="GL43" s="2">
        <f t="shared" si="28"/>
        <v>0</v>
      </c>
      <c r="GM43" s="2">
        <f t="shared" si="29"/>
        <v>112.32</v>
      </c>
      <c r="GN43" s="2">
        <f t="shared" si="30"/>
        <v>0</v>
      </c>
      <c r="GO43" s="2">
        <f t="shared" si="31"/>
        <v>112.32</v>
      </c>
      <c r="GP43" s="2">
        <f t="shared" si="32"/>
        <v>0</v>
      </c>
      <c r="GQ43" s="2"/>
      <c r="GR43" s="2">
        <v>0</v>
      </c>
      <c r="GS43" s="2">
        <v>3</v>
      </c>
      <c r="GT43" s="2">
        <v>0</v>
      </c>
      <c r="GU43" s="2" t="s">
        <v>3</v>
      </c>
      <c r="GV43" s="2">
        <f t="shared" si="33"/>
        <v>0</v>
      </c>
      <c r="GW43" s="2">
        <v>1</v>
      </c>
      <c r="GX43" s="2">
        <f t="shared" si="34"/>
        <v>0</v>
      </c>
      <c r="GY43" s="2"/>
      <c r="GZ43" s="2"/>
      <c r="HA43" s="2">
        <v>0</v>
      </c>
      <c r="HB43" s="2">
        <v>0</v>
      </c>
      <c r="HC43" s="2">
        <f>0</f>
        <v>0</v>
      </c>
      <c r="HD43" s="2"/>
      <c r="HE43" s="2" t="s">
        <v>3</v>
      </c>
      <c r="HF43" s="2" t="s">
        <v>3</v>
      </c>
      <c r="HG43" s="2"/>
      <c r="HH43" s="2"/>
      <c r="HI43" s="2"/>
      <c r="HJ43" s="2"/>
      <c r="HK43" s="2"/>
      <c r="HL43" s="2"/>
      <c r="HM43" s="2" t="s">
        <v>3</v>
      </c>
      <c r="HN43" s="2" t="s">
        <v>22</v>
      </c>
      <c r="HO43" s="2" t="s">
        <v>23</v>
      </c>
      <c r="HP43" s="2" t="s">
        <v>20</v>
      </c>
      <c r="HQ43" s="2" t="s">
        <v>20</v>
      </c>
      <c r="HR43" s="2"/>
      <c r="HS43" s="2">
        <v>0</v>
      </c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>
        <v>0</v>
      </c>
      <c r="IL43" s="2"/>
      <c r="IM43" s="2"/>
      <c r="IN43" s="2"/>
      <c r="IO43" s="2"/>
      <c r="IP43" s="2"/>
      <c r="IQ43" s="2"/>
      <c r="IR43" s="2"/>
      <c r="IS43" s="2"/>
      <c r="IT43" s="2"/>
      <c r="IU43" s="2"/>
    </row>
    <row r="44" spans="1:255" x14ac:dyDescent="0.2">
      <c r="A44" s="2">
        <v>17</v>
      </c>
      <c r="B44" s="2">
        <v>1</v>
      </c>
      <c r="C44" s="2"/>
      <c r="D44" s="2"/>
      <c r="E44" s="2" t="s">
        <v>84</v>
      </c>
      <c r="F44" s="2" t="s">
        <v>85</v>
      </c>
      <c r="G44" s="2" t="s">
        <v>86</v>
      </c>
      <c r="H44" s="2" t="s">
        <v>31</v>
      </c>
      <c r="I44" s="2">
        <v>50</v>
      </c>
      <c r="J44" s="2">
        <v>0</v>
      </c>
      <c r="K44" s="2">
        <v>50</v>
      </c>
      <c r="L44" s="2"/>
      <c r="M44" s="2"/>
      <c r="N44" s="2"/>
      <c r="O44" s="2">
        <f t="shared" ref="O44:O49" si="65">ROUND(CP44,2)</f>
        <v>3722</v>
      </c>
      <c r="P44" s="2">
        <f>ROUND(CQ44*I44,2)</f>
        <v>3722</v>
      </c>
      <c r="Q44" s="2">
        <f t="shared" si="56"/>
        <v>0</v>
      </c>
      <c r="R44" s="2">
        <f t="shared" si="57"/>
        <v>0</v>
      </c>
      <c r="S44" s="2">
        <f t="shared" si="58"/>
        <v>0</v>
      </c>
      <c r="T44" s="2">
        <f t="shared" si="21"/>
        <v>0</v>
      </c>
      <c r="U44" s="2">
        <f t="shared" si="59"/>
        <v>0</v>
      </c>
      <c r="V44" s="2">
        <f t="shared" si="60"/>
        <v>0</v>
      </c>
      <c r="W44" s="2">
        <f t="shared" si="22"/>
        <v>0</v>
      </c>
      <c r="X44" s="2">
        <f t="shared" si="23"/>
        <v>0</v>
      </c>
      <c r="Y44" s="2">
        <f t="shared" si="24"/>
        <v>0</v>
      </c>
      <c r="Z44" s="2"/>
      <c r="AA44" s="2">
        <v>52718353</v>
      </c>
      <c r="AB44" s="2">
        <f t="shared" si="25"/>
        <v>74.44</v>
      </c>
      <c r="AC44" s="2">
        <f t="shared" si="61"/>
        <v>74.44</v>
      </c>
      <c r="AD44" s="2">
        <f t="shared" si="62"/>
        <v>0</v>
      </c>
      <c r="AE44" s="2">
        <f t="shared" si="63"/>
        <v>0</v>
      </c>
      <c r="AF44" s="2">
        <f t="shared" si="63"/>
        <v>0</v>
      </c>
      <c r="AG44" s="2">
        <f t="shared" si="26"/>
        <v>0</v>
      </c>
      <c r="AH44" s="2">
        <f t="shared" si="64"/>
        <v>0</v>
      </c>
      <c r="AI44" s="2">
        <f t="shared" si="64"/>
        <v>0</v>
      </c>
      <c r="AJ44" s="2">
        <f t="shared" si="27"/>
        <v>0</v>
      </c>
      <c r="AK44" s="2">
        <v>74.44</v>
      </c>
      <c r="AL44" s="2">
        <v>74.44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1</v>
      </c>
      <c r="AW44" s="2">
        <v>1</v>
      </c>
      <c r="AX44" s="2"/>
      <c r="AY44" s="2"/>
      <c r="AZ44" s="2">
        <v>1</v>
      </c>
      <c r="BA44" s="2">
        <v>1</v>
      </c>
      <c r="BB44" s="2">
        <v>1</v>
      </c>
      <c r="BC44" s="2">
        <v>1</v>
      </c>
      <c r="BD44" s="2" t="s">
        <v>3</v>
      </c>
      <c r="BE44" s="2" t="s">
        <v>3</v>
      </c>
      <c r="BF44" s="2" t="s">
        <v>3</v>
      </c>
      <c r="BG44" s="2" t="s">
        <v>3</v>
      </c>
      <c r="BH44" s="2">
        <v>3</v>
      </c>
      <c r="BI44" s="2">
        <v>1</v>
      </c>
      <c r="BJ44" s="2" t="s">
        <v>3</v>
      </c>
      <c r="BK44" s="2"/>
      <c r="BL44" s="2"/>
      <c r="BM44" s="2">
        <v>1100</v>
      </c>
      <c r="BN44" s="2">
        <v>0</v>
      </c>
      <c r="BO44" s="2" t="s">
        <v>3</v>
      </c>
      <c r="BP44" s="2">
        <v>0</v>
      </c>
      <c r="BQ44" s="2">
        <v>8</v>
      </c>
      <c r="BR44" s="2">
        <v>0</v>
      </c>
      <c r="BS44" s="2">
        <v>1</v>
      </c>
      <c r="BT44" s="2">
        <v>1</v>
      </c>
      <c r="BU44" s="2">
        <v>1</v>
      </c>
      <c r="BV44" s="2">
        <v>1</v>
      </c>
      <c r="BW44" s="2">
        <v>1</v>
      </c>
      <c r="BX44" s="2">
        <v>1</v>
      </c>
      <c r="BY44" s="2" t="s">
        <v>3</v>
      </c>
      <c r="BZ44" s="2">
        <v>0</v>
      </c>
      <c r="CA44" s="2">
        <v>0</v>
      </c>
      <c r="CB44" s="2" t="s">
        <v>3</v>
      </c>
      <c r="CC44" s="2"/>
      <c r="CD44" s="2"/>
      <c r="CE44" s="2">
        <v>0</v>
      </c>
      <c r="CF44" s="2">
        <v>0</v>
      </c>
      <c r="CG44" s="2">
        <v>0</v>
      </c>
      <c r="CH44" s="2"/>
      <c r="CI44" s="2"/>
      <c r="CJ44" s="2"/>
      <c r="CK44" s="2"/>
      <c r="CL44" s="2"/>
      <c r="CM44" s="2">
        <v>0</v>
      </c>
      <c r="CN44" s="2" t="s">
        <v>3</v>
      </c>
      <c r="CO44" s="2">
        <v>0</v>
      </c>
      <c r="CP44" s="2">
        <f t="shared" ref="CP44:CP49" si="66">(P44+Q44+S44+R44)</f>
        <v>3722</v>
      </c>
      <c r="CQ44" s="2">
        <f>ROUND(AL44*BC44,2)</f>
        <v>74.44</v>
      </c>
      <c r="CR44" s="2">
        <f>ROUND(AM44*BB44,2)</f>
        <v>0</v>
      </c>
      <c r="CS44" s="2">
        <f>ROUND(AN44*BS44,2)</f>
        <v>0</v>
      </c>
      <c r="CT44" s="2">
        <f>ROUND(AO44*BA44,2)</f>
        <v>0</v>
      </c>
      <c r="CU44" s="2">
        <f t="shared" ref="CU44:CX48" si="67">AG44</f>
        <v>0</v>
      </c>
      <c r="CV44" s="2">
        <f t="shared" si="67"/>
        <v>0</v>
      </c>
      <c r="CW44" s="2">
        <f t="shared" si="67"/>
        <v>0</v>
      </c>
      <c r="CX44" s="2">
        <f t="shared" si="67"/>
        <v>0</v>
      </c>
      <c r="CY44" s="2">
        <f>(((S44+R44)*AT44)/100)</f>
        <v>0</v>
      </c>
      <c r="CZ44" s="2">
        <f>(((S44+R44)*AU44)/100)</f>
        <v>0</v>
      </c>
      <c r="DA44" s="2"/>
      <c r="DB44" s="2"/>
      <c r="DC44" s="2" t="s">
        <v>3</v>
      </c>
      <c r="DD44" s="2" t="s">
        <v>3</v>
      </c>
      <c r="DE44" s="2" t="s">
        <v>3</v>
      </c>
      <c r="DF44" s="2" t="s">
        <v>3</v>
      </c>
      <c r="DG44" s="2" t="s">
        <v>3</v>
      </c>
      <c r="DH44" s="2" t="s">
        <v>3</v>
      </c>
      <c r="DI44" s="2" t="s">
        <v>3</v>
      </c>
      <c r="DJ44" s="2" t="s">
        <v>3</v>
      </c>
      <c r="DK44" s="2" t="s">
        <v>3</v>
      </c>
      <c r="DL44" s="2" t="s">
        <v>3</v>
      </c>
      <c r="DM44" s="2" t="s">
        <v>3</v>
      </c>
      <c r="DN44" s="2">
        <v>0</v>
      </c>
      <c r="DO44" s="2">
        <v>0</v>
      </c>
      <c r="DP44" s="2">
        <v>1</v>
      </c>
      <c r="DQ44" s="2">
        <v>1</v>
      </c>
      <c r="DR44" s="2"/>
      <c r="DS44" s="2"/>
      <c r="DT44" s="2"/>
      <c r="DU44" s="2">
        <v>1003</v>
      </c>
      <c r="DV44" s="2" t="s">
        <v>31</v>
      </c>
      <c r="DW44" s="2" t="s">
        <v>31</v>
      </c>
      <c r="DX44" s="2">
        <v>1</v>
      </c>
      <c r="DY44" s="2"/>
      <c r="DZ44" s="2" t="s">
        <v>3</v>
      </c>
      <c r="EA44" s="2" t="s">
        <v>3</v>
      </c>
      <c r="EB44" s="2" t="s">
        <v>3</v>
      </c>
      <c r="EC44" s="2" t="s">
        <v>3</v>
      </c>
      <c r="ED44" s="2"/>
      <c r="EE44" s="2">
        <v>50992022</v>
      </c>
      <c r="EF44" s="2">
        <v>8</v>
      </c>
      <c r="EG44" s="2" t="s">
        <v>33</v>
      </c>
      <c r="EH44" s="2">
        <v>0</v>
      </c>
      <c r="EI44" s="2" t="s">
        <v>3</v>
      </c>
      <c r="EJ44" s="2">
        <v>1</v>
      </c>
      <c r="EK44" s="2">
        <v>1100</v>
      </c>
      <c r="EL44" s="2" t="s">
        <v>87</v>
      </c>
      <c r="EM44" s="2" t="s">
        <v>88</v>
      </c>
      <c r="EN44" s="2"/>
      <c r="EO44" s="2" t="s">
        <v>3</v>
      </c>
      <c r="EP44" s="2"/>
      <c r="EQ44" s="2">
        <v>0</v>
      </c>
      <c r="ER44" s="2">
        <v>74.44</v>
      </c>
      <c r="ES44" s="2">
        <v>74.44</v>
      </c>
      <c r="ET44" s="2">
        <v>0</v>
      </c>
      <c r="EU44" s="2">
        <v>0</v>
      </c>
      <c r="EV44" s="2">
        <v>0</v>
      </c>
      <c r="EW44" s="2">
        <v>0</v>
      </c>
      <c r="EX44" s="2">
        <v>0</v>
      </c>
      <c r="EY44" s="2">
        <v>0</v>
      </c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>
        <v>0</v>
      </c>
      <c r="FR44" s="2">
        <v>0</v>
      </c>
      <c r="FS44" s="2">
        <v>0</v>
      </c>
      <c r="FT44" s="2"/>
      <c r="FU44" s="2"/>
      <c r="FV44" s="2"/>
      <c r="FW44" s="2"/>
      <c r="FX44" s="2">
        <v>0</v>
      </c>
      <c r="FY44" s="2">
        <v>0</v>
      </c>
      <c r="FZ44" s="2"/>
      <c r="GA44" s="2" t="s">
        <v>89</v>
      </c>
      <c r="GB44" s="2"/>
      <c r="GC44" s="2"/>
      <c r="GD44" s="2">
        <v>1</v>
      </c>
      <c r="GE44" s="2"/>
      <c r="GF44" s="2">
        <v>1839833915</v>
      </c>
      <c r="GG44" s="2">
        <v>2</v>
      </c>
      <c r="GH44" s="2">
        <v>0</v>
      </c>
      <c r="GI44" s="2">
        <v>-2</v>
      </c>
      <c r="GJ44" s="2">
        <v>0</v>
      </c>
      <c r="GK44" s="2">
        <v>0</v>
      </c>
      <c r="GL44" s="2">
        <f t="shared" si="28"/>
        <v>0</v>
      </c>
      <c r="GM44" s="2">
        <f t="shared" si="29"/>
        <v>3722</v>
      </c>
      <c r="GN44" s="2">
        <f t="shared" si="30"/>
        <v>3722</v>
      </c>
      <c r="GO44" s="2">
        <f t="shared" si="31"/>
        <v>0</v>
      </c>
      <c r="GP44" s="2">
        <f t="shared" si="32"/>
        <v>0</v>
      </c>
      <c r="GQ44" s="2"/>
      <c r="GR44" s="2">
        <v>0</v>
      </c>
      <c r="GS44" s="2">
        <v>4</v>
      </c>
      <c r="GT44" s="2">
        <v>0</v>
      </c>
      <c r="GU44" s="2" t="s">
        <v>3</v>
      </c>
      <c r="GV44" s="2">
        <f t="shared" si="33"/>
        <v>0</v>
      </c>
      <c r="GW44" s="2">
        <v>1</v>
      </c>
      <c r="GX44" s="2">
        <f t="shared" si="34"/>
        <v>0</v>
      </c>
      <c r="GY44" s="2"/>
      <c r="GZ44" s="2"/>
      <c r="HA44" s="2">
        <v>0</v>
      </c>
      <c r="HB44" s="2">
        <v>0</v>
      </c>
      <c r="HC44" s="2">
        <f t="shared" ref="HC44:HC49" si="68">GV44*GW44</f>
        <v>0</v>
      </c>
      <c r="HD44" s="2"/>
      <c r="HE44" s="2" t="s">
        <v>3</v>
      </c>
      <c r="HF44" s="2" t="s">
        <v>3</v>
      </c>
      <c r="HG44" s="2"/>
      <c r="HH44" s="2"/>
      <c r="HI44" s="2"/>
      <c r="HJ44" s="2"/>
      <c r="HK44" s="2"/>
      <c r="HL44" s="2"/>
      <c r="HM44" s="2" t="s">
        <v>3</v>
      </c>
      <c r="HN44" s="2" t="s">
        <v>3</v>
      </c>
      <c r="HO44" s="2" t="s">
        <v>3</v>
      </c>
      <c r="HP44" s="2" t="s">
        <v>3</v>
      </c>
      <c r="HQ44" s="2" t="s">
        <v>3</v>
      </c>
      <c r="HR44" s="2"/>
      <c r="HS44" s="2">
        <v>0</v>
      </c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>
        <v>0</v>
      </c>
      <c r="IL44" s="2"/>
      <c r="IM44" s="2"/>
      <c r="IN44" s="2"/>
      <c r="IO44" s="2"/>
      <c r="IP44" s="2"/>
      <c r="IQ44" s="2"/>
      <c r="IR44" s="2"/>
      <c r="IS44" s="2"/>
      <c r="IT44" s="2"/>
      <c r="IU44" s="2"/>
    </row>
    <row r="45" spans="1:255" x14ac:dyDescent="0.2">
      <c r="A45" s="2">
        <v>17</v>
      </c>
      <c r="B45" s="2">
        <v>1</v>
      </c>
      <c r="C45" s="2"/>
      <c r="D45" s="2"/>
      <c r="E45" s="2" t="s">
        <v>90</v>
      </c>
      <c r="F45" s="2" t="s">
        <v>85</v>
      </c>
      <c r="G45" s="2" t="s">
        <v>91</v>
      </c>
      <c r="H45" s="2" t="s">
        <v>31</v>
      </c>
      <c r="I45" s="2">
        <v>50</v>
      </c>
      <c r="J45" s="2">
        <v>0</v>
      </c>
      <c r="K45" s="2">
        <v>50</v>
      </c>
      <c r="L45" s="2"/>
      <c r="M45" s="2"/>
      <c r="N45" s="2"/>
      <c r="O45" s="2">
        <f t="shared" si="65"/>
        <v>5443</v>
      </c>
      <c r="P45" s="2">
        <f>ROUND(CQ45*I45,2)</f>
        <v>5443</v>
      </c>
      <c r="Q45" s="2">
        <f t="shared" si="56"/>
        <v>0</v>
      </c>
      <c r="R45" s="2">
        <f t="shared" si="57"/>
        <v>0</v>
      </c>
      <c r="S45" s="2">
        <f t="shared" si="58"/>
        <v>0</v>
      </c>
      <c r="T45" s="2">
        <f t="shared" si="21"/>
        <v>0</v>
      </c>
      <c r="U45" s="2">
        <f t="shared" si="59"/>
        <v>0</v>
      </c>
      <c r="V45" s="2">
        <f t="shared" si="60"/>
        <v>0</v>
      </c>
      <c r="W45" s="2">
        <f t="shared" si="22"/>
        <v>0</v>
      </c>
      <c r="X45" s="2">
        <f t="shared" si="23"/>
        <v>0</v>
      </c>
      <c r="Y45" s="2">
        <f t="shared" si="24"/>
        <v>0</v>
      </c>
      <c r="Z45" s="2"/>
      <c r="AA45" s="2">
        <v>52718353</v>
      </c>
      <c r="AB45" s="2">
        <f t="shared" si="25"/>
        <v>108.86</v>
      </c>
      <c r="AC45" s="2">
        <f t="shared" si="61"/>
        <v>108.86</v>
      </c>
      <c r="AD45" s="2">
        <f t="shared" si="62"/>
        <v>0</v>
      </c>
      <c r="AE45" s="2">
        <f t="shared" si="63"/>
        <v>0</v>
      </c>
      <c r="AF45" s="2">
        <f t="shared" si="63"/>
        <v>0</v>
      </c>
      <c r="AG45" s="2">
        <f t="shared" si="26"/>
        <v>0</v>
      </c>
      <c r="AH45" s="2">
        <f t="shared" si="64"/>
        <v>0</v>
      </c>
      <c r="AI45" s="2">
        <f t="shared" si="64"/>
        <v>0</v>
      </c>
      <c r="AJ45" s="2">
        <f t="shared" si="27"/>
        <v>0</v>
      </c>
      <c r="AK45" s="2">
        <v>108.86</v>
      </c>
      <c r="AL45" s="2">
        <v>108.86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1</v>
      </c>
      <c r="AW45" s="2">
        <v>1</v>
      </c>
      <c r="AX45" s="2"/>
      <c r="AY45" s="2"/>
      <c r="AZ45" s="2">
        <v>1</v>
      </c>
      <c r="BA45" s="2">
        <v>1</v>
      </c>
      <c r="BB45" s="2">
        <v>1</v>
      </c>
      <c r="BC45" s="2">
        <v>1</v>
      </c>
      <c r="BD45" s="2" t="s">
        <v>3</v>
      </c>
      <c r="BE45" s="2" t="s">
        <v>3</v>
      </c>
      <c r="BF45" s="2" t="s">
        <v>3</v>
      </c>
      <c r="BG45" s="2" t="s">
        <v>3</v>
      </c>
      <c r="BH45" s="2">
        <v>3</v>
      </c>
      <c r="BI45" s="2">
        <v>1</v>
      </c>
      <c r="BJ45" s="2" t="s">
        <v>3</v>
      </c>
      <c r="BK45" s="2"/>
      <c r="BL45" s="2"/>
      <c r="BM45" s="2">
        <v>1100</v>
      </c>
      <c r="BN45" s="2">
        <v>0</v>
      </c>
      <c r="BO45" s="2" t="s">
        <v>3</v>
      </c>
      <c r="BP45" s="2">
        <v>0</v>
      </c>
      <c r="BQ45" s="2">
        <v>8</v>
      </c>
      <c r="BR45" s="2">
        <v>0</v>
      </c>
      <c r="BS45" s="2">
        <v>1</v>
      </c>
      <c r="BT45" s="2">
        <v>1</v>
      </c>
      <c r="BU45" s="2">
        <v>1</v>
      </c>
      <c r="BV45" s="2">
        <v>1</v>
      </c>
      <c r="BW45" s="2">
        <v>1</v>
      </c>
      <c r="BX45" s="2">
        <v>1</v>
      </c>
      <c r="BY45" s="2" t="s">
        <v>3</v>
      </c>
      <c r="BZ45" s="2">
        <v>0</v>
      </c>
      <c r="CA45" s="2">
        <v>0</v>
      </c>
      <c r="CB45" s="2" t="s">
        <v>3</v>
      </c>
      <c r="CC45" s="2"/>
      <c r="CD45" s="2"/>
      <c r="CE45" s="2">
        <v>0</v>
      </c>
      <c r="CF45" s="2">
        <v>0</v>
      </c>
      <c r="CG45" s="2">
        <v>0</v>
      </c>
      <c r="CH45" s="2"/>
      <c r="CI45" s="2"/>
      <c r="CJ45" s="2"/>
      <c r="CK45" s="2"/>
      <c r="CL45" s="2"/>
      <c r="CM45" s="2">
        <v>0</v>
      </c>
      <c r="CN45" s="2" t="s">
        <v>3</v>
      </c>
      <c r="CO45" s="2">
        <v>0</v>
      </c>
      <c r="CP45" s="2">
        <f t="shared" si="66"/>
        <v>5443</v>
      </c>
      <c r="CQ45" s="2">
        <f>ROUND(AL45*BC45,2)</f>
        <v>108.86</v>
      </c>
      <c r="CR45" s="2">
        <f>ROUND(AM45*BB45,2)</f>
        <v>0</v>
      </c>
      <c r="CS45" s="2">
        <f>ROUND(AN45*BS45,2)</f>
        <v>0</v>
      </c>
      <c r="CT45" s="2">
        <f>ROUND(AO45*BA45,2)</f>
        <v>0</v>
      </c>
      <c r="CU45" s="2">
        <f t="shared" si="67"/>
        <v>0</v>
      </c>
      <c r="CV45" s="2">
        <f t="shared" si="67"/>
        <v>0</v>
      </c>
      <c r="CW45" s="2">
        <f t="shared" si="67"/>
        <v>0</v>
      </c>
      <c r="CX45" s="2">
        <f t="shared" si="67"/>
        <v>0</v>
      </c>
      <c r="CY45" s="2">
        <f>(((S45+R45)*AT45)/100)</f>
        <v>0</v>
      </c>
      <c r="CZ45" s="2">
        <f>(((S45+R45)*AU45)/100)</f>
        <v>0</v>
      </c>
      <c r="DA45" s="2"/>
      <c r="DB45" s="2"/>
      <c r="DC45" s="2" t="s">
        <v>3</v>
      </c>
      <c r="DD45" s="2" t="s">
        <v>3</v>
      </c>
      <c r="DE45" s="2" t="s">
        <v>3</v>
      </c>
      <c r="DF45" s="2" t="s">
        <v>3</v>
      </c>
      <c r="DG45" s="2" t="s">
        <v>3</v>
      </c>
      <c r="DH45" s="2" t="s">
        <v>3</v>
      </c>
      <c r="DI45" s="2" t="s">
        <v>3</v>
      </c>
      <c r="DJ45" s="2" t="s">
        <v>3</v>
      </c>
      <c r="DK45" s="2" t="s">
        <v>3</v>
      </c>
      <c r="DL45" s="2" t="s">
        <v>3</v>
      </c>
      <c r="DM45" s="2" t="s">
        <v>3</v>
      </c>
      <c r="DN45" s="2">
        <v>0</v>
      </c>
      <c r="DO45" s="2">
        <v>0</v>
      </c>
      <c r="DP45" s="2">
        <v>1</v>
      </c>
      <c r="DQ45" s="2">
        <v>1</v>
      </c>
      <c r="DR45" s="2"/>
      <c r="DS45" s="2"/>
      <c r="DT45" s="2"/>
      <c r="DU45" s="2">
        <v>1003</v>
      </c>
      <c r="DV45" s="2" t="s">
        <v>31</v>
      </c>
      <c r="DW45" s="2" t="s">
        <v>31</v>
      </c>
      <c r="DX45" s="2">
        <v>1</v>
      </c>
      <c r="DY45" s="2"/>
      <c r="DZ45" s="2" t="s">
        <v>3</v>
      </c>
      <c r="EA45" s="2" t="s">
        <v>3</v>
      </c>
      <c r="EB45" s="2" t="s">
        <v>3</v>
      </c>
      <c r="EC45" s="2" t="s">
        <v>3</v>
      </c>
      <c r="ED45" s="2"/>
      <c r="EE45" s="2">
        <v>50992022</v>
      </c>
      <c r="EF45" s="2">
        <v>8</v>
      </c>
      <c r="EG45" s="2" t="s">
        <v>33</v>
      </c>
      <c r="EH45" s="2">
        <v>0</v>
      </c>
      <c r="EI45" s="2" t="s">
        <v>3</v>
      </c>
      <c r="EJ45" s="2">
        <v>1</v>
      </c>
      <c r="EK45" s="2">
        <v>1100</v>
      </c>
      <c r="EL45" s="2" t="s">
        <v>87</v>
      </c>
      <c r="EM45" s="2" t="s">
        <v>88</v>
      </c>
      <c r="EN45" s="2"/>
      <c r="EO45" s="2" t="s">
        <v>3</v>
      </c>
      <c r="EP45" s="2"/>
      <c r="EQ45" s="2">
        <v>0</v>
      </c>
      <c r="ER45" s="2">
        <v>108.86</v>
      </c>
      <c r="ES45" s="2">
        <v>108.86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>
        <v>0</v>
      </c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>
        <v>0</v>
      </c>
      <c r="FR45" s="2">
        <v>0</v>
      </c>
      <c r="FS45" s="2">
        <v>0</v>
      </c>
      <c r="FT45" s="2"/>
      <c r="FU45" s="2"/>
      <c r="FV45" s="2"/>
      <c r="FW45" s="2"/>
      <c r="FX45" s="2">
        <v>0</v>
      </c>
      <c r="FY45" s="2">
        <v>0</v>
      </c>
      <c r="FZ45" s="2"/>
      <c r="GA45" s="2" t="s">
        <v>89</v>
      </c>
      <c r="GB45" s="2"/>
      <c r="GC45" s="2"/>
      <c r="GD45" s="2">
        <v>1</v>
      </c>
      <c r="GE45" s="2"/>
      <c r="GF45" s="2">
        <v>-1081883019</v>
      </c>
      <c r="GG45" s="2">
        <v>2</v>
      </c>
      <c r="GH45" s="2">
        <v>0</v>
      </c>
      <c r="GI45" s="2">
        <v>-2</v>
      </c>
      <c r="GJ45" s="2">
        <v>0</v>
      </c>
      <c r="GK45" s="2">
        <v>0</v>
      </c>
      <c r="GL45" s="2">
        <f t="shared" si="28"/>
        <v>0</v>
      </c>
      <c r="GM45" s="2">
        <f t="shared" si="29"/>
        <v>5443</v>
      </c>
      <c r="GN45" s="2">
        <f t="shared" si="30"/>
        <v>5443</v>
      </c>
      <c r="GO45" s="2">
        <f t="shared" si="31"/>
        <v>0</v>
      </c>
      <c r="GP45" s="2">
        <f t="shared" si="32"/>
        <v>0</v>
      </c>
      <c r="GQ45" s="2"/>
      <c r="GR45" s="2">
        <v>0</v>
      </c>
      <c r="GS45" s="2">
        <v>4</v>
      </c>
      <c r="GT45" s="2">
        <v>0</v>
      </c>
      <c r="GU45" s="2" t="s">
        <v>3</v>
      </c>
      <c r="GV45" s="2">
        <f t="shared" si="33"/>
        <v>0</v>
      </c>
      <c r="GW45" s="2">
        <v>1</v>
      </c>
      <c r="GX45" s="2">
        <f t="shared" si="34"/>
        <v>0</v>
      </c>
      <c r="GY45" s="2"/>
      <c r="GZ45" s="2"/>
      <c r="HA45" s="2">
        <v>0</v>
      </c>
      <c r="HB45" s="2">
        <v>0</v>
      </c>
      <c r="HC45" s="2">
        <f t="shared" si="68"/>
        <v>0</v>
      </c>
      <c r="HD45" s="2"/>
      <c r="HE45" s="2" t="s">
        <v>3</v>
      </c>
      <c r="HF45" s="2" t="s">
        <v>3</v>
      </c>
      <c r="HG45" s="2"/>
      <c r="HH45" s="2"/>
      <c r="HI45" s="2"/>
      <c r="HJ45" s="2"/>
      <c r="HK45" s="2"/>
      <c r="HL45" s="2"/>
      <c r="HM45" s="2" t="s">
        <v>3</v>
      </c>
      <c r="HN45" s="2" t="s">
        <v>3</v>
      </c>
      <c r="HO45" s="2" t="s">
        <v>3</v>
      </c>
      <c r="HP45" s="2" t="s">
        <v>3</v>
      </c>
      <c r="HQ45" s="2" t="s">
        <v>3</v>
      </c>
      <c r="HR45" s="2"/>
      <c r="HS45" s="2">
        <v>0</v>
      </c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>
        <v>0</v>
      </c>
      <c r="IL45" s="2"/>
      <c r="IM45" s="2"/>
      <c r="IN45" s="2"/>
      <c r="IO45" s="2"/>
      <c r="IP45" s="2"/>
      <c r="IQ45" s="2"/>
      <c r="IR45" s="2"/>
      <c r="IS45" s="2"/>
      <c r="IT45" s="2"/>
      <c r="IU45" s="2"/>
    </row>
    <row r="46" spans="1:255" x14ac:dyDescent="0.2">
      <c r="A46" s="2">
        <v>17</v>
      </c>
      <c r="B46" s="2">
        <v>1</v>
      </c>
      <c r="C46" s="2"/>
      <c r="D46" s="2"/>
      <c r="E46" s="2" t="s">
        <v>92</v>
      </c>
      <c r="F46" s="2" t="s">
        <v>85</v>
      </c>
      <c r="G46" s="2" t="s">
        <v>93</v>
      </c>
      <c r="H46" s="2" t="s">
        <v>31</v>
      </c>
      <c r="I46" s="2">
        <v>25</v>
      </c>
      <c r="J46" s="2">
        <v>0</v>
      </c>
      <c r="K46" s="2">
        <v>25</v>
      </c>
      <c r="L46" s="2"/>
      <c r="M46" s="2"/>
      <c r="N46" s="2"/>
      <c r="O46" s="2">
        <f t="shared" si="65"/>
        <v>2254</v>
      </c>
      <c r="P46" s="2">
        <f>ROUND(CQ46*I46,2)</f>
        <v>2254</v>
      </c>
      <c r="Q46" s="2">
        <f t="shared" si="56"/>
        <v>0</v>
      </c>
      <c r="R46" s="2">
        <f t="shared" si="57"/>
        <v>0</v>
      </c>
      <c r="S46" s="2">
        <f t="shared" si="58"/>
        <v>0</v>
      </c>
      <c r="T46" s="2">
        <f t="shared" si="21"/>
        <v>0</v>
      </c>
      <c r="U46" s="2">
        <f t="shared" si="59"/>
        <v>0</v>
      </c>
      <c r="V46" s="2">
        <f t="shared" si="60"/>
        <v>0</v>
      </c>
      <c r="W46" s="2">
        <f t="shared" si="22"/>
        <v>0</v>
      </c>
      <c r="X46" s="2">
        <f t="shared" si="23"/>
        <v>0</v>
      </c>
      <c r="Y46" s="2">
        <f t="shared" si="24"/>
        <v>0</v>
      </c>
      <c r="Z46" s="2"/>
      <c r="AA46" s="2">
        <v>52718353</v>
      </c>
      <c r="AB46" s="2">
        <f t="shared" si="25"/>
        <v>90.16</v>
      </c>
      <c r="AC46" s="2">
        <f t="shared" si="61"/>
        <v>90.16</v>
      </c>
      <c r="AD46" s="2">
        <f t="shared" si="62"/>
        <v>0</v>
      </c>
      <c r="AE46" s="2">
        <f t="shared" si="63"/>
        <v>0</v>
      </c>
      <c r="AF46" s="2">
        <f t="shared" si="63"/>
        <v>0</v>
      </c>
      <c r="AG46" s="2">
        <f t="shared" si="26"/>
        <v>0</v>
      </c>
      <c r="AH46" s="2">
        <f t="shared" si="64"/>
        <v>0</v>
      </c>
      <c r="AI46" s="2">
        <f t="shared" si="64"/>
        <v>0</v>
      </c>
      <c r="AJ46" s="2">
        <f t="shared" si="27"/>
        <v>0</v>
      </c>
      <c r="AK46" s="2">
        <v>90.16</v>
      </c>
      <c r="AL46" s="2">
        <v>90.16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1</v>
      </c>
      <c r="AW46" s="2">
        <v>1</v>
      </c>
      <c r="AX46" s="2"/>
      <c r="AY46" s="2"/>
      <c r="AZ46" s="2">
        <v>1</v>
      </c>
      <c r="BA46" s="2">
        <v>1</v>
      </c>
      <c r="BB46" s="2">
        <v>1</v>
      </c>
      <c r="BC46" s="2">
        <v>1</v>
      </c>
      <c r="BD46" s="2" t="s">
        <v>3</v>
      </c>
      <c r="BE46" s="2" t="s">
        <v>3</v>
      </c>
      <c r="BF46" s="2" t="s">
        <v>3</v>
      </c>
      <c r="BG46" s="2" t="s">
        <v>3</v>
      </c>
      <c r="BH46" s="2">
        <v>3</v>
      </c>
      <c r="BI46" s="2">
        <v>1</v>
      </c>
      <c r="BJ46" s="2" t="s">
        <v>3</v>
      </c>
      <c r="BK46" s="2"/>
      <c r="BL46" s="2"/>
      <c r="BM46" s="2">
        <v>1100</v>
      </c>
      <c r="BN46" s="2">
        <v>0</v>
      </c>
      <c r="BO46" s="2" t="s">
        <v>3</v>
      </c>
      <c r="BP46" s="2">
        <v>0</v>
      </c>
      <c r="BQ46" s="2">
        <v>8</v>
      </c>
      <c r="BR46" s="2">
        <v>0</v>
      </c>
      <c r="BS46" s="2">
        <v>1</v>
      </c>
      <c r="BT46" s="2">
        <v>1</v>
      </c>
      <c r="BU46" s="2">
        <v>1</v>
      </c>
      <c r="BV46" s="2">
        <v>1</v>
      </c>
      <c r="BW46" s="2">
        <v>1</v>
      </c>
      <c r="BX46" s="2">
        <v>1</v>
      </c>
      <c r="BY46" s="2" t="s">
        <v>3</v>
      </c>
      <c r="BZ46" s="2">
        <v>0</v>
      </c>
      <c r="CA46" s="2">
        <v>0</v>
      </c>
      <c r="CB46" s="2" t="s">
        <v>3</v>
      </c>
      <c r="CC46" s="2"/>
      <c r="CD46" s="2"/>
      <c r="CE46" s="2">
        <v>0</v>
      </c>
      <c r="CF46" s="2">
        <v>0</v>
      </c>
      <c r="CG46" s="2">
        <v>0</v>
      </c>
      <c r="CH46" s="2"/>
      <c r="CI46" s="2"/>
      <c r="CJ46" s="2"/>
      <c r="CK46" s="2"/>
      <c r="CL46" s="2"/>
      <c r="CM46" s="2">
        <v>0</v>
      </c>
      <c r="CN46" s="2" t="s">
        <v>3</v>
      </c>
      <c r="CO46" s="2">
        <v>0</v>
      </c>
      <c r="CP46" s="2">
        <f t="shared" si="66"/>
        <v>2254</v>
      </c>
      <c r="CQ46" s="2">
        <f>ROUND(AL46*BC46,2)</f>
        <v>90.16</v>
      </c>
      <c r="CR46" s="2">
        <f>ROUND(AM46*BB46,2)</f>
        <v>0</v>
      </c>
      <c r="CS46" s="2">
        <f>ROUND(AN46*BS46,2)</f>
        <v>0</v>
      </c>
      <c r="CT46" s="2">
        <f>ROUND(AO46*BA46,2)</f>
        <v>0</v>
      </c>
      <c r="CU46" s="2">
        <f t="shared" si="67"/>
        <v>0</v>
      </c>
      <c r="CV46" s="2">
        <f t="shared" si="67"/>
        <v>0</v>
      </c>
      <c r="CW46" s="2">
        <f t="shared" si="67"/>
        <v>0</v>
      </c>
      <c r="CX46" s="2">
        <f t="shared" si="67"/>
        <v>0</v>
      </c>
      <c r="CY46" s="2">
        <f>(((S46+R46)*AT46)/100)</f>
        <v>0</v>
      </c>
      <c r="CZ46" s="2">
        <f>(((S46+R46)*AU46)/100)</f>
        <v>0</v>
      </c>
      <c r="DA46" s="2"/>
      <c r="DB46" s="2"/>
      <c r="DC46" s="2" t="s">
        <v>3</v>
      </c>
      <c r="DD46" s="2" t="s">
        <v>3</v>
      </c>
      <c r="DE46" s="2" t="s">
        <v>3</v>
      </c>
      <c r="DF46" s="2" t="s">
        <v>3</v>
      </c>
      <c r="DG46" s="2" t="s">
        <v>3</v>
      </c>
      <c r="DH46" s="2" t="s">
        <v>3</v>
      </c>
      <c r="DI46" s="2" t="s">
        <v>3</v>
      </c>
      <c r="DJ46" s="2" t="s">
        <v>3</v>
      </c>
      <c r="DK46" s="2" t="s">
        <v>3</v>
      </c>
      <c r="DL46" s="2" t="s">
        <v>3</v>
      </c>
      <c r="DM46" s="2" t="s">
        <v>3</v>
      </c>
      <c r="DN46" s="2">
        <v>0</v>
      </c>
      <c r="DO46" s="2">
        <v>0</v>
      </c>
      <c r="DP46" s="2">
        <v>1</v>
      </c>
      <c r="DQ46" s="2">
        <v>1</v>
      </c>
      <c r="DR46" s="2"/>
      <c r="DS46" s="2"/>
      <c r="DT46" s="2"/>
      <c r="DU46" s="2">
        <v>1003</v>
      </c>
      <c r="DV46" s="2" t="s">
        <v>31</v>
      </c>
      <c r="DW46" s="2" t="s">
        <v>31</v>
      </c>
      <c r="DX46" s="2">
        <v>1</v>
      </c>
      <c r="DY46" s="2"/>
      <c r="DZ46" s="2" t="s">
        <v>3</v>
      </c>
      <c r="EA46" s="2" t="s">
        <v>3</v>
      </c>
      <c r="EB46" s="2" t="s">
        <v>3</v>
      </c>
      <c r="EC46" s="2" t="s">
        <v>3</v>
      </c>
      <c r="ED46" s="2"/>
      <c r="EE46" s="2">
        <v>50992022</v>
      </c>
      <c r="EF46" s="2">
        <v>8</v>
      </c>
      <c r="EG46" s="2" t="s">
        <v>33</v>
      </c>
      <c r="EH46" s="2">
        <v>0</v>
      </c>
      <c r="EI46" s="2" t="s">
        <v>3</v>
      </c>
      <c r="EJ46" s="2">
        <v>1</v>
      </c>
      <c r="EK46" s="2">
        <v>1100</v>
      </c>
      <c r="EL46" s="2" t="s">
        <v>87</v>
      </c>
      <c r="EM46" s="2" t="s">
        <v>88</v>
      </c>
      <c r="EN46" s="2"/>
      <c r="EO46" s="2" t="s">
        <v>3</v>
      </c>
      <c r="EP46" s="2"/>
      <c r="EQ46" s="2">
        <v>0</v>
      </c>
      <c r="ER46" s="2">
        <v>90.16</v>
      </c>
      <c r="ES46" s="2">
        <v>90.16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>
        <v>0</v>
      </c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>
        <v>0</v>
      </c>
      <c r="FR46" s="2">
        <v>0</v>
      </c>
      <c r="FS46" s="2">
        <v>0</v>
      </c>
      <c r="FT46" s="2"/>
      <c r="FU46" s="2"/>
      <c r="FV46" s="2"/>
      <c r="FW46" s="2"/>
      <c r="FX46" s="2">
        <v>0</v>
      </c>
      <c r="FY46" s="2">
        <v>0</v>
      </c>
      <c r="FZ46" s="2"/>
      <c r="GA46" s="2" t="s">
        <v>89</v>
      </c>
      <c r="GB46" s="2"/>
      <c r="GC46" s="2"/>
      <c r="GD46" s="2">
        <v>1</v>
      </c>
      <c r="GE46" s="2"/>
      <c r="GF46" s="2">
        <v>-194970314</v>
      </c>
      <c r="GG46" s="2">
        <v>2</v>
      </c>
      <c r="GH46" s="2">
        <v>0</v>
      </c>
      <c r="GI46" s="2">
        <v>-2</v>
      </c>
      <c r="GJ46" s="2">
        <v>0</v>
      </c>
      <c r="GK46" s="2">
        <v>0</v>
      </c>
      <c r="GL46" s="2">
        <f t="shared" si="28"/>
        <v>0</v>
      </c>
      <c r="GM46" s="2">
        <f t="shared" si="29"/>
        <v>2254</v>
      </c>
      <c r="GN46" s="2">
        <f t="shared" si="30"/>
        <v>2254</v>
      </c>
      <c r="GO46" s="2">
        <f t="shared" si="31"/>
        <v>0</v>
      </c>
      <c r="GP46" s="2">
        <f t="shared" si="32"/>
        <v>0</v>
      </c>
      <c r="GQ46" s="2"/>
      <c r="GR46" s="2">
        <v>0</v>
      </c>
      <c r="GS46" s="2">
        <v>4</v>
      </c>
      <c r="GT46" s="2">
        <v>0</v>
      </c>
      <c r="GU46" s="2" t="s">
        <v>3</v>
      </c>
      <c r="GV46" s="2">
        <f t="shared" si="33"/>
        <v>0</v>
      </c>
      <c r="GW46" s="2">
        <v>1</v>
      </c>
      <c r="GX46" s="2">
        <f t="shared" si="34"/>
        <v>0</v>
      </c>
      <c r="GY46" s="2"/>
      <c r="GZ46" s="2"/>
      <c r="HA46" s="2">
        <v>0</v>
      </c>
      <c r="HB46" s="2">
        <v>0</v>
      </c>
      <c r="HC46" s="2">
        <f t="shared" si="68"/>
        <v>0</v>
      </c>
      <c r="HD46" s="2"/>
      <c r="HE46" s="2" t="s">
        <v>3</v>
      </c>
      <c r="HF46" s="2" t="s">
        <v>3</v>
      </c>
      <c r="HG46" s="2"/>
      <c r="HH46" s="2"/>
      <c r="HI46" s="2"/>
      <c r="HJ46" s="2"/>
      <c r="HK46" s="2"/>
      <c r="HL46" s="2"/>
      <c r="HM46" s="2" t="s">
        <v>3</v>
      </c>
      <c r="HN46" s="2" t="s">
        <v>3</v>
      </c>
      <c r="HO46" s="2" t="s">
        <v>3</v>
      </c>
      <c r="HP46" s="2" t="s">
        <v>3</v>
      </c>
      <c r="HQ46" s="2" t="s">
        <v>3</v>
      </c>
      <c r="HR46" s="2"/>
      <c r="HS46" s="2">
        <v>0</v>
      </c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>
        <v>0</v>
      </c>
      <c r="IL46" s="2"/>
      <c r="IM46" s="2"/>
      <c r="IN46" s="2"/>
      <c r="IO46" s="2"/>
      <c r="IP46" s="2"/>
      <c r="IQ46" s="2"/>
      <c r="IR46" s="2"/>
      <c r="IS46" s="2"/>
      <c r="IT46" s="2"/>
      <c r="IU46" s="2"/>
    </row>
    <row r="47" spans="1:255" x14ac:dyDescent="0.2">
      <c r="A47" s="2">
        <v>17</v>
      </c>
      <c r="B47" s="2">
        <v>1</v>
      </c>
      <c r="C47" s="2"/>
      <c r="D47" s="2"/>
      <c r="E47" s="2" t="s">
        <v>94</v>
      </c>
      <c r="F47" s="2" t="s">
        <v>85</v>
      </c>
      <c r="G47" s="2" t="s">
        <v>95</v>
      </c>
      <c r="H47" s="2" t="s">
        <v>31</v>
      </c>
      <c r="I47" s="2">
        <v>50</v>
      </c>
      <c r="J47" s="2">
        <v>0</v>
      </c>
      <c r="K47" s="2">
        <v>50</v>
      </c>
      <c r="L47" s="2"/>
      <c r="M47" s="2"/>
      <c r="N47" s="2"/>
      <c r="O47" s="2">
        <f t="shared" si="65"/>
        <v>3710</v>
      </c>
      <c r="P47" s="2">
        <f>ROUND(CQ47*I47,2)</f>
        <v>3710</v>
      </c>
      <c r="Q47" s="2">
        <f t="shared" si="56"/>
        <v>0</v>
      </c>
      <c r="R47" s="2">
        <f t="shared" si="57"/>
        <v>0</v>
      </c>
      <c r="S47" s="2">
        <f t="shared" si="58"/>
        <v>0</v>
      </c>
      <c r="T47" s="2">
        <f t="shared" si="21"/>
        <v>0</v>
      </c>
      <c r="U47" s="2">
        <f t="shared" si="59"/>
        <v>0</v>
      </c>
      <c r="V47" s="2">
        <f t="shared" si="60"/>
        <v>0</v>
      </c>
      <c r="W47" s="2">
        <f t="shared" si="22"/>
        <v>0</v>
      </c>
      <c r="X47" s="2">
        <f t="shared" si="23"/>
        <v>0</v>
      </c>
      <c r="Y47" s="2">
        <f t="shared" si="24"/>
        <v>0</v>
      </c>
      <c r="Z47" s="2"/>
      <c r="AA47" s="2">
        <v>52718353</v>
      </c>
      <c r="AB47" s="2">
        <f t="shared" si="25"/>
        <v>74.2</v>
      </c>
      <c r="AC47" s="2">
        <f t="shared" si="61"/>
        <v>74.2</v>
      </c>
      <c r="AD47" s="2">
        <f t="shared" si="62"/>
        <v>0</v>
      </c>
      <c r="AE47" s="2">
        <f t="shared" si="63"/>
        <v>0</v>
      </c>
      <c r="AF47" s="2">
        <f t="shared" si="63"/>
        <v>0</v>
      </c>
      <c r="AG47" s="2">
        <f t="shared" si="26"/>
        <v>0</v>
      </c>
      <c r="AH47" s="2">
        <f t="shared" si="64"/>
        <v>0</v>
      </c>
      <c r="AI47" s="2">
        <f t="shared" si="64"/>
        <v>0</v>
      </c>
      <c r="AJ47" s="2">
        <f t="shared" si="27"/>
        <v>0</v>
      </c>
      <c r="AK47" s="2">
        <v>74.2</v>
      </c>
      <c r="AL47" s="2">
        <v>74.2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1</v>
      </c>
      <c r="AW47" s="2">
        <v>1</v>
      </c>
      <c r="AX47" s="2"/>
      <c r="AY47" s="2"/>
      <c r="AZ47" s="2">
        <v>1</v>
      </c>
      <c r="BA47" s="2">
        <v>1</v>
      </c>
      <c r="BB47" s="2">
        <v>1</v>
      </c>
      <c r="BC47" s="2">
        <v>1</v>
      </c>
      <c r="BD47" s="2" t="s">
        <v>3</v>
      </c>
      <c r="BE47" s="2" t="s">
        <v>3</v>
      </c>
      <c r="BF47" s="2" t="s">
        <v>3</v>
      </c>
      <c r="BG47" s="2" t="s">
        <v>3</v>
      </c>
      <c r="BH47" s="2">
        <v>3</v>
      </c>
      <c r="BI47" s="2">
        <v>1</v>
      </c>
      <c r="BJ47" s="2" t="s">
        <v>3</v>
      </c>
      <c r="BK47" s="2"/>
      <c r="BL47" s="2"/>
      <c r="BM47" s="2">
        <v>1100</v>
      </c>
      <c r="BN47" s="2">
        <v>0</v>
      </c>
      <c r="BO47" s="2" t="s">
        <v>3</v>
      </c>
      <c r="BP47" s="2">
        <v>0</v>
      </c>
      <c r="BQ47" s="2">
        <v>8</v>
      </c>
      <c r="BR47" s="2">
        <v>0</v>
      </c>
      <c r="BS47" s="2">
        <v>1</v>
      </c>
      <c r="BT47" s="2">
        <v>1</v>
      </c>
      <c r="BU47" s="2">
        <v>1</v>
      </c>
      <c r="BV47" s="2">
        <v>1</v>
      </c>
      <c r="BW47" s="2">
        <v>1</v>
      </c>
      <c r="BX47" s="2">
        <v>1</v>
      </c>
      <c r="BY47" s="2" t="s">
        <v>3</v>
      </c>
      <c r="BZ47" s="2">
        <v>0</v>
      </c>
      <c r="CA47" s="2">
        <v>0</v>
      </c>
      <c r="CB47" s="2" t="s">
        <v>3</v>
      </c>
      <c r="CC47" s="2"/>
      <c r="CD47" s="2"/>
      <c r="CE47" s="2">
        <v>0</v>
      </c>
      <c r="CF47" s="2">
        <v>0</v>
      </c>
      <c r="CG47" s="2">
        <v>0</v>
      </c>
      <c r="CH47" s="2"/>
      <c r="CI47" s="2"/>
      <c r="CJ47" s="2"/>
      <c r="CK47" s="2"/>
      <c r="CL47" s="2"/>
      <c r="CM47" s="2">
        <v>0</v>
      </c>
      <c r="CN47" s="2" t="s">
        <v>3</v>
      </c>
      <c r="CO47" s="2">
        <v>0</v>
      </c>
      <c r="CP47" s="2">
        <f t="shared" si="66"/>
        <v>3710</v>
      </c>
      <c r="CQ47" s="2">
        <f>ROUND(AL47*BC47,2)</f>
        <v>74.2</v>
      </c>
      <c r="CR47" s="2">
        <f>ROUND(AM47*BB47,2)</f>
        <v>0</v>
      </c>
      <c r="CS47" s="2">
        <f>ROUND(AN47*BS47,2)</f>
        <v>0</v>
      </c>
      <c r="CT47" s="2">
        <f>ROUND(AO47*BA47,2)</f>
        <v>0</v>
      </c>
      <c r="CU47" s="2">
        <f t="shared" si="67"/>
        <v>0</v>
      </c>
      <c r="CV47" s="2">
        <f t="shared" si="67"/>
        <v>0</v>
      </c>
      <c r="CW47" s="2">
        <f t="shared" si="67"/>
        <v>0</v>
      </c>
      <c r="CX47" s="2">
        <f t="shared" si="67"/>
        <v>0</v>
      </c>
      <c r="CY47" s="2">
        <f>(((S47+R47)*AT47)/100)</f>
        <v>0</v>
      </c>
      <c r="CZ47" s="2">
        <f>(((S47+R47)*AU47)/100)</f>
        <v>0</v>
      </c>
      <c r="DA47" s="2"/>
      <c r="DB47" s="2"/>
      <c r="DC47" s="2" t="s">
        <v>3</v>
      </c>
      <c r="DD47" s="2" t="s">
        <v>3</v>
      </c>
      <c r="DE47" s="2" t="s">
        <v>3</v>
      </c>
      <c r="DF47" s="2" t="s">
        <v>3</v>
      </c>
      <c r="DG47" s="2" t="s">
        <v>3</v>
      </c>
      <c r="DH47" s="2" t="s">
        <v>3</v>
      </c>
      <c r="DI47" s="2" t="s">
        <v>3</v>
      </c>
      <c r="DJ47" s="2" t="s">
        <v>3</v>
      </c>
      <c r="DK47" s="2" t="s">
        <v>3</v>
      </c>
      <c r="DL47" s="2" t="s">
        <v>3</v>
      </c>
      <c r="DM47" s="2" t="s">
        <v>3</v>
      </c>
      <c r="DN47" s="2">
        <v>0</v>
      </c>
      <c r="DO47" s="2">
        <v>0</v>
      </c>
      <c r="DP47" s="2">
        <v>1</v>
      </c>
      <c r="DQ47" s="2">
        <v>1</v>
      </c>
      <c r="DR47" s="2"/>
      <c r="DS47" s="2"/>
      <c r="DT47" s="2"/>
      <c r="DU47" s="2">
        <v>1003</v>
      </c>
      <c r="DV47" s="2" t="s">
        <v>31</v>
      </c>
      <c r="DW47" s="2" t="s">
        <v>31</v>
      </c>
      <c r="DX47" s="2">
        <v>1</v>
      </c>
      <c r="DY47" s="2"/>
      <c r="DZ47" s="2" t="s">
        <v>3</v>
      </c>
      <c r="EA47" s="2" t="s">
        <v>3</v>
      </c>
      <c r="EB47" s="2" t="s">
        <v>3</v>
      </c>
      <c r="EC47" s="2" t="s">
        <v>3</v>
      </c>
      <c r="ED47" s="2"/>
      <c r="EE47" s="2">
        <v>50992022</v>
      </c>
      <c r="EF47" s="2">
        <v>8</v>
      </c>
      <c r="EG47" s="2" t="s">
        <v>33</v>
      </c>
      <c r="EH47" s="2">
        <v>0</v>
      </c>
      <c r="EI47" s="2" t="s">
        <v>3</v>
      </c>
      <c r="EJ47" s="2">
        <v>1</v>
      </c>
      <c r="EK47" s="2">
        <v>1100</v>
      </c>
      <c r="EL47" s="2" t="s">
        <v>87</v>
      </c>
      <c r="EM47" s="2" t="s">
        <v>88</v>
      </c>
      <c r="EN47" s="2"/>
      <c r="EO47" s="2" t="s">
        <v>3</v>
      </c>
      <c r="EP47" s="2"/>
      <c r="EQ47" s="2">
        <v>0</v>
      </c>
      <c r="ER47" s="2">
        <v>74.2</v>
      </c>
      <c r="ES47" s="2">
        <v>74.2</v>
      </c>
      <c r="ET47" s="2">
        <v>0</v>
      </c>
      <c r="EU47" s="2">
        <v>0</v>
      </c>
      <c r="EV47" s="2">
        <v>0</v>
      </c>
      <c r="EW47" s="2">
        <v>0</v>
      </c>
      <c r="EX47" s="2">
        <v>0</v>
      </c>
      <c r="EY47" s="2">
        <v>0</v>
      </c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>
        <v>0</v>
      </c>
      <c r="FR47" s="2">
        <v>0</v>
      </c>
      <c r="FS47" s="2">
        <v>0</v>
      </c>
      <c r="FT47" s="2"/>
      <c r="FU47" s="2"/>
      <c r="FV47" s="2"/>
      <c r="FW47" s="2"/>
      <c r="FX47" s="2">
        <v>0</v>
      </c>
      <c r="FY47" s="2">
        <v>0</v>
      </c>
      <c r="FZ47" s="2"/>
      <c r="GA47" s="2" t="s">
        <v>89</v>
      </c>
      <c r="GB47" s="2"/>
      <c r="GC47" s="2"/>
      <c r="GD47" s="2">
        <v>1</v>
      </c>
      <c r="GE47" s="2"/>
      <c r="GF47" s="2">
        <v>1907360933</v>
      </c>
      <c r="GG47" s="2">
        <v>2</v>
      </c>
      <c r="GH47" s="2">
        <v>0</v>
      </c>
      <c r="GI47" s="2">
        <v>-2</v>
      </c>
      <c r="GJ47" s="2">
        <v>0</v>
      </c>
      <c r="GK47" s="2">
        <v>0</v>
      </c>
      <c r="GL47" s="2">
        <f t="shared" si="28"/>
        <v>0</v>
      </c>
      <c r="GM47" s="2">
        <f t="shared" si="29"/>
        <v>3710</v>
      </c>
      <c r="GN47" s="2">
        <f t="shared" si="30"/>
        <v>3710</v>
      </c>
      <c r="GO47" s="2">
        <f t="shared" si="31"/>
        <v>0</v>
      </c>
      <c r="GP47" s="2">
        <f t="shared" si="32"/>
        <v>0</v>
      </c>
      <c r="GQ47" s="2"/>
      <c r="GR47" s="2">
        <v>0</v>
      </c>
      <c r="GS47" s="2">
        <v>4</v>
      </c>
      <c r="GT47" s="2">
        <v>0</v>
      </c>
      <c r="GU47" s="2" t="s">
        <v>3</v>
      </c>
      <c r="GV47" s="2">
        <f t="shared" si="33"/>
        <v>0</v>
      </c>
      <c r="GW47" s="2">
        <v>1</v>
      </c>
      <c r="GX47" s="2">
        <f t="shared" si="34"/>
        <v>0</v>
      </c>
      <c r="GY47" s="2"/>
      <c r="GZ47" s="2"/>
      <c r="HA47" s="2">
        <v>0</v>
      </c>
      <c r="HB47" s="2">
        <v>0</v>
      </c>
      <c r="HC47" s="2">
        <f t="shared" si="68"/>
        <v>0</v>
      </c>
      <c r="HD47" s="2"/>
      <c r="HE47" s="2" t="s">
        <v>3</v>
      </c>
      <c r="HF47" s="2" t="s">
        <v>3</v>
      </c>
      <c r="HG47" s="2"/>
      <c r="HH47" s="2"/>
      <c r="HI47" s="2"/>
      <c r="HJ47" s="2"/>
      <c r="HK47" s="2"/>
      <c r="HL47" s="2"/>
      <c r="HM47" s="2" t="s">
        <v>3</v>
      </c>
      <c r="HN47" s="2" t="s">
        <v>3</v>
      </c>
      <c r="HO47" s="2" t="s">
        <v>3</v>
      </c>
      <c r="HP47" s="2" t="s">
        <v>3</v>
      </c>
      <c r="HQ47" s="2" t="s">
        <v>3</v>
      </c>
      <c r="HR47" s="2"/>
      <c r="HS47" s="2">
        <v>0</v>
      </c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>
        <v>0</v>
      </c>
      <c r="IL47" s="2"/>
      <c r="IM47" s="2"/>
      <c r="IN47" s="2"/>
      <c r="IO47" s="2"/>
      <c r="IP47" s="2"/>
      <c r="IQ47" s="2"/>
      <c r="IR47" s="2"/>
      <c r="IS47" s="2"/>
      <c r="IT47" s="2"/>
      <c r="IU47" s="2"/>
    </row>
    <row r="48" spans="1:255" x14ac:dyDescent="0.2">
      <c r="A48" s="2">
        <v>17</v>
      </c>
      <c r="B48" s="2">
        <v>1</v>
      </c>
      <c r="C48" s="2"/>
      <c r="D48" s="2"/>
      <c r="E48" s="2" t="s">
        <v>96</v>
      </c>
      <c r="F48" s="2" t="s">
        <v>97</v>
      </c>
      <c r="G48" s="2" t="s">
        <v>98</v>
      </c>
      <c r="H48" s="2" t="s">
        <v>56</v>
      </c>
      <c r="I48" s="2">
        <f>ROUND(25/100,7)</f>
        <v>0.25</v>
      </c>
      <c r="J48" s="2">
        <v>0</v>
      </c>
      <c r="K48" s="2">
        <f>ROUND(25/100,7)</f>
        <v>0.25</v>
      </c>
      <c r="L48" s="2"/>
      <c r="M48" s="2"/>
      <c r="N48" s="2"/>
      <c r="O48" s="2">
        <f t="shared" si="65"/>
        <v>186.54</v>
      </c>
      <c r="P48" s="2">
        <f>ROUND(CQ48*I48,2)</f>
        <v>186.54</v>
      </c>
      <c r="Q48" s="2">
        <f t="shared" si="56"/>
        <v>0</v>
      </c>
      <c r="R48" s="2">
        <f t="shared" si="57"/>
        <v>0</v>
      </c>
      <c r="S48" s="2">
        <f t="shared" si="58"/>
        <v>0</v>
      </c>
      <c r="T48" s="2">
        <f t="shared" si="21"/>
        <v>0</v>
      </c>
      <c r="U48" s="2">
        <f t="shared" si="59"/>
        <v>0</v>
      </c>
      <c r="V48" s="2">
        <f t="shared" si="60"/>
        <v>0</v>
      </c>
      <c r="W48" s="2">
        <f t="shared" si="22"/>
        <v>0</v>
      </c>
      <c r="X48" s="2">
        <f t="shared" si="23"/>
        <v>0</v>
      </c>
      <c r="Y48" s="2">
        <f t="shared" si="24"/>
        <v>0</v>
      </c>
      <c r="Z48" s="2"/>
      <c r="AA48" s="2">
        <v>52718353</v>
      </c>
      <c r="AB48" s="2">
        <f t="shared" si="25"/>
        <v>578.4</v>
      </c>
      <c r="AC48" s="2">
        <f t="shared" si="61"/>
        <v>578.4</v>
      </c>
      <c r="AD48" s="2">
        <f t="shared" si="62"/>
        <v>0</v>
      </c>
      <c r="AE48" s="2">
        <f t="shared" si="63"/>
        <v>0</v>
      </c>
      <c r="AF48" s="2">
        <f t="shared" si="63"/>
        <v>0</v>
      </c>
      <c r="AG48" s="2">
        <f t="shared" si="26"/>
        <v>0</v>
      </c>
      <c r="AH48" s="2">
        <f t="shared" si="64"/>
        <v>0</v>
      </c>
      <c r="AI48" s="2">
        <f t="shared" si="64"/>
        <v>0</v>
      </c>
      <c r="AJ48" s="2">
        <f t="shared" si="27"/>
        <v>0</v>
      </c>
      <c r="AK48" s="2">
        <v>578.4</v>
      </c>
      <c r="AL48" s="2">
        <v>578.4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1</v>
      </c>
      <c r="AW48" s="2">
        <v>1</v>
      </c>
      <c r="AX48" s="2"/>
      <c r="AY48" s="2"/>
      <c r="AZ48" s="2">
        <v>1</v>
      </c>
      <c r="BA48" s="2">
        <v>1</v>
      </c>
      <c r="BB48" s="2">
        <v>1</v>
      </c>
      <c r="BC48" s="2">
        <v>1.29</v>
      </c>
      <c r="BD48" s="2" t="s">
        <v>3</v>
      </c>
      <c r="BE48" s="2" t="s">
        <v>3</v>
      </c>
      <c r="BF48" s="2" t="s">
        <v>3</v>
      </c>
      <c r="BG48" s="2" t="s">
        <v>3</v>
      </c>
      <c r="BH48" s="2">
        <v>3</v>
      </c>
      <c r="BI48" s="2">
        <v>2</v>
      </c>
      <c r="BJ48" s="2" t="s">
        <v>99</v>
      </c>
      <c r="BK48" s="2"/>
      <c r="BL48" s="2"/>
      <c r="BM48" s="2">
        <v>500002</v>
      </c>
      <c r="BN48" s="2">
        <v>0</v>
      </c>
      <c r="BO48" s="2" t="s">
        <v>97</v>
      </c>
      <c r="BP48" s="2">
        <v>1</v>
      </c>
      <c r="BQ48" s="2">
        <v>12</v>
      </c>
      <c r="BR48" s="2">
        <v>0</v>
      </c>
      <c r="BS48" s="2">
        <v>1</v>
      </c>
      <c r="BT48" s="2">
        <v>1</v>
      </c>
      <c r="BU48" s="2">
        <v>1</v>
      </c>
      <c r="BV48" s="2">
        <v>1</v>
      </c>
      <c r="BW48" s="2">
        <v>1</v>
      </c>
      <c r="BX48" s="2">
        <v>1</v>
      </c>
      <c r="BY48" s="2" t="s">
        <v>3</v>
      </c>
      <c r="BZ48" s="2">
        <v>0</v>
      </c>
      <c r="CA48" s="2">
        <v>0</v>
      </c>
      <c r="CB48" s="2" t="s">
        <v>3</v>
      </c>
      <c r="CC48" s="2"/>
      <c r="CD48" s="2"/>
      <c r="CE48" s="2">
        <v>0</v>
      </c>
      <c r="CF48" s="2">
        <v>0</v>
      </c>
      <c r="CG48" s="2">
        <v>0</v>
      </c>
      <c r="CH48" s="2"/>
      <c r="CI48" s="2"/>
      <c r="CJ48" s="2"/>
      <c r="CK48" s="2"/>
      <c r="CL48" s="2"/>
      <c r="CM48" s="2">
        <v>0</v>
      </c>
      <c r="CN48" s="2" t="s">
        <v>3</v>
      </c>
      <c r="CO48" s="2">
        <v>0</v>
      </c>
      <c r="CP48" s="2">
        <f t="shared" si="66"/>
        <v>186.54</v>
      </c>
      <c r="CQ48" s="2">
        <f>ROUND(AL48*BC48,2)</f>
        <v>746.14</v>
      </c>
      <c r="CR48" s="2">
        <f>ROUND(AM48*BB48,2)</f>
        <v>0</v>
      </c>
      <c r="CS48" s="2">
        <f>ROUND(AN48*BS48,2)</f>
        <v>0</v>
      </c>
      <c r="CT48" s="2">
        <f>ROUND(AO48*BA48,2)</f>
        <v>0</v>
      </c>
      <c r="CU48" s="2">
        <f t="shared" si="67"/>
        <v>0</v>
      </c>
      <c r="CV48" s="2">
        <f t="shared" si="67"/>
        <v>0</v>
      </c>
      <c r="CW48" s="2">
        <f t="shared" si="67"/>
        <v>0</v>
      </c>
      <c r="CX48" s="2">
        <f t="shared" si="67"/>
        <v>0</v>
      </c>
      <c r="CY48" s="2">
        <f>0</f>
        <v>0</v>
      </c>
      <c r="CZ48" s="2">
        <f>0</f>
        <v>0</v>
      </c>
      <c r="DA48" s="2"/>
      <c r="DB48" s="2"/>
      <c r="DC48" s="2" t="s">
        <v>3</v>
      </c>
      <c r="DD48" s="2" t="s">
        <v>3</v>
      </c>
      <c r="DE48" s="2" t="s">
        <v>3</v>
      </c>
      <c r="DF48" s="2" t="s">
        <v>3</v>
      </c>
      <c r="DG48" s="2" t="s">
        <v>3</v>
      </c>
      <c r="DH48" s="2" t="s">
        <v>3</v>
      </c>
      <c r="DI48" s="2" t="s">
        <v>3</v>
      </c>
      <c r="DJ48" s="2" t="s">
        <v>3</v>
      </c>
      <c r="DK48" s="2" t="s">
        <v>3</v>
      </c>
      <c r="DL48" s="2" t="s">
        <v>3</v>
      </c>
      <c r="DM48" s="2" t="s">
        <v>3</v>
      </c>
      <c r="DN48" s="2">
        <v>0</v>
      </c>
      <c r="DO48" s="2">
        <v>0</v>
      </c>
      <c r="DP48" s="2">
        <v>1</v>
      </c>
      <c r="DQ48" s="2">
        <v>1</v>
      </c>
      <c r="DR48" s="2"/>
      <c r="DS48" s="2"/>
      <c r="DT48" s="2"/>
      <c r="DU48" s="2">
        <v>1013</v>
      </c>
      <c r="DV48" s="2" t="s">
        <v>56</v>
      </c>
      <c r="DW48" s="2" t="s">
        <v>56</v>
      </c>
      <c r="DX48" s="2">
        <v>1</v>
      </c>
      <c r="DY48" s="2"/>
      <c r="DZ48" s="2" t="s">
        <v>3</v>
      </c>
      <c r="EA48" s="2" t="s">
        <v>3</v>
      </c>
      <c r="EB48" s="2" t="s">
        <v>3</v>
      </c>
      <c r="EC48" s="2" t="s">
        <v>3</v>
      </c>
      <c r="ED48" s="2"/>
      <c r="EE48" s="2">
        <v>50991777</v>
      </c>
      <c r="EF48" s="2">
        <v>12</v>
      </c>
      <c r="EG48" s="2" t="s">
        <v>50</v>
      </c>
      <c r="EH48" s="2">
        <v>0</v>
      </c>
      <c r="EI48" s="2" t="s">
        <v>3</v>
      </c>
      <c r="EJ48" s="2">
        <v>2</v>
      </c>
      <c r="EK48" s="2">
        <v>500002</v>
      </c>
      <c r="EL48" s="2" t="s">
        <v>51</v>
      </c>
      <c r="EM48" s="2" t="s">
        <v>52</v>
      </c>
      <c r="EN48" s="2"/>
      <c r="EO48" s="2" t="s">
        <v>3</v>
      </c>
      <c r="EP48" s="2"/>
      <c r="EQ48" s="2">
        <v>0</v>
      </c>
      <c r="ER48" s="2">
        <v>578.4</v>
      </c>
      <c r="ES48" s="2">
        <v>578.4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>
        <v>0</v>
      </c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>
        <v>0</v>
      </c>
      <c r="FR48" s="2">
        <v>0</v>
      </c>
      <c r="FS48" s="2">
        <v>0</v>
      </c>
      <c r="FT48" s="2"/>
      <c r="FU48" s="2"/>
      <c r="FV48" s="2"/>
      <c r="FW48" s="2"/>
      <c r="FX48" s="2">
        <v>0</v>
      </c>
      <c r="FY48" s="2">
        <v>0</v>
      </c>
      <c r="FZ48" s="2"/>
      <c r="GA48" s="2" t="s">
        <v>3</v>
      </c>
      <c r="GB48" s="2"/>
      <c r="GC48" s="2"/>
      <c r="GD48" s="2">
        <v>1</v>
      </c>
      <c r="GE48" s="2"/>
      <c r="GF48" s="2">
        <v>2090192568</v>
      </c>
      <c r="GG48" s="2">
        <v>2</v>
      </c>
      <c r="GH48" s="2">
        <v>1</v>
      </c>
      <c r="GI48" s="2">
        <v>2</v>
      </c>
      <c r="GJ48" s="2">
        <v>0</v>
      </c>
      <c r="GK48" s="2">
        <v>0</v>
      </c>
      <c r="GL48" s="2">
        <f t="shared" si="28"/>
        <v>0</v>
      </c>
      <c r="GM48" s="2">
        <f t="shared" si="29"/>
        <v>186.54</v>
      </c>
      <c r="GN48" s="2">
        <f t="shared" si="30"/>
        <v>0</v>
      </c>
      <c r="GO48" s="2">
        <f t="shared" si="31"/>
        <v>186.54</v>
      </c>
      <c r="GP48" s="2">
        <f t="shared" si="32"/>
        <v>0</v>
      </c>
      <c r="GQ48" s="2"/>
      <c r="GR48" s="2">
        <v>0</v>
      </c>
      <c r="GS48" s="2">
        <v>3</v>
      </c>
      <c r="GT48" s="2">
        <v>0</v>
      </c>
      <c r="GU48" s="2" t="s">
        <v>3</v>
      </c>
      <c r="GV48" s="2">
        <f t="shared" si="33"/>
        <v>0</v>
      </c>
      <c r="GW48" s="2">
        <v>1</v>
      </c>
      <c r="GX48" s="2">
        <f t="shared" si="34"/>
        <v>0</v>
      </c>
      <c r="GY48" s="2"/>
      <c r="GZ48" s="2"/>
      <c r="HA48" s="2">
        <v>0</v>
      </c>
      <c r="HB48" s="2">
        <v>0</v>
      </c>
      <c r="HC48" s="2">
        <f t="shared" si="68"/>
        <v>0</v>
      </c>
      <c r="HD48" s="2"/>
      <c r="HE48" s="2" t="s">
        <v>3</v>
      </c>
      <c r="HF48" s="2" t="s">
        <v>3</v>
      </c>
      <c r="HG48" s="2"/>
      <c r="HH48" s="2"/>
      <c r="HI48" s="2"/>
      <c r="HJ48" s="2"/>
      <c r="HK48" s="2"/>
      <c r="HL48" s="2"/>
      <c r="HM48" s="2" t="s">
        <v>3</v>
      </c>
      <c r="HN48" s="2" t="s">
        <v>3</v>
      </c>
      <c r="HO48" s="2" t="s">
        <v>3</v>
      </c>
      <c r="HP48" s="2" t="s">
        <v>3</v>
      </c>
      <c r="HQ48" s="2" t="s">
        <v>3</v>
      </c>
      <c r="HR48" s="2"/>
      <c r="HS48" s="2">
        <v>0</v>
      </c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>
        <v>0</v>
      </c>
      <c r="IL48" s="2"/>
      <c r="IM48" s="2"/>
      <c r="IN48" s="2"/>
      <c r="IO48" s="2"/>
      <c r="IP48" s="2"/>
      <c r="IQ48" s="2"/>
      <c r="IR48" s="2"/>
      <c r="IS48" s="2"/>
      <c r="IT48" s="2"/>
      <c r="IU48" s="2"/>
    </row>
    <row r="49" spans="1:255" x14ac:dyDescent="0.2">
      <c r="A49" s="2">
        <v>17</v>
      </c>
      <c r="B49" s="2">
        <v>1</v>
      </c>
      <c r="C49" s="2">
        <f>ROW(SmtRes!A41)</f>
        <v>41</v>
      </c>
      <c r="D49" s="2">
        <f>ROW(EtalonRes!A41)</f>
        <v>41</v>
      </c>
      <c r="E49" s="2" t="s">
        <v>100</v>
      </c>
      <c r="F49" s="2" t="s">
        <v>101</v>
      </c>
      <c r="G49" s="2" t="s">
        <v>102</v>
      </c>
      <c r="H49" s="2" t="s">
        <v>56</v>
      </c>
      <c r="I49" s="2">
        <f>ROUND(3/100,7)</f>
        <v>0.03</v>
      </c>
      <c r="J49" s="2">
        <v>0</v>
      </c>
      <c r="K49" s="2">
        <f>ROUND(3/100,7)</f>
        <v>0.03</v>
      </c>
      <c r="L49" s="2"/>
      <c r="M49" s="2"/>
      <c r="N49" s="2"/>
      <c r="O49" s="2">
        <f t="shared" si="65"/>
        <v>1862.16</v>
      </c>
      <c r="P49" s="2">
        <f>SUMIF(SmtRes!AQ34:'SmtRes'!AQ41,"=1",SmtRes!DF34:'SmtRes'!DF41)</f>
        <v>64.67</v>
      </c>
      <c r="Q49" s="2">
        <f>SUMIF(SmtRes!AQ34:'SmtRes'!AQ41,"=1",SmtRes!DG34:'SmtRes'!DG41)</f>
        <v>12.78</v>
      </c>
      <c r="R49" s="2">
        <f>SUMIF(SmtRes!AQ34:'SmtRes'!AQ41,"=1",SmtRes!DH34:'SmtRes'!DH41)</f>
        <v>10.28</v>
      </c>
      <c r="S49" s="2">
        <f>SUMIF(SmtRes!AQ34:'SmtRes'!AQ41,"=1",SmtRes!DI34:'SmtRes'!DI41)</f>
        <v>1774.43</v>
      </c>
      <c r="T49" s="2">
        <f t="shared" si="21"/>
        <v>0</v>
      </c>
      <c r="U49" s="2">
        <f>SUMIF(SmtRes!AQ34:'SmtRes'!AQ41,"=1",SmtRes!CV34:'SmtRes'!CV41)</f>
        <v>2.3567999999999998</v>
      </c>
      <c r="V49" s="2">
        <f>SUMIF(SmtRes!AQ34:'SmtRes'!AQ41,"=1",SmtRes!CW34:'SmtRes'!CW41)</f>
        <v>1.2E-2</v>
      </c>
      <c r="W49" s="2">
        <f t="shared" si="22"/>
        <v>0</v>
      </c>
      <c r="X49" s="2">
        <f t="shared" si="23"/>
        <v>1731.17</v>
      </c>
      <c r="Y49" s="2">
        <f t="shared" si="24"/>
        <v>910.2</v>
      </c>
      <c r="Z49" s="2"/>
      <c r="AA49" s="2">
        <v>52718353</v>
      </c>
      <c r="AB49" s="2">
        <f t="shared" si="25"/>
        <v>61298.313109000002</v>
      </c>
      <c r="AC49" s="2">
        <f>ROUND((SUM(SmtRes!BQ34:'SmtRes'!BQ41)),6)</f>
        <v>1724.3931090000001</v>
      </c>
      <c r="AD49" s="2">
        <f>ROUND((((SUM(SmtRes!BR34:'SmtRes'!BR41))-(SUM(SmtRes!BS34:'SmtRes'!BS41)))+AE49),6)</f>
        <v>426.096</v>
      </c>
      <c r="AE49" s="2">
        <f>ROUND((SUM(SmtRes!BS34:'SmtRes'!BS41)),6)</f>
        <v>342.62400000000002</v>
      </c>
      <c r="AF49" s="2">
        <f>ROUND((SUM(SmtRes!BT34:'SmtRes'!BT41)),6)</f>
        <v>59147.824000000001</v>
      </c>
      <c r="AG49" s="2">
        <f t="shared" si="26"/>
        <v>0</v>
      </c>
      <c r="AH49" s="2">
        <f>(SUM(SmtRes!BU34:'SmtRes'!BU41))</f>
        <v>78.56</v>
      </c>
      <c r="AI49" s="2">
        <f>(SUM(SmtRes!BV34:'SmtRes'!BV41))</f>
        <v>0.4</v>
      </c>
      <c r="AJ49" s="2">
        <f t="shared" si="27"/>
        <v>0</v>
      </c>
      <c r="AK49" s="2">
        <v>61640.937108900005</v>
      </c>
      <c r="AL49" s="2">
        <v>1724.3931089</v>
      </c>
      <c r="AM49" s="2">
        <v>426.096</v>
      </c>
      <c r="AN49" s="2">
        <v>342.62400000000002</v>
      </c>
      <c r="AO49" s="2">
        <v>59147.824000000001</v>
      </c>
      <c r="AP49" s="2">
        <v>0</v>
      </c>
      <c r="AQ49" s="2">
        <v>78.56</v>
      </c>
      <c r="AR49" s="2">
        <v>0.4</v>
      </c>
      <c r="AS49" s="2">
        <v>0</v>
      </c>
      <c r="AT49" s="2">
        <v>97</v>
      </c>
      <c r="AU49" s="2">
        <v>51</v>
      </c>
      <c r="AV49" s="2">
        <v>1</v>
      </c>
      <c r="AW49" s="2">
        <v>1</v>
      </c>
      <c r="AX49" s="2"/>
      <c r="AY49" s="2"/>
      <c r="AZ49" s="2">
        <v>1</v>
      </c>
      <c r="BA49" s="2">
        <v>1</v>
      </c>
      <c r="BB49" s="2">
        <v>1</v>
      </c>
      <c r="BC49" s="2">
        <v>1</v>
      </c>
      <c r="BD49" s="2" t="s">
        <v>3</v>
      </c>
      <c r="BE49" s="2" t="s">
        <v>3</v>
      </c>
      <c r="BF49" s="2" t="s">
        <v>3</v>
      </c>
      <c r="BG49" s="2" t="s">
        <v>3</v>
      </c>
      <c r="BH49" s="2">
        <v>0</v>
      </c>
      <c r="BI49" s="2">
        <v>2</v>
      </c>
      <c r="BJ49" s="2" t="s">
        <v>103</v>
      </c>
      <c r="BK49" s="2"/>
      <c r="BL49" s="2"/>
      <c r="BM49" s="2">
        <v>108001</v>
      </c>
      <c r="BN49" s="2">
        <v>0</v>
      </c>
      <c r="BO49" s="2" t="s">
        <v>3</v>
      </c>
      <c r="BP49" s="2">
        <v>0</v>
      </c>
      <c r="BQ49" s="2">
        <v>3</v>
      </c>
      <c r="BR49" s="2">
        <v>0</v>
      </c>
      <c r="BS49" s="2">
        <v>1</v>
      </c>
      <c r="BT49" s="2">
        <v>1</v>
      </c>
      <c r="BU49" s="2">
        <v>1</v>
      </c>
      <c r="BV49" s="2">
        <v>1</v>
      </c>
      <c r="BW49" s="2">
        <v>1</v>
      </c>
      <c r="BX49" s="2">
        <v>1</v>
      </c>
      <c r="BY49" s="2" t="s">
        <v>3</v>
      </c>
      <c r="BZ49" s="2">
        <v>97</v>
      </c>
      <c r="CA49" s="2">
        <v>51</v>
      </c>
      <c r="CB49" s="2" t="s">
        <v>3</v>
      </c>
      <c r="CC49" s="2"/>
      <c r="CD49" s="2"/>
      <c r="CE49" s="2">
        <v>0</v>
      </c>
      <c r="CF49" s="2">
        <v>0</v>
      </c>
      <c r="CG49" s="2">
        <v>0</v>
      </c>
      <c r="CH49" s="2"/>
      <c r="CI49" s="2"/>
      <c r="CJ49" s="2"/>
      <c r="CK49" s="2"/>
      <c r="CL49" s="2"/>
      <c r="CM49" s="2">
        <v>0</v>
      </c>
      <c r="CN49" s="2" t="s">
        <v>3</v>
      </c>
      <c r="CO49" s="2">
        <v>0</v>
      </c>
      <c r="CP49" s="2">
        <f t="shared" si="66"/>
        <v>1862.16</v>
      </c>
      <c r="CQ49" s="2">
        <f>SUMIF(SmtRes!AQ34:'SmtRes'!AQ41,"=1",SmtRes!AA34:'SmtRes'!AA41)</f>
        <v>1204892.4099999999</v>
      </c>
      <c r="CR49" s="2">
        <f>SUMIF(SmtRes!AQ34:'SmtRes'!AQ41,"=1",SmtRes!AB34:'SmtRes'!AB41)</f>
        <v>2130.48</v>
      </c>
      <c r="CS49" s="2">
        <f>SUMIF(SmtRes!AQ34:'SmtRes'!AQ41,"=1",SmtRes!AC34:'SmtRes'!AC41)</f>
        <v>1713.12</v>
      </c>
      <c r="CT49" s="2">
        <f>SUMIF(SmtRes!AQ34:'SmtRes'!AQ41,"=1",SmtRes!AD34:'SmtRes'!AD41)</f>
        <v>752.9</v>
      </c>
      <c r="CU49" s="2">
        <f>AG49</f>
        <v>0</v>
      </c>
      <c r="CV49" s="2">
        <f>SUMIF(SmtRes!AQ34:'SmtRes'!AQ41,"=1",SmtRes!BU34:'SmtRes'!BU41)</f>
        <v>78.56</v>
      </c>
      <c r="CW49" s="2">
        <f>SUMIF(SmtRes!AQ34:'SmtRes'!AQ41,"=1",SmtRes!BV34:'SmtRes'!BV41)</f>
        <v>0.4</v>
      </c>
      <c r="CX49" s="2">
        <f>AJ49</f>
        <v>0</v>
      </c>
      <c r="CY49" s="2">
        <f>(((S49+R49)*AT49)/100)</f>
        <v>1731.1686999999999</v>
      </c>
      <c r="CZ49" s="2">
        <f>(((S49+R49)*AU49)/100)</f>
        <v>910.20210000000009</v>
      </c>
      <c r="DA49" s="2"/>
      <c r="DB49" s="2"/>
      <c r="DC49" s="2" t="s">
        <v>3</v>
      </c>
      <c r="DD49" s="2" t="s">
        <v>3</v>
      </c>
      <c r="DE49" s="2" t="s">
        <v>3</v>
      </c>
      <c r="DF49" s="2" t="s">
        <v>3</v>
      </c>
      <c r="DG49" s="2" t="s">
        <v>3</v>
      </c>
      <c r="DH49" s="2" t="s">
        <v>3</v>
      </c>
      <c r="DI49" s="2" t="s">
        <v>3</v>
      </c>
      <c r="DJ49" s="2" t="s">
        <v>3</v>
      </c>
      <c r="DK49" s="2" t="s">
        <v>3</v>
      </c>
      <c r="DL49" s="2" t="s">
        <v>3</v>
      </c>
      <c r="DM49" s="2" t="s">
        <v>3</v>
      </c>
      <c r="DN49" s="2">
        <v>0</v>
      </c>
      <c r="DO49" s="2">
        <v>0</v>
      </c>
      <c r="DP49" s="2">
        <v>1</v>
      </c>
      <c r="DQ49" s="2">
        <v>1</v>
      </c>
      <c r="DR49" s="2"/>
      <c r="DS49" s="2"/>
      <c r="DT49" s="2"/>
      <c r="DU49" s="2">
        <v>1013</v>
      </c>
      <c r="DV49" s="2" t="s">
        <v>56</v>
      </c>
      <c r="DW49" s="2" t="s">
        <v>56</v>
      </c>
      <c r="DX49" s="2">
        <v>1</v>
      </c>
      <c r="DY49" s="2"/>
      <c r="DZ49" s="2" t="s">
        <v>3</v>
      </c>
      <c r="EA49" s="2" t="s">
        <v>3</v>
      </c>
      <c r="EB49" s="2" t="s">
        <v>3</v>
      </c>
      <c r="EC49" s="2" t="s">
        <v>3</v>
      </c>
      <c r="ED49" s="2"/>
      <c r="EE49" s="2">
        <v>50991719</v>
      </c>
      <c r="EF49" s="2">
        <v>3</v>
      </c>
      <c r="EG49" s="2" t="s">
        <v>14</v>
      </c>
      <c r="EH49" s="2">
        <v>0</v>
      </c>
      <c r="EI49" s="2" t="s">
        <v>3</v>
      </c>
      <c r="EJ49" s="2">
        <v>2</v>
      </c>
      <c r="EK49" s="2">
        <v>108001</v>
      </c>
      <c r="EL49" s="2" t="s">
        <v>20</v>
      </c>
      <c r="EM49" s="2" t="s">
        <v>21</v>
      </c>
      <c r="EN49" s="2"/>
      <c r="EO49" s="2" t="s">
        <v>3</v>
      </c>
      <c r="EP49" s="2"/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78.56</v>
      </c>
      <c r="EX49" s="2">
        <v>0.4</v>
      </c>
      <c r="EY49" s="2">
        <v>0</v>
      </c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>
        <v>0</v>
      </c>
      <c r="FR49" s="2">
        <v>0</v>
      </c>
      <c r="FS49" s="2">
        <v>0</v>
      </c>
      <c r="FT49" s="2"/>
      <c r="FU49" s="2"/>
      <c r="FV49" s="2"/>
      <c r="FW49" s="2"/>
      <c r="FX49" s="2">
        <v>97</v>
      </c>
      <c r="FY49" s="2">
        <v>51</v>
      </c>
      <c r="FZ49" s="2"/>
      <c r="GA49" s="2" t="s">
        <v>3</v>
      </c>
      <c r="GB49" s="2"/>
      <c r="GC49" s="2"/>
      <c r="GD49" s="2">
        <v>1</v>
      </c>
      <c r="GE49" s="2"/>
      <c r="GF49" s="2">
        <v>-1115134598</v>
      </c>
      <c r="GG49" s="2">
        <v>2</v>
      </c>
      <c r="GH49" s="2">
        <v>1</v>
      </c>
      <c r="GI49" s="2">
        <v>-2</v>
      </c>
      <c r="GJ49" s="2">
        <v>0</v>
      </c>
      <c r="GK49" s="2">
        <v>0</v>
      </c>
      <c r="GL49" s="2">
        <f t="shared" si="28"/>
        <v>0</v>
      </c>
      <c r="GM49" s="2">
        <f t="shared" si="29"/>
        <v>4503.53</v>
      </c>
      <c r="GN49" s="2">
        <f t="shared" si="30"/>
        <v>0</v>
      </c>
      <c r="GO49" s="2">
        <f t="shared" si="31"/>
        <v>4503.53</v>
      </c>
      <c r="GP49" s="2">
        <f t="shared" si="32"/>
        <v>0</v>
      </c>
      <c r="GQ49" s="2"/>
      <c r="GR49" s="2">
        <v>0</v>
      </c>
      <c r="GS49" s="2">
        <v>3</v>
      </c>
      <c r="GT49" s="2">
        <v>0</v>
      </c>
      <c r="GU49" s="2" t="s">
        <v>3</v>
      </c>
      <c r="GV49" s="2">
        <f t="shared" si="33"/>
        <v>0</v>
      </c>
      <c r="GW49" s="2">
        <v>1</v>
      </c>
      <c r="GX49" s="2">
        <f t="shared" si="34"/>
        <v>0</v>
      </c>
      <c r="GY49" s="2"/>
      <c r="GZ49" s="2"/>
      <c r="HA49" s="2">
        <v>0</v>
      </c>
      <c r="HB49" s="2">
        <v>0</v>
      </c>
      <c r="HC49" s="2">
        <f t="shared" si="68"/>
        <v>0</v>
      </c>
      <c r="HD49" s="2"/>
      <c r="HE49" s="2" t="s">
        <v>3</v>
      </c>
      <c r="HF49" s="2" t="s">
        <v>3</v>
      </c>
      <c r="HG49" s="2"/>
      <c r="HH49" s="2"/>
      <c r="HI49" s="2"/>
      <c r="HJ49" s="2"/>
      <c r="HK49" s="2"/>
      <c r="HL49" s="2"/>
      <c r="HM49" s="2" t="s">
        <v>3</v>
      </c>
      <c r="HN49" s="2" t="s">
        <v>22</v>
      </c>
      <c r="HO49" s="2" t="s">
        <v>23</v>
      </c>
      <c r="HP49" s="2" t="s">
        <v>20</v>
      </c>
      <c r="HQ49" s="2" t="s">
        <v>20</v>
      </c>
      <c r="HR49" s="2"/>
      <c r="HS49" s="2">
        <v>0</v>
      </c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>
        <v>0</v>
      </c>
      <c r="IL49" s="2"/>
      <c r="IM49" s="2"/>
      <c r="IN49" s="2"/>
      <c r="IO49" s="2"/>
      <c r="IP49" s="2"/>
      <c r="IQ49" s="2"/>
      <c r="IR49" s="2"/>
      <c r="IS49" s="2"/>
      <c r="IT49" s="2"/>
      <c r="IU49" s="2"/>
    </row>
    <row r="50" spans="1:255" x14ac:dyDescent="0.2">
      <c r="A50" s="2">
        <v>18</v>
      </c>
      <c r="B50" s="2">
        <v>1</v>
      </c>
      <c r="C50" s="2">
        <v>41</v>
      </c>
      <c r="D50" s="2"/>
      <c r="E50" s="2" t="s">
        <v>104</v>
      </c>
      <c r="F50" s="2" t="s">
        <v>25</v>
      </c>
      <c r="G50" s="2" t="s">
        <v>26</v>
      </c>
      <c r="H50" s="2" t="s">
        <v>27</v>
      </c>
      <c r="I50" s="2">
        <f>J50</f>
        <v>2</v>
      </c>
      <c r="J50" s="2">
        <v>2</v>
      </c>
      <c r="K50" s="2">
        <v>2</v>
      </c>
      <c r="L50" s="2"/>
      <c r="M50" s="2"/>
      <c r="N50" s="2"/>
      <c r="O50" s="2">
        <f>ROUND(P50,2)</f>
        <v>35.49</v>
      </c>
      <c r="P50" s="2">
        <f>ROUND(ROUND(ROUND(SUMIF(SmtRes!AQ34:'SmtRes'!AQ41,"=1",SmtRes!CU34:'SmtRes'!CU41),2),2)*I50/100,2)</f>
        <v>35.49</v>
      </c>
      <c r="Q50" s="2">
        <f>ROUND(CR50*I50,2)</f>
        <v>0</v>
      </c>
      <c r="R50" s="2">
        <f>ROUND(CS50*I50,2)</f>
        <v>0</v>
      </c>
      <c r="S50" s="2">
        <f>ROUND(CT50*I50,2)</f>
        <v>0</v>
      </c>
      <c r="T50" s="2">
        <f t="shared" si="21"/>
        <v>0</v>
      </c>
      <c r="U50" s="2">
        <f>ROUND(CV50*I50,7)</f>
        <v>0</v>
      </c>
      <c r="V50" s="2">
        <f>ROUND(CW50*I50,7)</f>
        <v>0</v>
      </c>
      <c r="W50" s="2">
        <f t="shared" si="22"/>
        <v>0</v>
      </c>
      <c r="X50" s="2">
        <f t="shared" si="23"/>
        <v>0</v>
      </c>
      <c r="Y50" s="2">
        <f t="shared" si="24"/>
        <v>0</v>
      </c>
      <c r="Z50" s="2"/>
      <c r="AA50" s="2">
        <v>52718353</v>
      </c>
      <c r="AB50" s="2">
        <f t="shared" si="25"/>
        <v>0</v>
      </c>
      <c r="AC50" s="2">
        <f>ROUND((ES50),6)</f>
        <v>0</v>
      </c>
      <c r="AD50" s="2">
        <f>ROUND((((ET50)-(EU50))+AE50),6)</f>
        <v>0</v>
      </c>
      <c r="AE50" s="2">
        <f t="shared" ref="AE50:AF53" si="69">ROUND((EU50),6)</f>
        <v>0</v>
      </c>
      <c r="AF50" s="2">
        <f t="shared" si="69"/>
        <v>0</v>
      </c>
      <c r="AG50" s="2">
        <f t="shared" si="26"/>
        <v>0</v>
      </c>
      <c r="AH50" s="2">
        <f t="shared" ref="AH50:AI53" si="70">(EW50)</f>
        <v>0</v>
      </c>
      <c r="AI50" s="2">
        <f t="shared" si="70"/>
        <v>0</v>
      </c>
      <c r="AJ50" s="2">
        <f t="shared" si="27"/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97</v>
      </c>
      <c r="AU50" s="2">
        <v>51</v>
      </c>
      <c r="AV50" s="2">
        <v>1</v>
      </c>
      <c r="AW50" s="2">
        <v>1</v>
      </c>
      <c r="AX50" s="2"/>
      <c r="AY50" s="2"/>
      <c r="AZ50" s="2">
        <v>1</v>
      </c>
      <c r="BA50" s="2">
        <v>1</v>
      </c>
      <c r="BB50" s="2">
        <v>1</v>
      </c>
      <c r="BC50" s="2">
        <v>1</v>
      </c>
      <c r="BD50" s="2" t="s">
        <v>3</v>
      </c>
      <c r="BE50" s="2" t="s">
        <v>3</v>
      </c>
      <c r="BF50" s="2" t="s">
        <v>3</v>
      </c>
      <c r="BG50" s="2" t="s">
        <v>3</v>
      </c>
      <c r="BH50" s="2">
        <v>3</v>
      </c>
      <c r="BI50" s="2">
        <v>2</v>
      </c>
      <c r="BJ50" s="2" t="s">
        <v>3</v>
      </c>
      <c r="BK50" s="2"/>
      <c r="BL50" s="2"/>
      <c r="BM50" s="2">
        <v>108001</v>
      </c>
      <c r="BN50" s="2">
        <v>0</v>
      </c>
      <c r="BO50" s="2" t="s">
        <v>3</v>
      </c>
      <c r="BP50" s="2">
        <v>0</v>
      </c>
      <c r="BQ50" s="2">
        <v>3</v>
      </c>
      <c r="BR50" s="2">
        <v>0</v>
      </c>
      <c r="BS50" s="2">
        <v>1</v>
      </c>
      <c r="BT50" s="2">
        <v>1</v>
      </c>
      <c r="BU50" s="2">
        <v>1</v>
      </c>
      <c r="BV50" s="2">
        <v>1</v>
      </c>
      <c r="BW50" s="2">
        <v>1</v>
      </c>
      <c r="BX50" s="2">
        <v>1</v>
      </c>
      <c r="BY50" s="2" t="s">
        <v>3</v>
      </c>
      <c r="BZ50" s="2">
        <v>97</v>
      </c>
      <c r="CA50" s="2">
        <v>51</v>
      </c>
      <c r="CB50" s="2" t="s">
        <v>3</v>
      </c>
      <c r="CC50" s="2"/>
      <c r="CD50" s="2"/>
      <c r="CE50" s="2">
        <v>0</v>
      </c>
      <c r="CF50" s="2">
        <v>0</v>
      </c>
      <c r="CG50" s="2">
        <v>0</v>
      </c>
      <c r="CH50" s="2"/>
      <c r="CI50" s="2"/>
      <c r="CJ50" s="2"/>
      <c r="CK50" s="2"/>
      <c r="CL50" s="2"/>
      <c r="CM50" s="2">
        <v>0</v>
      </c>
      <c r="CN50" s="2" t="s">
        <v>3</v>
      </c>
      <c r="CO50" s="2">
        <v>0</v>
      </c>
      <c r="CP50" s="2">
        <f>0</f>
        <v>0</v>
      </c>
      <c r="CQ50" s="2">
        <f>0</f>
        <v>0</v>
      </c>
      <c r="CR50" s="2">
        <f>0</f>
        <v>0</v>
      </c>
      <c r="CS50" s="2">
        <f>0</f>
        <v>0</v>
      </c>
      <c r="CT50" s="2">
        <f>0</f>
        <v>0</v>
      </c>
      <c r="CU50" s="2">
        <f>0</f>
        <v>0</v>
      </c>
      <c r="CV50" s="2">
        <f>0</f>
        <v>0</v>
      </c>
      <c r="CW50" s="2">
        <f>0</f>
        <v>0</v>
      </c>
      <c r="CX50" s="2">
        <f>0</f>
        <v>0</v>
      </c>
      <c r="CY50" s="2">
        <f>0</f>
        <v>0</v>
      </c>
      <c r="CZ50" s="2">
        <f>0</f>
        <v>0</v>
      </c>
      <c r="DA50" s="2"/>
      <c r="DB50" s="2"/>
      <c r="DC50" s="2" t="s">
        <v>3</v>
      </c>
      <c r="DD50" s="2" t="s">
        <v>3</v>
      </c>
      <c r="DE50" s="2" t="s">
        <v>3</v>
      </c>
      <c r="DF50" s="2" t="s">
        <v>3</v>
      </c>
      <c r="DG50" s="2" t="s">
        <v>3</v>
      </c>
      <c r="DH50" s="2" t="s">
        <v>3</v>
      </c>
      <c r="DI50" s="2" t="s">
        <v>3</v>
      </c>
      <c r="DJ50" s="2" t="s">
        <v>3</v>
      </c>
      <c r="DK50" s="2" t="s">
        <v>3</v>
      </c>
      <c r="DL50" s="2" t="s">
        <v>3</v>
      </c>
      <c r="DM50" s="2" t="s">
        <v>3</v>
      </c>
      <c r="DN50" s="2">
        <v>0</v>
      </c>
      <c r="DO50" s="2">
        <v>0</v>
      </c>
      <c r="DP50" s="2">
        <v>1</v>
      </c>
      <c r="DQ50" s="2">
        <v>1</v>
      </c>
      <c r="DR50" s="2"/>
      <c r="DS50" s="2"/>
      <c r="DT50" s="2"/>
      <c r="DU50" s="2">
        <v>1013</v>
      </c>
      <c r="DV50" s="2" t="s">
        <v>27</v>
      </c>
      <c r="DW50" s="2" t="s">
        <v>27</v>
      </c>
      <c r="DX50" s="2">
        <v>1</v>
      </c>
      <c r="DY50" s="2"/>
      <c r="DZ50" s="2" t="s">
        <v>3</v>
      </c>
      <c r="EA50" s="2" t="s">
        <v>3</v>
      </c>
      <c r="EB50" s="2" t="s">
        <v>3</v>
      </c>
      <c r="EC50" s="2" t="s">
        <v>3</v>
      </c>
      <c r="ED50" s="2"/>
      <c r="EE50" s="2">
        <v>50991719</v>
      </c>
      <c r="EF50" s="2">
        <v>3</v>
      </c>
      <c r="EG50" s="2" t="s">
        <v>14</v>
      </c>
      <c r="EH50" s="2">
        <v>0</v>
      </c>
      <c r="EI50" s="2" t="s">
        <v>3</v>
      </c>
      <c r="EJ50" s="2">
        <v>2</v>
      </c>
      <c r="EK50" s="2">
        <v>108001</v>
      </c>
      <c r="EL50" s="2" t="s">
        <v>20</v>
      </c>
      <c r="EM50" s="2" t="s">
        <v>21</v>
      </c>
      <c r="EN50" s="2"/>
      <c r="EO50" s="2" t="s">
        <v>3</v>
      </c>
      <c r="EP50" s="2"/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0</v>
      </c>
      <c r="EX50" s="2">
        <v>0</v>
      </c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>
        <v>0</v>
      </c>
      <c r="FR50" s="2">
        <v>0</v>
      </c>
      <c r="FS50" s="2">
        <v>0</v>
      </c>
      <c r="FT50" s="2"/>
      <c r="FU50" s="2"/>
      <c r="FV50" s="2"/>
      <c r="FW50" s="2"/>
      <c r="FX50" s="2">
        <v>97</v>
      </c>
      <c r="FY50" s="2">
        <v>51</v>
      </c>
      <c r="FZ50" s="2"/>
      <c r="GA50" s="2" t="s">
        <v>3</v>
      </c>
      <c r="GB50" s="2"/>
      <c r="GC50" s="2"/>
      <c r="GD50" s="2">
        <v>1</v>
      </c>
      <c r="GE50" s="2"/>
      <c r="GF50" s="2">
        <v>274903907</v>
      </c>
      <c r="GG50" s="2">
        <v>2</v>
      </c>
      <c r="GH50" s="2">
        <v>1</v>
      </c>
      <c r="GI50" s="2">
        <v>-2</v>
      </c>
      <c r="GJ50" s="2">
        <v>0</v>
      </c>
      <c r="GK50" s="2">
        <v>0</v>
      </c>
      <c r="GL50" s="2">
        <f t="shared" si="28"/>
        <v>0</v>
      </c>
      <c r="GM50" s="2">
        <f t="shared" si="29"/>
        <v>35.49</v>
      </c>
      <c r="GN50" s="2">
        <f t="shared" si="30"/>
        <v>0</v>
      </c>
      <c r="GO50" s="2">
        <f t="shared" si="31"/>
        <v>35.49</v>
      </c>
      <c r="GP50" s="2">
        <f t="shared" si="32"/>
        <v>0</v>
      </c>
      <c r="GQ50" s="2"/>
      <c r="GR50" s="2">
        <v>0</v>
      </c>
      <c r="GS50" s="2">
        <v>3</v>
      </c>
      <c r="GT50" s="2">
        <v>0</v>
      </c>
      <c r="GU50" s="2" t="s">
        <v>3</v>
      </c>
      <c r="GV50" s="2">
        <f t="shared" si="33"/>
        <v>0</v>
      </c>
      <c r="GW50" s="2">
        <v>1</v>
      </c>
      <c r="GX50" s="2">
        <f t="shared" si="34"/>
        <v>0</v>
      </c>
      <c r="GY50" s="2"/>
      <c r="GZ50" s="2"/>
      <c r="HA50" s="2">
        <v>0</v>
      </c>
      <c r="HB50" s="2">
        <v>0</v>
      </c>
      <c r="HC50" s="2">
        <f>0</f>
        <v>0</v>
      </c>
      <c r="HD50" s="2"/>
      <c r="HE50" s="2" t="s">
        <v>3</v>
      </c>
      <c r="HF50" s="2" t="s">
        <v>3</v>
      </c>
      <c r="HG50" s="2"/>
      <c r="HH50" s="2"/>
      <c r="HI50" s="2"/>
      <c r="HJ50" s="2"/>
      <c r="HK50" s="2"/>
      <c r="HL50" s="2"/>
      <c r="HM50" s="2" t="s">
        <v>3</v>
      </c>
      <c r="HN50" s="2" t="s">
        <v>22</v>
      </c>
      <c r="HO50" s="2" t="s">
        <v>23</v>
      </c>
      <c r="HP50" s="2" t="s">
        <v>20</v>
      </c>
      <c r="HQ50" s="2" t="s">
        <v>20</v>
      </c>
      <c r="HR50" s="2"/>
      <c r="HS50" s="2">
        <v>0</v>
      </c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>
        <v>0</v>
      </c>
      <c r="IL50" s="2"/>
      <c r="IM50" s="2"/>
      <c r="IN50" s="2"/>
      <c r="IO50" s="2"/>
      <c r="IP50" s="2"/>
      <c r="IQ50" s="2"/>
      <c r="IR50" s="2"/>
      <c r="IS50" s="2"/>
      <c r="IT50" s="2"/>
      <c r="IU50" s="2"/>
    </row>
    <row r="51" spans="1:255" x14ac:dyDescent="0.2">
      <c r="A51" s="2">
        <v>17</v>
      </c>
      <c r="B51" s="2">
        <v>1</v>
      </c>
      <c r="C51" s="2"/>
      <c r="D51" s="2"/>
      <c r="E51" s="2" t="s">
        <v>105</v>
      </c>
      <c r="F51" s="2" t="s">
        <v>106</v>
      </c>
      <c r="G51" s="2" t="s">
        <v>107</v>
      </c>
      <c r="H51" s="2" t="s">
        <v>108</v>
      </c>
      <c r="I51" s="2">
        <v>1</v>
      </c>
      <c r="J51" s="2">
        <v>0</v>
      </c>
      <c r="K51" s="2">
        <v>1</v>
      </c>
      <c r="L51" s="2"/>
      <c r="M51" s="2"/>
      <c r="N51" s="2"/>
      <c r="O51" s="2">
        <f>ROUND(CP51,2)</f>
        <v>3033.32</v>
      </c>
      <c r="P51" s="2">
        <f>ROUND(CQ51*I51,2)</f>
        <v>3033.32</v>
      </c>
      <c r="Q51" s="2">
        <f>ROUND(CR51*I51,2)</f>
        <v>0</v>
      </c>
      <c r="R51" s="2">
        <f>ROUND(CS51*I51,2)</f>
        <v>0</v>
      </c>
      <c r="S51" s="2">
        <f>ROUND(CT51*I51,2)</f>
        <v>0</v>
      </c>
      <c r="T51" s="2">
        <f t="shared" si="21"/>
        <v>0</v>
      </c>
      <c r="U51" s="2">
        <f>ROUND(CV51*I51,7)</f>
        <v>0</v>
      </c>
      <c r="V51" s="2">
        <f>ROUND(CW51*I51,7)</f>
        <v>0</v>
      </c>
      <c r="W51" s="2">
        <f t="shared" si="22"/>
        <v>0</v>
      </c>
      <c r="X51" s="2">
        <f t="shared" si="23"/>
        <v>0</v>
      </c>
      <c r="Y51" s="2">
        <f t="shared" si="24"/>
        <v>0</v>
      </c>
      <c r="Z51" s="2"/>
      <c r="AA51" s="2">
        <v>52718353</v>
      </c>
      <c r="AB51" s="2">
        <f t="shared" si="25"/>
        <v>3370.35</v>
      </c>
      <c r="AC51" s="2">
        <f>ROUND((ES51),6)</f>
        <v>3370.35</v>
      </c>
      <c r="AD51" s="2">
        <f>ROUND((((ET51)-(EU51))+AE51),6)</f>
        <v>0</v>
      </c>
      <c r="AE51" s="2">
        <f t="shared" si="69"/>
        <v>0</v>
      </c>
      <c r="AF51" s="2">
        <f t="shared" si="69"/>
        <v>0</v>
      </c>
      <c r="AG51" s="2">
        <f t="shared" si="26"/>
        <v>0</v>
      </c>
      <c r="AH51" s="2">
        <f t="shared" si="70"/>
        <v>0</v>
      </c>
      <c r="AI51" s="2">
        <f t="shared" si="70"/>
        <v>0</v>
      </c>
      <c r="AJ51" s="2">
        <f t="shared" si="27"/>
        <v>0</v>
      </c>
      <c r="AK51" s="2">
        <v>3370.35</v>
      </c>
      <c r="AL51" s="2">
        <v>3370.35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1</v>
      </c>
      <c r="AW51" s="2">
        <v>1</v>
      </c>
      <c r="AX51" s="2"/>
      <c r="AY51" s="2"/>
      <c r="AZ51" s="2">
        <v>1</v>
      </c>
      <c r="BA51" s="2">
        <v>1</v>
      </c>
      <c r="BB51" s="2">
        <v>1</v>
      </c>
      <c r="BC51" s="2">
        <v>0.9</v>
      </c>
      <c r="BD51" s="2" t="s">
        <v>3</v>
      </c>
      <c r="BE51" s="2" t="s">
        <v>3</v>
      </c>
      <c r="BF51" s="2" t="s">
        <v>3</v>
      </c>
      <c r="BG51" s="2" t="s">
        <v>3</v>
      </c>
      <c r="BH51" s="2">
        <v>3</v>
      </c>
      <c r="BI51" s="2">
        <v>2</v>
      </c>
      <c r="BJ51" s="2" t="s">
        <v>109</v>
      </c>
      <c r="BK51" s="2"/>
      <c r="BL51" s="2"/>
      <c r="BM51" s="2">
        <v>500002</v>
      </c>
      <c r="BN51" s="2">
        <v>0</v>
      </c>
      <c r="BO51" s="2" t="s">
        <v>106</v>
      </c>
      <c r="BP51" s="2">
        <v>1</v>
      </c>
      <c r="BQ51" s="2">
        <v>12</v>
      </c>
      <c r="BR51" s="2">
        <v>0</v>
      </c>
      <c r="BS51" s="2">
        <v>1</v>
      </c>
      <c r="BT51" s="2">
        <v>1</v>
      </c>
      <c r="BU51" s="2">
        <v>1</v>
      </c>
      <c r="BV51" s="2">
        <v>1</v>
      </c>
      <c r="BW51" s="2">
        <v>1</v>
      </c>
      <c r="BX51" s="2">
        <v>1</v>
      </c>
      <c r="BY51" s="2" t="s">
        <v>3</v>
      </c>
      <c r="BZ51" s="2">
        <v>0</v>
      </c>
      <c r="CA51" s="2">
        <v>0</v>
      </c>
      <c r="CB51" s="2" t="s">
        <v>3</v>
      </c>
      <c r="CC51" s="2"/>
      <c r="CD51" s="2"/>
      <c r="CE51" s="2">
        <v>0</v>
      </c>
      <c r="CF51" s="2">
        <v>0</v>
      </c>
      <c r="CG51" s="2">
        <v>0</v>
      </c>
      <c r="CH51" s="2"/>
      <c r="CI51" s="2"/>
      <c r="CJ51" s="2"/>
      <c r="CK51" s="2"/>
      <c r="CL51" s="2"/>
      <c r="CM51" s="2">
        <v>0</v>
      </c>
      <c r="CN51" s="2" t="s">
        <v>3</v>
      </c>
      <c r="CO51" s="2">
        <v>0</v>
      </c>
      <c r="CP51" s="2">
        <f>(P51+Q51+S51+R51)</f>
        <v>3033.32</v>
      </c>
      <c r="CQ51" s="2">
        <f>ROUND(AL51*BC51,2)</f>
        <v>3033.32</v>
      </c>
      <c r="CR51" s="2">
        <f>ROUND(AM51*BB51,2)</f>
        <v>0</v>
      </c>
      <c r="CS51" s="2">
        <f>ROUND(AN51*BS51,2)</f>
        <v>0</v>
      </c>
      <c r="CT51" s="2">
        <f>ROUND(AO51*BA51,2)</f>
        <v>0</v>
      </c>
      <c r="CU51" s="2">
        <f t="shared" ref="CU51:CX53" si="71">AG51</f>
        <v>0</v>
      </c>
      <c r="CV51" s="2">
        <f t="shared" si="71"/>
        <v>0</v>
      </c>
      <c r="CW51" s="2">
        <f t="shared" si="71"/>
        <v>0</v>
      </c>
      <c r="CX51" s="2">
        <f t="shared" si="71"/>
        <v>0</v>
      </c>
      <c r="CY51" s="2">
        <f>0</f>
        <v>0</v>
      </c>
      <c r="CZ51" s="2">
        <f>0</f>
        <v>0</v>
      </c>
      <c r="DA51" s="2"/>
      <c r="DB51" s="2"/>
      <c r="DC51" s="2" t="s">
        <v>3</v>
      </c>
      <c r="DD51" s="2" t="s">
        <v>3</v>
      </c>
      <c r="DE51" s="2" t="s">
        <v>3</v>
      </c>
      <c r="DF51" s="2" t="s">
        <v>3</v>
      </c>
      <c r="DG51" s="2" t="s">
        <v>3</v>
      </c>
      <c r="DH51" s="2" t="s">
        <v>3</v>
      </c>
      <c r="DI51" s="2" t="s">
        <v>3</v>
      </c>
      <c r="DJ51" s="2" t="s">
        <v>3</v>
      </c>
      <c r="DK51" s="2" t="s">
        <v>3</v>
      </c>
      <c r="DL51" s="2" t="s">
        <v>3</v>
      </c>
      <c r="DM51" s="2" t="s">
        <v>3</v>
      </c>
      <c r="DN51" s="2">
        <v>0</v>
      </c>
      <c r="DO51" s="2">
        <v>0</v>
      </c>
      <c r="DP51" s="2">
        <v>1</v>
      </c>
      <c r="DQ51" s="2">
        <v>1</v>
      </c>
      <c r="DR51" s="2"/>
      <c r="DS51" s="2"/>
      <c r="DT51" s="2"/>
      <c r="DU51" s="2">
        <v>1013</v>
      </c>
      <c r="DV51" s="2" t="s">
        <v>108</v>
      </c>
      <c r="DW51" s="2" t="s">
        <v>108</v>
      </c>
      <c r="DX51" s="2">
        <v>1</v>
      </c>
      <c r="DY51" s="2"/>
      <c r="DZ51" s="2" t="s">
        <v>3</v>
      </c>
      <c r="EA51" s="2" t="s">
        <v>3</v>
      </c>
      <c r="EB51" s="2" t="s">
        <v>3</v>
      </c>
      <c r="EC51" s="2" t="s">
        <v>3</v>
      </c>
      <c r="ED51" s="2"/>
      <c r="EE51" s="2">
        <v>50991777</v>
      </c>
      <c r="EF51" s="2">
        <v>12</v>
      </c>
      <c r="EG51" s="2" t="s">
        <v>50</v>
      </c>
      <c r="EH51" s="2">
        <v>0</v>
      </c>
      <c r="EI51" s="2" t="s">
        <v>3</v>
      </c>
      <c r="EJ51" s="2">
        <v>2</v>
      </c>
      <c r="EK51" s="2">
        <v>500002</v>
      </c>
      <c r="EL51" s="2" t="s">
        <v>51</v>
      </c>
      <c r="EM51" s="2" t="s">
        <v>52</v>
      </c>
      <c r="EN51" s="2"/>
      <c r="EO51" s="2" t="s">
        <v>3</v>
      </c>
      <c r="EP51" s="2"/>
      <c r="EQ51" s="2">
        <v>0</v>
      </c>
      <c r="ER51" s="2">
        <v>3370.35</v>
      </c>
      <c r="ES51" s="2">
        <v>3370.35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>
        <v>0</v>
      </c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>
        <v>0</v>
      </c>
      <c r="FR51" s="2">
        <v>0</v>
      </c>
      <c r="FS51" s="2">
        <v>0</v>
      </c>
      <c r="FT51" s="2"/>
      <c r="FU51" s="2"/>
      <c r="FV51" s="2"/>
      <c r="FW51" s="2"/>
      <c r="FX51" s="2">
        <v>0</v>
      </c>
      <c r="FY51" s="2">
        <v>0</v>
      </c>
      <c r="FZ51" s="2"/>
      <c r="GA51" s="2" t="s">
        <v>3</v>
      </c>
      <c r="GB51" s="2"/>
      <c r="GC51" s="2"/>
      <c r="GD51" s="2">
        <v>1</v>
      </c>
      <c r="GE51" s="2"/>
      <c r="GF51" s="2">
        <v>-1952920665</v>
      </c>
      <c r="GG51" s="2">
        <v>2</v>
      </c>
      <c r="GH51" s="2">
        <v>1</v>
      </c>
      <c r="GI51" s="2">
        <v>2</v>
      </c>
      <c r="GJ51" s="2">
        <v>0</v>
      </c>
      <c r="GK51" s="2">
        <v>0</v>
      </c>
      <c r="GL51" s="2">
        <f t="shared" si="28"/>
        <v>0</v>
      </c>
      <c r="GM51" s="2">
        <f t="shared" si="29"/>
        <v>3033.32</v>
      </c>
      <c r="GN51" s="2">
        <f t="shared" si="30"/>
        <v>0</v>
      </c>
      <c r="GO51" s="2">
        <f t="shared" si="31"/>
        <v>3033.32</v>
      </c>
      <c r="GP51" s="2">
        <f t="shared" si="32"/>
        <v>0</v>
      </c>
      <c r="GQ51" s="2"/>
      <c r="GR51" s="2">
        <v>0</v>
      </c>
      <c r="GS51" s="2">
        <v>3</v>
      </c>
      <c r="GT51" s="2">
        <v>0</v>
      </c>
      <c r="GU51" s="2" t="s">
        <v>3</v>
      </c>
      <c r="GV51" s="2">
        <f t="shared" si="33"/>
        <v>0</v>
      </c>
      <c r="GW51" s="2">
        <v>1</v>
      </c>
      <c r="GX51" s="2">
        <f t="shared" si="34"/>
        <v>0</v>
      </c>
      <c r="GY51" s="2"/>
      <c r="GZ51" s="2"/>
      <c r="HA51" s="2">
        <v>0</v>
      </c>
      <c r="HB51" s="2">
        <v>0</v>
      </c>
      <c r="HC51" s="2">
        <f>GV51*GW51</f>
        <v>0</v>
      </c>
      <c r="HD51" s="2"/>
      <c r="HE51" s="2" t="s">
        <v>3</v>
      </c>
      <c r="HF51" s="2" t="s">
        <v>3</v>
      </c>
      <c r="HG51" s="2"/>
      <c r="HH51" s="2"/>
      <c r="HI51" s="2"/>
      <c r="HJ51" s="2"/>
      <c r="HK51" s="2"/>
      <c r="HL51" s="2"/>
      <c r="HM51" s="2" t="s">
        <v>3</v>
      </c>
      <c r="HN51" s="2" t="s">
        <v>3</v>
      </c>
      <c r="HO51" s="2" t="s">
        <v>3</v>
      </c>
      <c r="HP51" s="2" t="s">
        <v>3</v>
      </c>
      <c r="HQ51" s="2" t="s">
        <v>3</v>
      </c>
      <c r="HR51" s="2"/>
      <c r="HS51" s="2">
        <v>0</v>
      </c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>
        <v>0</v>
      </c>
      <c r="IL51" s="2"/>
      <c r="IM51" s="2"/>
      <c r="IN51" s="2"/>
      <c r="IO51" s="2"/>
      <c r="IP51" s="2"/>
      <c r="IQ51" s="2"/>
      <c r="IR51" s="2"/>
      <c r="IS51" s="2"/>
      <c r="IT51" s="2"/>
      <c r="IU51" s="2"/>
    </row>
    <row r="52" spans="1:255" x14ac:dyDescent="0.2">
      <c r="A52" s="2">
        <v>17</v>
      </c>
      <c r="B52" s="2">
        <v>1</v>
      </c>
      <c r="C52" s="2"/>
      <c r="D52" s="2"/>
      <c r="E52" s="2" t="s">
        <v>110</v>
      </c>
      <c r="F52" s="2" t="s">
        <v>106</v>
      </c>
      <c r="G52" s="2" t="s">
        <v>111</v>
      </c>
      <c r="H52" s="2" t="s">
        <v>108</v>
      </c>
      <c r="I52" s="2">
        <v>1</v>
      </c>
      <c r="J52" s="2">
        <v>0</v>
      </c>
      <c r="K52" s="2">
        <v>1</v>
      </c>
      <c r="L52" s="2"/>
      <c r="M52" s="2"/>
      <c r="N52" s="2"/>
      <c r="O52" s="2">
        <f>ROUND(CP52,2)</f>
        <v>3033.32</v>
      </c>
      <c r="P52" s="2">
        <f>ROUND(CQ52*I52,2)</f>
        <v>3033.32</v>
      </c>
      <c r="Q52" s="2">
        <f>ROUND(CR52*I52,2)</f>
        <v>0</v>
      </c>
      <c r="R52" s="2">
        <f>ROUND(CS52*I52,2)</f>
        <v>0</v>
      </c>
      <c r="S52" s="2">
        <f>ROUND(CT52*I52,2)</f>
        <v>0</v>
      </c>
      <c r="T52" s="2">
        <f t="shared" si="21"/>
        <v>0</v>
      </c>
      <c r="U52" s="2">
        <f>ROUND(CV52*I52,7)</f>
        <v>0</v>
      </c>
      <c r="V52" s="2">
        <f>ROUND(CW52*I52,7)</f>
        <v>0</v>
      </c>
      <c r="W52" s="2">
        <f t="shared" si="22"/>
        <v>0</v>
      </c>
      <c r="X52" s="2">
        <f t="shared" si="23"/>
        <v>0</v>
      </c>
      <c r="Y52" s="2">
        <f t="shared" si="24"/>
        <v>0</v>
      </c>
      <c r="Z52" s="2"/>
      <c r="AA52" s="2">
        <v>52718353</v>
      </c>
      <c r="AB52" s="2">
        <f t="shared" si="25"/>
        <v>3370.35</v>
      </c>
      <c r="AC52" s="2">
        <f>ROUND((ES52),6)</f>
        <v>3370.35</v>
      </c>
      <c r="AD52" s="2">
        <f>ROUND((((ET52)-(EU52))+AE52),6)</f>
        <v>0</v>
      </c>
      <c r="AE52" s="2">
        <f t="shared" si="69"/>
        <v>0</v>
      </c>
      <c r="AF52" s="2">
        <f t="shared" si="69"/>
        <v>0</v>
      </c>
      <c r="AG52" s="2">
        <f t="shared" si="26"/>
        <v>0</v>
      </c>
      <c r="AH52" s="2">
        <f t="shared" si="70"/>
        <v>0</v>
      </c>
      <c r="AI52" s="2">
        <f t="shared" si="70"/>
        <v>0</v>
      </c>
      <c r="AJ52" s="2">
        <f t="shared" si="27"/>
        <v>0</v>
      </c>
      <c r="AK52" s="2">
        <v>3370.35</v>
      </c>
      <c r="AL52" s="2">
        <v>3370.35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1</v>
      </c>
      <c r="AW52" s="2">
        <v>1</v>
      </c>
      <c r="AX52" s="2"/>
      <c r="AY52" s="2"/>
      <c r="AZ52" s="2">
        <v>1</v>
      </c>
      <c r="BA52" s="2">
        <v>1</v>
      </c>
      <c r="BB52" s="2">
        <v>1</v>
      </c>
      <c r="BC52" s="2">
        <v>0.9</v>
      </c>
      <c r="BD52" s="2" t="s">
        <v>3</v>
      </c>
      <c r="BE52" s="2" t="s">
        <v>3</v>
      </c>
      <c r="BF52" s="2" t="s">
        <v>3</v>
      </c>
      <c r="BG52" s="2" t="s">
        <v>3</v>
      </c>
      <c r="BH52" s="2">
        <v>3</v>
      </c>
      <c r="BI52" s="2">
        <v>2</v>
      </c>
      <c r="BJ52" s="2" t="s">
        <v>109</v>
      </c>
      <c r="BK52" s="2"/>
      <c r="BL52" s="2"/>
      <c r="BM52" s="2">
        <v>500002</v>
      </c>
      <c r="BN52" s="2">
        <v>0</v>
      </c>
      <c r="BO52" s="2" t="s">
        <v>106</v>
      </c>
      <c r="BP52" s="2">
        <v>1</v>
      </c>
      <c r="BQ52" s="2">
        <v>12</v>
      </c>
      <c r="BR52" s="2">
        <v>0</v>
      </c>
      <c r="BS52" s="2">
        <v>1</v>
      </c>
      <c r="BT52" s="2">
        <v>1</v>
      </c>
      <c r="BU52" s="2">
        <v>1</v>
      </c>
      <c r="BV52" s="2">
        <v>1</v>
      </c>
      <c r="BW52" s="2">
        <v>1</v>
      </c>
      <c r="BX52" s="2">
        <v>1</v>
      </c>
      <c r="BY52" s="2" t="s">
        <v>3</v>
      </c>
      <c r="BZ52" s="2">
        <v>0</v>
      </c>
      <c r="CA52" s="2">
        <v>0</v>
      </c>
      <c r="CB52" s="2" t="s">
        <v>3</v>
      </c>
      <c r="CC52" s="2"/>
      <c r="CD52" s="2"/>
      <c r="CE52" s="2">
        <v>0</v>
      </c>
      <c r="CF52" s="2">
        <v>0</v>
      </c>
      <c r="CG52" s="2">
        <v>0</v>
      </c>
      <c r="CH52" s="2"/>
      <c r="CI52" s="2"/>
      <c r="CJ52" s="2"/>
      <c r="CK52" s="2"/>
      <c r="CL52" s="2"/>
      <c r="CM52" s="2">
        <v>0</v>
      </c>
      <c r="CN52" s="2" t="s">
        <v>3</v>
      </c>
      <c r="CO52" s="2">
        <v>0</v>
      </c>
      <c r="CP52" s="2">
        <f>(P52+Q52+S52+R52)</f>
        <v>3033.32</v>
      </c>
      <c r="CQ52" s="2">
        <f>ROUND(AL52*BC52,2)</f>
        <v>3033.32</v>
      </c>
      <c r="CR52" s="2">
        <f>ROUND(AM52*BB52,2)</f>
        <v>0</v>
      </c>
      <c r="CS52" s="2">
        <f>ROUND(AN52*BS52,2)</f>
        <v>0</v>
      </c>
      <c r="CT52" s="2">
        <f>ROUND(AO52*BA52,2)</f>
        <v>0</v>
      </c>
      <c r="CU52" s="2">
        <f t="shared" si="71"/>
        <v>0</v>
      </c>
      <c r="CV52" s="2">
        <f t="shared" si="71"/>
        <v>0</v>
      </c>
      <c r="CW52" s="2">
        <f t="shared" si="71"/>
        <v>0</v>
      </c>
      <c r="CX52" s="2">
        <f t="shared" si="71"/>
        <v>0</v>
      </c>
      <c r="CY52" s="2">
        <f>0</f>
        <v>0</v>
      </c>
      <c r="CZ52" s="2">
        <f>0</f>
        <v>0</v>
      </c>
      <c r="DA52" s="2"/>
      <c r="DB52" s="2"/>
      <c r="DC52" s="2" t="s">
        <v>3</v>
      </c>
      <c r="DD52" s="2" t="s">
        <v>3</v>
      </c>
      <c r="DE52" s="2" t="s">
        <v>3</v>
      </c>
      <c r="DF52" s="2" t="s">
        <v>3</v>
      </c>
      <c r="DG52" s="2" t="s">
        <v>3</v>
      </c>
      <c r="DH52" s="2" t="s">
        <v>3</v>
      </c>
      <c r="DI52" s="2" t="s">
        <v>3</v>
      </c>
      <c r="DJ52" s="2" t="s">
        <v>3</v>
      </c>
      <c r="DK52" s="2" t="s">
        <v>3</v>
      </c>
      <c r="DL52" s="2" t="s">
        <v>3</v>
      </c>
      <c r="DM52" s="2" t="s">
        <v>3</v>
      </c>
      <c r="DN52" s="2">
        <v>0</v>
      </c>
      <c r="DO52" s="2">
        <v>0</v>
      </c>
      <c r="DP52" s="2">
        <v>1</v>
      </c>
      <c r="DQ52" s="2">
        <v>1</v>
      </c>
      <c r="DR52" s="2"/>
      <c r="DS52" s="2"/>
      <c r="DT52" s="2"/>
      <c r="DU52" s="2">
        <v>1013</v>
      </c>
      <c r="DV52" s="2" t="s">
        <v>108</v>
      </c>
      <c r="DW52" s="2" t="s">
        <v>108</v>
      </c>
      <c r="DX52" s="2">
        <v>1</v>
      </c>
      <c r="DY52" s="2"/>
      <c r="DZ52" s="2" t="s">
        <v>3</v>
      </c>
      <c r="EA52" s="2" t="s">
        <v>3</v>
      </c>
      <c r="EB52" s="2" t="s">
        <v>3</v>
      </c>
      <c r="EC52" s="2" t="s">
        <v>3</v>
      </c>
      <c r="ED52" s="2"/>
      <c r="EE52" s="2">
        <v>50991777</v>
      </c>
      <c r="EF52" s="2">
        <v>12</v>
      </c>
      <c r="EG52" s="2" t="s">
        <v>50</v>
      </c>
      <c r="EH52" s="2">
        <v>0</v>
      </c>
      <c r="EI52" s="2" t="s">
        <v>3</v>
      </c>
      <c r="EJ52" s="2">
        <v>2</v>
      </c>
      <c r="EK52" s="2">
        <v>500002</v>
      </c>
      <c r="EL52" s="2" t="s">
        <v>51</v>
      </c>
      <c r="EM52" s="2" t="s">
        <v>52</v>
      </c>
      <c r="EN52" s="2"/>
      <c r="EO52" s="2" t="s">
        <v>3</v>
      </c>
      <c r="EP52" s="2"/>
      <c r="EQ52" s="2">
        <v>0</v>
      </c>
      <c r="ER52" s="2">
        <v>3370.35</v>
      </c>
      <c r="ES52" s="2">
        <v>3370.35</v>
      </c>
      <c r="ET52" s="2">
        <v>0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>
        <v>0</v>
      </c>
      <c r="FR52" s="2">
        <v>0</v>
      </c>
      <c r="FS52" s="2">
        <v>0</v>
      </c>
      <c r="FT52" s="2"/>
      <c r="FU52" s="2"/>
      <c r="FV52" s="2"/>
      <c r="FW52" s="2"/>
      <c r="FX52" s="2">
        <v>0</v>
      </c>
      <c r="FY52" s="2">
        <v>0</v>
      </c>
      <c r="FZ52" s="2"/>
      <c r="GA52" s="2" t="s">
        <v>3</v>
      </c>
      <c r="GB52" s="2"/>
      <c r="GC52" s="2"/>
      <c r="GD52" s="2">
        <v>1</v>
      </c>
      <c r="GE52" s="2"/>
      <c r="GF52" s="2">
        <v>-838492994</v>
      </c>
      <c r="GG52" s="2">
        <v>2</v>
      </c>
      <c r="GH52" s="2">
        <v>1</v>
      </c>
      <c r="GI52" s="2">
        <v>2</v>
      </c>
      <c r="GJ52" s="2">
        <v>0</v>
      </c>
      <c r="GK52" s="2">
        <v>0</v>
      </c>
      <c r="GL52" s="2">
        <f t="shared" si="28"/>
        <v>0</v>
      </c>
      <c r="GM52" s="2">
        <f t="shared" si="29"/>
        <v>3033.32</v>
      </c>
      <c r="GN52" s="2">
        <f t="shared" si="30"/>
        <v>0</v>
      </c>
      <c r="GO52" s="2">
        <f t="shared" si="31"/>
        <v>3033.32</v>
      </c>
      <c r="GP52" s="2">
        <f t="shared" si="32"/>
        <v>0</v>
      </c>
      <c r="GQ52" s="2"/>
      <c r="GR52" s="2">
        <v>0</v>
      </c>
      <c r="GS52" s="2">
        <v>3</v>
      </c>
      <c r="GT52" s="2">
        <v>0</v>
      </c>
      <c r="GU52" s="2" t="s">
        <v>3</v>
      </c>
      <c r="GV52" s="2">
        <f t="shared" si="33"/>
        <v>0</v>
      </c>
      <c r="GW52" s="2">
        <v>1</v>
      </c>
      <c r="GX52" s="2">
        <f t="shared" si="34"/>
        <v>0</v>
      </c>
      <c r="GY52" s="2"/>
      <c r="GZ52" s="2"/>
      <c r="HA52" s="2">
        <v>0</v>
      </c>
      <c r="HB52" s="2">
        <v>0</v>
      </c>
      <c r="HC52" s="2">
        <f>GV52*GW52</f>
        <v>0</v>
      </c>
      <c r="HD52" s="2"/>
      <c r="HE52" s="2" t="s">
        <v>3</v>
      </c>
      <c r="HF52" s="2" t="s">
        <v>3</v>
      </c>
      <c r="HG52" s="2"/>
      <c r="HH52" s="2"/>
      <c r="HI52" s="2"/>
      <c r="HJ52" s="2"/>
      <c r="HK52" s="2"/>
      <c r="HL52" s="2"/>
      <c r="HM52" s="2" t="s">
        <v>3</v>
      </c>
      <c r="HN52" s="2" t="s">
        <v>3</v>
      </c>
      <c r="HO52" s="2" t="s">
        <v>3</v>
      </c>
      <c r="HP52" s="2" t="s">
        <v>3</v>
      </c>
      <c r="HQ52" s="2" t="s">
        <v>3</v>
      </c>
      <c r="HR52" s="2"/>
      <c r="HS52" s="2">
        <v>0</v>
      </c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>
        <v>0</v>
      </c>
      <c r="IL52" s="2"/>
      <c r="IM52" s="2"/>
      <c r="IN52" s="2"/>
      <c r="IO52" s="2"/>
      <c r="IP52" s="2"/>
      <c r="IQ52" s="2"/>
      <c r="IR52" s="2"/>
      <c r="IS52" s="2"/>
      <c r="IT52" s="2"/>
      <c r="IU52" s="2"/>
    </row>
    <row r="53" spans="1:255" x14ac:dyDescent="0.2">
      <c r="A53" s="2">
        <v>17</v>
      </c>
      <c r="B53" s="2">
        <v>1</v>
      </c>
      <c r="C53" s="2"/>
      <c r="D53" s="2"/>
      <c r="E53" s="2" t="s">
        <v>112</v>
      </c>
      <c r="F53" s="2" t="s">
        <v>106</v>
      </c>
      <c r="G53" s="2" t="s">
        <v>113</v>
      </c>
      <c r="H53" s="2" t="s">
        <v>108</v>
      </c>
      <c r="I53" s="2">
        <v>1</v>
      </c>
      <c r="J53" s="2">
        <v>0</v>
      </c>
      <c r="K53" s="2">
        <v>1</v>
      </c>
      <c r="L53" s="2"/>
      <c r="M53" s="2"/>
      <c r="N53" s="2"/>
      <c r="O53" s="2">
        <f>ROUND(CP53,2)</f>
        <v>3033.32</v>
      </c>
      <c r="P53" s="2">
        <f>ROUND(CQ53*I53,2)</f>
        <v>3033.32</v>
      </c>
      <c r="Q53" s="2">
        <f>ROUND(CR53*I53,2)</f>
        <v>0</v>
      </c>
      <c r="R53" s="2">
        <f>ROUND(CS53*I53,2)</f>
        <v>0</v>
      </c>
      <c r="S53" s="2">
        <f>ROUND(CT53*I53,2)</f>
        <v>0</v>
      </c>
      <c r="T53" s="2">
        <f t="shared" si="21"/>
        <v>0</v>
      </c>
      <c r="U53" s="2">
        <f>ROUND(CV53*I53,7)</f>
        <v>0</v>
      </c>
      <c r="V53" s="2">
        <f>ROUND(CW53*I53,7)</f>
        <v>0</v>
      </c>
      <c r="W53" s="2">
        <f t="shared" si="22"/>
        <v>0</v>
      </c>
      <c r="X53" s="2">
        <f t="shared" si="23"/>
        <v>0</v>
      </c>
      <c r="Y53" s="2">
        <f t="shared" si="24"/>
        <v>0</v>
      </c>
      <c r="Z53" s="2"/>
      <c r="AA53" s="2">
        <v>52718353</v>
      </c>
      <c r="AB53" s="2">
        <f t="shared" si="25"/>
        <v>3370.35</v>
      </c>
      <c r="AC53" s="2">
        <f>ROUND((ES53),6)</f>
        <v>3370.35</v>
      </c>
      <c r="AD53" s="2">
        <f>ROUND((((ET53)-(EU53))+AE53),6)</f>
        <v>0</v>
      </c>
      <c r="AE53" s="2">
        <f t="shared" si="69"/>
        <v>0</v>
      </c>
      <c r="AF53" s="2">
        <f t="shared" si="69"/>
        <v>0</v>
      </c>
      <c r="AG53" s="2">
        <f t="shared" si="26"/>
        <v>0</v>
      </c>
      <c r="AH53" s="2">
        <f t="shared" si="70"/>
        <v>0</v>
      </c>
      <c r="AI53" s="2">
        <f t="shared" si="70"/>
        <v>0</v>
      </c>
      <c r="AJ53" s="2">
        <f t="shared" si="27"/>
        <v>0</v>
      </c>
      <c r="AK53" s="2">
        <v>3370.35</v>
      </c>
      <c r="AL53" s="2">
        <v>3370.35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1</v>
      </c>
      <c r="AW53" s="2">
        <v>1</v>
      </c>
      <c r="AX53" s="2"/>
      <c r="AY53" s="2"/>
      <c r="AZ53" s="2">
        <v>1</v>
      </c>
      <c r="BA53" s="2">
        <v>1</v>
      </c>
      <c r="BB53" s="2">
        <v>1</v>
      </c>
      <c r="BC53" s="2">
        <v>0.9</v>
      </c>
      <c r="BD53" s="2" t="s">
        <v>3</v>
      </c>
      <c r="BE53" s="2" t="s">
        <v>3</v>
      </c>
      <c r="BF53" s="2" t="s">
        <v>3</v>
      </c>
      <c r="BG53" s="2" t="s">
        <v>3</v>
      </c>
      <c r="BH53" s="2">
        <v>3</v>
      </c>
      <c r="BI53" s="2">
        <v>2</v>
      </c>
      <c r="BJ53" s="2" t="s">
        <v>109</v>
      </c>
      <c r="BK53" s="2"/>
      <c r="BL53" s="2"/>
      <c r="BM53" s="2">
        <v>500002</v>
      </c>
      <c r="BN53" s="2">
        <v>0</v>
      </c>
      <c r="BO53" s="2" t="s">
        <v>106</v>
      </c>
      <c r="BP53" s="2">
        <v>1</v>
      </c>
      <c r="BQ53" s="2">
        <v>12</v>
      </c>
      <c r="BR53" s="2">
        <v>0</v>
      </c>
      <c r="BS53" s="2">
        <v>1</v>
      </c>
      <c r="BT53" s="2">
        <v>1</v>
      </c>
      <c r="BU53" s="2">
        <v>1</v>
      </c>
      <c r="BV53" s="2">
        <v>1</v>
      </c>
      <c r="BW53" s="2">
        <v>1</v>
      </c>
      <c r="BX53" s="2">
        <v>1</v>
      </c>
      <c r="BY53" s="2" t="s">
        <v>3</v>
      </c>
      <c r="BZ53" s="2">
        <v>0</v>
      </c>
      <c r="CA53" s="2">
        <v>0</v>
      </c>
      <c r="CB53" s="2" t="s">
        <v>3</v>
      </c>
      <c r="CC53" s="2"/>
      <c r="CD53" s="2"/>
      <c r="CE53" s="2">
        <v>0</v>
      </c>
      <c r="CF53" s="2">
        <v>0</v>
      </c>
      <c r="CG53" s="2">
        <v>0</v>
      </c>
      <c r="CH53" s="2"/>
      <c r="CI53" s="2"/>
      <c r="CJ53" s="2"/>
      <c r="CK53" s="2"/>
      <c r="CL53" s="2"/>
      <c r="CM53" s="2">
        <v>0</v>
      </c>
      <c r="CN53" s="2" t="s">
        <v>3</v>
      </c>
      <c r="CO53" s="2">
        <v>0</v>
      </c>
      <c r="CP53" s="2">
        <f>(P53+Q53+S53+R53)</f>
        <v>3033.32</v>
      </c>
      <c r="CQ53" s="2">
        <f>ROUND(AL53*BC53,2)</f>
        <v>3033.32</v>
      </c>
      <c r="CR53" s="2">
        <f>ROUND(AM53*BB53,2)</f>
        <v>0</v>
      </c>
      <c r="CS53" s="2">
        <f>ROUND(AN53*BS53,2)</f>
        <v>0</v>
      </c>
      <c r="CT53" s="2">
        <f>ROUND(AO53*BA53,2)</f>
        <v>0</v>
      </c>
      <c r="CU53" s="2">
        <f t="shared" si="71"/>
        <v>0</v>
      </c>
      <c r="CV53" s="2">
        <f t="shared" si="71"/>
        <v>0</v>
      </c>
      <c r="CW53" s="2">
        <f t="shared" si="71"/>
        <v>0</v>
      </c>
      <c r="CX53" s="2">
        <f t="shared" si="71"/>
        <v>0</v>
      </c>
      <c r="CY53" s="2">
        <f>0</f>
        <v>0</v>
      </c>
      <c r="CZ53" s="2">
        <f>0</f>
        <v>0</v>
      </c>
      <c r="DA53" s="2"/>
      <c r="DB53" s="2"/>
      <c r="DC53" s="2" t="s">
        <v>3</v>
      </c>
      <c r="DD53" s="2" t="s">
        <v>3</v>
      </c>
      <c r="DE53" s="2" t="s">
        <v>3</v>
      </c>
      <c r="DF53" s="2" t="s">
        <v>3</v>
      </c>
      <c r="DG53" s="2" t="s">
        <v>3</v>
      </c>
      <c r="DH53" s="2" t="s">
        <v>3</v>
      </c>
      <c r="DI53" s="2" t="s">
        <v>3</v>
      </c>
      <c r="DJ53" s="2" t="s">
        <v>3</v>
      </c>
      <c r="DK53" s="2" t="s">
        <v>3</v>
      </c>
      <c r="DL53" s="2" t="s">
        <v>3</v>
      </c>
      <c r="DM53" s="2" t="s">
        <v>3</v>
      </c>
      <c r="DN53" s="2">
        <v>0</v>
      </c>
      <c r="DO53" s="2">
        <v>0</v>
      </c>
      <c r="DP53" s="2">
        <v>1</v>
      </c>
      <c r="DQ53" s="2">
        <v>1</v>
      </c>
      <c r="DR53" s="2"/>
      <c r="DS53" s="2"/>
      <c r="DT53" s="2"/>
      <c r="DU53" s="2">
        <v>1013</v>
      </c>
      <c r="DV53" s="2" t="s">
        <v>108</v>
      </c>
      <c r="DW53" s="2" t="s">
        <v>108</v>
      </c>
      <c r="DX53" s="2">
        <v>1</v>
      </c>
      <c r="DY53" s="2"/>
      <c r="DZ53" s="2" t="s">
        <v>3</v>
      </c>
      <c r="EA53" s="2" t="s">
        <v>3</v>
      </c>
      <c r="EB53" s="2" t="s">
        <v>3</v>
      </c>
      <c r="EC53" s="2" t="s">
        <v>3</v>
      </c>
      <c r="ED53" s="2"/>
      <c r="EE53" s="2">
        <v>50991777</v>
      </c>
      <c r="EF53" s="2">
        <v>12</v>
      </c>
      <c r="EG53" s="2" t="s">
        <v>50</v>
      </c>
      <c r="EH53" s="2">
        <v>0</v>
      </c>
      <c r="EI53" s="2" t="s">
        <v>3</v>
      </c>
      <c r="EJ53" s="2">
        <v>2</v>
      </c>
      <c r="EK53" s="2">
        <v>500002</v>
      </c>
      <c r="EL53" s="2" t="s">
        <v>51</v>
      </c>
      <c r="EM53" s="2" t="s">
        <v>52</v>
      </c>
      <c r="EN53" s="2"/>
      <c r="EO53" s="2" t="s">
        <v>3</v>
      </c>
      <c r="EP53" s="2"/>
      <c r="EQ53" s="2">
        <v>0</v>
      </c>
      <c r="ER53" s="2">
        <v>3370.35</v>
      </c>
      <c r="ES53" s="2">
        <v>3370.35</v>
      </c>
      <c r="ET53" s="2">
        <v>0</v>
      </c>
      <c r="EU53" s="2">
        <v>0</v>
      </c>
      <c r="EV53" s="2">
        <v>0</v>
      </c>
      <c r="EW53" s="2">
        <v>0</v>
      </c>
      <c r="EX53" s="2">
        <v>0</v>
      </c>
      <c r="EY53" s="2">
        <v>0</v>
      </c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>
        <v>0</v>
      </c>
      <c r="FR53" s="2">
        <v>0</v>
      </c>
      <c r="FS53" s="2">
        <v>0</v>
      </c>
      <c r="FT53" s="2"/>
      <c r="FU53" s="2"/>
      <c r="FV53" s="2"/>
      <c r="FW53" s="2"/>
      <c r="FX53" s="2">
        <v>0</v>
      </c>
      <c r="FY53" s="2">
        <v>0</v>
      </c>
      <c r="FZ53" s="2"/>
      <c r="GA53" s="2" t="s">
        <v>3</v>
      </c>
      <c r="GB53" s="2"/>
      <c r="GC53" s="2"/>
      <c r="GD53" s="2">
        <v>1</v>
      </c>
      <c r="GE53" s="2"/>
      <c r="GF53" s="2">
        <v>1137459867</v>
      </c>
      <c r="GG53" s="2">
        <v>2</v>
      </c>
      <c r="GH53" s="2">
        <v>1</v>
      </c>
      <c r="GI53" s="2">
        <v>2</v>
      </c>
      <c r="GJ53" s="2">
        <v>0</v>
      </c>
      <c r="GK53" s="2">
        <v>0</v>
      </c>
      <c r="GL53" s="2">
        <f t="shared" si="28"/>
        <v>0</v>
      </c>
      <c r="GM53" s="2">
        <f t="shared" si="29"/>
        <v>3033.32</v>
      </c>
      <c r="GN53" s="2">
        <f t="shared" si="30"/>
        <v>0</v>
      </c>
      <c r="GO53" s="2">
        <f t="shared" si="31"/>
        <v>3033.32</v>
      </c>
      <c r="GP53" s="2">
        <f t="shared" si="32"/>
        <v>0</v>
      </c>
      <c r="GQ53" s="2"/>
      <c r="GR53" s="2">
        <v>0</v>
      </c>
      <c r="GS53" s="2">
        <v>3</v>
      </c>
      <c r="GT53" s="2">
        <v>0</v>
      </c>
      <c r="GU53" s="2" t="s">
        <v>3</v>
      </c>
      <c r="GV53" s="2">
        <f t="shared" si="33"/>
        <v>0</v>
      </c>
      <c r="GW53" s="2">
        <v>1</v>
      </c>
      <c r="GX53" s="2">
        <f t="shared" si="34"/>
        <v>0</v>
      </c>
      <c r="GY53" s="2"/>
      <c r="GZ53" s="2"/>
      <c r="HA53" s="2">
        <v>0</v>
      </c>
      <c r="HB53" s="2">
        <v>0</v>
      </c>
      <c r="HC53" s="2">
        <f>GV53*GW53</f>
        <v>0</v>
      </c>
      <c r="HD53" s="2"/>
      <c r="HE53" s="2" t="s">
        <v>3</v>
      </c>
      <c r="HF53" s="2" t="s">
        <v>3</v>
      </c>
      <c r="HG53" s="2"/>
      <c r="HH53" s="2"/>
      <c r="HI53" s="2"/>
      <c r="HJ53" s="2"/>
      <c r="HK53" s="2"/>
      <c r="HL53" s="2"/>
      <c r="HM53" s="2" t="s">
        <v>3</v>
      </c>
      <c r="HN53" s="2" t="s">
        <v>3</v>
      </c>
      <c r="HO53" s="2" t="s">
        <v>3</v>
      </c>
      <c r="HP53" s="2" t="s">
        <v>3</v>
      </c>
      <c r="HQ53" s="2" t="s">
        <v>3</v>
      </c>
      <c r="HR53" s="2"/>
      <c r="HS53" s="2">
        <v>0</v>
      </c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>
        <v>0</v>
      </c>
      <c r="IL53" s="2"/>
      <c r="IM53" s="2"/>
      <c r="IN53" s="2"/>
      <c r="IO53" s="2"/>
      <c r="IP53" s="2"/>
      <c r="IQ53" s="2"/>
      <c r="IR53" s="2"/>
      <c r="IS53" s="2"/>
      <c r="IT53" s="2"/>
      <c r="IU53" s="2"/>
    </row>
    <row r="54" spans="1:255" x14ac:dyDescent="0.2">
      <c r="A54" s="2">
        <v>17</v>
      </c>
      <c r="B54" s="2">
        <v>1</v>
      </c>
      <c r="C54" s="2">
        <f>ROW(SmtRes!A45)</f>
        <v>45</v>
      </c>
      <c r="D54" s="2">
        <f>ROW(EtalonRes!A45)</f>
        <v>45</v>
      </c>
      <c r="E54" s="2" t="s">
        <v>114</v>
      </c>
      <c r="F54" s="2" t="s">
        <v>115</v>
      </c>
      <c r="G54" s="2" t="s">
        <v>116</v>
      </c>
      <c r="H54" s="2" t="s">
        <v>108</v>
      </c>
      <c r="I54" s="2">
        <v>2</v>
      </c>
      <c r="J54" s="2">
        <v>0</v>
      </c>
      <c r="K54" s="2">
        <v>2</v>
      </c>
      <c r="L54" s="2"/>
      <c r="M54" s="2"/>
      <c r="N54" s="2"/>
      <c r="O54" s="2">
        <f>ROUND(CP54,2)</f>
        <v>14224.08</v>
      </c>
      <c r="P54" s="2">
        <f>SUMIF(SmtRes!AQ42:'SmtRes'!AQ45,"=1",SmtRes!DF42:'SmtRes'!DF45)</f>
        <v>6.78</v>
      </c>
      <c r="Q54" s="2">
        <f>SUMIF(SmtRes!AQ42:'SmtRes'!AQ45,"=1",SmtRes!DG42:'SmtRes'!DG45)</f>
        <v>0</v>
      </c>
      <c r="R54" s="2">
        <f>SUMIF(SmtRes!AQ42:'SmtRes'!AQ45,"=1",SmtRes!DH42:'SmtRes'!DH45)</f>
        <v>0</v>
      </c>
      <c r="S54" s="2">
        <f>SUMIF(SmtRes!AQ42:'SmtRes'!AQ45,"=1",SmtRes!DI42:'SmtRes'!DI45)</f>
        <v>14217.3</v>
      </c>
      <c r="T54" s="2">
        <f t="shared" si="21"/>
        <v>0</v>
      </c>
      <c r="U54" s="2">
        <f>SUMIF(SmtRes!AQ42:'SmtRes'!AQ45,"=1",SmtRes!CV42:'SmtRes'!CV45)</f>
        <v>20.6</v>
      </c>
      <c r="V54" s="2">
        <f>SUMIF(SmtRes!AQ42:'SmtRes'!AQ45,"=1",SmtRes!CW42:'SmtRes'!CW45)</f>
        <v>0</v>
      </c>
      <c r="W54" s="2">
        <f t="shared" si="22"/>
        <v>0</v>
      </c>
      <c r="X54" s="2">
        <f t="shared" si="23"/>
        <v>12653.4</v>
      </c>
      <c r="Y54" s="2">
        <f t="shared" si="24"/>
        <v>6255.61</v>
      </c>
      <c r="Z54" s="2"/>
      <c r="AA54" s="2">
        <v>52718353</v>
      </c>
      <c r="AB54" s="2">
        <f t="shared" si="25"/>
        <v>7112.0388000000003</v>
      </c>
      <c r="AC54" s="2">
        <f>ROUND((SUM(SmtRes!BQ42:'SmtRes'!BQ45)),6)</f>
        <v>3.3908</v>
      </c>
      <c r="AD54" s="2">
        <f>ROUND((((0)-(0))+AE54),6)</f>
        <v>0</v>
      </c>
      <c r="AE54" s="2">
        <f>ROUND((0),6)</f>
        <v>0</v>
      </c>
      <c r="AF54" s="2">
        <f>ROUND((SUM(SmtRes!BT42:'SmtRes'!BT45)),6)</f>
        <v>7108.6480000000001</v>
      </c>
      <c r="AG54" s="2">
        <f t="shared" si="26"/>
        <v>0</v>
      </c>
      <c r="AH54" s="2">
        <f>(SUM(SmtRes!BU42:'SmtRes'!BU45))</f>
        <v>10.3</v>
      </c>
      <c r="AI54" s="2">
        <f>(0)</f>
        <v>0</v>
      </c>
      <c r="AJ54" s="2">
        <f t="shared" si="27"/>
        <v>0</v>
      </c>
      <c r="AK54" s="2">
        <v>7112.0388000000003</v>
      </c>
      <c r="AL54" s="2">
        <v>3.3908</v>
      </c>
      <c r="AM54" s="2">
        <v>0</v>
      </c>
      <c r="AN54" s="2">
        <v>0</v>
      </c>
      <c r="AO54" s="2">
        <v>7108.6480000000001</v>
      </c>
      <c r="AP54" s="2">
        <v>0</v>
      </c>
      <c r="AQ54" s="2">
        <v>10.3</v>
      </c>
      <c r="AR54" s="2">
        <v>0</v>
      </c>
      <c r="AS54" s="2">
        <v>0</v>
      </c>
      <c r="AT54" s="2">
        <v>89</v>
      </c>
      <c r="AU54" s="2">
        <v>44</v>
      </c>
      <c r="AV54" s="2">
        <v>1</v>
      </c>
      <c r="AW54" s="2">
        <v>1</v>
      </c>
      <c r="AX54" s="2"/>
      <c r="AY54" s="2"/>
      <c r="AZ54" s="2">
        <v>1</v>
      </c>
      <c r="BA54" s="2">
        <v>1</v>
      </c>
      <c r="BB54" s="2">
        <v>1</v>
      </c>
      <c r="BC54" s="2">
        <v>1</v>
      </c>
      <c r="BD54" s="2" t="s">
        <v>3</v>
      </c>
      <c r="BE54" s="2" t="s">
        <v>3</v>
      </c>
      <c r="BF54" s="2" t="s">
        <v>3</v>
      </c>
      <c r="BG54" s="2" t="s">
        <v>3</v>
      </c>
      <c r="BH54" s="2">
        <v>0</v>
      </c>
      <c r="BI54" s="2">
        <v>2</v>
      </c>
      <c r="BJ54" s="2" t="s">
        <v>117</v>
      </c>
      <c r="BK54" s="2"/>
      <c r="BL54" s="2"/>
      <c r="BM54" s="2">
        <v>134001</v>
      </c>
      <c r="BN54" s="2">
        <v>0</v>
      </c>
      <c r="BO54" s="2" t="s">
        <v>3</v>
      </c>
      <c r="BP54" s="2">
        <v>0</v>
      </c>
      <c r="BQ54" s="2">
        <v>3</v>
      </c>
      <c r="BR54" s="2">
        <v>0</v>
      </c>
      <c r="BS54" s="2">
        <v>1</v>
      </c>
      <c r="BT54" s="2">
        <v>1</v>
      </c>
      <c r="BU54" s="2">
        <v>1</v>
      </c>
      <c r="BV54" s="2">
        <v>1</v>
      </c>
      <c r="BW54" s="2">
        <v>1</v>
      </c>
      <c r="BX54" s="2">
        <v>1</v>
      </c>
      <c r="BY54" s="2" t="s">
        <v>3</v>
      </c>
      <c r="BZ54" s="2">
        <v>89</v>
      </c>
      <c r="CA54" s="2">
        <v>44</v>
      </c>
      <c r="CB54" s="2" t="s">
        <v>3</v>
      </c>
      <c r="CC54" s="2"/>
      <c r="CD54" s="2"/>
      <c r="CE54" s="2">
        <v>0</v>
      </c>
      <c r="CF54" s="2">
        <v>0</v>
      </c>
      <c r="CG54" s="2">
        <v>0</v>
      </c>
      <c r="CH54" s="2"/>
      <c r="CI54" s="2"/>
      <c r="CJ54" s="2"/>
      <c r="CK54" s="2"/>
      <c r="CL54" s="2"/>
      <c r="CM54" s="2">
        <v>0</v>
      </c>
      <c r="CN54" s="2" t="s">
        <v>3</v>
      </c>
      <c r="CO54" s="2">
        <v>0</v>
      </c>
      <c r="CP54" s="2">
        <f>(P54+Q54+S54+R54)</f>
        <v>14224.08</v>
      </c>
      <c r="CQ54" s="2">
        <f>SUMIF(SmtRes!AQ42:'SmtRes'!AQ45,"=1",SmtRes!AA42:'SmtRes'!AA45)</f>
        <v>6.92</v>
      </c>
      <c r="CR54" s="2">
        <f>SUMIF(SmtRes!AQ42:'SmtRes'!AQ45,"=1",SmtRes!AB42:'SmtRes'!AB45)</f>
        <v>0</v>
      </c>
      <c r="CS54" s="2">
        <f>SUMIF(SmtRes!AQ42:'SmtRes'!AQ45,"=1",SmtRes!AC42:'SmtRes'!AC45)</f>
        <v>0</v>
      </c>
      <c r="CT54" s="2">
        <f>SUMIF(SmtRes!AQ42:'SmtRes'!AQ45,"=1",SmtRes!AD42:'SmtRes'!AD45)</f>
        <v>690.16</v>
      </c>
      <c r="CU54" s="2">
        <f>AG54</f>
        <v>0</v>
      </c>
      <c r="CV54" s="2">
        <f>SUMIF(SmtRes!AQ42:'SmtRes'!AQ45,"=1",SmtRes!BU42:'SmtRes'!BU45)</f>
        <v>10.3</v>
      </c>
      <c r="CW54" s="2">
        <f>SUMIF(SmtRes!AQ42:'SmtRes'!AQ45,"=1",SmtRes!BV42:'SmtRes'!BV45)</f>
        <v>0</v>
      </c>
      <c r="CX54" s="2">
        <f>AJ54</f>
        <v>0</v>
      </c>
      <c r="CY54" s="2">
        <f>(((S54+R54)*AT54)/100)</f>
        <v>12653.396999999999</v>
      </c>
      <c r="CZ54" s="2">
        <f>(((S54+R54)*AU54)/100)</f>
        <v>6255.6119999999992</v>
      </c>
      <c r="DA54" s="2"/>
      <c r="DB54" s="2"/>
      <c r="DC54" s="2" t="s">
        <v>3</v>
      </c>
      <c r="DD54" s="2" t="s">
        <v>3</v>
      </c>
      <c r="DE54" s="2" t="s">
        <v>3</v>
      </c>
      <c r="DF54" s="2" t="s">
        <v>3</v>
      </c>
      <c r="DG54" s="2" t="s">
        <v>3</v>
      </c>
      <c r="DH54" s="2" t="s">
        <v>3</v>
      </c>
      <c r="DI54" s="2" t="s">
        <v>3</v>
      </c>
      <c r="DJ54" s="2" t="s">
        <v>3</v>
      </c>
      <c r="DK54" s="2" t="s">
        <v>3</v>
      </c>
      <c r="DL54" s="2" t="s">
        <v>3</v>
      </c>
      <c r="DM54" s="2" t="s">
        <v>3</v>
      </c>
      <c r="DN54" s="2">
        <v>0</v>
      </c>
      <c r="DO54" s="2">
        <v>0</v>
      </c>
      <c r="DP54" s="2">
        <v>1</v>
      </c>
      <c r="DQ54" s="2">
        <v>1</v>
      </c>
      <c r="DR54" s="2"/>
      <c r="DS54" s="2"/>
      <c r="DT54" s="2"/>
      <c r="DU54" s="2">
        <v>1013</v>
      </c>
      <c r="DV54" s="2" t="s">
        <v>108</v>
      </c>
      <c r="DW54" s="2" t="s">
        <v>108</v>
      </c>
      <c r="DX54" s="2">
        <v>1</v>
      </c>
      <c r="DY54" s="2"/>
      <c r="DZ54" s="2" t="s">
        <v>3</v>
      </c>
      <c r="EA54" s="2" t="s">
        <v>3</v>
      </c>
      <c r="EB54" s="2" t="s">
        <v>3</v>
      </c>
      <c r="EC54" s="2" t="s">
        <v>3</v>
      </c>
      <c r="ED54" s="2"/>
      <c r="EE54" s="2">
        <v>50991752</v>
      </c>
      <c r="EF54" s="2">
        <v>3</v>
      </c>
      <c r="EG54" s="2" t="s">
        <v>14</v>
      </c>
      <c r="EH54" s="2">
        <v>76</v>
      </c>
      <c r="EI54" s="2" t="s">
        <v>118</v>
      </c>
      <c r="EJ54" s="2">
        <v>2</v>
      </c>
      <c r="EK54" s="2">
        <v>134001</v>
      </c>
      <c r="EL54" s="2" t="s">
        <v>118</v>
      </c>
      <c r="EM54" s="2" t="s">
        <v>119</v>
      </c>
      <c r="EN54" s="2"/>
      <c r="EO54" s="2" t="s">
        <v>3</v>
      </c>
      <c r="EP54" s="2"/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>
        <v>0</v>
      </c>
      <c r="EW54" s="2">
        <v>10.3</v>
      </c>
      <c r="EX54" s="2">
        <v>0</v>
      </c>
      <c r="EY54" s="2">
        <v>0</v>
      </c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>
        <v>0</v>
      </c>
      <c r="FR54" s="2">
        <v>0</v>
      </c>
      <c r="FS54" s="2">
        <v>0</v>
      </c>
      <c r="FT54" s="2"/>
      <c r="FU54" s="2"/>
      <c r="FV54" s="2"/>
      <c r="FW54" s="2"/>
      <c r="FX54" s="2">
        <v>89</v>
      </c>
      <c r="FY54" s="2">
        <v>44</v>
      </c>
      <c r="FZ54" s="2"/>
      <c r="GA54" s="2" t="s">
        <v>3</v>
      </c>
      <c r="GB54" s="2"/>
      <c r="GC54" s="2"/>
      <c r="GD54" s="2">
        <v>1</v>
      </c>
      <c r="GE54" s="2"/>
      <c r="GF54" s="2">
        <v>-1373587663</v>
      </c>
      <c r="GG54" s="2">
        <v>2</v>
      </c>
      <c r="GH54" s="2">
        <v>1</v>
      </c>
      <c r="GI54" s="2">
        <v>-2</v>
      </c>
      <c r="GJ54" s="2">
        <v>0</v>
      </c>
      <c r="GK54" s="2">
        <v>0</v>
      </c>
      <c r="GL54" s="2">
        <f t="shared" si="28"/>
        <v>0</v>
      </c>
      <c r="GM54" s="2">
        <f t="shared" si="29"/>
        <v>33133.089999999997</v>
      </c>
      <c r="GN54" s="2">
        <f t="shared" si="30"/>
        <v>0</v>
      </c>
      <c r="GO54" s="2">
        <f t="shared" si="31"/>
        <v>33133.089999999997</v>
      </c>
      <c r="GP54" s="2">
        <f t="shared" si="32"/>
        <v>0</v>
      </c>
      <c r="GQ54" s="2"/>
      <c r="GR54" s="2">
        <v>0</v>
      </c>
      <c r="GS54" s="2">
        <v>3</v>
      </c>
      <c r="GT54" s="2">
        <v>0</v>
      </c>
      <c r="GU54" s="2" t="s">
        <v>3</v>
      </c>
      <c r="GV54" s="2">
        <f t="shared" si="33"/>
        <v>0</v>
      </c>
      <c r="GW54" s="2">
        <v>1</v>
      </c>
      <c r="GX54" s="2">
        <f t="shared" si="34"/>
        <v>0</v>
      </c>
      <c r="GY54" s="2"/>
      <c r="GZ54" s="2"/>
      <c r="HA54" s="2">
        <v>0</v>
      </c>
      <c r="HB54" s="2">
        <v>0</v>
      </c>
      <c r="HC54" s="2">
        <f>GV54*GW54</f>
        <v>0</v>
      </c>
      <c r="HD54" s="2"/>
      <c r="HE54" s="2" t="s">
        <v>3</v>
      </c>
      <c r="HF54" s="2" t="s">
        <v>3</v>
      </c>
      <c r="HG54" s="2"/>
      <c r="HH54" s="2"/>
      <c r="HI54" s="2"/>
      <c r="HJ54" s="2"/>
      <c r="HK54" s="2"/>
      <c r="HL54" s="2"/>
      <c r="HM54" s="2" t="s">
        <v>3</v>
      </c>
      <c r="HN54" s="2" t="s">
        <v>120</v>
      </c>
      <c r="HO54" s="2" t="s">
        <v>121</v>
      </c>
      <c r="HP54" s="2" t="s">
        <v>118</v>
      </c>
      <c r="HQ54" s="2" t="s">
        <v>118</v>
      </c>
      <c r="HR54" s="2"/>
      <c r="HS54" s="2">
        <v>0</v>
      </c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>
        <v>0</v>
      </c>
      <c r="IL54" s="2"/>
      <c r="IM54" s="2"/>
      <c r="IN54" s="2"/>
      <c r="IO54" s="2"/>
      <c r="IP54" s="2"/>
      <c r="IQ54" s="2"/>
      <c r="IR54" s="2"/>
      <c r="IS54" s="2"/>
      <c r="IT54" s="2"/>
      <c r="IU54" s="2"/>
    </row>
    <row r="55" spans="1:255" x14ac:dyDescent="0.2">
      <c r="A55" s="2">
        <v>18</v>
      </c>
      <c r="B55" s="2">
        <v>1</v>
      </c>
      <c r="C55" s="2">
        <v>44</v>
      </c>
      <c r="D55" s="2"/>
      <c r="E55" s="2" t="s">
        <v>122</v>
      </c>
      <c r="F55" s="2" t="s">
        <v>25</v>
      </c>
      <c r="G55" s="2" t="s">
        <v>26</v>
      </c>
      <c r="H55" s="2" t="s">
        <v>27</v>
      </c>
      <c r="I55" s="2">
        <f>J55</f>
        <v>2</v>
      </c>
      <c r="J55" s="2">
        <v>2</v>
      </c>
      <c r="K55" s="2">
        <v>2</v>
      </c>
      <c r="L55" s="2"/>
      <c r="M55" s="2"/>
      <c r="N55" s="2"/>
      <c r="O55" s="2">
        <f>ROUND(P55,2)</f>
        <v>284.35000000000002</v>
      </c>
      <c r="P55" s="2">
        <f>ROUND(ROUND(ROUND(SUMIF(SmtRes!AQ42:'SmtRes'!AQ45,"=1",SmtRes!CU42:'SmtRes'!CU45),2),2)*I55/100,2)</f>
        <v>284.35000000000002</v>
      </c>
      <c r="Q55" s="2">
        <f>ROUND(CR55*I55,2)</f>
        <v>0</v>
      </c>
      <c r="R55" s="2">
        <f>ROUND(CS55*I55,2)</f>
        <v>0</v>
      </c>
      <c r="S55" s="2">
        <f>ROUND(CT55*I55,2)</f>
        <v>0</v>
      </c>
      <c r="T55" s="2">
        <f t="shared" si="21"/>
        <v>0</v>
      </c>
      <c r="U55" s="2">
        <f>ROUND(CV55*I55,7)</f>
        <v>0</v>
      </c>
      <c r="V55" s="2">
        <f>ROUND(CW55*I55,7)</f>
        <v>0</v>
      </c>
      <c r="W55" s="2">
        <f t="shared" si="22"/>
        <v>0</v>
      </c>
      <c r="X55" s="2">
        <f t="shared" si="23"/>
        <v>0</v>
      </c>
      <c r="Y55" s="2">
        <f t="shared" si="24"/>
        <v>0</v>
      </c>
      <c r="Z55" s="2"/>
      <c r="AA55" s="2">
        <v>52718353</v>
      </c>
      <c r="AB55" s="2">
        <f t="shared" si="25"/>
        <v>0</v>
      </c>
      <c r="AC55" s="2">
        <f>ROUND((ES55),6)</f>
        <v>0</v>
      </c>
      <c r="AD55" s="2">
        <f>ROUND((((ET55)-(EU55))+AE55),6)</f>
        <v>0</v>
      </c>
      <c r="AE55" s="2">
        <f t="shared" ref="AE55:AF58" si="72">ROUND((EU55),6)</f>
        <v>0</v>
      </c>
      <c r="AF55" s="2">
        <f t="shared" si="72"/>
        <v>0</v>
      </c>
      <c r="AG55" s="2">
        <f t="shared" si="26"/>
        <v>0</v>
      </c>
      <c r="AH55" s="2">
        <f t="shared" ref="AH55:AI58" si="73">(EW55)</f>
        <v>0</v>
      </c>
      <c r="AI55" s="2">
        <f t="shared" si="73"/>
        <v>0</v>
      </c>
      <c r="AJ55" s="2">
        <f t="shared" si="27"/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89</v>
      </c>
      <c r="AU55" s="2">
        <v>44</v>
      </c>
      <c r="AV55" s="2">
        <v>1</v>
      </c>
      <c r="AW55" s="2">
        <v>1</v>
      </c>
      <c r="AX55" s="2"/>
      <c r="AY55" s="2"/>
      <c r="AZ55" s="2">
        <v>1</v>
      </c>
      <c r="BA55" s="2">
        <v>1</v>
      </c>
      <c r="BB55" s="2">
        <v>1</v>
      </c>
      <c r="BC55" s="2">
        <v>1</v>
      </c>
      <c r="BD55" s="2" t="s">
        <v>3</v>
      </c>
      <c r="BE55" s="2" t="s">
        <v>3</v>
      </c>
      <c r="BF55" s="2" t="s">
        <v>3</v>
      </c>
      <c r="BG55" s="2" t="s">
        <v>3</v>
      </c>
      <c r="BH55" s="2">
        <v>3</v>
      </c>
      <c r="BI55" s="2">
        <v>2</v>
      </c>
      <c r="BJ55" s="2" t="s">
        <v>3</v>
      </c>
      <c r="BK55" s="2"/>
      <c r="BL55" s="2"/>
      <c r="BM55" s="2">
        <v>134001</v>
      </c>
      <c r="BN55" s="2">
        <v>0</v>
      </c>
      <c r="BO55" s="2" t="s">
        <v>3</v>
      </c>
      <c r="BP55" s="2">
        <v>0</v>
      </c>
      <c r="BQ55" s="2">
        <v>3</v>
      </c>
      <c r="BR55" s="2">
        <v>0</v>
      </c>
      <c r="BS55" s="2">
        <v>1</v>
      </c>
      <c r="BT55" s="2">
        <v>1</v>
      </c>
      <c r="BU55" s="2">
        <v>1</v>
      </c>
      <c r="BV55" s="2">
        <v>1</v>
      </c>
      <c r="BW55" s="2">
        <v>1</v>
      </c>
      <c r="BX55" s="2">
        <v>1</v>
      </c>
      <c r="BY55" s="2" t="s">
        <v>3</v>
      </c>
      <c r="BZ55" s="2">
        <v>89</v>
      </c>
      <c r="CA55" s="2">
        <v>44</v>
      </c>
      <c r="CB55" s="2" t="s">
        <v>3</v>
      </c>
      <c r="CC55" s="2"/>
      <c r="CD55" s="2"/>
      <c r="CE55" s="2">
        <v>0</v>
      </c>
      <c r="CF55" s="2">
        <v>0</v>
      </c>
      <c r="CG55" s="2">
        <v>0</v>
      </c>
      <c r="CH55" s="2"/>
      <c r="CI55" s="2"/>
      <c r="CJ55" s="2"/>
      <c r="CK55" s="2"/>
      <c r="CL55" s="2"/>
      <c r="CM55" s="2">
        <v>0</v>
      </c>
      <c r="CN55" s="2" t="s">
        <v>3</v>
      </c>
      <c r="CO55" s="2">
        <v>0</v>
      </c>
      <c r="CP55" s="2">
        <f>0</f>
        <v>0</v>
      </c>
      <c r="CQ55" s="2">
        <f>0</f>
        <v>0</v>
      </c>
      <c r="CR55" s="2">
        <f>0</f>
        <v>0</v>
      </c>
      <c r="CS55" s="2">
        <f>0</f>
        <v>0</v>
      </c>
      <c r="CT55" s="2">
        <f>0</f>
        <v>0</v>
      </c>
      <c r="CU55" s="2">
        <f>0</f>
        <v>0</v>
      </c>
      <c r="CV55" s="2">
        <f>0</f>
        <v>0</v>
      </c>
      <c r="CW55" s="2">
        <f>0</f>
        <v>0</v>
      </c>
      <c r="CX55" s="2">
        <f>0</f>
        <v>0</v>
      </c>
      <c r="CY55" s="2">
        <f>0</f>
        <v>0</v>
      </c>
      <c r="CZ55" s="2">
        <f>0</f>
        <v>0</v>
      </c>
      <c r="DA55" s="2"/>
      <c r="DB55" s="2"/>
      <c r="DC55" s="2" t="s">
        <v>3</v>
      </c>
      <c r="DD55" s="2" t="s">
        <v>3</v>
      </c>
      <c r="DE55" s="2" t="s">
        <v>3</v>
      </c>
      <c r="DF55" s="2" t="s">
        <v>3</v>
      </c>
      <c r="DG55" s="2" t="s">
        <v>3</v>
      </c>
      <c r="DH55" s="2" t="s">
        <v>3</v>
      </c>
      <c r="DI55" s="2" t="s">
        <v>3</v>
      </c>
      <c r="DJ55" s="2" t="s">
        <v>3</v>
      </c>
      <c r="DK55" s="2" t="s">
        <v>3</v>
      </c>
      <c r="DL55" s="2" t="s">
        <v>3</v>
      </c>
      <c r="DM55" s="2" t="s">
        <v>3</v>
      </c>
      <c r="DN55" s="2">
        <v>0</v>
      </c>
      <c r="DO55" s="2">
        <v>0</v>
      </c>
      <c r="DP55" s="2">
        <v>1</v>
      </c>
      <c r="DQ55" s="2">
        <v>1</v>
      </c>
      <c r="DR55" s="2"/>
      <c r="DS55" s="2"/>
      <c r="DT55" s="2"/>
      <c r="DU55" s="2">
        <v>1013</v>
      </c>
      <c r="DV55" s="2" t="s">
        <v>27</v>
      </c>
      <c r="DW55" s="2" t="s">
        <v>27</v>
      </c>
      <c r="DX55" s="2">
        <v>1</v>
      </c>
      <c r="DY55" s="2"/>
      <c r="DZ55" s="2" t="s">
        <v>3</v>
      </c>
      <c r="EA55" s="2" t="s">
        <v>3</v>
      </c>
      <c r="EB55" s="2" t="s">
        <v>3</v>
      </c>
      <c r="EC55" s="2" t="s">
        <v>3</v>
      </c>
      <c r="ED55" s="2"/>
      <c r="EE55" s="2">
        <v>50991752</v>
      </c>
      <c r="EF55" s="2">
        <v>3</v>
      </c>
      <c r="EG55" s="2" t="s">
        <v>14</v>
      </c>
      <c r="EH55" s="2">
        <v>76</v>
      </c>
      <c r="EI55" s="2" t="s">
        <v>118</v>
      </c>
      <c r="EJ55" s="2">
        <v>2</v>
      </c>
      <c r="EK55" s="2">
        <v>134001</v>
      </c>
      <c r="EL55" s="2" t="s">
        <v>118</v>
      </c>
      <c r="EM55" s="2" t="s">
        <v>119</v>
      </c>
      <c r="EN55" s="2"/>
      <c r="EO55" s="2" t="s">
        <v>3</v>
      </c>
      <c r="EP55" s="2"/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0</v>
      </c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>
        <v>0</v>
      </c>
      <c r="FR55" s="2">
        <v>0</v>
      </c>
      <c r="FS55" s="2">
        <v>0</v>
      </c>
      <c r="FT55" s="2"/>
      <c r="FU55" s="2"/>
      <c r="FV55" s="2"/>
      <c r="FW55" s="2"/>
      <c r="FX55" s="2">
        <v>89</v>
      </c>
      <c r="FY55" s="2">
        <v>44</v>
      </c>
      <c r="FZ55" s="2"/>
      <c r="GA55" s="2" t="s">
        <v>3</v>
      </c>
      <c r="GB55" s="2"/>
      <c r="GC55" s="2"/>
      <c r="GD55" s="2">
        <v>1</v>
      </c>
      <c r="GE55" s="2"/>
      <c r="GF55" s="2">
        <v>274903907</v>
      </c>
      <c r="GG55" s="2">
        <v>2</v>
      </c>
      <c r="GH55" s="2">
        <v>1</v>
      </c>
      <c r="GI55" s="2">
        <v>-2</v>
      </c>
      <c r="GJ55" s="2">
        <v>0</v>
      </c>
      <c r="GK55" s="2">
        <v>0</v>
      </c>
      <c r="GL55" s="2">
        <f t="shared" si="28"/>
        <v>0</v>
      </c>
      <c r="GM55" s="2">
        <f t="shared" si="29"/>
        <v>284.35000000000002</v>
      </c>
      <c r="GN55" s="2">
        <f t="shared" si="30"/>
        <v>0</v>
      </c>
      <c r="GO55" s="2">
        <f t="shared" si="31"/>
        <v>284.35000000000002</v>
      </c>
      <c r="GP55" s="2">
        <f t="shared" si="32"/>
        <v>0</v>
      </c>
      <c r="GQ55" s="2"/>
      <c r="GR55" s="2">
        <v>0</v>
      </c>
      <c r="GS55" s="2">
        <v>3</v>
      </c>
      <c r="GT55" s="2">
        <v>0</v>
      </c>
      <c r="GU55" s="2" t="s">
        <v>3</v>
      </c>
      <c r="GV55" s="2">
        <f t="shared" si="33"/>
        <v>0</v>
      </c>
      <c r="GW55" s="2">
        <v>1</v>
      </c>
      <c r="GX55" s="2">
        <f t="shared" si="34"/>
        <v>0</v>
      </c>
      <c r="GY55" s="2"/>
      <c r="GZ55" s="2"/>
      <c r="HA55" s="2">
        <v>0</v>
      </c>
      <c r="HB55" s="2">
        <v>0</v>
      </c>
      <c r="HC55" s="2">
        <f>0</f>
        <v>0</v>
      </c>
      <c r="HD55" s="2"/>
      <c r="HE55" s="2" t="s">
        <v>3</v>
      </c>
      <c r="HF55" s="2" t="s">
        <v>3</v>
      </c>
      <c r="HG55" s="2"/>
      <c r="HH55" s="2"/>
      <c r="HI55" s="2"/>
      <c r="HJ55" s="2"/>
      <c r="HK55" s="2"/>
      <c r="HL55" s="2"/>
      <c r="HM55" s="2" t="s">
        <v>3</v>
      </c>
      <c r="HN55" s="2" t="s">
        <v>120</v>
      </c>
      <c r="HO55" s="2" t="s">
        <v>121</v>
      </c>
      <c r="HP55" s="2" t="s">
        <v>118</v>
      </c>
      <c r="HQ55" s="2" t="s">
        <v>118</v>
      </c>
      <c r="HR55" s="2"/>
      <c r="HS55" s="2">
        <v>0</v>
      </c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>
        <v>0</v>
      </c>
      <c r="IL55" s="2"/>
      <c r="IM55" s="2"/>
      <c r="IN55" s="2"/>
      <c r="IO55" s="2"/>
      <c r="IP55" s="2"/>
      <c r="IQ55" s="2"/>
      <c r="IR55" s="2"/>
      <c r="IS55" s="2"/>
      <c r="IT55" s="2"/>
      <c r="IU55" s="2"/>
    </row>
    <row r="56" spans="1:255" x14ac:dyDescent="0.2">
      <c r="A56" s="2">
        <v>18</v>
      </c>
      <c r="B56" s="2">
        <v>1</v>
      </c>
      <c r="C56" s="2">
        <v>45</v>
      </c>
      <c r="D56" s="2"/>
      <c r="E56" s="2" t="s">
        <v>123</v>
      </c>
      <c r="F56" s="2" t="s">
        <v>124</v>
      </c>
      <c r="G56" s="2" t="s">
        <v>125</v>
      </c>
      <c r="H56" s="2" t="s">
        <v>126</v>
      </c>
      <c r="I56" s="2">
        <f>I54*J56</f>
        <v>0.01</v>
      </c>
      <c r="J56" s="2">
        <v>5.0000000000000001E-3</v>
      </c>
      <c r="K56" s="2">
        <v>5.0000000000000001E-3</v>
      </c>
      <c r="L56" s="2"/>
      <c r="M56" s="2"/>
      <c r="N56" s="2"/>
      <c r="O56" s="2">
        <f>ROUND(CP56,2)</f>
        <v>0</v>
      </c>
      <c r="P56" s="2">
        <f>ROUND(CQ56*I56,2)</f>
        <v>0</v>
      </c>
      <c r="Q56" s="2">
        <f>ROUND(CR56*I56,2)</f>
        <v>0</v>
      </c>
      <c r="R56" s="2">
        <f>ROUND(CS56*I56,2)</f>
        <v>0</v>
      </c>
      <c r="S56" s="2">
        <f>ROUND(CT56*I56,2)</f>
        <v>0</v>
      </c>
      <c r="T56" s="2">
        <f t="shared" si="21"/>
        <v>0</v>
      </c>
      <c r="U56" s="2">
        <f>ROUND(CV56*I56,7)</f>
        <v>0</v>
      </c>
      <c r="V56" s="2">
        <f>ROUND(CW56*I56,7)</f>
        <v>0</v>
      </c>
      <c r="W56" s="2">
        <f t="shared" si="22"/>
        <v>0</v>
      </c>
      <c r="X56" s="2">
        <f t="shared" si="23"/>
        <v>0</v>
      </c>
      <c r="Y56" s="2">
        <f t="shared" si="24"/>
        <v>0</v>
      </c>
      <c r="Z56" s="2"/>
      <c r="AA56" s="2">
        <v>52718353</v>
      </c>
      <c r="AB56" s="2">
        <f t="shared" si="25"/>
        <v>0</v>
      </c>
      <c r="AC56" s="2">
        <f>ROUND((ES56),6)</f>
        <v>0</v>
      </c>
      <c r="AD56" s="2">
        <f>ROUND((((ET56)-(EU56))+AE56),6)</f>
        <v>0</v>
      </c>
      <c r="AE56" s="2">
        <f t="shared" si="72"/>
        <v>0</v>
      </c>
      <c r="AF56" s="2">
        <f t="shared" si="72"/>
        <v>0</v>
      </c>
      <c r="AG56" s="2">
        <f t="shared" si="26"/>
        <v>0</v>
      </c>
      <c r="AH56" s="2">
        <f t="shared" si="73"/>
        <v>0</v>
      </c>
      <c r="AI56" s="2">
        <f t="shared" si="73"/>
        <v>0</v>
      </c>
      <c r="AJ56" s="2">
        <f t="shared" si="27"/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89</v>
      </c>
      <c r="AU56" s="2">
        <v>44</v>
      </c>
      <c r="AV56" s="2">
        <v>1</v>
      </c>
      <c r="AW56" s="2">
        <v>1</v>
      </c>
      <c r="AX56" s="2"/>
      <c r="AY56" s="2"/>
      <c r="AZ56" s="2">
        <v>1</v>
      </c>
      <c r="BA56" s="2">
        <v>1</v>
      </c>
      <c r="BB56" s="2">
        <v>1</v>
      </c>
      <c r="BC56" s="2">
        <v>1</v>
      </c>
      <c r="BD56" s="2" t="s">
        <v>3</v>
      </c>
      <c r="BE56" s="2" t="s">
        <v>3</v>
      </c>
      <c r="BF56" s="2" t="s">
        <v>3</v>
      </c>
      <c r="BG56" s="2" t="s">
        <v>3</v>
      </c>
      <c r="BH56" s="2">
        <v>3</v>
      </c>
      <c r="BI56" s="2">
        <v>2</v>
      </c>
      <c r="BJ56" s="2" t="s">
        <v>3</v>
      </c>
      <c r="BK56" s="2"/>
      <c r="BL56" s="2"/>
      <c r="BM56" s="2">
        <v>134001</v>
      </c>
      <c r="BN56" s="2">
        <v>0</v>
      </c>
      <c r="BO56" s="2" t="s">
        <v>3</v>
      </c>
      <c r="BP56" s="2">
        <v>0</v>
      </c>
      <c r="BQ56" s="2">
        <v>3</v>
      </c>
      <c r="BR56" s="2">
        <v>0</v>
      </c>
      <c r="BS56" s="2">
        <v>1</v>
      </c>
      <c r="BT56" s="2">
        <v>1</v>
      </c>
      <c r="BU56" s="2">
        <v>1</v>
      </c>
      <c r="BV56" s="2">
        <v>1</v>
      </c>
      <c r="BW56" s="2">
        <v>1</v>
      </c>
      <c r="BX56" s="2">
        <v>1</v>
      </c>
      <c r="BY56" s="2" t="s">
        <v>3</v>
      </c>
      <c r="BZ56" s="2">
        <v>89</v>
      </c>
      <c r="CA56" s="2">
        <v>44</v>
      </c>
      <c r="CB56" s="2" t="s">
        <v>3</v>
      </c>
      <c r="CC56" s="2"/>
      <c r="CD56" s="2"/>
      <c r="CE56" s="2">
        <v>0</v>
      </c>
      <c r="CF56" s="2">
        <v>0</v>
      </c>
      <c r="CG56" s="2">
        <v>0</v>
      </c>
      <c r="CH56" s="2"/>
      <c r="CI56" s="2"/>
      <c r="CJ56" s="2"/>
      <c r="CK56" s="2"/>
      <c r="CL56" s="2"/>
      <c r="CM56" s="2">
        <v>0</v>
      </c>
      <c r="CN56" s="2" t="s">
        <v>3</v>
      </c>
      <c r="CO56" s="2">
        <v>0</v>
      </c>
      <c r="CP56" s="2">
        <f>(P56+Q56+S56+R56)</f>
        <v>0</v>
      </c>
      <c r="CQ56" s="2">
        <f>ROUND(AL56*BC56,2)</f>
        <v>0</v>
      </c>
      <c r="CR56" s="2">
        <f>ROUND(AM56*BB56,2)</f>
        <v>0</v>
      </c>
      <c r="CS56" s="2">
        <f>ROUND(AN56*BS56,2)</f>
        <v>0</v>
      </c>
      <c r="CT56" s="2">
        <f>ROUND(AO56*BA56,2)</f>
        <v>0</v>
      </c>
      <c r="CU56" s="2">
        <f t="shared" ref="CU56:CX58" si="74">AG56</f>
        <v>0</v>
      </c>
      <c r="CV56" s="2">
        <f t="shared" si="74"/>
        <v>0</v>
      </c>
      <c r="CW56" s="2">
        <f t="shared" si="74"/>
        <v>0</v>
      </c>
      <c r="CX56" s="2">
        <f t="shared" si="74"/>
        <v>0</v>
      </c>
      <c r="CY56" s="2">
        <f>(((S56+R56)*AT56)/100)</f>
        <v>0</v>
      </c>
      <c r="CZ56" s="2">
        <f>(((S56+R56)*AU56)/100)</f>
        <v>0</v>
      </c>
      <c r="DA56" s="2"/>
      <c r="DB56" s="2"/>
      <c r="DC56" s="2" t="s">
        <v>3</v>
      </c>
      <c r="DD56" s="2" t="s">
        <v>3</v>
      </c>
      <c r="DE56" s="2" t="s">
        <v>3</v>
      </c>
      <c r="DF56" s="2" t="s">
        <v>3</v>
      </c>
      <c r="DG56" s="2" t="s">
        <v>3</v>
      </c>
      <c r="DH56" s="2" t="s">
        <v>3</v>
      </c>
      <c r="DI56" s="2" t="s">
        <v>3</v>
      </c>
      <c r="DJ56" s="2" t="s">
        <v>3</v>
      </c>
      <c r="DK56" s="2" t="s">
        <v>3</v>
      </c>
      <c r="DL56" s="2" t="s">
        <v>3</v>
      </c>
      <c r="DM56" s="2" t="s">
        <v>3</v>
      </c>
      <c r="DN56" s="2">
        <v>0</v>
      </c>
      <c r="DO56" s="2">
        <v>0</v>
      </c>
      <c r="DP56" s="2">
        <v>1</v>
      </c>
      <c r="DQ56" s="2">
        <v>1</v>
      </c>
      <c r="DR56" s="2"/>
      <c r="DS56" s="2"/>
      <c r="DT56" s="2"/>
      <c r="DU56" s="2">
        <v>1009</v>
      </c>
      <c r="DV56" s="2" t="s">
        <v>126</v>
      </c>
      <c r="DW56" s="2" t="s">
        <v>126</v>
      </c>
      <c r="DX56" s="2">
        <v>1000</v>
      </c>
      <c r="DY56" s="2"/>
      <c r="DZ56" s="2" t="s">
        <v>3</v>
      </c>
      <c r="EA56" s="2" t="s">
        <v>3</v>
      </c>
      <c r="EB56" s="2" t="s">
        <v>3</v>
      </c>
      <c r="EC56" s="2" t="s">
        <v>3</v>
      </c>
      <c r="ED56" s="2"/>
      <c r="EE56" s="2">
        <v>50991752</v>
      </c>
      <c r="EF56" s="2">
        <v>3</v>
      </c>
      <c r="EG56" s="2" t="s">
        <v>14</v>
      </c>
      <c r="EH56" s="2">
        <v>76</v>
      </c>
      <c r="EI56" s="2" t="s">
        <v>118</v>
      </c>
      <c r="EJ56" s="2">
        <v>2</v>
      </c>
      <c r="EK56" s="2">
        <v>134001</v>
      </c>
      <c r="EL56" s="2" t="s">
        <v>118</v>
      </c>
      <c r="EM56" s="2" t="s">
        <v>119</v>
      </c>
      <c r="EN56" s="2"/>
      <c r="EO56" s="2" t="s">
        <v>3</v>
      </c>
      <c r="EP56" s="2"/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0</v>
      </c>
      <c r="EX56" s="2">
        <v>0</v>
      </c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>
        <v>0</v>
      </c>
      <c r="FR56" s="2">
        <v>0</v>
      </c>
      <c r="FS56" s="2">
        <v>0</v>
      </c>
      <c r="FT56" s="2"/>
      <c r="FU56" s="2"/>
      <c r="FV56" s="2"/>
      <c r="FW56" s="2"/>
      <c r="FX56" s="2">
        <v>89</v>
      </c>
      <c r="FY56" s="2">
        <v>44</v>
      </c>
      <c r="FZ56" s="2"/>
      <c r="GA56" s="2" t="s">
        <v>3</v>
      </c>
      <c r="GB56" s="2"/>
      <c r="GC56" s="2"/>
      <c r="GD56" s="2">
        <v>1</v>
      </c>
      <c r="GE56" s="2"/>
      <c r="GF56" s="2">
        <v>1392189009</v>
      </c>
      <c r="GG56" s="2">
        <v>2</v>
      </c>
      <c r="GH56" s="2">
        <v>1</v>
      </c>
      <c r="GI56" s="2">
        <v>-2</v>
      </c>
      <c r="GJ56" s="2">
        <v>0</v>
      </c>
      <c r="GK56" s="2">
        <v>0</v>
      </c>
      <c r="GL56" s="2">
        <f t="shared" si="28"/>
        <v>0</v>
      </c>
      <c r="GM56" s="2">
        <f t="shared" si="29"/>
        <v>0</v>
      </c>
      <c r="GN56" s="2">
        <f t="shared" si="30"/>
        <v>0</v>
      </c>
      <c r="GO56" s="2">
        <f t="shared" si="31"/>
        <v>0</v>
      </c>
      <c r="GP56" s="2">
        <f t="shared" si="32"/>
        <v>0</v>
      </c>
      <c r="GQ56" s="2"/>
      <c r="GR56" s="2">
        <v>0</v>
      </c>
      <c r="GS56" s="2">
        <v>3</v>
      </c>
      <c r="GT56" s="2">
        <v>0</v>
      </c>
      <c r="GU56" s="2" t="s">
        <v>3</v>
      </c>
      <c r="GV56" s="2">
        <f t="shared" si="33"/>
        <v>0</v>
      </c>
      <c r="GW56" s="2">
        <v>1</v>
      </c>
      <c r="GX56" s="2">
        <f t="shared" si="34"/>
        <v>0</v>
      </c>
      <c r="GY56" s="2"/>
      <c r="GZ56" s="2"/>
      <c r="HA56" s="2">
        <v>0</v>
      </c>
      <c r="HB56" s="2">
        <v>0</v>
      </c>
      <c r="HC56" s="2">
        <f>GV56*GW56</f>
        <v>0</v>
      </c>
      <c r="HD56" s="2"/>
      <c r="HE56" s="2" t="s">
        <v>3</v>
      </c>
      <c r="HF56" s="2" t="s">
        <v>3</v>
      </c>
      <c r="HG56" s="2"/>
      <c r="HH56" s="2"/>
      <c r="HI56" s="2"/>
      <c r="HJ56" s="2"/>
      <c r="HK56" s="2"/>
      <c r="HL56" s="2"/>
      <c r="HM56" s="2" t="s">
        <v>3</v>
      </c>
      <c r="HN56" s="2" t="s">
        <v>120</v>
      </c>
      <c r="HO56" s="2" t="s">
        <v>121</v>
      </c>
      <c r="HP56" s="2" t="s">
        <v>118</v>
      </c>
      <c r="HQ56" s="2" t="s">
        <v>118</v>
      </c>
      <c r="HR56" s="2"/>
      <c r="HS56" s="2">
        <v>0</v>
      </c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>
        <v>0</v>
      </c>
      <c r="IL56" s="2"/>
      <c r="IM56" s="2"/>
      <c r="IN56" s="2"/>
      <c r="IO56" s="2"/>
      <c r="IP56" s="2"/>
      <c r="IQ56" s="2"/>
      <c r="IR56" s="2"/>
      <c r="IS56" s="2"/>
      <c r="IT56" s="2"/>
      <c r="IU56" s="2"/>
    </row>
    <row r="57" spans="1:255" x14ac:dyDescent="0.2">
      <c r="A57" s="2">
        <v>17</v>
      </c>
      <c r="B57" s="2">
        <v>1</v>
      </c>
      <c r="C57" s="2"/>
      <c r="D57" s="2"/>
      <c r="E57" s="2" t="s">
        <v>127</v>
      </c>
      <c r="F57" s="2" t="s">
        <v>128</v>
      </c>
      <c r="G57" s="2" t="s">
        <v>129</v>
      </c>
      <c r="H57" s="2" t="s">
        <v>108</v>
      </c>
      <c r="I57" s="2">
        <v>2</v>
      </c>
      <c r="J57" s="2">
        <v>0</v>
      </c>
      <c r="K57" s="2">
        <v>2</v>
      </c>
      <c r="L57" s="2"/>
      <c r="M57" s="2"/>
      <c r="N57" s="2"/>
      <c r="O57" s="2">
        <f>ROUND(CP57,2)</f>
        <v>2775.14</v>
      </c>
      <c r="P57" s="2">
        <f>ROUND(CQ57*I57,2)</f>
        <v>2775.14</v>
      </c>
      <c r="Q57" s="2">
        <f>ROUND(CR57*I57,2)</f>
        <v>0</v>
      </c>
      <c r="R57" s="2">
        <f>ROUND(CS57*I57,2)</f>
        <v>0</v>
      </c>
      <c r="S57" s="2">
        <f>ROUND(CT57*I57,2)</f>
        <v>0</v>
      </c>
      <c r="T57" s="2">
        <f t="shared" si="21"/>
        <v>0</v>
      </c>
      <c r="U57" s="2">
        <f>ROUND(CV57*I57,7)</f>
        <v>0</v>
      </c>
      <c r="V57" s="2">
        <f>ROUND(CW57*I57,7)</f>
        <v>0</v>
      </c>
      <c r="W57" s="2">
        <f t="shared" si="22"/>
        <v>0</v>
      </c>
      <c r="X57" s="2">
        <f t="shared" si="23"/>
        <v>0</v>
      </c>
      <c r="Y57" s="2">
        <f t="shared" si="24"/>
        <v>0</v>
      </c>
      <c r="Z57" s="2"/>
      <c r="AA57" s="2">
        <v>52718353</v>
      </c>
      <c r="AB57" s="2">
        <f t="shared" si="25"/>
        <v>1541.74</v>
      </c>
      <c r="AC57" s="2">
        <f>ROUND((ES57),6)</f>
        <v>1541.74</v>
      </c>
      <c r="AD57" s="2">
        <f>ROUND((((ET57)-(EU57))+AE57),6)</f>
        <v>0</v>
      </c>
      <c r="AE57" s="2">
        <f t="shared" si="72"/>
        <v>0</v>
      </c>
      <c r="AF57" s="2">
        <f t="shared" si="72"/>
        <v>0</v>
      </c>
      <c r="AG57" s="2">
        <f t="shared" si="26"/>
        <v>0</v>
      </c>
      <c r="AH57" s="2">
        <f t="shared" si="73"/>
        <v>0</v>
      </c>
      <c r="AI57" s="2">
        <f t="shared" si="73"/>
        <v>0</v>
      </c>
      <c r="AJ57" s="2">
        <f t="shared" si="27"/>
        <v>0</v>
      </c>
      <c r="AK57" s="2">
        <v>1541.74</v>
      </c>
      <c r="AL57" s="2">
        <v>1541.74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1</v>
      </c>
      <c r="AW57" s="2">
        <v>1</v>
      </c>
      <c r="AX57" s="2"/>
      <c r="AY57" s="2"/>
      <c r="AZ57" s="2">
        <v>1</v>
      </c>
      <c r="BA57" s="2">
        <v>1</v>
      </c>
      <c r="BB57" s="2">
        <v>1</v>
      </c>
      <c r="BC57" s="2">
        <v>0.9</v>
      </c>
      <c r="BD57" s="2" t="s">
        <v>3</v>
      </c>
      <c r="BE57" s="2" t="s">
        <v>3</v>
      </c>
      <c r="BF57" s="2" t="s">
        <v>3</v>
      </c>
      <c r="BG57" s="2" t="s">
        <v>3</v>
      </c>
      <c r="BH57" s="2">
        <v>3</v>
      </c>
      <c r="BI57" s="2">
        <v>2</v>
      </c>
      <c r="BJ57" s="2" t="s">
        <v>130</v>
      </c>
      <c r="BK57" s="2"/>
      <c r="BL57" s="2"/>
      <c r="BM57" s="2">
        <v>500002</v>
      </c>
      <c r="BN57" s="2">
        <v>0</v>
      </c>
      <c r="BO57" s="2" t="s">
        <v>128</v>
      </c>
      <c r="BP57" s="2">
        <v>1</v>
      </c>
      <c r="BQ57" s="2">
        <v>12</v>
      </c>
      <c r="BR57" s="2">
        <v>0</v>
      </c>
      <c r="BS57" s="2">
        <v>1</v>
      </c>
      <c r="BT57" s="2">
        <v>1</v>
      </c>
      <c r="BU57" s="2">
        <v>1</v>
      </c>
      <c r="BV57" s="2">
        <v>1</v>
      </c>
      <c r="BW57" s="2">
        <v>1</v>
      </c>
      <c r="BX57" s="2">
        <v>1</v>
      </c>
      <c r="BY57" s="2" t="s">
        <v>3</v>
      </c>
      <c r="BZ57" s="2">
        <v>0</v>
      </c>
      <c r="CA57" s="2">
        <v>0</v>
      </c>
      <c r="CB57" s="2" t="s">
        <v>3</v>
      </c>
      <c r="CC57" s="2"/>
      <c r="CD57" s="2"/>
      <c r="CE57" s="2">
        <v>0</v>
      </c>
      <c r="CF57" s="2">
        <v>0</v>
      </c>
      <c r="CG57" s="2">
        <v>0</v>
      </c>
      <c r="CH57" s="2"/>
      <c r="CI57" s="2"/>
      <c r="CJ57" s="2"/>
      <c r="CK57" s="2"/>
      <c r="CL57" s="2"/>
      <c r="CM57" s="2">
        <v>0</v>
      </c>
      <c r="CN57" s="2" t="s">
        <v>3</v>
      </c>
      <c r="CO57" s="2">
        <v>0</v>
      </c>
      <c r="CP57" s="2">
        <f>(P57+Q57+S57+R57)</f>
        <v>2775.14</v>
      </c>
      <c r="CQ57" s="2">
        <f>ROUND(AL57*BC57,2)</f>
        <v>1387.57</v>
      </c>
      <c r="CR57" s="2">
        <f>ROUND(AM57*BB57,2)</f>
        <v>0</v>
      </c>
      <c r="CS57" s="2">
        <f>ROUND(AN57*BS57,2)</f>
        <v>0</v>
      </c>
      <c r="CT57" s="2">
        <f>ROUND(AO57*BA57,2)</f>
        <v>0</v>
      </c>
      <c r="CU57" s="2">
        <f t="shared" si="74"/>
        <v>0</v>
      </c>
      <c r="CV57" s="2">
        <f t="shared" si="74"/>
        <v>0</v>
      </c>
      <c r="CW57" s="2">
        <f t="shared" si="74"/>
        <v>0</v>
      </c>
      <c r="CX57" s="2">
        <f t="shared" si="74"/>
        <v>0</v>
      </c>
      <c r="CY57" s="2">
        <f>0</f>
        <v>0</v>
      </c>
      <c r="CZ57" s="2">
        <f>0</f>
        <v>0</v>
      </c>
      <c r="DA57" s="2"/>
      <c r="DB57" s="2"/>
      <c r="DC57" s="2" t="s">
        <v>3</v>
      </c>
      <c r="DD57" s="2" t="s">
        <v>3</v>
      </c>
      <c r="DE57" s="2" t="s">
        <v>3</v>
      </c>
      <c r="DF57" s="2" t="s">
        <v>3</v>
      </c>
      <c r="DG57" s="2" t="s">
        <v>3</v>
      </c>
      <c r="DH57" s="2" t="s">
        <v>3</v>
      </c>
      <c r="DI57" s="2" t="s">
        <v>3</v>
      </c>
      <c r="DJ57" s="2" t="s">
        <v>3</v>
      </c>
      <c r="DK57" s="2" t="s">
        <v>3</v>
      </c>
      <c r="DL57" s="2" t="s">
        <v>3</v>
      </c>
      <c r="DM57" s="2" t="s">
        <v>3</v>
      </c>
      <c r="DN57" s="2">
        <v>0</v>
      </c>
      <c r="DO57" s="2">
        <v>0</v>
      </c>
      <c r="DP57" s="2">
        <v>1</v>
      </c>
      <c r="DQ57" s="2">
        <v>1</v>
      </c>
      <c r="DR57" s="2"/>
      <c r="DS57" s="2"/>
      <c r="DT57" s="2"/>
      <c r="DU57" s="2">
        <v>1013</v>
      </c>
      <c r="DV57" s="2" t="s">
        <v>108</v>
      </c>
      <c r="DW57" s="2" t="s">
        <v>108</v>
      </c>
      <c r="DX57" s="2">
        <v>1</v>
      </c>
      <c r="DY57" s="2"/>
      <c r="DZ57" s="2" t="s">
        <v>3</v>
      </c>
      <c r="EA57" s="2" t="s">
        <v>3</v>
      </c>
      <c r="EB57" s="2" t="s">
        <v>3</v>
      </c>
      <c r="EC57" s="2" t="s">
        <v>3</v>
      </c>
      <c r="ED57" s="2"/>
      <c r="EE57" s="2">
        <v>50991777</v>
      </c>
      <c r="EF57" s="2">
        <v>12</v>
      </c>
      <c r="EG57" s="2" t="s">
        <v>50</v>
      </c>
      <c r="EH57" s="2">
        <v>0</v>
      </c>
      <c r="EI57" s="2" t="s">
        <v>3</v>
      </c>
      <c r="EJ57" s="2">
        <v>2</v>
      </c>
      <c r="EK57" s="2">
        <v>500002</v>
      </c>
      <c r="EL57" s="2" t="s">
        <v>51</v>
      </c>
      <c r="EM57" s="2" t="s">
        <v>52</v>
      </c>
      <c r="EN57" s="2"/>
      <c r="EO57" s="2" t="s">
        <v>3</v>
      </c>
      <c r="EP57" s="2"/>
      <c r="EQ57" s="2">
        <v>0</v>
      </c>
      <c r="ER57" s="2">
        <v>1541.74</v>
      </c>
      <c r="ES57" s="2">
        <v>1541.74</v>
      </c>
      <c r="ET57" s="2">
        <v>0</v>
      </c>
      <c r="EU57" s="2">
        <v>0</v>
      </c>
      <c r="EV57" s="2">
        <v>0</v>
      </c>
      <c r="EW57" s="2">
        <v>0</v>
      </c>
      <c r="EX57" s="2">
        <v>0</v>
      </c>
      <c r="EY57" s="2">
        <v>0</v>
      </c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>
        <v>0</v>
      </c>
      <c r="FR57" s="2">
        <v>0</v>
      </c>
      <c r="FS57" s="2">
        <v>0</v>
      </c>
      <c r="FT57" s="2"/>
      <c r="FU57" s="2"/>
      <c r="FV57" s="2"/>
      <c r="FW57" s="2"/>
      <c r="FX57" s="2">
        <v>0</v>
      </c>
      <c r="FY57" s="2">
        <v>0</v>
      </c>
      <c r="FZ57" s="2"/>
      <c r="GA57" s="2" t="s">
        <v>3</v>
      </c>
      <c r="GB57" s="2"/>
      <c r="GC57" s="2"/>
      <c r="GD57" s="2">
        <v>1</v>
      </c>
      <c r="GE57" s="2"/>
      <c r="GF57" s="2">
        <v>-1948037639</v>
      </c>
      <c r="GG57" s="2">
        <v>2</v>
      </c>
      <c r="GH57" s="2">
        <v>1</v>
      </c>
      <c r="GI57" s="2">
        <v>2</v>
      </c>
      <c r="GJ57" s="2">
        <v>0</v>
      </c>
      <c r="GK57" s="2">
        <v>0</v>
      </c>
      <c r="GL57" s="2">
        <f t="shared" si="28"/>
        <v>0</v>
      </c>
      <c r="GM57" s="2">
        <f t="shared" si="29"/>
        <v>2775.14</v>
      </c>
      <c r="GN57" s="2">
        <f t="shared" si="30"/>
        <v>0</v>
      </c>
      <c r="GO57" s="2">
        <f t="shared" si="31"/>
        <v>2775.14</v>
      </c>
      <c r="GP57" s="2">
        <f t="shared" si="32"/>
        <v>0</v>
      </c>
      <c r="GQ57" s="2"/>
      <c r="GR57" s="2">
        <v>0</v>
      </c>
      <c r="GS57" s="2">
        <v>3</v>
      </c>
      <c r="GT57" s="2">
        <v>0</v>
      </c>
      <c r="GU57" s="2" t="s">
        <v>3</v>
      </c>
      <c r="GV57" s="2">
        <f t="shared" si="33"/>
        <v>0</v>
      </c>
      <c r="GW57" s="2">
        <v>1</v>
      </c>
      <c r="GX57" s="2">
        <f t="shared" si="34"/>
        <v>0</v>
      </c>
      <c r="GY57" s="2"/>
      <c r="GZ57" s="2"/>
      <c r="HA57" s="2">
        <v>0</v>
      </c>
      <c r="HB57" s="2">
        <v>0</v>
      </c>
      <c r="HC57" s="2">
        <f>GV57*GW57</f>
        <v>0</v>
      </c>
      <c r="HD57" s="2"/>
      <c r="HE57" s="2" t="s">
        <v>3</v>
      </c>
      <c r="HF57" s="2" t="s">
        <v>3</v>
      </c>
      <c r="HG57" s="2"/>
      <c r="HH57" s="2"/>
      <c r="HI57" s="2"/>
      <c r="HJ57" s="2"/>
      <c r="HK57" s="2"/>
      <c r="HL57" s="2"/>
      <c r="HM57" s="2" t="s">
        <v>3</v>
      </c>
      <c r="HN57" s="2" t="s">
        <v>3</v>
      </c>
      <c r="HO57" s="2" t="s">
        <v>3</v>
      </c>
      <c r="HP57" s="2" t="s">
        <v>3</v>
      </c>
      <c r="HQ57" s="2" t="s">
        <v>3</v>
      </c>
      <c r="HR57" s="2"/>
      <c r="HS57" s="2">
        <v>0</v>
      </c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>
        <v>0</v>
      </c>
      <c r="IL57" s="2"/>
      <c r="IM57" s="2"/>
      <c r="IN57" s="2"/>
      <c r="IO57" s="2"/>
      <c r="IP57" s="2"/>
      <c r="IQ57" s="2"/>
      <c r="IR57" s="2"/>
      <c r="IS57" s="2"/>
      <c r="IT57" s="2"/>
      <c r="IU57" s="2"/>
    </row>
    <row r="58" spans="1:255" x14ac:dyDescent="0.2">
      <c r="A58" s="2">
        <v>17</v>
      </c>
      <c r="B58" s="2">
        <v>1</v>
      </c>
      <c r="C58" s="2"/>
      <c r="D58" s="2"/>
      <c r="E58" s="2" t="s">
        <v>131</v>
      </c>
      <c r="F58" s="2" t="s">
        <v>132</v>
      </c>
      <c r="G58" s="2" t="s">
        <v>133</v>
      </c>
      <c r="H58" s="2" t="s">
        <v>39</v>
      </c>
      <c r="I58" s="2">
        <f>ROUND(4/10,7)</f>
        <v>0.4</v>
      </c>
      <c r="J58" s="2">
        <v>0</v>
      </c>
      <c r="K58" s="2">
        <f>ROUND(4/10,7)</f>
        <v>0.4</v>
      </c>
      <c r="L58" s="2"/>
      <c r="M58" s="2"/>
      <c r="N58" s="2"/>
      <c r="O58" s="2">
        <f>ROUND(CP58,2)</f>
        <v>1227.8599999999999</v>
      </c>
      <c r="P58" s="2">
        <f>ROUND(CQ58*I58,2)</f>
        <v>1227.8599999999999</v>
      </c>
      <c r="Q58" s="2">
        <f>ROUND(CR58*I58,2)</f>
        <v>0</v>
      </c>
      <c r="R58" s="2">
        <f>ROUND(CS58*I58,2)</f>
        <v>0</v>
      </c>
      <c r="S58" s="2">
        <f>ROUND(CT58*I58,2)</f>
        <v>0</v>
      </c>
      <c r="T58" s="2">
        <f t="shared" si="21"/>
        <v>0</v>
      </c>
      <c r="U58" s="2">
        <f>ROUND(CV58*I58,7)</f>
        <v>0</v>
      </c>
      <c r="V58" s="2">
        <f>ROUND(CW58*I58,7)</f>
        <v>0</v>
      </c>
      <c r="W58" s="2">
        <f t="shared" si="22"/>
        <v>0</v>
      </c>
      <c r="X58" s="2">
        <f t="shared" si="23"/>
        <v>0</v>
      </c>
      <c r="Y58" s="2">
        <f t="shared" si="24"/>
        <v>0</v>
      </c>
      <c r="Z58" s="2"/>
      <c r="AA58" s="2">
        <v>52718353</v>
      </c>
      <c r="AB58" s="2">
        <f t="shared" si="25"/>
        <v>3410.73</v>
      </c>
      <c r="AC58" s="2">
        <f>ROUND((ES58),6)</f>
        <v>3410.73</v>
      </c>
      <c r="AD58" s="2">
        <f>ROUND((((ET58)-(EU58))+AE58),6)</f>
        <v>0</v>
      </c>
      <c r="AE58" s="2">
        <f t="shared" si="72"/>
        <v>0</v>
      </c>
      <c r="AF58" s="2">
        <f t="shared" si="72"/>
        <v>0</v>
      </c>
      <c r="AG58" s="2">
        <f t="shared" si="26"/>
        <v>0</v>
      </c>
      <c r="AH58" s="2">
        <f t="shared" si="73"/>
        <v>0</v>
      </c>
      <c r="AI58" s="2">
        <f t="shared" si="73"/>
        <v>0</v>
      </c>
      <c r="AJ58" s="2">
        <f t="shared" si="27"/>
        <v>0</v>
      </c>
      <c r="AK58" s="2">
        <v>3410.73</v>
      </c>
      <c r="AL58" s="2">
        <v>3410.73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1</v>
      </c>
      <c r="AW58" s="2">
        <v>1</v>
      </c>
      <c r="AX58" s="2"/>
      <c r="AY58" s="2"/>
      <c r="AZ58" s="2">
        <v>1</v>
      </c>
      <c r="BA58" s="2">
        <v>1</v>
      </c>
      <c r="BB58" s="2">
        <v>1</v>
      </c>
      <c r="BC58" s="2">
        <v>0.9</v>
      </c>
      <c r="BD58" s="2" t="s">
        <v>3</v>
      </c>
      <c r="BE58" s="2" t="s">
        <v>3</v>
      </c>
      <c r="BF58" s="2" t="s">
        <v>3</v>
      </c>
      <c r="BG58" s="2" t="s">
        <v>3</v>
      </c>
      <c r="BH58" s="2">
        <v>3</v>
      </c>
      <c r="BI58" s="2">
        <v>2</v>
      </c>
      <c r="BJ58" s="2" t="s">
        <v>134</v>
      </c>
      <c r="BK58" s="2"/>
      <c r="BL58" s="2"/>
      <c r="BM58" s="2">
        <v>500002</v>
      </c>
      <c r="BN58" s="2">
        <v>0</v>
      </c>
      <c r="BO58" s="2" t="s">
        <v>132</v>
      </c>
      <c r="BP58" s="2">
        <v>1</v>
      </c>
      <c r="BQ58" s="2">
        <v>12</v>
      </c>
      <c r="BR58" s="2">
        <v>0</v>
      </c>
      <c r="BS58" s="2">
        <v>1</v>
      </c>
      <c r="BT58" s="2">
        <v>1</v>
      </c>
      <c r="BU58" s="2">
        <v>1</v>
      </c>
      <c r="BV58" s="2">
        <v>1</v>
      </c>
      <c r="BW58" s="2">
        <v>1</v>
      </c>
      <c r="BX58" s="2">
        <v>1</v>
      </c>
      <c r="BY58" s="2" t="s">
        <v>3</v>
      </c>
      <c r="BZ58" s="2">
        <v>0</v>
      </c>
      <c r="CA58" s="2">
        <v>0</v>
      </c>
      <c r="CB58" s="2" t="s">
        <v>3</v>
      </c>
      <c r="CC58" s="2"/>
      <c r="CD58" s="2"/>
      <c r="CE58" s="2">
        <v>0</v>
      </c>
      <c r="CF58" s="2">
        <v>0</v>
      </c>
      <c r="CG58" s="2">
        <v>0</v>
      </c>
      <c r="CH58" s="2"/>
      <c r="CI58" s="2"/>
      <c r="CJ58" s="2"/>
      <c r="CK58" s="2"/>
      <c r="CL58" s="2"/>
      <c r="CM58" s="2">
        <v>0</v>
      </c>
      <c r="CN58" s="2" t="s">
        <v>3</v>
      </c>
      <c r="CO58" s="2">
        <v>0</v>
      </c>
      <c r="CP58" s="2">
        <f>(P58+Q58+S58+R58)</f>
        <v>1227.8599999999999</v>
      </c>
      <c r="CQ58" s="2">
        <f>ROUND(AL58*BC58,2)</f>
        <v>3069.66</v>
      </c>
      <c r="CR58" s="2">
        <f>ROUND(AM58*BB58,2)</f>
        <v>0</v>
      </c>
      <c r="CS58" s="2">
        <f>ROUND(AN58*BS58,2)</f>
        <v>0</v>
      </c>
      <c r="CT58" s="2">
        <f>ROUND(AO58*BA58,2)</f>
        <v>0</v>
      </c>
      <c r="CU58" s="2">
        <f t="shared" si="74"/>
        <v>0</v>
      </c>
      <c r="CV58" s="2">
        <f t="shared" si="74"/>
        <v>0</v>
      </c>
      <c r="CW58" s="2">
        <f t="shared" si="74"/>
        <v>0</v>
      </c>
      <c r="CX58" s="2">
        <f t="shared" si="74"/>
        <v>0</v>
      </c>
      <c r="CY58" s="2">
        <f>0</f>
        <v>0</v>
      </c>
      <c r="CZ58" s="2">
        <f>0</f>
        <v>0</v>
      </c>
      <c r="DA58" s="2"/>
      <c r="DB58" s="2"/>
      <c r="DC58" s="2" t="s">
        <v>3</v>
      </c>
      <c r="DD58" s="2" t="s">
        <v>3</v>
      </c>
      <c r="DE58" s="2" t="s">
        <v>3</v>
      </c>
      <c r="DF58" s="2" t="s">
        <v>3</v>
      </c>
      <c r="DG58" s="2" t="s">
        <v>3</v>
      </c>
      <c r="DH58" s="2" t="s">
        <v>3</v>
      </c>
      <c r="DI58" s="2" t="s">
        <v>3</v>
      </c>
      <c r="DJ58" s="2" t="s">
        <v>3</v>
      </c>
      <c r="DK58" s="2" t="s">
        <v>3</v>
      </c>
      <c r="DL58" s="2" t="s">
        <v>3</v>
      </c>
      <c r="DM58" s="2" t="s">
        <v>3</v>
      </c>
      <c r="DN58" s="2">
        <v>0</v>
      </c>
      <c r="DO58" s="2">
        <v>0</v>
      </c>
      <c r="DP58" s="2">
        <v>1</v>
      </c>
      <c r="DQ58" s="2">
        <v>1</v>
      </c>
      <c r="DR58" s="2"/>
      <c r="DS58" s="2"/>
      <c r="DT58" s="2"/>
      <c r="DU58" s="2">
        <v>1013</v>
      </c>
      <c r="DV58" s="2" t="s">
        <v>39</v>
      </c>
      <c r="DW58" s="2" t="s">
        <v>39</v>
      </c>
      <c r="DX58" s="2">
        <v>1</v>
      </c>
      <c r="DY58" s="2"/>
      <c r="DZ58" s="2" t="s">
        <v>3</v>
      </c>
      <c r="EA58" s="2" t="s">
        <v>3</v>
      </c>
      <c r="EB58" s="2" t="s">
        <v>3</v>
      </c>
      <c r="EC58" s="2" t="s">
        <v>3</v>
      </c>
      <c r="ED58" s="2"/>
      <c r="EE58" s="2">
        <v>50991777</v>
      </c>
      <c r="EF58" s="2">
        <v>12</v>
      </c>
      <c r="EG58" s="2" t="s">
        <v>50</v>
      </c>
      <c r="EH58" s="2">
        <v>0</v>
      </c>
      <c r="EI58" s="2" t="s">
        <v>3</v>
      </c>
      <c r="EJ58" s="2">
        <v>2</v>
      </c>
      <c r="EK58" s="2">
        <v>500002</v>
      </c>
      <c r="EL58" s="2" t="s">
        <v>51</v>
      </c>
      <c r="EM58" s="2" t="s">
        <v>52</v>
      </c>
      <c r="EN58" s="2"/>
      <c r="EO58" s="2" t="s">
        <v>3</v>
      </c>
      <c r="EP58" s="2"/>
      <c r="EQ58" s="2">
        <v>0</v>
      </c>
      <c r="ER58" s="2">
        <v>3410.73</v>
      </c>
      <c r="ES58" s="2">
        <v>3410.73</v>
      </c>
      <c r="ET58" s="2">
        <v>0</v>
      </c>
      <c r="EU58" s="2">
        <v>0</v>
      </c>
      <c r="EV58" s="2">
        <v>0</v>
      </c>
      <c r="EW58" s="2">
        <v>0</v>
      </c>
      <c r="EX58" s="2">
        <v>0</v>
      </c>
      <c r="EY58" s="2">
        <v>0</v>
      </c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>
        <v>0</v>
      </c>
      <c r="FR58" s="2">
        <v>0</v>
      </c>
      <c r="FS58" s="2">
        <v>0</v>
      </c>
      <c r="FT58" s="2"/>
      <c r="FU58" s="2"/>
      <c r="FV58" s="2"/>
      <c r="FW58" s="2"/>
      <c r="FX58" s="2">
        <v>0</v>
      </c>
      <c r="FY58" s="2">
        <v>0</v>
      </c>
      <c r="FZ58" s="2"/>
      <c r="GA58" s="2" t="s">
        <v>3</v>
      </c>
      <c r="GB58" s="2"/>
      <c r="GC58" s="2"/>
      <c r="GD58" s="2">
        <v>1</v>
      </c>
      <c r="GE58" s="2"/>
      <c r="GF58" s="2">
        <v>-284490235</v>
      </c>
      <c r="GG58" s="2">
        <v>2</v>
      </c>
      <c r="GH58" s="2">
        <v>1</v>
      </c>
      <c r="GI58" s="2">
        <v>2</v>
      </c>
      <c r="GJ58" s="2">
        <v>0</v>
      </c>
      <c r="GK58" s="2">
        <v>0</v>
      </c>
      <c r="GL58" s="2">
        <f t="shared" si="28"/>
        <v>0</v>
      </c>
      <c r="GM58" s="2">
        <f t="shared" si="29"/>
        <v>1227.8599999999999</v>
      </c>
      <c r="GN58" s="2">
        <f t="shared" si="30"/>
        <v>0</v>
      </c>
      <c r="GO58" s="2">
        <f t="shared" si="31"/>
        <v>1227.8599999999999</v>
      </c>
      <c r="GP58" s="2">
        <f t="shared" si="32"/>
        <v>0</v>
      </c>
      <c r="GQ58" s="2"/>
      <c r="GR58" s="2">
        <v>0</v>
      </c>
      <c r="GS58" s="2">
        <v>3</v>
      </c>
      <c r="GT58" s="2">
        <v>0</v>
      </c>
      <c r="GU58" s="2" t="s">
        <v>3</v>
      </c>
      <c r="GV58" s="2">
        <f t="shared" si="33"/>
        <v>0</v>
      </c>
      <c r="GW58" s="2">
        <v>1</v>
      </c>
      <c r="GX58" s="2">
        <f t="shared" si="34"/>
        <v>0</v>
      </c>
      <c r="GY58" s="2"/>
      <c r="GZ58" s="2"/>
      <c r="HA58" s="2">
        <v>0</v>
      </c>
      <c r="HB58" s="2">
        <v>0</v>
      </c>
      <c r="HC58" s="2">
        <f>GV58*GW58</f>
        <v>0</v>
      </c>
      <c r="HD58" s="2"/>
      <c r="HE58" s="2" t="s">
        <v>3</v>
      </c>
      <c r="HF58" s="2" t="s">
        <v>3</v>
      </c>
      <c r="HG58" s="2"/>
      <c r="HH58" s="2"/>
      <c r="HI58" s="2"/>
      <c r="HJ58" s="2"/>
      <c r="HK58" s="2"/>
      <c r="HL58" s="2"/>
      <c r="HM58" s="2" t="s">
        <v>3</v>
      </c>
      <c r="HN58" s="2" t="s">
        <v>3</v>
      </c>
      <c r="HO58" s="2" t="s">
        <v>3</v>
      </c>
      <c r="HP58" s="2" t="s">
        <v>3</v>
      </c>
      <c r="HQ58" s="2" t="s">
        <v>3</v>
      </c>
      <c r="HR58" s="2"/>
      <c r="HS58" s="2">
        <v>0</v>
      </c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>
        <v>0</v>
      </c>
      <c r="IL58" s="2"/>
      <c r="IM58" s="2"/>
      <c r="IN58" s="2"/>
      <c r="IO58" s="2"/>
      <c r="IP58" s="2"/>
      <c r="IQ58" s="2"/>
      <c r="IR58" s="2"/>
      <c r="IS58" s="2"/>
      <c r="IT58" s="2"/>
      <c r="IU58" s="2"/>
    </row>
    <row r="59" spans="1:255" x14ac:dyDescent="0.2">
      <c r="A59" s="2">
        <v>17</v>
      </c>
      <c r="B59" s="2">
        <v>1</v>
      </c>
      <c r="C59" s="2">
        <f>ROW(SmtRes!A49)</f>
        <v>49</v>
      </c>
      <c r="D59" s="2">
        <f>ROW(EtalonRes!A49)</f>
        <v>49</v>
      </c>
      <c r="E59" s="2" t="s">
        <v>135</v>
      </c>
      <c r="F59" s="2" t="s">
        <v>136</v>
      </c>
      <c r="G59" s="2" t="s">
        <v>137</v>
      </c>
      <c r="H59" s="2" t="s">
        <v>56</v>
      </c>
      <c r="I59" s="2">
        <f>ROUND(10/100,7)</f>
        <v>0.1</v>
      </c>
      <c r="J59" s="2">
        <v>0</v>
      </c>
      <c r="K59" s="2">
        <f>ROUND(10/100,7)</f>
        <v>0.1</v>
      </c>
      <c r="L59" s="2"/>
      <c r="M59" s="2"/>
      <c r="N59" s="2"/>
      <c r="O59" s="2">
        <f>ROUND(CP59,2)</f>
        <v>417.44</v>
      </c>
      <c r="P59" s="2">
        <f>SUMIF(SmtRes!AQ46:'SmtRes'!AQ49,"=1",SmtRes!DF46:'SmtRes'!DF49)</f>
        <v>3.34</v>
      </c>
      <c r="Q59" s="2">
        <f>SUMIF(SmtRes!AQ46:'SmtRes'!AQ49,"=1",SmtRes!DG46:'SmtRes'!DG49)</f>
        <v>0</v>
      </c>
      <c r="R59" s="2">
        <f>SUMIF(SmtRes!AQ46:'SmtRes'!AQ49,"=1",SmtRes!DH46:'SmtRes'!DH49)</f>
        <v>0</v>
      </c>
      <c r="S59" s="2">
        <f>SUMIF(SmtRes!AQ46:'SmtRes'!AQ49,"=1",SmtRes!DI46:'SmtRes'!DI49)</f>
        <v>414.1</v>
      </c>
      <c r="T59" s="2">
        <f t="shared" si="21"/>
        <v>0</v>
      </c>
      <c r="U59" s="2">
        <f>SUMIF(SmtRes!AQ46:'SmtRes'!AQ49,"=1",SmtRes!CV46:'SmtRes'!CV49)</f>
        <v>0.6</v>
      </c>
      <c r="V59" s="2">
        <f>SUMIF(SmtRes!AQ46:'SmtRes'!AQ49,"=1",SmtRes!CW46:'SmtRes'!CW49)</f>
        <v>0</v>
      </c>
      <c r="W59" s="2">
        <f t="shared" si="22"/>
        <v>0</v>
      </c>
      <c r="X59" s="2">
        <f t="shared" si="23"/>
        <v>372.69</v>
      </c>
      <c r="Y59" s="2">
        <f t="shared" si="24"/>
        <v>190.49</v>
      </c>
      <c r="Z59" s="2"/>
      <c r="AA59" s="2">
        <v>52718353</v>
      </c>
      <c r="AB59" s="2">
        <f t="shared" si="25"/>
        <v>4166.4412000000002</v>
      </c>
      <c r="AC59" s="2">
        <f>ROUND((SUM(SmtRes!BQ46:'SmtRes'!BQ49)),6)</f>
        <v>25.481200000000001</v>
      </c>
      <c r="AD59" s="2">
        <f>ROUND((((0)-(0))+AE59),6)</f>
        <v>0</v>
      </c>
      <c r="AE59" s="2">
        <f>ROUND((0),6)</f>
        <v>0</v>
      </c>
      <c r="AF59" s="2">
        <f>ROUND((SUM(SmtRes!BT46:'SmtRes'!BT49)),6)</f>
        <v>4140.96</v>
      </c>
      <c r="AG59" s="2">
        <f t="shared" si="26"/>
        <v>0</v>
      </c>
      <c r="AH59" s="2">
        <f>(SUM(SmtRes!BU46:'SmtRes'!BU49))</f>
        <v>6</v>
      </c>
      <c r="AI59" s="2">
        <f>(0)</f>
        <v>0</v>
      </c>
      <c r="AJ59" s="2">
        <f t="shared" si="27"/>
        <v>0</v>
      </c>
      <c r="AK59" s="2">
        <v>4166.4412000000002</v>
      </c>
      <c r="AL59" s="2">
        <v>25.481200000000001</v>
      </c>
      <c r="AM59" s="2">
        <v>0</v>
      </c>
      <c r="AN59" s="2">
        <v>0</v>
      </c>
      <c r="AO59" s="2">
        <v>4140.96</v>
      </c>
      <c r="AP59" s="2">
        <v>0</v>
      </c>
      <c r="AQ59" s="2">
        <v>6</v>
      </c>
      <c r="AR59" s="2">
        <v>0</v>
      </c>
      <c r="AS59" s="2">
        <v>0</v>
      </c>
      <c r="AT59" s="2">
        <v>90</v>
      </c>
      <c r="AU59" s="2">
        <v>46</v>
      </c>
      <c r="AV59" s="2">
        <v>1</v>
      </c>
      <c r="AW59" s="2">
        <v>1</v>
      </c>
      <c r="AX59" s="2"/>
      <c r="AY59" s="2"/>
      <c r="AZ59" s="2">
        <v>1</v>
      </c>
      <c r="BA59" s="2">
        <v>1</v>
      </c>
      <c r="BB59" s="2">
        <v>1</v>
      </c>
      <c r="BC59" s="2">
        <v>1</v>
      </c>
      <c r="BD59" s="2" t="s">
        <v>3</v>
      </c>
      <c r="BE59" s="2" t="s">
        <v>3</v>
      </c>
      <c r="BF59" s="2" t="s">
        <v>3</v>
      </c>
      <c r="BG59" s="2" t="s">
        <v>3</v>
      </c>
      <c r="BH59" s="2">
        <v>0</v>
      </c>
      <c r="BI59" s="2">
        <v>2</v>
      </c>
      <c r="BJ59" s="2" t="s">
        <v>138</v>
      </c>
      <c r="BK59" s="2"/>
      <c r="BL59" s="2"/>
      <c r="BM59" s="2">
        <v>110006</v>
      </c>
      <c r="BN59" s="2">
        <v>0</v>
      </c>
      <c r="BO59" s="2" t="s">
        <v>3</v>
      </c>
      <c r="BP59" s="2">
        <v>0</v>
      </c>
      <c r="BQ59" s="2">
        <v>3</v>
      </c>
      <c r="BR59" s="2">
        <v>0</v>
      </c>
      <c r="BS59" s="2">
        <v>1</v>
      </c>
      <c r="BT59" s="2">
        <v>1</v>
      </c>
      <c r="BU59" s="2">
        <v>1</v>
      </c>
      <c r="BV59" s="2">
        <v>1</v>
      </c>
      <c r="BW59" s="2">
        <v>1</v>
      </c>
      <c r="BX59" s="2">
        <v>1</v>
      </c>
      <c r="BY59" s="2" t="s">
        <v>3</v>
      </c>
      <c r="BZ59" s="2">
        <v>90</v>
      </c>
      <c r="CA59" s="2">
        <v>46</v>
      </c>
      <c r="CB59" s="2" t="s">
        <v>3</v>
      </c>
      <c r="CC59" s="2"/>
      <c r="CD59" s="2"/>
      <c r="CE59" s="2">
        <v>0</v>
      </c>
      <c r="CF59" s="2">
        <v>0</v>
      </c>
      <c r="CG59" s="2">
        <v>0</v>
      </c>
      <c r="CH59" s="2"/>
      <c r="CI59" s="2"/>
      <c r="CJ59" s="2"/>
      <c r="CK59" s="2"/>
      <c r="CL59" s="2"/>
      <c r="CM59" s="2">
        <v>0</v>
      </c>
      <c r="CN59" s="2" t="s">
        <v>3</v>
      </c>
      <c r="CO59" s="2">
        <v>0</v>
      </c>
      <c r="CP59" s="2">
        <f>(P59+Q59+S59+R59)</f>
        <v>417.44</v>
      </c>
      <c r="CQ59" s="2">
        <f>SUMIF(SmtRes!AQ46:'SmtRes'!AQ49,"=1",SmtRes!AA46:'SmtRes'!AA49)</f>
        <v>166901.85999999999</v>
      </c>
      <c r="CR59" s="2">
        <f>SUMIF(SmtRes!AQ46:'SmtRes'!AQ49,"=1",SmtRes!AB46:'SmtRes'!AB49)</f>
        <v>0</v>
      </c>
      <c r="CS59" s="2">
        <f>SUMIF(SmtRes!AQ46:'SmtRes'!AQ49,"=1",SmtRes!AC46:'SmtRes'!AC49)</f>
        <v>0</v>
      </c>
      <c r="CT59" s="2">
        <f>SUMIF(SmtRes!AQ46:'SmtRes'!AQ49,"=1",SmtRes!AD46:'SmtRes'!AD49)</f>
        <v>690.16</v>
      </c>
      <c r="CU59" s="2">
        <f>AG59</f>
        <v>0</v>
      </c>
      <c r="CV59" s="2">
        <f>SUMIF(SmtRes!AQ46:'SmtRes'!AQ49,"=1",SmtRes!BU46:'SmtRes'!BU49)</f>
        <v>6</v>
      </c>
      <c r="CW59" s="2">
        <f>SUMIF(SmtRes!AQ46:'SmtRes'!AQ49,"=1",SmtRes!BV46:'SmtRes'!BV49)</f>
        <v>0</v>
      </c>
      <c r="CX59" s="2">
        <f>AJ59</f>
        <v>0</v>
      </c>
      <c r="CY59" s="2">
        <f>(((S59+R59)*AT59)/100)</f>
        <v>372.69</v>
      </c>
      <c r="CZ59" s="2">
        <f>(((S59+R59)*AU59)/100)</f>
        <v>190.48600000000002</v>
      </c>
      <c r="DA59" s="2"/>
      <c r="DB59" s="2"/>
      <c r="DC59" s="2" t="s">
        <v>3</v>
      </c>
      <c r="DD59" s="2" t="s">
        <v>3</v>
      </c>
      <c r="DE59" s="2" t="s">
        <v>3</v>
      </c>
      <c r="DF59" s="2" t="s">
        <v>3</v>
      </c>
      <c r="DG59" s="2" t="s">
        <v>3</v>
      </c>
      <c r="DH59" s="2" t="s">
        <v>3</v>
      </c>
      <c r="DI59" s="2" t="s">
        <v>3</v>
      </c>
      <c r="DJ59" s="2" t="s">
        <v>3</v>
      </c>
      <c r="DK59" s="2" t="s">
        <v>3</v>
      </c>
      <c r="DL59" s="2" t="s">
        <v>3</v>
      </c>
      <c r="DM59" s="2" t="s">
        <v>3</v>
      </c>
      <c r="DN59" s="2">
        <v>0</v>
      </c>
      <c r="DO59" s="2">
        <v>0</v>
      </c>
      <c r="DP59" s="2">
        <v>1</v>
      </c>
      <c r="DQ59" s="2">
        <v>1</v>
      </c>
      <c r="DR59" s="2"/>
      <c r="DS59" s="2"/>
      <c r="DT59" s="2"/>
      <c r="DU59" s="2">
        <v>1013</v>
      </c>
      <c r="DV59" s="2" t="s">
        <v>56</v>
      </c>
      <c r="DW59" s="2" t="s">
        <v>56</v>
      </c>
      <c r="DX59" s="2">
        <v>1</v>
      </c>
      <c r="DY59" s="2"/>
      <c r="DZ59" s="2" t="s">
        <v>3</v>
      </c>
      <c r="EA59" s="2" t="s">
        <v>3</v>
      </c>
      <c r="EB59" s="2" t="s">
        <v>3</v>
      </c>
      <c r="EC59" s="2" t="s">
        <v>3</v>
      </c>
      <c r="ED59" s="2"/>
      <c r="EE59" s="2">
        <v>50991764</v>
      </c>
      <c r="EF59" s="2">
        <v>3</v>
      </c>
      <c r="EG59" s="2" t="s">
        <v>14</v>
      </c>
      <c r="EH59" s="2">
        <v>0</v>
      </c>
      <c r="EI59" s="2" t="s">
        <v>3</v>
      </c>
      <c r="EJ59" s="2">
        <v>2</v>
      </c>
      <c r="EK59" s="2">
        <v>110006</v>
      </c>
      <c r="EL59" s="2" t="s">
        <v>139</v>
      </c>
      <c r="EM59" s="2" t="s">
        <v>140</v>
      </c>
      <c r="EN59" s="2"/>
      <c r="EO59" s="2" t="s">
        <v>3</v>
      </c>
      <c r="EP59" s="2"/>
      <c r="EQ59" s="2">
        <v>0</v>
      </c>
      <c r="ER59" s="2">
        <v>0</v>
      </c>
      <c r="ES59" s="2">
        <v>0</v>
      </c>
      <c r="ET59" s="2">
        <v>0</v>
      </c>
      <c r="EU59" s="2">
        <v>0</v>
      </c>
      <c r="EV59" s="2">
        <v>0</v>
      </c>
      <c r="EW59" s="2">
        <v>6</v>
      </c>
      <c r="EX59" s="2">
        <v>0</v>
      </c>
      <c r="EY59" s="2">
        <v>0</v>
      </c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>
        <v>0</v>
      </c>
      <c r="FR59" s="2">
        <v>0</v>
      </c>
      <c r="FS59" s="2">
        <v>0</v>
      </c>
      <c r="FT59" s="2"/>
      <c r="FU59" s="2"/>
      <c r="FV59" s="2"/>
      <c r="FW59" s="2"/>
      <c r="FX59" s="2">
        <v>90</v>
      </c>
      <c r="FY59" s="2">
        <v>46</v>
      </c>
      <c r="FZ59" s="2"/>
      <c r="GA59" s="2" t="s">
        <v>3</v>
      </c>
      <c r="GB59" s="2"/>
      <c r="GC59" s="2"/>
      <c r="GD59" s="2">
        <v>1</v>
      </c>
      <c r="GE59" s="2"/>
      <c r="GF59" s="2">
        <v>-15477761</v>
      </c>
      <c r="GG59" s="2">
        <v>2</v>
      </c>
      <c r="GH59" s="2">
        <v>1</v>
      </c>
      <c r="GI59" s="2">
        <v>-2</v>
      </c>
      <c r="GJ59" s="2">
        <v>0</v>
      </c>
      <c r="GK59" s="2">
        <v>0</v>
      </c>
      <c r="GL59" s="2">
        <f t="shared" si="28"/>
        <v>0</v>
      </c>
      <c r="GM59" s="2">
        <f t="shared" si="29"/>
        <v>980.62</v>
      </c>
      <c r="GN59" s="2">
        <f t="shared" si="30"/>
        <v>0</v>
      </c>
      <c r="GO59" s="2">
        <f t="shared" si="31"/>
        <v>980.62</v>
      </c>
      <c r="GP59" s="2">
        <f t="shared" si="32"/>
        <v>0</v>
      </c>
      <c r="GQ59" s="2"/>
      <c r="GR59" s="2">
        <v>0</v>
      </c>
      <c r="GS59" s="2">
        <v>3</v>
      </c>
      <c r="GT59" s="2">
        <v>0</v>
      </c>
      <c r="GU59" s="2" t="s">
        <v>3</v>
      </c>
      <c r="GV59" s="2">
        <f t="shared" si="33"/>
        <v>0</v>
      </c>
      <c r="GW59" s="2">
        <v>1</v>
      </c>
      <c r="GX59" s="2">
        <f t="shared" si="34"/>
        <v>0</v>
      </c>
      <c r="GY59" s="2"/>
      <c r="GZ59" s="2"/>
      <c r="HA59" s="2">
        <v>0</v>
      </c>
      <c r="HB59" s="2">
        <v>0</v>
      </c>
      <c r="HC59" s="2">
        <f>GV59*GW59</f>
        <v>0</v>
      </c>
      <c r="HD59" s="2"/>
      <c r="HE59" s="2" t="s">
        <v>3</v>
      </c>
      <c r="HF59" s="2" t="s">
        <v>3</v>
      </c>
      <c r="HG59" s="2"/>
      <c r="HH59" s="2"/>
      <c r="HI59" s="2"/>
      <c r="HJ59" s="2"/>
      <c r="HK59" s="2"/>
      <c r="HL59" s="2"/>
      <c r="HM59" s="2" t="s">
        <v>3</v>
      </c>
      <c r="HN59" s="2" t="s">
        <v>141</v>
      </c>
      <c r="HO59" s="2" t="s">
        <v>142</v>
      </c>
      <c r="HP59" s="2" t="s">
        <v>139</v>
      </c>
      <c r="HQ59" s="2" t="s">
        <v>139</v>
      </c>
      <c r="HR59" s="2"/>
      <c r="HS59" s="2">
        <v>0</v>
      </c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>
        <v>0</v>
      </c>
      <c r="IL59" s="2"/>
      <c r="IM59" s="2"/>
      <c r="IN59" s="2"/>
      <c r="IO59" s="2"/>
      <c r="IP59" s="2"/>
      <c r="IQ59" s="2"/>
      <c r="IR59" s="2"/>
      <c r="IS59" s="2"/>
      <c r="IT59" s="2"/>
      <c r="IU59" s="2"/>
    </row>
    <row r="60" spans="1:255" x14ac:dyDescent="0.2">
      <c r="A60" s="2">
        <v>18</v>
      </c>
      <c r="B60" s="2">
        <v>1</v>
      </c>
      <c r="C60" s="2">
        <v>48</v>
      </c>
      <c r="D60" s="2"/>
      <c r="E60" s="2" t="s">
        <v>143</v>
      </c>
      <c r="F60" s="2" t="s">
        <v>25</v>
      </c>
      <c r="G60" s="2" t="s">
        <v>26</v>
      </c>
      <c r="H60" s="2" t="s">
        <v>27</v>
      </c>
      <c r="I60" s="2">
        <f>J60</f>
        <v>2</v>
      </c>
      <c r="J60" s="2">
        <v>2</v>
      </c>
      <c r="K60" s="2">
        <v>2</v>
      </c>
      <c r="L60" s="2"/>
      <c r="M60" s="2"/>
      <c r="N60" s="2"/>
      <c r="O60" s="2">
        <f>ROUND(P60,2)</f>
        <v>8.2799999999999994</v>
      </c>
      <c r="P60" s="2">
        <f>ROUND(ROUND(ROUND(SUMIF(SmtRes!AQ46:'SmtRes'!AQ49,"=1",SmtRes!CU46:'SmtRes'!CU49),2),2)*I60/100,2)</f>
        <v>8.2799999999999994</v>
      </c>
      <c r="Q60" s="2">
        <f>ROUND(CR60*I60,2)</f>
        <v>0</v>
      </c>
      <c r="R60" s="2">
        <f>ROUND(CS60*I60,2)</f>
        <v>0</v>
      </c>
      <c r="S60" s="2">
        <f>ROUND(CT60*I60,2)</f>
        <v>0</v>
      </c>
      <c r="T60" s="2">
        <f t="shared" ref="T60:T82" si="75">ROUND(CU60*I60,2)</f>
        <v>0</v>
      </c>
      <c r="U60" s="2">
        <f>ROUND(CV60*I60,7)</f>
        <v>0</v>
      </c>
      <c r="V60" s="2">
        <f>ROUND(CW60*I60,7)</f>
        <v>0</v>
      </c>
      <c r="W60" s="2">
        <f t="shared" ref="W60:W82" si="76">ROUND(CX60*I60,2)</f>
        <v>0</v>
      </c>
      <c r="X60" s="2">
        <f t="shared" ref="X60:X82" si="77">ROUND(CY60,2)</f>
        <v>0</v>
      </c>
      <c r="Y60" s="2">
        <f t="shared" ref="Y60:Y82" si="78">ROUND(CZ60,2)</f>
        <v>0</v>
      </c>
      <c r="Z60" s="2"/>
      <c r="AA60" s="2">
        <v>52718353</v>
      </c>
      <c r="AB60" s="2">
        <f t="shared" ref="AB60:AB82" si="79">ROUND((AC60+AD60+AF60),6)</f>
        <v>0</v>
      </c>
      <c r="AC60" s="2">
        <f>ROUND((ES60),6)</f>
        <v>0</v>
      </c>
      <c r="AD60" s="2">
        <f>ROUND((((ET60)-(EU60))+AE60),6)</f>
        <v>0</v>
      </c>
      <c r="AE60" s="2">
        <f t="shared" ref="AE60:AF64" si="80">ROUND((EU60),6)</f>
        <v>0</v>
      </c>
      <c r="AF60" s="2">
        <f t="shared" si="80"/>
        <v>0</v>
      </c>
      <c r="AG60" s="2">
        <f t="shared" ref="AG60:AG82" si="81">ROUND((AP60),6)</f>
        <v>0</v>
      </c>
      <c r="AH60" s="2">
        <f t="shared" ref="AH60:AI64" si="82">(EW60)</f>
        <v>0</v>
      </c>
      <c r="AI60" s="2">
        <f t="shared" si="82"/>
        <v>0</v>
      </c>
      <c r="AJ60" s="2">
        <f t="shared" ref="AJ60:AJ82" si="83">(AS60)</f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90</v>
      </c>
      <c r="AU60" s="2">
        <v>46</v>
      </c>
      <c r="AV60" s="2">
        <v>1</v>
      </c>
      <c r="AW60" s="2">
        <v>1</v>
      </c>
      <c r="AX60" s="2"/>
      <c r="AY60" s="2"/>
      <c r="AZ60" s="2">
        <v>1</v>
      </c>
      <c r="BA60" s="2">
        <v>1</v>
      </c>
      <c r="BB60" s="2">
        <v>1</v>
      </c>
      <c r="BC60" s="2">
        <v>1</v>
      </c>
      <c r="BD60" s="2" t="s">
        <v>3</v>
      </c>
      <c r="BE60" s="2" t="s">
        <v>3</v>
      </c>
      <c r="BF60" s="2" t="s">
        <v>3</v>
      </c>
      <c r="BG60" s="2" t="s">
        <v>3</v>
      </c>
      <c r="BH60" s="2">
        <v>3</v>
      </c>
      <c r="BI60" s="2">
        <v>2</v>
      </c>
      <c r="BJ60" s="2" t="s">
        <v>3</v>
      </c>
      <c r="BK60" s="2"/>
      <c r="BL60" s="2"/>
      <c r="BM60" s="2">
        <v>110006</v>
      </c>
      <c r="BN60" s="2">
        <v>0</v>
      </c>
      <c r="BO60" s="2" t="s">
        <v>3</v>
      </c>
      <c r="BP60" s="2">
        <v>0</v>
      </c>
      <c r="BQ60" s="2">
        <v>3</v>
      </c>
      <c r="BR60" s="2">
        <v>0</v>
      </c>
      <c r="BS60" s="2">
        <v>1</v>
      </c>
      <c r="BT60" s="2">
        <v>1</v>
      </c>
      <c r="BU60" s="2">
        <v>1</v>
      </c>
      <c r="BV60" s="2">
        <v>1</v>
      </c>
      <c r="BW60" s="2">
        <v>1</v>
      </c>
      <c r="BX60" s="2">
        <v>1</v>
      </c>
      <c r="BY60" s="2" t="s">
        <v>3</v>
      </c>
      <c r="BZ60" s="2">
        <v>90</v>
      </c>
      <c r="CA60" s="2">
        <v>46</v>
      </c>
      <c r="CB60" s="2" t="s">
        <v>3</v>
      </c>
      <c r="CC60" s="2"/>
      <c r="CD60" s="2"/>
      <c r="CE60" s="2">
        <v>0</v>
      </c>
      <c r="CF60" s="2">
        <v>0</v>
      </c>
      <c r="CG60" s="2">
        <v>0</v>
      </c>
      <c r="CH60" s="2"/>
      <c r="CI60" s="2"/>
      <c r="CJ60" s="2"/>
      <c r="CK60" s="2"/>
      <c r="CL60" s="2"/>
      <c r="CM60" s="2">
        <v>0</v>
      </c>
      <c r="CN60" s="2" t="s">
        <v>3</v>
      </c>
      <c r="CO60" s="2">
        <v>0</v>
      </c>
      <c r="CP60" s="2">
        <f>0</f>
        <v>0</v>
      </c>
      <c r="CQ60" s="2">
        <f>0</f>
        <v>0</v>
      </c>
      <c r="CR60" s="2">
        <f>0</f>
        <v>0</v>
      </c>
      <c r="CS60" s="2">
        <f>0</f>
        <v>0</v>
      </c>
      <c r="CT60" s="2">
        <f>0</f>
        <v>0</v>
      </c>
      <c r="CU60" s="2">
        <f>0</f>
        <v>0</v>
      </c>
      <c r="CV60" s="2">
        <f>0</f>
        <v>0</v>
      </c>
      <c r="CW60" s="2">
        <f>0</f>
        <v>0</v>
      </c>
      <c r="CX60" s="2">
        <f>0</f>
        <v>0</v>
      </c>
      <c r="CY60" s="2">
        <f>0</f>
        <v>0</v>
      </c>
      <c r="CZ60" s="2">
        <f>0</f>
        <v>0</v>
      </c>
      <c r="DA60" s="2"/>
      <c r="DB60" s="2"/>
      <c r="DC60" s="2" t="s">
        <v>3</v>
      </c>
      <c r="DD60" s="2" t="s">
        <v>3</v>
      </c>
      <c r="DE60" s="2" t="s">
        <v>3</v>
      </c>
      <c r="DF60" s="2" t="s">
        <v>3</v>
      </c>
      <c r="DG60" s="2" t="s">
        <v>3</v>
      </c>
      <c r="DH60" s="2" t="s">
        <v>3</v>
      </c>
      <c r="DI60" s="2" t="s">
        <v>3</v>
      </c>
      <c r="DJ60" s="2" t="s">
        <v>3</v>
      </c>
      <c r="DK60" s="2" t="s">
        <v>3</v>
      </c>
      <c r="DL60" s="2" t="s">
        <v>3</v>
      </c>
      <c r="DM60" s="2" t="s">
        <v>3</v>
      </c>
      <c r="DN60" s="2">
        <v>0</v>
      </c>
      <c r="DO60" s="2">
        <v>0</v>
      </c>
      <c r="DP60" s="2">
        <v>1</v>
      </c>
      <c r="DQ60" s="2">
        <v>1</v>
      </c>
      <c r="DR60" s="2"/>
      <c r="DS60" s="2"/>
      <c r="DT60" s="2"/>
      <c r="DU60" s="2">
        <v>1013</v>
      </c>
      <c r="DV60" s="2" t="s">
        <v>27</v>
      </c>
      <c r="DW60" s="2" t="s">
        <v>27</v>
      </c>
      <c r="DX60" s="2">
        <v>1</v>
      </c>
      <c r="DY60" s="2"/>
      <c r="DZ60" s="2" t="s">
        <v>3</v>
      </c>
      <c r="EA60" s="2" t="s">
        <v>3</v>
      </c>
      <c r="EB60" s="2" t="s">
        <v>3</v>
      </c>
      <c r="EC60" s="2" t="s">
        <v>3</v>
      </c>
      <c r="ED60" s="2"/>
      <c r="EE60" s="2">
        <v>50991764</v>
      </c>
      <c r="EF60" s="2">
        <v>3</v>
      </c>
      <c r="EG60" s="2" t="s">
        <v>14</v>
      </c>
      <c r="EH60" s="2">
        <v>0</v>
      </c>
      <c r="EI60" s="2" t="s">
        <v>3</v>
      </c>
      <c r="EJ60" s="2">
        <v>2</v>
      </c>
      <c r="EK60" s="2">
        <v>110006</v>
      </c>
      <c r="EL60" s="2" t="s">
        <v>139</v>
      </c>
      <c r="EM60" s="2" t="s">
        <v>140</v>
      </c>
      <c r="EN60" s="2"/>
      <c r="EO60" s="2" t="s">
        <v>3</v>
      </c>
      <c r="EP60" s="2"/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2">
        <v>0</v>
      </c>
      <c r="EX60" s="2">
        <v>0</v>
      </c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>
        <v>0</v>
      </c>
      <c r="FR60" s="2">
        <v>0</v>
      </c>
      <c r="FS60" s="2">
        <v>0</v>
      </c>
      <c r="FT60" s="2"/>
      <c r="FU60" s="2"/>
      <c r="FV60" s="2"/>
      <c r="FW60" s="2"/>
      <c r="FX60" s="2">
        <v>90</v>
      </c>
      <c r="FY60" s="2">
        <v>46</v>
      </c>
      <c r="FZ60" s="2"/>
      <c r="GA60" s="2" t="s">
        <v>3</v>
      </c>
      <c r="GB60" s="2"/>
      <c r="GC60" s="2"/>
      <c r="GD60" s="2">
        <v>1</v>
      </c>
      <c r="GE60" s="2"/>
      <c r="GF60" s="2">
        <v>274903907</v>
      </c>
      <c r="GG60" s="2">
        <v>2</v>
      </c>
      <c r="GH60" s="2">
        <v>1</v>
      </c>
      <c r="GI60" s="2">
        <v>-2</v>
      </c>
      <c r="GJ60" s="2">
        <v>0</v>
      </c>
      <c r="GK60" s="2">
        <v>0</v>
      </c>
      <c r="GL60" s="2">
        <f t="shared" ref="GL60:GL82" si="84">ROUND(IF(AND(BH60=3,BI60=3,FS60&lt;&gt;0),P60,0),2)</f>
        <v>0</v>
      </c>
      <c r="GM60" s="2">
        <f t="shared" ref="GM60:GM82" si="85">ROUND(O60+X60+Y60,2)+GX60</f>
        <v>8.2799999999999994</v>
      </c>
      <c r="GN60" s="2">
        <f t="shared" ref="GN60:GN82" si="86">IF(OR(BI60=0,BI60=1),GM60-GX60,0)</f>
        <v>0</v>
      </c>
      <c r="GO60" s="2">
        <f t="shared" ref="GO60:GO82" si="87">IF(BI60=2,GM60-GX60,0)</f>
        <v>8.2799999999999994</v>
      </c>
      <c r="GP60" s="2">
        <f t="shared" ref="GP60:GP82" si="88">IF(BI60=4,GM60-GX60,0)</f>
        <v>0</v>
      </c>
      <c r="GQ60" s="2"/>
      <c r="GR60" s="2">
        <v>0</v>
      </c>
      <c r="GS60" s="2">
        <v>3</v>
      </c>
      <c r="GT60" s="2">
        <v>0</v>
      </c>
      <c r="GU60" s="2" t="s">
        <v>3</v>
      </c>
      <c r="GV60" s="2">
        <f t="shared" ref="GV60:GV82" si="89">ROUND((GT60),6)</f>
        <v>0</v>
      </c>
      <c r="GW60" s="2">
        <v>1</v>
      </c>
      <c r="GX60" s="2">
        <f t="shared" ref="GX60:GX82" si="90">ROUND(HC60*I60,2)</f>
        <v>0</v>
      </c>
      <c r="GY60" s="2"/>
      <c r="GZ60" s="2"/>
      <c r="HA60" s="2">
        <v>0</v>
      </c>
      <c r="HB60" s="2">
        <v>0</v>
      </c>
      <c r="HC60" s="2">
        <f>0</f>
        <v>0</v>
      </c>
      <c r="HD60" s="2"/>
      <c r="HE60" s="2" t="s">
        <v>3</v>
      </c>
      <c r="HF60" s="2" t="s">
        <v>3</v>
      </c>
      <c r="HG60" s="2"/>
      <c r="HH60" s="2"/>
      <c r="HI60" s="2"/>
      <c r="HJ60" s="2"/>
      <c r="HK60" s="2"/>
      <c r="HL60" s="2"/>
      <c r="HM60" s="2" t="s">
        <v>3</v>
      </c>
      <c r="HN60" s="2" t="s">
        <v>141</v>
      </c>
      <c r="HO60" s="2" t="s">
        <v>142</v>
      </c>
      <c r="HP60" s="2" t="s">
        <v>139</v>
      </c>
      <c r="HQ60" s="2" t="s">
        <v>139</v>
      </c>
      <c r="HR60" s="2"/>
      <c r="HS60" s="2">
        <v>0</v>
      </c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>
        <v>0</v>
      </c>
      <c r="IL60" s="2"/>
      <c r="IM60" s="2"/>
      <c r="IN60" s="2"/>
      <c r="IO60" s="2"/>
      <c r="IP60" s="2"/>
      <c r="IQ60" s="2"/>
      <c r="IR60" s="2"/>
      <c r="IS60" s="2"/>
      <c r="IT60" s="2"/>
      <c r="IU60" s="2"/>
    </row>
    <row r="61" spans="1:255" x14ac:dyDescent="0.2">
      <c r="A61" s="2">
        <v>18</v>
      </c>
      <c r="B61" s="2">
        <v>1</v>
      </c>
      <c r="C61" s="2">
        <v>49</v>
      </c>
      <c r="D61" s="2"/>
      <c r="E61" s="2" t="s">
        <v>144</v>
      </c>
      <c r="F61" s="2" t="s">
        <v>124</v>
      </c>
      <c r="G61" s="2" t="s">
        <v>125</v>
      </c>
      <c r="H61" s="2" t="s">
        <v>126</v>
      </c>
      <c r="I61" s="2">
        <f>I59*J61</f>
        <v>1E-3</v>
      </c>
      <c r="J61" s="2">
        <v>0.01</v>
      </c>
      <c r="K61" s="2">
        <v>0.01</v>
      </c>
      <c r="L61" s="2"/>
      <c r="M61" s="2"/>
      <c r="N61" s="2"/>
      <c r="O61" s="2">
        <f>ROUND(CP61,2)</f>
        <v>0</v>
      </c>
      <c r="P61" s="2">
        <f>ROUND(CQ61*I61,2)</f>
        <v>0</v>
      </c>
      <c r="Q61" s="2">
        <f>ROUND(CR61*I61,2)</f>
        <v>0</v>
      </c>
      <c r="R61" s="2">
        <f>ROUND(CS61*I61,2)</f>
        <v>0</v>
      </c>
      <c r="S61" s="2">
        <f>ROUND(CT61*I61,2)</f>
        <v>0</v>
      </c>
      <c r="T61" s="2">
        <f t="shared" si="75"/>
        <v>0</v>
      </c>
      <c r="U61" s="2">
        <f>ROUND(CV61*I61,7)</f>
        <v>0</v>
      </c>
      <c r="V61" s="2">
        <f>ROUND(CW61*I61,7)</f>
        <v>0</v>
      </c>
      <c r="W61" s="2">
        <f t="shared" si="76"/>
        <v>0</v>
      </c>
      <c r="X61" s="2">
        <f t="shared" si="77"/>
        <v>0</v>
      </c>
      <c r="Y61" s="2">
        <f t="shared" si="78"/>
        <v>0</v>
      </c>
      <c r="Z61" s="2"/>
      <c r="AA61" s="2">
        <v>52718353</v>
      </c>
      <c r="AB61" s="2">
        <f t="shared" si="79"/>
        <v>0</v>
      </c>
      <c r="AC61" s="2">
        <f>ROUND((ES61),6)</f>
        <v>0</v>
      </c>
      <c r="AD61" s="2">
        <f>ROUND((((ET61)-(EU61))+AE61),6)</f>
        <v>0</v>
      </c>
      <c r="AE61" s="2">
        <f t="shared" si="80"/>
        <v>0</v>
      </c>
      <c r="AF61" s="2">
        <f t="shared" si="80"/>
        <v>0</v>
      </c>
      <c r="AG61" s="2">
        <f t="shared" si="81"/>
        <v>0</v>
      </c>
      <c r="AH61" s="2">
        <f t="shared" si="82"/>
        <v>0</v>
      </c>
      <c r="AI61" s="2">
        <f t="shared" si="82"/>
        <v>0</v>
      </c>
      <c r="AJ61" s="2">
        <f t="shared" si="83"/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90</v>
      </c>
      <c r="AU61" s="2">
        <v>46</v>
      </c>
      <c r="AV61" s="2">
        <v>1</v>
      </c>
      <c r="AW61" s="2">
        <v>1</v>
      </c>
      <c r="AX61" s="2"/>
      <c r="AY61" s="2"/>
      <c r="AZ61" s="2">
        <v>1</v>
      </c>
      <c r="BA61" s="2">
        <v>1</v>
      </c>
      <c r="BB61" s="2">
        <v>1</v>
      </c>
      <c r="BC61" s="2">
        <v>1</v>
      </c>
      <c r="BD61" s="2" t="s">
        <v>3</v>
      </c>
      <c r="BE61" s="2" t="s">
        <v>3</v>
      </c>
      <c r="BF61" s="2" t="s">
        <v>3</v>
      </c>
      <c r="BG61" s="2" t="s">
        <v>3</v>
      </c>
      <c r="BH61" s="2">
        <v>3</v>
      </c>
      <c r="BI61" s="2">
        <v>2</v>
      </c>
      <c r="BJ61" s="2" t="s">
        <v>3</v>
      </c>
      <c r="BK61" s="2"/>
      <c r="BL61" s="2"/>
      <c r="BM61" s="2">
        <v>110006</v>
      </c>
      <c r="BN61" s="2">
        <v>0</v>
      </c>
      <c r="BO61" s="2" t="s">
        <v>3</v>
      </c>
      <c r="BP61" s="2">
        <v>0</v>
      </c>
      <c r="BQ61" s="2">
        <v>3</v>
      </c>
      <c r="BR61" s="2">
        <v>0</v>
      </c>
      <c r="BS61" s="2">
        <v>1</v>
      </c>
      <c r="BT61" s="2">
        <v>1</v>
      </c>
      <c r="BU61" s="2">
        <v>1</v>
      </c>
      <c r="BV61" s="2">
        <v>1</v>
      </c>
      <c r="BW61" s="2">
        <v>1</v>
      </c>
      <c r="BX61" s="2">
        <v>1</v>
      </c>
      <c r="BY61" s="2" t="s">
        <v>3</v>
      </c>
      <c r="BZ61" s="2">
        <v>90</v>
      </c>
      <c r="CA61" s="2">
        <v>46</v>
      </c>
      <c r="CB61" s="2" t="s">
        <v>3</v>
      </c>
      <c r="CC61" s="2"/>
      <c r="CD61" s="2"/>
      <c r="CE61" s="2">
        <v>0</v>
      </c>
      <c r="CF61" s="2">
        <v>0</v>
      </c>
      <c r="CG61" s="2">
        <v>0</v>
      </c>
      <c r="CH61" s="2"/>
      <c r="CI61" s="2"/>
      <c r="CJ61" s="2"/>
      <c r="CK61" s="2"/>
      <c r="CL61" s="2"/>
      <c r="CM61" s="2">
        <v>0</v>
      </c>
      <c r="CN61" s="2" t="s">
        <v>3</v>
      </c>
      <c r="CO61" s="2">
        <v>0</v>
      </c>
      <c r="CP61" s="2">
        <f>(P61+Q61+S61+R61)</f>
        <v>0</v>
      </c>
      <c r="CQ61" s="2">
        <f>ROUND(AL61*BC61,2)</f>
        <v>0</v>
      </c>
      <c r="CR61" s="2">
        <f>ROUND(AM61*BB61,2)</f>
        <v>0</v>
      </c>
      <c r="CS61" s="2">
        <f>ROUND(AN61*BS61,2)</f>
        <v>0</v>
      </c>
      <c r="CT61" s="2">
        <f>ROUND(AO61*BA61,2)</f>
        <v>0</v>
      </c>
      <c r="CU61" s="2">
        <f t="shared" ref="CU61:CX64" si="91">AG61</f>
        <v>0</v>
      </c>
      <c r="CV61" s="2">
        <f t="shared" si="91"/>
        <v>0</v>
      </c>
      <c r="CW61" s="2">
        <f t="shared" si="91"/>
        <v>0</v>
      </c>
      <c r="CX61" s="2">
        <f t="shared" si="91"/>
        <v>0</v>
      </c>
      <c r="CY61" s="2">
        <f>(((S61+R61)*AT61)/100)</f>
        <v>0</v>
      </c>
      <c r="CZ61" s="2">
        <f>(((S61+R61)*AU61)/100)</f>
        <v>0</v>
      </c>
      <c r="DA61" s="2"/>
      <c r="DB61" s="2"/>
      <c r="DC61" s="2" t="s">
        <v>3</v>
      </c>
      <c r="DD61" s="2" t="s">
        <v>3</v>
      </c>
      <c r="DE61" s="2" t="s">
        <v>3</v>
      </c>
      <c r="DF61" s="2" t="s">
        <v>3</v>
      </c>
      <c r="DG61" s="2" t="s">
        <v>3</v>
      </c>
      <c r="DH61" s="2" t="s">
        <v>3</v>
      </c>
      <c r="DI61" s="2" t="s">
        <v>3</v>
      </c>
      <c r="DJ61" s="2" t="s">
        <v>3</v>
      </c>
      <c r="DK61" s="2" t="s">
        <v>3</v>
      </c>
      <c r="DL61" s="2" t="s">
        <v>3</v>
      </c>
      <c r="DM61" s="2" t="s">
        <v>3</v>
      </c>
      <c r="DN61" s="2">
        <v>0</v>
      </c>
      <c r="DO61" s="2">
        <v>0</v>
      </c>
      <c r="DP61" s="2">
        <v>1</v>
      </c>
      <c r="DQ61" s="2">
        <v>1</v>
      </c>
      <c r="DR61" s="2"/>
      <c r="DS61" s="2"/>
      <c r="DT61" s="2"/>
      <c r="DU61" s="2">
        <v>1009</v>
      </c>
      <c r="DV61" s="2" t="s">
        <v>126</v>
      </c>
      <c r="DW61" s="2" t="s">
        <v>126</v>
      </c>
      <c r="DX61" s="2">
        <v>1000</v>
      </c>
      <c r="DY61" s="2"/>
      <c r="DZ61" s="2" t="s">
        <v>3</v>
      </c>
      <c r="EA61" s="2" t="s">
        <v>3</v>
      </c>
      <c r="EB61" s="2" t="s">
        <v>3</v>
      </c>
      <c r="EC61" s="2" t="s">
        <v>3</v>
      </c>
      <c r="ED61" s="2"/>
      <c r="EE61" s="2">
        <v>50991764</v>
      </c>
      <c r="EF61" s="2">
        <v>3</v>
      </c>
      <c r="EG61" s="2" t="s">
        <v>14</v>
      </c>
      <c r="EH61" s="2">
        <v>0</v>
      </c>
      <c r="EI61" s="2" t="s">
        <v>3</v>
      </c>
      <c r="EJ61" s="2">
        <v>2</v>
      </c>
      <c r="EK61" s="2">
        <v>110006</v>
      </c>
      <c r="EL61" s="2" t="s">
        <v>139</v>
      </c>
      <c r="EM61" s="2" t="s">
        <v>140</v>
      </c>
      <c r="EN61" s="2"/>
      <c r="EO61" s="2" t="s">
        <v>3</v>
      </c>
      <c r="EP61" s="2"/>
      <c r="EQ61" s="2">
        <v>0</v>
      </c>
      <c r="ER61" s="2">
        <v>0</v>
      </c>
      <c r="ES61" s="2">
        <v>0</v>
      </c>
      <c r="ET61" s="2">
        <v>0</v>
      </c>
      <c r="EU61" s="2">
        <v>0</v>
      </c>
      <c r="EV61" s="2">
        <v>0</v>
      </c>
      <c r="EW61" s="2">
        <v>0</v>
      </c>
      <c r="EX61" s="2">
        <v>0</v>
      </c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>
        <v>0</v>
      </c>
      <c r="FR61" s="2">
        <v>0</v>
      </c>
      <c r="FS61" s="2">
        <v>0</v>
      </c>
      <c r="FT61" s="2"/>
      <c r="FU61" s="2"/>
      <c r="FV61" s="2"/>
      <c r="FW61" s="2"/>
      <c r="FX61" s="2">
        <v>90</v>
      </c>
      <c r="FY61" s="2">
        <v>46</v>
      </c>
      <c r="FZ61" s="2"/>
      <c r="GA61" s="2" t="s">
        <v>3</v>
      </c>
      <c r="GB61" s="2"/>
      <c r="GC61" s="2"/>
      <c r="GD61" s="2">
        <v>1</v>
      </c>
      <c r="GE61" s="2"/>
      <c r="GF61" s="2">
        <v>1392189009</v>
      </c>
      <c r="GG61" s="2">
        <v>2</v>
      </c>
      <c r="GH61" s="2">
        <v>1</v>
      </c>
      <c r="GI61" s="2">
        <v>-2</v>
      </c>
      <c r="GJ61" s="2">
        <v>0</v>
      </c>
      <c r="GK61" s="2">
        <v>0</v>
      </c>
      <c r="GL61" s="2">
        <f t="shared" si="84"/>
        <v>0</v>
      </c>
      <c r="GM61" s="2">
        <f t="shared" si="85"/>
        <v>0</v>
      </c>
      <c r="GN61" s="2">
        <f t="shared" si="86"/>
        <v>0</v>
      </c>
      <c r="GO61" s="2">
        <f t="shared" si="87"/>
        <v>0</v>
      </c>
      <c r="GP61" s="2">
        <f t="shared" si="88"/>
        <v>0</v>
      </c>
      <c r="GQ61" s="2"/>
      <c r="GR61" s="2">
        <v>0</v>
      </c>
      <c r="GS61" s="2">
        <v>3</v>
      </c>
      <c r="GT61" s="2">
        <v>0</v>
      </c>
      <c r="GU61" s="2" t="s">
        <v>3</v>
      </c>
      <c r="GV61" s="2">
        <f t="shared" si="89"/>
        <v>0</v>
      </c>
      <c r="GW61" s="2">
        <v>1</v>
      </c>
      <c r="GX61" s="2">
        <f t="shared" si="90"/>
        <v>0</v>
      </c>
      <c r="GY61" s="2"/>
      <c r="GZ61" s="2"/>
      <c r="HA61" s="2">
        <v>0</v>
      </c>
      <c r="HB61" s="2">
        <v>0</v>
      </c>
      <c r="HC61" s="2">
        <f>GV61*GW61</f>
        <v>0</v>
      </c>
      <c r="HD61" s="2"/>
      <c r="HE61" s="2" t="s">
        <v>3</v>
      </c>
      <c r="HF61" s="2" t="s">
        <v>3</v>
      </c>
      <c r="HG61" s="2"/>
      <c r="HH61" s="2"/>
      <c r="HI61" s="2"/>
      <c r="HJ61" s="2"/>
      <c r="HK61" s="2"/>
      <c r="HL61" s="2"/>
      <c r="HM61" s="2" t="s">
        <v>3</v>
      </c>
      <c r="HN61" s="2" t="s">
        <v>141</v>
      </c>
      <c r="HO61" s="2" t="s">
        <v>142</v>
      </c>
      <c r="HP61" s="2" t="s">
        <v>139</v>
      </c>
      <c r="HQ61" s="2" t="s">
        <v>139</v>
      </c>
      <c r="HR61" s="2"/>
      <c r="HS61" s="2">
        <v>0</v>
      </c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>
        <v>0</v>
      </c>
      <c r="IL61" s="2"/>
      <c r="IM61" s="2"/>
      <c r="IN61" s="2"/>
      <c r="IO61" s="2"/>
      <c r="IP61" s="2"/>
      <c r="IQ61" s="2"/>
      <c r="IR61" s="2"/>
      <c r="IS61" s="2"/>
      <c r="IT61" s="2"/>
      <c r="IU61" s="2"/>
    </row>
    <row r="62" spans="1:255" x14ac:dyDescent="0.2">
      <c r="A62" s="2">
        <v>17</v>
      </c>
      <c r="B62" s="2">
        <v>1</v>
      </c>
      <c r="C62" s="2"/>
      <c r="D62" s="2"/>
      <c r="E62" s="2" t="s">
        <v>145</v>
      </c>
      <c r="F62" s="2" t="s">
        <v>146</v>
      </c>
      <c r="G62" s="2" t="s">
        <v>147</v>
      </c>
      <c r="H62" s="2" t="s">
        <v>56</v>
      </c>
      <c r="I62" s="2">
        <f>ROUND(3/100,7)</f>
        <v>0.03</v>
      </c>
      <c r="J62" s="2">
        <v>0</v>
      </c>
      <c r="K62" s="2">
        <f>ROUND(3/100,7)</f>
        <v>0.03</v>
      </c>
      <c r="L62" s="2"/>
      <c r="M62" s="2"/>
      <c r="N62" s="2"/>
      <c r="O62" s="2">
        <f>ROUND(CP62,2)</f>
        <v>1271.24</v>
      </c>
      <c r="P62" s="2">
        <f>ROUND(CQ62*I62,2)</f>
        <v>1271.24</v>
      </c>
      <c r="Q62" s="2">
        <f>ROUND(CR62*I62,2)</f>
        <v>0</v>
      </c>
      <c r="R62" s="2">
        <f>ROUND(CS62*I62,2)</f>
        <v>0</v>
      </c>
      <c r="S62" s="2">
        <f>ROUND(CT62*I62,2)</f>
        <v>0</v>
      </c>
      <c r="T62" s="2">
        <f t="shared" si="75"/>
        <v>0</v>
      </c>
      <c r="U62" s="2">
        <f>ROUND(CV62*I62,7)</f>
        <v>0</v>
      </c>
      <c r="V62" s="2">
        <f>ROUND(CW62*I62,7)</f>
        <v>0</v>
      </c>
      <c r="W62" s="2">
        <f t="shared" si="76"/>
        <v>0</v>
      </c>
      <c r="X62" s="2">
        <f t="shared" si="77"/>
        <v>0</v>
      </c>
      <c r="Y62" s="2">
        <f t="shared" si="78"/>
        <v>0</v>
      </c>
      <c r="Z62" s="2"/>
      <c r="AA62" s="2">
        <v>52718353</v>
      </c>
      <c r="AB62" s="2">
        <f t="shared" si="79"/>
        <v>33899.769999999997</v>
      </c>
      <c r="AC62" s="2">
        <f>ROUND((ES62),6)</f>
        <v>33899.769999999997</v>
      </c>
      <c r="AD62" s="2">
        <f>ROUND((((ET62)-(EU62))+AE62),6)</f>
        <v>0</v>
      </c>
      <c r="AE62" s="2">
        <f t="shared" si="80"/>
        <v>0</v>
      </c>
      <c r="AF62" s="2">
        <f t="shared" si="80"/>
        <v>0</v>
      </c>
      <c r="AG62" s="2">
        <f t="shared" si="81"/>
        <v>0</v>
      </c>
      <c r="AH62" s="2">
        <f t="shared" si="82"/>
        <v>0</v>
      </c>
      <c r="AI62" s="2">
        <f t="shared" si="82"/>
        <v>0</v>
      </c>
      <c r="AJ62" s="2">
        <f t="shared" si="83"/>
        <v>0</v>
      </c>
      <c r="AK62" s="2">
        <v>33899.769999999997</v>
      </c>
      <c r="AL62" s="2">
        <v>33899.769999999997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1</v>
      </c>
      <c r="AW62" s="2">
        <v>1</v>
      </c>
      <c r="AX62" s="2"/>
      <c r="AY62" s="2"/>
      <c r="AZ62" s="2">
        <v>1</v>
      </c>
      <c r="BA62" s="2">
        <v>1</v>
      </c>
      <c r="BB62" s="2">
        <v>1</v>
      </c>
      <c r="BC62" s="2">
        <v>1.25</v>
      </c>
      <c r="BD62" s="2" t="s">
        <v>3</v>
      </c>
      <c r="BE62" s="2" t="s">
        <v>3</v>
      </c>
      <c r="BF62" s="2" t="s">
        <v>3</v>
      </c>
      <c r="BG62" s="2" t="s">
        <v>3</v>
      </c>
      <c r="BH62" s="2">
        <v>3</v>
      </c>
      <c r="BI62" s="2">
        <v>2</v>
      </c>
      <c r="BJ62" s="2" t="s">
        <v>148</v>
      </c>
      <c r="BK62" s="2"/>
      <c r="BL62" s="2"/>
      <c r="BM62" s="2">
        <v>500002</v>
      </c>
      <c r="BN62" s="2">
        <v>0</v>
      </c>
      <c r="BO62" s="2" t="s">
        <v>146</v>
      </c>
      <c r="BP62" s="2">
        <v>1</v>
      </c>
      <c r="BQ62" s="2">
        <v>12</v>
      </c>
      <c r="BR62" s="2">
        <v>0</v>
      </c>
      <c r="BS62" s="2">
        <v>1</v>
      </c>
      <c r="BT62" s="2">
        <v>1</v>
      </c>
      <c r="BU62" s="2">
        <v>1</v>
      </c>
      <c r="BV62" s="2">
        <v>1</v>
      </c>
      <c r="BW62" s="2">
        <v>1</v>
      </c>
      <c r="BX62" s="2">
        <v>1</v>
      </c>
      <c r="BY62" s="2" t="s">
        <v>3</v>
      </c>
      <c r="BZ62" s="2">
        <v>0</v>
      </c>
      <c r="CA62" s="2">
        <v>0</v>
      </c>
      <c r="CB62" s="2" t="s">
        <v>3</v>
      </c>
      <c r="CC62" s="2"/>
      <c r="CD62" s="2"/>
      <c r="CE62" s="2">
        <v>0</v>
      </c>
      <c r="CF62" s="2">
        <v>0</v>
      </c>
      <c r="CG62" s="2">
        <v>0</v>
      </c>
      <c r="CH62" s="2"/>
      <c r="CI62" s="2"/>
      <c r="CJ62" s="2"/>
      <c r="CK62" s="2"/>
      <c r="CL62" s="2"/>
      <c r="CM62" s="2">
        <v>0</v>
      </c>
      <c r="CN62" s="2" t="s">
        <v>3</v>
      </c>
      <c r="CO62" s="2">
        <v>0</v>
      </c>
      <c r="CP62" s="2">
        <f>(P62+Q62+S62+R62)</f>
        <v>1271.24</v>
      </c>
      <c r="CQ62" s="2">
        <f>ROUND(AL62*BC62,2)</f>
        <v>42374.71</v>
      </c>
      <c r="CR62" s="2">
        <f>ROUND(AM62*BB62,2)</f>
        <v>0</v>
      </c>
      <c r="CS62" s="2">
        <f>ROUND(AN62*BS62,2)</f>
        <v>0</v>
      </c>
      <c r="CT62" s="2">
        <f>ROUND(AO62*BA62,2)</f>
        <v>0</v>
      </c>
      <c r="CU62" s="2">
        <f t="shared" si="91"/>
        <v>0</v>
      </c>
      <c r="CV62" s="2">
        <f t="shared" si="91"/>
        <v>0</v>
      </c>
      <c r="CW62" s="2">
        <f t="shared" si="91"/>
        <v>0</v>
      </c>
      <c r="CX62" s="2">
        <f t="shared" si="91"/>
        <v>0</v>
      </c>
      <c r="CY62" s="2">
        <f>0</f>
        <v>0</v>
      </c>
      <c r="CZ62" s="2">
        <f>0</f>
        <v>0</v>
      </c>
      <c r="DA62" s="2"/>
      <c r="DB62" s="2"/>
      <c r="DC62" s="2" t="s">
        <v>3</v>
      </c>
      <c r="DD62" s="2" t="s">
        <v>3</v>
      </c>
      <c r="DE62" s="2" t="s">
        <v>3</v>
      </c>
      <c r="DF62" s="2" t="s">
        <v>3</v>
      </c>
      <c r="DG62" s="2" t="s">
        <v>3</v>
      </c>
      <c r="DH62" s="2" t="s">
        <v>3</v>
      </c>
      <c r="DI62" s="2" t="s">
        <v>3</v>
      </c>
      <c r="DJ62" s="2" t="s">
        <v>3</v>
      </c>
      <c r="DK62" s="2" t="s">
        <v>3</v>
      </c>
      <c r="DL62" s="2" t="s">
        <v>3</v>
      </c>
      <c r="DM62" s="2" t="s">
        <v>3</v>
      </c>
      <c r="DN62" s="2">
        <v>0</v>
      </c>
      <c r="DO62" s="2">
        <v>0</v>
      </c>
      <c r="DP62" s="2">
        <v>1</v>
      </c>
      <c r="DQ62" s="2">
        <v>1</v>
      </c>
      <c r="DR62" s="2"/>
      <c r="DS62" s="2"/>
      <c r="DT62" s="2"/>
      <c r="DU62" s="2">
        <v>1013</v>
      </c>
      <c r="DV62" s="2" t="s">
        <v>56</v>
      </c>
      <c r="DW62" s="2" t="s">
        <v>56</v>
      </c>
      <c r="DX62" s="2">
        <v>1</v>
      </c>
      <c r="DY62" s="2"/>
      <c r="DZ62" s="2" t="s">
        <v>3</v>
      </c>
      <c r="EA62" s="2" t="s">
        <v>3</v>
      </c>
      <c r="EB62" s="2" t="s">
        <v>3</v>
      </c>
      <c r="EC62" s="2" t="s">
        <v>3</v>
      </c>
      <c r="ED62" s="2"/>
      <c r="EE62" s="2">
        <v>50991777</v>
      </c>
      <c r="EF62" s="2">
        <v>12</v>
      </c>
      <c r="EG62" s="2" t="s">
        <v>50</v>
      </c>
      <c r="EH62" s="2">
        <v>0</v>
      </c>
      <c r="EI62" s="2" t="s">
        <v>3</v>
      </c>
      <c r="EJ62" s="2">
        <v>2</v>
      </c>
      <c r="EK62" s="2">
        <v>500002</v>
      </c>
      <c r="EL62" s="2" t="s">
        <v>51</v>
      </c>
      <c r="EM62" s="2" t="s">
        <v>52</v>
      </c>
      <c r="EN62" s="2"/>
      <c r="EO62" s="2" t="s">
        <v>3</v>
      </c>
      <c r="EP62" s="2"/>
      <c r="EQ62" s="2">
        <v>0</v>
      </c>
      <c r="ER62" s="2">
        <v>33899.769999999997</v>
      </c>
      <c r="ES62" s="2">
        <v>33899.769999999997</v>
      </c>
      <c r="ET62" s="2">
        <v>0</v>
      </c>
      <c r="EU62" s="2">
        <v>0</v>
      </c>
      <c r="EV62" s="2">
        <v>0</v>
      </c>
      <c r="EW62" s="2">
        <v>0</v>
      </c>
      <c r="EX62" s="2">
        <v>0</v>
      </c>
      <c r="EY62" s="2">
        <v>0</v>
      </c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>
        <v>0</v>
      </c>
      <c r="FR62" s="2">
        <v>0</v>
      </c>
      <c r="FS62" s="2">
        <v>0</v>
      </c>
      <c r="FT62" s="2"/>
      <c r="FU62" s="2"/>
      <c r="FV62" s="2"/>
      <c r="FW62" s="2"/>
      <c r="FX62" s="2">
        <v>0</v>
      </c>
      <c r="FY62" s="2">
        <v>0</v>
      </c>
      <c r="FZ62" s="2"/>
      <c r="GA62" s="2" t="s">
        <v>3</v>
      </c>
      <c r="GB62" s="2"/>
      <c r="GC62" s="2"/>
      <c r="GD62" s="2">
        <v>1</v>
      </c>
      <c r="GE62" s="2"/>
      <c r="GF62" s="2">
        <v>-941518842</v>
      </c>
      <c r="GG62" s="2">
        <v>2</v>
      </c>
      <c r="GH62" s="2">
        <v>1</v>
      </c>
      <c r="GI62" s="2">
        <v>2</v>
      </c>
      <c r="GJ62" s="2">
        <v>0</v>
      </c>
      <c r="GK62" s="2">
        <v>0</v>
      </c>
      <c r="GL62" s="2">
        <f t="shared" si="84"/>
        <v>0</v>
      </c>
      <c r="GM62" s="2">
        <f t="shared" si="85"/>
        <v>1271.24</v>
      </c>
      <c r="GN62" s="2">
        <f t="shared" si="86"/>
        <v>0</v>
      </c>
      <c r="GO62" s="2">
        <f t="shared" si="87"/>
        <v>1271.24</v>
      </c>
      <c r="GP62" s="2">
        <f t="shared" si="88"/>
        <v>0</v>
      </c>
      <c r="GQ62" s="2"/>
      <c r="GR62" s="2">
        <v>0</v>
      </c>
      <c r="GS62" s="2">
        <v>3</v>
      </c>
      <c r="GT62" s="2">
        <v>0</v>
      </c>
      <c r="GU62" s="2" t="s">
        <v>3</v>
      </c>
      <c r="GV62" s="2">
        <f t="shared" si="89"/>
        <v>0</v>
      </c>
      <c r="GW62" s="2">
        <v>1</v>
      </c>
      <c r="GX62" s="2">
        <f t="shared" si="90"/>
        <v>0</v>
      </c>
      <c r="GY62" s="2"/>
      <c r="GZ62" s="2"/>
      <c r="HA62" s="2">
        <v>0</v>
      </c>
      <c r="HB62" s="2">
        <v>0</v>
      </c>
      <c r="HC62" s="2">
        <f>GV62*GW62</f>
        <v>0</v>
      </c>
      <c r="HD62" s="2"/>
      <c r="HE62" s="2" t="s">
        <v>3</v>
      </c>
      <c r="HF62" s="2" t="s">
        <v>3</v>
      </c>
      <c r="HG62" s="2"/>
      <c r="HH62" s="2"/>
      <c r="HI62" s="2"/>
      <c r="HJ62" s="2"/>
      <c r="HK62" s="2"/>
      <c r="HL62" s="2"/>
      <c r="HM62" s="2" t="s">
        <v>3</v>
      </c>
      <c r="HN62" s="2" t="s">
        <v>3</v>
      </c>
      <c r="HO62" s="2" t="s">
        <v>3</v>
      </c>
      <c r="HP62" s="2" t="s">
        <v>3</v>
      </c>
      <c r="HQ62" s="2" t="s">
        <v>3</v>
      </c>
      <c r="HR62" s="2"/>
      <c r="HS62" s="2">
        <v>0</v>
      </c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>
        <v>0</v>
      </c>
      <c r="IL62" s="2"/>
      <c r="IM62" s="2"/>
      <c r="IN62" s="2"/>
      <c r="IO62" s="2"/>
      <c r="IP62" s="2"/>
      <c r="IQ62" s="2"/>
      <c r="IR62" s="2"/>
      <c r="IS62" s="2"/>
      <c r="IT62" s="2"/>
      <c r="IU62" s="2"/>
    </row>
    <row r="63" spans="1:255" x14ac:dyDescent="0.2">
      <c r="A63" s="2">
        <v>17</v>
      </c>
      <c r="B63" s="2">
        <v>1</v>
      </c>
      <c r="C63" s="2"/>
      <c r="D63" s="2"/>
      <c r="E63" s="2" t="s">
        <v>149</v>
      </c>
      <c r="F63" s="2" t="s">
        <v>146</v>
      </c>
      <c r="G63" s="2" t="s">
        <v>150</v>
      </c>
      <c r="H63" s="2" t="s">
        <v>56</v>
      </c>
      <c r="I63" s="2">
        <f>ROUND(5/100,7)</f>
        <v>0.05</v>
      </c>
      <c r="J63" s="2">
        <v>0</v>
      </c>
      <c r="K63" s="2">
        <f>ROUND(5/100,7)</f>
        <v>0.05</v>
      </c>
      <c r="L63" s="2"/>
      <c r="M63" s="2"/>
      <c r="N63" s="2"/>
      <c r="O63" s="2">
        <f>ROUND(CP63,2)</f>
        <v>2118.7399999999998</v>
      </c>
      <c r="P63" s="2">
        <f>ROUND(CQ63*I63,2)</f>
        <v>2118.7399999999998</v>
      </c>
      <c r="Q63" s="2">
        <f>ROUND(CR63*I63,2)</f>
        <v>0</v>
      </c>
      <c r="R63" s="2">
        <f>ROUND(CS63*I63,2)</f>
        <v>0</v>
      </c>
      <c r="S63" s="2">
        <f>ROUND(CT63*I63,2)</f>
        <v>0</v>
      </c>
      <c r="T63" s="2">
        <f t="shared" si="75"/>
        <v>0</v>
      </c>
      <c r="U63" s="2">
        <f>ROUND(CV63*I63,7)</f>
        <v>0</v>
      </c>
      <c r="V63" s="2">
        <f>ROUND(CW63*I63,7)</f>
        <v>0</v>
      </c>
      <c r="W63" s="2">
        <f t="shared" si="76"/>
        <v>0</v>
      </c>
      <c r="X63" s="2">
        <f t="shared" si="77"/>
        <v>0</v>
      </c>
      <c r="Y63" s="2">
        <f t="shared" si="78"/>
        <v>0</v>
      </c>
      <c r="Z63" s="2"/>
      <c r="AA63" s="2">
        <v>52718353</v>
      </c>
      <c r="AB63" s="2">
        <f t="shared" si="79"/>
        <v>33899.769999999997</v>
      </c>
      <c r="AC63" s="2">
        <f>ROUND((ES63),6)</f>
        <v>33899.769999999997</v>
      </c>
      <c r="AD63" s="2">
        <f>ROUND((((ET63)-(EU63))+AE63),6)</f>
        <v>0</v>
      </c>
      <c r="AE63" s="2">
        <f t="shared" si="80"/>
        <v>0</v>
      </c>
      <c r="AF63" s="2">
        <f t="shared" si="80"/>
        <v>0</v>
      </c>
      <c r="AG63" s="2">
        <f t="shared" si="81"/>
        <v>0</v>
      </c>
      <c r="AH63" s="2">
        <f t="shared" si="82"/>
        <v>0</v>
      </c>
      <c r="AI63" s="2">
        <f t="shared" si="82"/>
        <v>0</v>
      </c>
      <c r="AJ63" s="2">
        <f t="shared" si="83"/>
        <v>0</v>
      </c>
      <c r="AK63" s="2">
        <v>33899.769999999997</v>
      </c>
      <c r="AL63" s="2">
        <v>33899.769999999997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1</v>
      </c>
      <c r="AW63" s="2">
        <v>1</v>
      </c>
      <c r="AX63" s="2"/>
      <c r="AY63" s="2"/>
      <c r="AZ63" s="2">
        <v>1</v>
      </c>
      <c r="BA63" s="2">
        <v>1</v>
      </c>
      <c r="BB63" s="2">
        <v>1</v>
      </c>
      <c r="BC63" s="2">
        <v>1.25</v>
      </c>
      <c r="BD63" s="2" t="s">
        <v>3</v>
      </c>
      <c r="BE63" s="2" t="s">
        <v>3</v>
      </c>
      <c r="BF63" s="2" t="s">
        <v>3</v>
      </c>
      <c r="BG63" s="2" t="s">
        <v>3</v>
      </c>
      <c r="BH63" s="2">
        <v>3</v>
      </c>
      <c r="BI63" s="2">
        <v>2</v>
      </c>
      <c r="BJ63" s="2" t="s">
        <v>148</v>
      </c>
      <c r="BK63" s="2"/>
      <c r="BL63" s="2"/>
      <c r="BM63" s="2">
        <v>500002</v>
      </c>
      <c r="BN63" s="2">
        <v>0</v>
      </c>
      <c r="BO63" s="2" t="s">
        <v>146</v>
      </c>
      <c r="BP63" s="2">
        <v>1</v>
      </c>
      <c r="BQ63" s="2">
        <v>12</v>
      </c>
      <c r="BR63" s="2">
        <v>0</v>
      </c>
      <c r="BS63" s="2">
        <v>1</v>
      </c>
      <c r="BT63" s="2">
        <v>1</v>
      </c>
      <c r="BU63" s="2">
        <v>1</v>
      </c>
      <c r="BV63" s="2">
        <v>1</v>
      </c>
      <c r="BW63" s="2">
        <v>1</v>
      </c>
      <c r="BX63" s="2">
        <v>1</v>
      </c>
      <c r="BY63" s="2" t="s">
        <v>3</v>
      </c>
      <c r="BZ63" s="2">
        <v>0</v>
      </c>
      <c r="CA63" s="2">
        <v>0</v>
      </c>
      <c r="CB63" s="2" t="s">
        <v>3</v>
      </c>
      <c r="CC63" s="2"/>
      <c r="CD63" s="2"/>
      <c r="CE63" s="2">
        <v>0</v>
      </c>
      <c r="CF63" s="2">
        <v>0</v>
      </c>
      <c r="CG63" s="2">
        <v>0</v>
      </c>
      <c r="CH63" s="2"/>
      <c r="CI63" s="2"/>
      <c r="CJ63" s="2"/>
      <c r="CK63" s="2"/>
      <c r="CL63" s="2"/>
      <c r="CM63" s="2">
        <v>0</v>
      </c>
      <c r="CN63" s="2" t="s">
        <v>3</v>
      </c>
      <c r="CO63" s="2">
        <v>0</v>
      </c>
      <c r="CP63" s="2">
        <f>(P63+Q63+S63+R63)</f>
        <v>2118.7399999999998</v>
      </c>
      <c r="CQ63" s="2">
        <f>ROUND(AL63*BC63,2)</f>
        <v>42374.71</v>
      </c>
      <c r="CR63" s="2">
        <f>ROUND(AM63*BB63,2)</f>
        <v>0</v>
      </c>
      <c r="CS63" s="2">
        <f>ROUND(AN63*BS63,2)</f>
        <v>0</v>
      </c>
      <c r="CT63" s="2">
        <f>ROUND(AO63*BA63,2)</f>
        <v>0</v>
      </c>
      <c r="CU63" s="2">
        <f t="shared" si="91"/>
        <v>0</v>
      </c>
      <c r="CV63" s="2">
        <f t="shared" si="91"/>
        <v>0</v>
      </c>
      <c r="CW63" s="2">
        <f t="shared" si="91"/>
        <v>0</v>
      </c>
      <c r="CX63" s="2">
        <f t="shared" si="91"/>
        <v>0</v>
      </c>
      <c r="CY63" s="2">
        <f>0</f>
        <v>0</v>
      </c>
      <c r="CZ63" s="2">
        <f>0</f>
        <v>0</v>
      </c>
      <c r="DA63" s="2"/>
      <c r="DB63" s="2"/>
      <c r="DC63" s="2" t="s">
        <v>3</v>
      </c>
      <c r="DD63" s="2" t="s">
        <v>3</v>
      </c>
      <c r="DE63" s="2" t="s">
        <v>3</v>
      </c>
      <c r="DF63" s="2" t="s">
        <v>3</v>
      </c>
      <c r="DG63" s="2" t="s">
        <v>3</v>
      </c>
      <c r="DH63" s="2" t="s">
        <v>3</v>
      </c>
      <c r="DI63" s="2" t="s">
        <v>3</v>
      </c>
      <c r="DJ63" s="2" t="s">
        <v>3</v>
      </c>
      <c r="DK63" s="2" t="s">
        <v>3</v>
      </c>
      <c r="DL63" s="2" t="s">
        <v>3</v>
      </c>
      <c r="DM63" s="2" t="s">
        <v>3</v>
      </c>
      <c r="DN63" s="2">
        <v>0</v>
      </c>
      <c r="DO63" s="2">
        <v>0</v>
      </c>
      <c r="DP63" s="2">
        <v>1</v>
      </c>
      <c r="DQ63" s="2">
        <v>1</v>
      </c>
      <c r="DR63" s="2"/>
      <c r="DS63" s="2"/>
      <c r="DT63" s="2"/>
      <c r="DU63" s="2">
        <v>1013</v>
      </c>
      <c r="DV63" s="2" t="s">
        <v>56</v>
      </c>
      <c r="DW63" s="2" t="s">
        <v>56</v>
      </c>
      <c r="DX63" s="2">
        <v>1</v>
      </c>
      <c r="DY63" s="2"/>
      <c r="DZ63" s="2" t="s">
        <v>3</v>
      </c>
      <c r="EA63" s="2" t="s">
        <v>3</v>
      </c>
      <c r="EB63" s="2" t="s">
        <v>3</v>
      </c>
      <c r="EC63" s="2" t="s">
        <v>3</v>
      </c>
      <c r="ED63" s="2"/>
      <c r="EE63" s="2">
        <v>50991777</v>
      </c>
      <c r="EF63" s="2">
        <v>12</v>
      </c>
      <c r="EG63" s="2" t="s">
        <v>50</v>
      </c>
      <c r="EH63" s="2">
        <v>0</v>
      </c>
      <c r="EI63" s="2" t="s">
        <v>3</v>
      </c>
      <c r="EJ63" s="2">
        <v>2</v>
      </c>
      <c r="EK63" s="2">
        <v>500002</v>
      </c>
      <c r="EL63" s="2" t="s">
        <v>51</v>
      </c>
      <c r="EM63" s="2" t="s">
        <v>52</v>
      </c>
      <c r="EN63" s="2"/>
      <c r="EO63" s="2" t="s">
        <v>3</v>
      </c>
      <c r="EP63" s="2"/>
      <c r="EQ63" s="2">
        <v>0</v>
      </c>
      <c r="ER63" s="2">
        <v>33899.769999999997</v>
      </c>
      <c r="ES63" s="2">
        <v>33899.769999999997</v>
      </c>
      <c r="ET63" s="2">
        <v>0</v>
      </c>
      <c r="EU63" s="2">
        <v>0</v>
      </c>
      <c r="EV63" s="2">
        <v>0</v>
      </c>
      <c r="EW63" s="2">
        <v>0</v>
      </c>
      <c r="EX63" s="2">
        <v>0</v>
      </c>
      <c r="EY63" s="2">
        <v>0</v>
      </c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>
        <v>0</v>
      </c>
      <c r="FR63" s="2">
        <v>0</v>
      </c>
      <c r="FS63" s="2">
        <v>0</v>
      </c>
      <c r="FT63" s="2"/>
      <c r="FU63" s="2"/>
      <c r="FV63" s="2"/>
      <c r="FW63" s="2"/>
      <c r="FX63" s="2">
        <v>0</v>
      </c>
      <c r="FY63" s="2">
        <v>0</v>
      </c>
      <c r="FZ63" s="2"/>
      <c r="GA63" s="2" t="s">
        <v>3</v>
      </c>
      <c r="GB63" s="2"/>
      <c r="GC63" s="2"/>
      <c r="GD63" s="2">
        <v>1</v>
      </c>
      <c r="GE63" s="2"/>
      <c r="GF63" s="2">
        <v>-429752811</v>
      </c>
      <c r="GG63" s="2">
        <v>2</v>
      </c>
      <c r="GH63" s="2">
        <v>1</v>
      </c>
      <c r="GI63" s="2">
        <v>2</v>
      </c>
      <c r="GJ63" s="2">
        <v>0</v>
      </c>
      <c r="GK63" s="2">
        <v>0</v>
      </c>
      <c r="GL63" s="2">
        <f t="shared" si="84"/>
        <v>0</v>
      </c>
      <c r="GM63" s="2">
        <f t="shared" si="85"/>
        <v>2118.7399999999998</v>
      </c>
      <c r="GN63" s="2">
        <f t="shared" si="86"/>
        <v>0</v>
      </c>
      <c r="GO63" s="2">
        <f t="shared" si="87"/>
        <v>2118.7399999999998</v>
      </c>
      <c r="GP63" s="2">
        <f t="shared" si="88"/>
        <v>0</v>
      </c>
      <c r="GQ63" s="2"/>
      <c r="GR63" s="2">
        <v>0</v>
      </c>
      <c r="GS63" s="2">
        <v>3</v>
      </c>
      <c r="GT63" s="2">
        <v>0</v>
      </c>
      <c r="GU63" s="2" t="s">
        <v>3</v>
      </c>
      <c r="GV63" s="2">
        <f t="shared" si="89"/>
        <v>0</v>
      </c>
      <c r="GW63" s="2">
        <v>1</v>
      </c>
      <c r="GX63" s="2">
        <f t="shared" si="90"/>
        <v>0</v>
      </c>
      <c r="GY63" s="2"/>
      <c r="GZ63" s="2"/>
      <c r="HA63" s="2">
        <v>0</v>
      </c>
      <c r="HB63" s="2">
        <v>0</v>
      </c>
      <c r="HC63" s="2">
        <f>GV63*GW63</f>
        <v>0</v>
      </c>
      <c r="HD63" s="2"/>
      <c r="HE63" s="2" t="s">
        <v>3</v>
      </c>
      <c r="HF63" s="2" t="s">
        <v>3</v>
      </c>
      <c r="HG63" s="2"/>
      <c r="HH63" s="2"/>
      <c r="HI63" s="2"/>
      <c r="HJ63" s="2"/>
      <c r="HK63" s="2"/>
      <c r="HL63" s="2"/>
      <c r="HM63" s="2" t="s">
        <v>3</v>
      </c>
      <c r="HN63" s="2" t="s">
        <v>3</v>
      </c>
      <c r="HO63" s="2" t="s">
        <v>3</v>
      </c>
      <c r="HP63" s="2" t="s">
        <v>3</v>
      </c>
      <c r="HQ63" s="2" t="s">
        <v>3</v>
      </c>
      <c r="HR63" s="2"/>
      <c r="HS63" s="2">
        <v>0</v>
      </c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>
        <v>0</v>
      </c>
      <c r="IL63" s="2"/>
      <c r="IM63" s="2"/>
      <c r="IN63" s="2"/>
      <c r="IO63" s="2"/>
      <c r="IP63" s="2"/>
      <c r="IQ63" s="2"/>
      <c r="IR63" s="2"/>
      <c r="IS63" s="2"/>
      <c r="IT63" s="2"/>
      <c r="IU63" s="2"/>
    </row>
    <row r="64" spans="1:255" x14ac:dyDescent="0.2">
      <c r="A64" s="2">
        <v>17</v>
      </c>
      <c r="B64" s="2">
        <v>1</v>
      </c>
      <c r="C64" s="2"/>
      <c r="D64" s="2"/>
      <c r="E64" s="2" t="s">
        <v>151</v>
      </c>
      <c r="F64" s="2" t="s">
        <v>146</v>
      </c>
      <c r="G64" s="2" t="s">
        <v>152</v>
      </c>
      <c r="H64" s="2" t="s">
        <v>56</v>
      </c>
      <c r="I64" s="2">
        <f>ROUND(2/100,7)</f>
        <v>0.02</v>
      </c>
      <c r="J64" s="2">
        <v>0</v>
      </c>
      <c r="K64" s="2">
        <f>ROUND(2/100,7)</f>
        <v>0.02</v>
      </c>
      <c r="L64" s="2"/>
      <c r="M64" s="2"/>
      <c r="N64" s="2"/>
      <c r="O64" s="2">
        <f>ROUND(CP64,2)</f>
        <v>847.49</v>
      </c>
      <c r="P64" s="2">
        <f>ROUND(CQ64*I64,2)</f>
        <v>847.49</v>
      </c>
      <c r="Q64" s="2">
        <f>ROUND(CR64*I64,2)</f>
        <v>0</v>
      </c>
      <c r="R64" s="2">
        <f>ROUND(CS64*I64,2)</f>
        <v>0</v>
      </c>
      <c r="S64" s="2">
        <f>ROUND(CT64*I64,2)</f>
        <v>0</v>
      </c>
      <c r="T64" s="2">
        <f t="shared" si="75"/>
        <v>0</v>
      </c>
      <c r="U64" s="2">
        <f>ROUND(CV64*I64,7)</f>
        <v>0</v>
      </c>
      <c r="V64" s="2">
        <f>ROUND(CW64*I64,7)</f>
        <v>0</v>
      </c>
      <c r="W64" s="2">
        <f t="shared" si="76"/>
        <v>0</v>
      </c>
      <c r="X64" s="2">
        <f t="shared" si="77"/>
        <v>0</v>
      </c>
      <c r="Y64" s="2">
        <f t="shared" si="78"/>
        <v>0</v>
      </c>
      <c r="Z64" s="2"/>
      <c r="AA64" s="2">
        <v>52718353</v>
      </c>
      <c r="AB64" s="2">
        <f t="shared" si="79"/>
        <v>33899.769999999997</v>
      </c>
      <c r="AC64" s="2">
        <f>ROUND((ES64),6)</f>
        <v>33899.769999999997</v>
      </c>
      <c r="AD64" s="2">
        <f>ROUND((((ET64)-(EU64))+AE64),6)</f>
        <v>0</v>
      </c>
      <c r="AE64" s="2">
        <f t="shared" si="80"/>
        <v>0</v>
      </c>
      <c r="AF64" s="2">
        <f t="shared" si="80"/>
        <v>0</v>
      </c>
      <c r="AG64" s="2">
        <f t="shared" si="81"/>
        <v>0</v>
      </c>
      <c r="AH64" s="2">
        <f t="shared" si="82"/>
        <v>0</v>
      </c>
      <c r="AI64" s="2">
        <f t="shared" si="82"/>
        <v>0</v>
      </c>
      <c r="AJ64" s="2">
        <f t="shared" si="83"/>
        <v>0</v>
      </c>
      <c r="AK64" s="2">
        <v>33899.769999999997</v>
      </c>
      <c r="AL64" s="2">
        <v>33899.769999999997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1</v>
      </c>
      <c r="AW64" s="2">
        <v>1</v>
      </c>
      <c r="AX64" s="2"/>
      <c r="AY64" s="2"/>
      <c r="AZ64" s="2">
        <v>1</v>
      </c>
      <c r="BA64" s="2">
        <v>1</v>
      </c>
      <c r="BB64" s="2">
        <v>1</v>
      </c>
      <c r="BC64" s="2">
        <v>1.25</v>
      </c>
      <c r="BD64" s="2" t="s">
        <v>3</v>
      </c>
      <c r="BE64" s="2" t="s">
        <v>3</v>
      </c>
      <c r="BF64" s="2" t="s">
        <v>3</v>
      </c>
      <c r="BG64" s="2" t="s">
        <v>3</v>
      </c>
      <c r="BH64" s="2">
        <v>3</v>
      </c>
      <c r="BI64" s="2">
        <v>2</v>
      </c>
      <c r="BJ64" s="2" t="s">
        <v>148</v>
      </c>
      <c r="BK64" s="2"/>
      <c r="BL64" s="2"/>
      <c r="BM64" s="2">
        <v>500002</v>
      </c>
      <c r="BN64" s="2">
        <v>0</v>
      </c>
      <c r="BO64" s="2" t="s">
        <v>146</v>
      </c>
      <c r="BP64" s="2">
        <v>1</v>
      </c>
      <c r="BQ64" s="2">
        <v>12</v>
      </c>
      <c r="BR64" s="2">
        <v>0</v>
      </c>
      <c r="BS64" s="2">
        <v>1</v>
      </c>
      <c r="BT64" s="2">
        <v>1</v>
      </c>
      <c r="BU64" s="2">
        <v>1</v>
      </c>
      <c r="BV64" s="2">
        <v>1</v>
      </c>
      <c r="BW64" s="2">
        <v>1</v>
      </c>
      <c r="BX64" s="2">
        <v>1</v>
      </c>
      <c r="BY64" s="2" t="s">
        <v>3</v>
      </c>
      <c r="BZ64" s="2">
        <v>0</v>
      </c>
      <c r="CA64" s="2">
        <v>0</v>
      </c>
      <c r="CB64" s="2" t="s">
        <v>3</v>
      </c>
      <c r="CC64" s="2"/>
      <c r="CD64" s="2"/>
      <c r="CE64" s="2">
        <v>0</v>
      </c>
      <c r="CF64" s="2">
        <v>0</v>
      </c>
      <c r="CG64" s="2">
        <v>0</v>
      </c>
      <c r="CH64" s="2"/>
      <c r="CI64" s="2"/>
      <c r="CJ64" s="2"/>
      <c r="CK64" s="2"/>
      <c r="CL64" s="2"/>
      <c r="CM64" s="2">
        <v>0</v>
      </c>
      <c r="CN64" s="2" t="s">
        <v>3</v>
      </c>
      <c r="CO64" s="2">
        <v>0</v>
      </c>
      <c r="CP64" s="2">
        <f>(P64+Q64+S64+R64)</f>
        <v>847.49</v>
      </c>
      <c r="CQ64" s="2">
        <f>ROUND(AL64*BC64,2)</f>
        <v>42374.71</v>
      </c>
      <c r="CR64" s="2">
        <f>ROUND(AM64*BB64,2)</f>
        <v>0</v>
      </c>
      <c r="CS64" s="2">
        <f>ROUND(AN64*BS64,2)</f>
        <v>0</v>
      </c>
      <c r="CT64" s="2">
        <f>ROUND(AO64*BA64,2)</f>
        <v>0</v>
      </c>
      <c r="CU64" s="2">
        <f t="shared" si="91"/>
        <v>0</v>
      </c>
      <c r="CV64" s="2">
        <f t="shared" si="91"/>
        <v>0</v>
      </c>
      <c r="CW64" s="2">
        <f t="shared" si="91"/>
        <v>0</v>
      </c>
      <c r="CX64" s="2">
        <f t="shared" si="91"/>
        <v>0</v>
      </c>
      <c r="CY64" s="2">
        <f>0</f>
        <v>0</v>
      </c>
      <c r="CZ64" s="2">
        <f>0</f>
        <v>0</v>
      </c>
      <c r="DA64" s="2"/>
      <c r="DB64" s="2"/>
      <c r="DC64" s="2" t="s">
        <v>3</v>
      </c>
      <c r="DD64" s="2" t="s">
        <v>3</v>
      </c>
      <c r="DE64" s="2" t="s">
        <v>3</v>
      </c>
      <c r="DF64" s="2" t="s">
        <v>3</v>
      </c>
      <c r="DG64" s="2" t="s">
        <v>3</v>
      </c>
      <c r="DH64" s="2" t="s">
        <v>3</v>
      </c>
      <c r="DI64" s="2" t="s">
        <v>3</v>
      </c>
      <c r="DJ64" s="2" t="s">
        <v>3</v>
      </c>
      <c r="DK64" s="2" t="s">
        <v>3</v>
      </c>
      <c r="DL64" s="2" t="s">
        <v>3</v>
      </c>
      <c r="DM64" s="2" t="s">
        <v>3</v>
      </c>
      <c r="DN64" s="2">
        <v>0</v>
      </c>
      <c r="DO64" s="2">
        <v>0</v>
      </c>
      <c r="DP64" s="2">
        <v>1</v>
      </c>
      <c r="DQ64" s="2">
        <v>1</v>
      </c>
      <c r="DR64" s="2"/>
      <c r="DS64" s="2"/>
      <c r="DT64" s="2"/>
      <c r="DU64" s="2">
        <v>1013</v>
      </c>
      <c r="DV64" s="2" t="s">
        <v>56</v>
      </c>
      <c r="DW64" s="2" t="s">
        <v>56</v>
      </c>
      <c r="DX64" s="2">
        <v>1</v>
      </c>
      <c r="DY64" s="2"/>
      <c r="DZ64" s="2" t="s">
        <v>3</v>
      </c>
      <c r="EA64" s="2" t="s">
        <v>3</v>
      </c>
      <c r="EB64" s="2" t="s">
        <v>3</v>
      </c>
      <c r="EC64" s="2" t="s">
        <v>3</v>
      </c>
      <c r="ED64" s="2"/>
      <c r="EE64" s="2">
        <v>50991777</v>
      </c>
      <c r="EF64" s="2">
        <v>12</v>
      </c>
      <c r="EG64" s="2" t="s">
        <v>50</v>
      </c>
      <c r="EH64" s="2">
        <v>0</v>
      </c>
      <c r="EI64" s="2" t="s">
        <v>3</v>
      </c>
      <c r="EJ64" s="2">
        <v>2</v>
      </c>
      <c r="EK64" s="2">
        <v>500002</v>
      </c>
      <c r="EL64" s="2" t="s">
        <v>51</v>
      </c>
      <c r="EM64" s="2" t="s">
        <v>52</v>
      </c>
      <c r="EN64" s="2"/>
      <c r="EO64" s="2" t="s">
        <v>3</v>
      </c>
      <c r="EP64" s="2"/>
      <c r="EQ64" s="2">
        <v>0</v>
      </c>
      <c r="ER64" s="2">
        <v>33899.769999999997</v>
      </c>
      <c r="ES64" s="2">
        <v>33899.769999999997</v>
      </c>
      <c r="ET64" s="2">
        <v>0</v>
      </c>
      <c r="EU64" s="2">
        <v>0</v>
      </c>
      <c r="EV64" s="2">
        <v>0</v>
      </c>
      <c r="EW64" s="2">
        <v>0</v>
      </c>
      <c r="EX64" s="2">
        <v>0</v>
      </c>
      <c r="EY64" s="2">
        <v>0</v>
      </c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>
        <v>0</v>
      </c>
      <c r="FR64" s="2">
        <v>0</v>
      </c>
      <c r="FS64" s="2">
        <v>0</v>
      </c>
      <c r="FT64" s="2"/>
      <c r="FU64" s="2"/>
      <c r="FV64" s="2"/>
      <c r="FW64" s="2"/>
      <c r="FX64" s="2">
        <v>0</v>
      </c>
      <c r="FY64" s="2">
        <v>0</v>
      </c>
      <c r="FZ64" s="2"/>
      <c r="GA64" s="2" t="s">
        <v>3</v>
      </c>
      <c r="GB64" s="2"/>
      <c r="GC64" s="2"/>
      <c r="GD64" s="2">
        <v>1</v>
      </c>
      <c r="GE64" s="2"/>
      <c r="GF64" s="2">
        <v>101982322</v>
      </c>
      <c r="GG64" s="2">
        <v>2</v>
      </c>
      <c r="GH64" s="2">
        <v>1</v>
      </c>
      <c r="GI64" s="2">
        <v>2</v>
      </c>
      <c r="GJ64" s="2">
        <v>0</v>
      </c>
      <c r="GK64" s="2">
        <v>0</v>
      </c>
      <c r="GL64" s="2">
        <f t="shared" si="84"/>
        <v>0</v>
      </c>
      <c r="GM64" s="2">
        <f t="shared" si="85"/>
        <v>847.49</v>
      </c>
      <c r="GN64" s="2">
        <f t="shared" si="86"/>
        <v>0</v>
      </c>
      <c r="GO64" s="2">
        <f t="shared" si="87"/>
        <v>847.49</v>
      </c>
      <c r="GP64" s="2">
        <f t="shared" si="88"/>
        <v>0</v>
      </c>
      <c r="GQ64" s="2"/>
      <c r="GR64" s="2">
        <v>0</v>
      </c>
      <c r="GS64" s="2">
        <v>3</v>
      </c>
      <c r="GT64" s="2">
        <v>0</v>
      </c>
      <c r="GU64" s="2" t="s">
        <v>3</v>
      </c>
      <c r="GV64" s="2">
        <f t="shared" si="89"/>
        <v>0</v>
      </c>
      <c r="GW64" s="2">
        <v>1</v>
      </c>
      <c r="GX64" s="2">
        <f t="shared" si="90"/>
        <v>0</v>
      </c>
      <c r="GY64" s="2"/>
      <c r="GZ64" s="2"/>
      <c r="HA64" s="2">
        <v>0</v>
      </c>
      <c r="HB64" s="2">
        <v>0</v>
      </c>
      <c r="HC64" s="2">
        <f>GV64*GW64</f>
        <v>0</v>
      </c>
      <c r="HD64" s="2"/>
      <c r="HE64" s="2" t="s">
        <v>3</v>
      </c>
      <c r="HF64" s="2" t="s">
        <v>3</v>
      </c>
      <c r="HG64" s="2"/>
      <c r="HH64" s="2"/>
      <c r="HI64" s="2"/>
      <c r="HJ64" s="2"/>
      <c r="HK64" s="2"/>
      <c r="HL64" s="2"/>
      <c r="HM64" s="2" t="s">
        <v>3</v>
      </c>
      <c r="HN64" s="2" t="s">
        <v>3</v>
      </c>
      <c r="HO64" s="2" t="s">
        <v>3</v>
      </c>
      <c r="HP64" s="2" t="s">
        <v>3</v>
      </c>
      <c r="HQ64" s="2" t="s">
        <v>3</v>
      </c>
      <c r="HR64" s="2"/>
      <c r="HS64" s="2">
        <v>0</v>
      </c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>
        <v>0</v>
      </c>
      <c r="IL64" s="2"/>
      <c r="IM64" s="2"/>
      <c r="IN64" s="2"/>
      <c r="IO64" s="2"/>
      <c r="IP64" s="2"/>
      <c r="IQ64" s="2"/>
      <c r="IR64" s="2"/>
      <c r="IS64" s="2"/>
      <c r="IT64" s="2"/>
      <c r="IU64" s="2"/>
    </row>
    <row r="65" spans="1:255" x14ac:dyDescent="0.2">
      <c r="A65" s="2">
        <v>17</v>
      </c>
      <c r="B65" s="2">
        <v>1</v>
      </c>
      <c r="C65" s="2">
        <f>ROW(SmtRes!A54)</f>
        <v>54</v>
      </c>
      <c r="D65" s="2">
        <f>ROW(EtalonRes!A54)</f>
        <v>54</v>
      </c>
      <c r="E65" s="2" t="s">
        <v>153</v>
      </c>
      <c r="F65" s="2" t="s">
        <v>154</v>
      </c>
      <c r="G65" s="2" t="s">
        <v>155</v>
      </c>
      <c r="H65" s="2" t="s">
        <v>108</v>
      </c>
      <c r="I65" s="2">
        <v>11</v>
      </c>
      <c r="J65" s="2">
        <v>0</v>
      </c>
      <c r="K65" s="2">
        <v>11</v>
      </c>
      <c r="L65" s="2"/>
      <c r="M65" s="2"/>
      <c r="N65" s="2"/>
      <c r="O65" s="2">
        <f>ROUND(CP65,2)</f>
        <v>4106.78</v>
      </c>
      <c r="P65" s="2">
        <f>SUMIF(SmtRes!AQ50:'SmtRes'!AQ54,"=1",SmtRes!DF50:'SmtRes'!DF54)</f>
        <v>25.83</v>
      </c>
      <c r="Q65" s="2">
        <f>SUMIF(SmtRes!AQ50:'SmtRes'!AQ54,"=1",SmtRes!DG50:'SmtRes'!DG54)</f>
        <v>0</v>
      </c>
      <c r="R65" s="2">
        <f>SUMIF(SmtRes!AQ50:'SmtRes'!AQ54,"=1",SmtRes!DH50:'SmtRes'!DH54)</f>
        <v>0</v>
      </c>
      <c r="S65" s="2">
        <f>SUMIF(SmtRes!AQ50:'SmtRes'!AQ54,"=1",SmtRes!DI50:'SmtRes'!DI54)</f>
        <v>4080.95</v>
      </c>
      <c r="T65" s="2">
        <f t="shared" si="75"/>
        <v>0</v>
      </c>
      <c r="U65" s="2">
        <f>SUMIF(SmtRes!AQ50:'SmtRes'!AQ54,"=1",SmtRes!CV50:'SmtRes'!CV54)</f>
        <v>5.5</v>
      </c>
      <c r="V65" s="2">
        <f>SUMIF(SmtRes!AQ50:'SmtRes'!AQ54,"=1",SmtRes!CW50:'SmtRes'!CW54)</f>
        <v>0</v>
      </c>
      <c r="W65" s="2">
        <f t="shared" si="76"/>
        <v>0</v>
      </c>
      <c r="X65" s="2">
        <f t="shared" si="77"/>
        <v>3672.86</v>
      </c>
      <c r="Y65" s="2">
        <f t="shared" si="78"/>
        <v>1877.24</v>
      </c>
      <c r="Z65" s="2"/>
      <c r="AA65" s="2">
        <v>52718353</v>
      </c>
      <c r="AB65" s="2">
        <f t="shared" si="79"/>
        <v>373.07628</v>
      </c>
      <c r="AC65" s="2">
        <f>ROUND((SUM(SmtRes!BQ50:'SmtRes'!BQ54)),6)</f>
        <v>2.08128</v>
      </c>
      <c r="AD65" s="2">
        <f>ROUND((((0)-(0))+AE65),6)</f>
        <v>0</v>
      </c>
      <c r="AE65" s="2">
        <f>ROUND((0),6)</f>
        <v>0</v>
      </c>
      <c r="AF65" s="2">
        <f>ROUND((SUM(SmtRes!BT50:'SmtRes'!BT54)),6)</f>
        <v>370.995</v>
      </c>
      <c r="AG65" s="2">
        <f t="shared" si="81"/>
        <v>0</v>
      </c>
      <c r="AH65" s="2">
        <f>(SUM(SmtRes!BU50:'SmtRes'!BU54))</f>
        <v>0.5</v>
      </c>
      <c r="AI65" s="2">
        <f>(0)</f>
        <v>0</v>
      </c>
      <c r="AJ65" s="2">
        <f t="shared" si="83"/>
        <v>0</v>
      </c>
      <c r="AK65" s="2">
        <v>373.07628010000002</v>
      </c>
      <c r="AL65" s="2">
        <v>2.0812801000000003</v>
      </c>
      <c r="AM65" s="2">
        <v>0</v>
      </c>
      <c r="AN65" s="2">
        <v>0</v>
      </c>
      <c r="AO65" s="2">
        <v>370.995</v>
      </c>
      <c r="AP65" s="2">
        <v>0</v>
      </c>
      <c r="AQ65" s="2">
        <v>0.5</v>
      </c>
      <c r="AR65" s="2">
        <v>0</v>
      </c>
      <c r="AS65" s="2">
        <v>0</v>
      </c>
      <c r="AT65" s="2">
        <v>90</v>
      </c>
      <c r="AU65" s="2">
        <v>46</v>
      </c>
      <c r="AV65" s="2">
        <v>1</v>
      </c>
      <c r="AW65" s="2">
        <v>1</v>
      </c>
      <c r="AX65" s="2"/>
      <c r="AY65" s="2"/>
      <c r="AZ65" s="2">
        <v>1</v>
      </c>
      <c r="BA65" s="2">
        <v>1</v>
      </c>
      <c r="BB65" s="2">
        <v>1</v>
      </c>
      <c r="BC65" s="2">
        <v>1</v>
      </c>
      <c r="BD65" s="2" t="s">
        <v>3</v>
      </c>
      <c r="BE65" s="2" t="s">
        <v>3</v>
      </c>
      <c r="BF65" s="2" t="s">
        <v>3</v>
      </c>
      <c r="BG65" s="2" t="s">
        <v>3</v>
      </c>
      <c r="BH65" s="2">
        <v>0</v>
      </c>
      <c r="BI65" s="2">
        <v>2</v>
      </c>
      <c r="BJ65" s="2" t="s">
        <v>156</v>
      </c>
      <c r="BK65" s="2"/>
      <c r="BL65" s="2"/>
      <c r="BM65" s="2">
        <v>110011</v>
      </c>
      <c r="BN65" s="2">
        <v>0</v>
      </c>
      <c r="BO65" s="2" t="s">
        <v>3</v>
      </c>
      <c r="BP65" s="2">
        <v>0</v>
      </c>
      <c r="BQ65" s="2">
        <v>3</v>
      </c>
      <c r="BR65" s="2">
        <v>0</v>
      </c>
      <c r="BS65" s="2">
        <v>1</v>
      </c>
      <c r="BT65" s="2">
        <v>1</v>
      </c>
      <c r="BU65" s="2">
        <v>1</v>
      </c>
      <c r="BV65" s="2">
        <v>1</v>
      </c>
      <c r="BW65" s="2">
        <v>1</v>
      </c>
      <c r="BX65" s="2">
        <v>1</v>
      </c>
      <c r="BY65" s="2" t="s">
        <v>3</v>
      </c>
      <c r="BZ65" s="2">
        <v>90</v>
      </c>
      <c r="CA65" s="2">
        <v>46</v>
      </c>
      <c r="CB65" s="2" t="s">
        <v>3</v>
      </c>
      <c r="CC65" s="2"/>
      <c r="CD65" s="2"/>
      <c r="CE65" s="2">
        <v>0</v>
      </c>
      <c r="CF65" s="2">
        <v>0</v>
      </c>
      <c r="CG65" s="2">
        <v>0</v>
      </c>
      <c r="CH65" s="2"/>
      <c r="CI65" s="2"/>
      <c r="CJ65" s="2"/>
      <c r="CK65" s="2"/>
      <c r="CL65" s="2"/>
      <c r="CM65" s="2">
        <v>0</v>
      </c>
      <c r="CN65" s="2" t="s">
        <v>3</v>
      </c>
      <c r="CO65" s="2">
        <v>0</v>
      </c>
      <c r="CP65" s="2">
        <f>(P65+Q65+S65+R65)</f>
        <v>4106.78</v>
      </c>
      <c r="CQ65" s="2">
        <f>SUMIF(SmtRes!AQ50:'SmtRes'!AQ54,"=1",SmtRes!AA50:'SmtRes'!AA54)</f>
        <v>209560.41999999998</v>
      </c>
      <c r="CR65" s="2">
        <f>SUMIF(SmtRes!AQ50:'SmtRes'!AQ54,"=1",SmtRes!AB50:'SmtRes'!AB54)</f>
        <v>0</v>
      </c>
      <c r="CS65" s="2">
        <f>SUMIF(SmtRes!AQ50:'SmtRes'!AQ54,"=1",SmtRes!AC50:'SmtRes'!AC54)</f>
        <v>0</v>
      </c>
      <c r="CT65" s="2">
        <f>SUMIF(SmtRes!AQ50:'SmtRes'!AQ54,"=1",SmtRes!AD50:'SmtRes'!AD54)</f>
        <v>741.99</v>
      </c>
      <c r="CU65" s="2">
        <f>AG65</f>
        <v>0</v>
      </c>
      <c r="CV65" s="2">
        <f>SUMIF(SmtRes!AQ50:'SmtRes'!AQ54,"=1",SmtRes!BU50:'SmtRes'!BU54)</f>
        <v>0.5</v>
      </c>
      <c r="CW65" s="2">
        <f>SUMIF(SmtRes!AQ50:'SmtRes'!AQ54,"=1",SmtRes!BV50:'SmtRes'!BV54)</f>
        <v>0</v>
      </c>
      <c r="CX65" s="2">
        <f>AJ65</f>
        <v>0</v>
      </c>
      <c r="CY65" s="2">
        <f>(((S65+R65)*AT65)/100)</f>
        <v>3672.855</v>
      </c>
      <c r="CZ65" s="2">
        <f>(((S65+R65)*AU65)/100)</f>
        <v>1877.2369999999999</v>
      </c>
      <c r="DA65" s="2"/>
      <c r="DB65" s="2"/>
      <c r="DC65" s="2" t="s">
        <v>3</v>
      </c>
      <c r="DD65" s="2" t="s">
        <v>3</v>
      </c>
      <c r="DE65" s="2" t="s">
        <v>3</v>
      </c>
      <c r="DF65" s="2" t="s">
        <v>3</v>
      </c>
      <c r="DG65" s="2" t="s">
        <v>3</v>
      </c>
      <c r="DH65" s="2" t="s">
        <v>3</v>
      </c>
      <c r="DI65" s="2" t="s">
        <v>3</v>
      </c>
      <c r="DJ65" s="2" t="s">
        <v>3</v>
      </c>
      <c r="DK65" s="2" t="s">
        <v>3</v>
      </c>
      <c r="DL65" s="2" t="s">
        <v>3</v>
      </c>
      <c r="DM65" s="2" t="s">
        <v>3</v>
      </c>
      <c r="DN65" s="2">
        <v>0</v>
      </c>
      <c r="DO65" s="2">
        <v>0</v>
      </c>
      <c r="DP65" s="2">
        <v>1</v>
      </c>
      <c r="DQ65" s="2">
        <v>1</v>
      </c>
      <c r="DR65" s="2"/>
      <c r="DS65" s="2"/>
      <c r="DT65" s="2"/>
      <c r="DU65" s="2">
        <v>1013</v>
      </c>
      <c r="DV65" s="2" t="s">
        <v>108</v>
      </c>
      <c r="DW65" s="2" t="s">
        <v>108</v>
      </c>
      <c r="DX65" s="2">
        <v>1</v>
      </c>
      <c r="DY65" s="2"/>
      <c r="DZ65" s="2" t="s">
        <v>3</v>
      </c>
      <c r="EA65" s="2" t="s">
        <v>3</v>
      </c>
      <c r="EB65" s="2" t="s">
        <v>3</v>
      </c>
      <c r="EC65" s="2" t="s">
        <v>3</v>
      </c>
      <c r="ED65" s="2"/>
      <c r="EE65" s="2">
        <v>50991767</v>
      </c>
      <c r="EF65" s="2">
        <v>3</v>
      </c>
      <c r="EG65" s="2" t="s">
        <v>14</v>
      </c>
      <c r="EH65" s="2">
        <v>0</v>
      </c>
      <c r="EI65" s="2" t="s">
        <v>3</v>
      </c>
      <c r="EJ65" s="2">
        <v>2</v>
      </c>
      <c r="EK65" s="2">
        <v>110011</v>
      </c>
      <c r="EL65" s="2" t="s">
        <v>139</v>
      </c>
      <c r="EM65" s="2" t="s">
        <v>140</v>
      </c>
      <c r="EN65" s="2"/>
      <c r="EO65" s="2" t="s">
        <v>3</v>
      </c>
      <c r="EP65" s="2"/>
      <c r="EQ65" s="2">
        <v>0</v>
      </c>
      <c r="ER65" s="2">
        <v>0</v>
      </c>
      <c r="ES65" s="2">
        <v>0</v>
      </c>
      <c r="ET65" s="2">
        <v>0</v>
      </c>
      <c r="EU65" s="2">
        <v>0</v>
      </c>
      <c r="EV65" s="2">
        <v>0</v>
      </c>
      <c r="EW65" s="2">
        <v>0.5</v>
      </c>
      <c r="EX65" s="2">
        <v>0</v>
      </c>
      <c r="EY65" s="2">
        <v>0</v>
      </c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>
        <v>0</v>
      </c>
      <c r="FR65" s="2">
        <v>0</v>
      </c>
      <c r="FS65" s="2">
        <v>0</v>
      </c>
      <c r="FT65" s="2"/>
      <c r="FU65" s="2"/>
      <c r="FV65" s="2"/>
      <c r="FW65" s="2"/>
      <c r="FX65" s="2">
        <v>90</v>
      </c>
      <c r="FY65" s="2">
        <v>46</v>
      </c>
      <c r="FZ65" s="2"/>
      <c r="GA65" s="2" t="s">
        <v>3</v>
      </c>
      <c r="GB65" s="2"/>
      <c r="GC65" s="2"/>
      <c r="GD65" s="2">
        <v>1</v>
      </c>
      <c r="GE65" s="2"/>
      <c r="GF65" s="2">
        <v>-946502931</v>
      </c>
      <c r="GG65" s="2">
        <v>2</v>
      </c>
      <c r="GH65" s="2">
        <v>1</v>
      </c>
      <c r="GI65" s="2">
        <v>-2</v>
      </c>
      <c r="GJ65" s="2">
        <v>0</v>
      </c>
      <c r="GK65" s="2">
        <v>0</v>
      </c>
      <c r="GL65" s="2">
        <f t="shared" si="84"/>
        <v>0</v>
      </c>
      <c r="GM65" s="2">
        <f t="shared" si="85"/>
        <v>9656.8799999999992</v>
      </c>
      <c r="GN65" s="2">
        <f t="shared" si="86"/>
        <v>0</v>
      </c>
      <c r="GO65" s="2">
        <f t="shared" si="87"/>
        <v>9656.8799999999992</v>
      </c>
      <c r="GP65" s="2">
        <f t="shared" si="88"/>
        <v>0</v>
      </c>
      <c r="GQ65" s="2"/>
      <c r="GR65" s="2">
        <v>0</v>
      </c>
      <c r="GS65" s="2">
        <v>3</v>
      </c>
      <c r="GT65" s="2">
        <v>0</v>
      </c>
      <c r="GU65" s="2" t="s">
        <v>3</v>
      </c>
      <c r="GV65" s="2">
        <f t="shared" si="89"/>
        <v>0</v>
      </c>
      <c r="GW65" s="2">
        <v>1</v>
      </c>
      <c r="GX65" s="2">
        <f t="shared" si="90"/>
        <v>0</v>
      </c>
      <c r="GY65" s="2"/>
      <c r="GZ65" s="2"/>
      <c r="HA65" s="2">
        <v>0</v>
      </c>
      <c r="HB65" s="2">
        <v>0</v>
      </c>
      <c r="HC65" s="2">
        <f>GV65*GW65</f>
        <v>0</v>
      </c>
      <c r="HD65" s="2"/>
      <c r="HE65" s="2" t="s">
        <v>3</v>
      </c>
      <c r="HF65" s="2" t="s">
        <v>3</v>
      </c>
      <c r="HG65" s="2"/>
      <c r="HH65" s="2"/>
      <c r="HI65" s="2"/>
      <c r="HJ65" s="2"/>
      <c r="HK65" s="2"/>
      <c r="HL65" s="2"/>
      <c r="HM65" s="2" t="s">
        <v>3</v>
      </c>
      <c r="HN65" s="2" t="s">
        <v>141</v>
      </c>
      <c r="HO65" s="2" t="s">
        <v>142</v>
      </c>
      <c r="HP65" s="2" t="s">
        <v>139</v>
      </c>
      <c r="HQ65" s="2" t="s">
        <v>139</v>
      </c>
      <c r="HR65" s="2"/>
      <c r="HS65" s="2">
        <v>0</v>
      </c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>
        <v>0</v>
      </c>
      <c r="IL65" s="2"/>
      <c r="IM65" s="2"/>
      <c r="IN65" s="2"/>
      <c r="IO65" s="2"/>
      <c r="IP65" s="2"/>
      <c r="IQ65" s="2"/>
      <c r="IR65" s="2"/>
      <c r="IS65" s="2"/>
      <c r="IT65" s="2"/>
      <c r="IU65" s="2"/>
    </row>
    <row r="66" spans="1:255" x14ac:dyDescent="0.2">
      <c r="A66" s="2">
        <v>18</v>
      </c>
      <c r="B66" s="2">
        <v>1</v>
      </c>
      <c r="C66" s="2">
        <v>54</v>
      </c>
      <c r="D66" s="2"/>
      <c r="E66" s="2" t="s">
        <v>157</v>
      </c>
      <c r="F66" s="2" t="s">
        <v>25</v>
      </c>
      <c r="G66" s="2" t="s">
        <v>26</v>
      </c>
      <c r="H66" s="2" t="s">
        <v>27</v>
      </c>
      <c r="I66" s="2">
        <f>J66</f>
        <v>2</v>
      </c>
      <c r="J66" s="2">
        <v>2</v>
      </c>
      <c r="K66" s="2">
        <v>2</v>
      </c>
      <c r="L66" s="2"/>
      <c r="M66" s="2"/>
      <c r="N66" s="2"/>
      <c r="O66" s="2">
        <f>ROUND(P66,2)</f>
        <v>81.62</v>
      </c>
      <c r="P66" s="2">
        <f>ROUND(ROUND(ROUND(SUMIF(SmtRes!AQ50:'SmtRes'!AQ54,"=1",SmtRes!CU50:'SmtRes'!CU54),2),2)*I66/100,2)</f>
        <v>81.62</v>
      </c>
      <c r="Q66" s="2">
        <f>ROUND(CR66*I66,2)</f>
        <v>0</v>
      </c>
      <c r="R66" s="2">
        <f>ROUND(CS66*I66,2)</f>
        <v>0</v>
      </c>
      <c r="S66" s="2">
        <f>ROUND(CT66*I66,2)</f>
        <v>0</v>
      </c>
      <c r="T66" s="2">
        <f t="shared" si="75"/>
        <v>0</v>
      </c>
      <c r="U66" s="2">
        <f>ROUND(CV66*I66,7)</f>
        <v>0</v>
      </c>
      <c r="V66" s="2">
        <f>ROUND(CW66*I66,7)</f>
        <v>0</v>
      </c>
      <c r="W66" s="2">
        <f t="shared" si="76"/>
        <v>0</v>
      </c>
      <c r="X66" s="2">
        <f t="shared" si="77"/>
        <v>0</v>
      </c>
      <c r="Y66" s="2">
        <f t="shared" si="78"/>
        <v>0</v>
      </c>
      <c r="Z66" s="2"/>
      <c r="AA66" s="2">
        <v>52718353</v>
      </c>
      <c r="AB66" s="2">
        <f t="shared" si="79"/>
        <v>0</v>
      </c>
      <c r="AC66" s="2">
        <f>ROUND((ES66),6)</f>
        <v>0</v>
      </c>
      <c r="AD66" s="2">
        <f>ROUND((((ET66)-(EU66))+AE66),6)</f>
        <v>0</v>
      </c>
      <c r="AE66" s="2">
        <f t="shared" ref="AE66:AF69" si="92">ROUND((EU66),6)</f>
        <v>0</v>
      </c>
      <c r="AF66" s="2">
        <f t="shared" si="92"/>
        <v>0</v>
      </c>
      <c r="AG66" s="2">
        <f t="shared" si="81"/>
        <v>0</v>
      </c>
      <c r="AH66" s="2">
        <f t="shared" ref="AH66:AI69" si="93">(EW66)</f>
        <v>0</v>
      </c>
      <c r="AI66" s="2">
        <f t="shared" si="93"/>
        <v>0</v>
      </c>
      <c r="AJ66" s="2">
        <f t="shared" si="83"/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90</v>
      </c>
      <c r="AU66" s="2">
        <v>46</v>
      </c>
      <c r="AV66" s="2">
        <v>1</v>
      </c>
      <c r="AW66" s="2">
        <v>1</v>
      </c>
      <c r="AX66" s="2"/>
      <c r="AY66" s="2"/>
      <c r="AZ66" s="2">
        <v>1</v>
      </c>
      <c r="BA66" s="2">
        <v>1</v>
      </c>
      <c r="BB66" s="2">
        <v>1</v>
      </c>
      <c r="BC66" s="2">
        <v>1</v>
      </c>
      <c r="BD66" s="2" t="s">
        <v>3</v>
      </c>
      <c r="BE66" s="2" t="s">
        <v>3</v>
      </c>
      <c r="BF66" s="2" t="s">
        <v>3</v>
      </c>
      <c r="BG66" s="2" t="s">
        <v>3</v>
      </c>
      <c r="BH66" s="2">
        <v>3</v>
      </c>
      <c r="BI66" s="2">
        <v>2</v>
      </c>
      <c r="BJ66" s="2" t="s">
        <v>3</v>
      </c>
      <c r="BK66" s="2"/>
      <c r="BL66" s="2"/>
      <c r="BM66" s="2">
        <v>110011</v>
      </c>
      <c r="BN66" s="2">
        <v>0</v>
      </c>
      <c r="BO66" s="2" t="s">
        <v>3</v>
      </c>
      <c r="BP66" s="2">
        <v>0</v>
      </c>
      <c r="BQ66" s="2">
        <v>3</v>
      </c>
      <c r="BR66" s="2">
        <v>0</v>
      </c>
      <c r="BS66" s="2">
        <v>1</v>
      </c>
      <c r="BT66" s="2">
        <v>1</v>
      </c>
      <c r="BU66" s="2">
        <v>1</v>
      </c>
      <c r="BV66" s="2">
        <v>1</v>
      </c>
      <c r="BW66" s="2">
        <v>1</v>
      </c>
      <c r="BX66" s="2">
        <v>1</v>
      </c>
      <c r="BY66" s="2" t="s">
        <v>3</v>
      </c>
      <c r="BZ66" s="2">
        <v>90</v>
      </c>
      <c r="CA66" s="2">
        <v>46</v>
      </c>
      <c r="CB66" s="2" t="s">
        <v>3</v>
      </c>
      <c r="CC66" s="2"/>
      <c r="CD66" s="2"/>
      <c r="CE66" s="2">
        <v>0</v>
      </c>
      <c r="CF66" s="2">
        <v>0</v>
      </c>
      <c r="CG66" s="2">
        <v>0</v>
      </c>
      <c r="CH66" s="2"/>
      <c r="CI66" s="2"/>
      <c r="CJ66" s="2"/>
      <c r="CK66" s="2"/>
      <c r="CL66" s="2"/>
      <c r="CM66" s="2">
        <v>0</v>
      </c>
      <c r="CN66" s="2" t="s">
        <v>3</v>
      </c>
      <c r="CO66" s="2">
        <v>0</v>
      </c>
      <c r="CP66" s="2">
        <f>0</f>
        <v>0</v>
      </c>
      <c r="CQ66" s="2">
        <f>0</f>
        <v>0</v>
      </c>
      <c r="CR66" s="2">
        <f>0</f>
        <v>0</v>
      </c>
      <c r="CS66" s="2">
        <f>0</f>
        <v>0</v>
      </c>
      <c r="CT66" s="2">
        <f>0</f>
        <v>0</v>
      </c>
      <c r="CU66" s="2">
        <f>0</f>
        <v>0</v>
      </c>
      <c r="CV66" s="2">
        <f>0</f>
        <v>0</v>
      </c>
      <c r="CW66" s="2">
        <f>0</f>
        <v>0</v>
      </c>
      <c r="CX66" s="2">
        <f>0</f>
        <v>0</v>
      </c>
      <c r="CY66" s="2">
        <f>0</f>
        <v>0</v>
      </c>
      <c r="CZ66" s="2">
        <f>0</f>
        <v>0</v>
      </c>
      <c r="DA66" s="2"/>
      <c r="DB66" s="2"/>
      <c r="DC66" s="2" t="s">
        <v>3</v>
      </c>
      <c r="DD66" s="2" t="s">
        <v>3</v>
      </c>
      <c r="DE66" s="2" t="s">
        <v>3</v>
      </c>
      <c r="DF66" s="2" t="s">
        <v>3</v>
      </c>
      <c r="DG66" s="2" t="s">
        <v>3</v>
      </c>
      <c r="DH66" s="2" t="s">
        <v>3</v>
      </c>
      <c r="DI66" s="2" t="s">
        <v>3</v>
      </c>
      <c r="DJ66" s="2" t="s">
        <v>3</v>
      </c>
      <c r="DK66" s="2" t="s">
        <v>3</v>
      </c>
      <c r="DL66" s="2" t="s">
        <v>3</v>
      </c>
      <c r="DM66" s="2" t="s">
        <v>3</v>
      </c>
      <c r="DN66" s="2">
        <v>0</v>
      </c>
      <c r="DO66" s="2">
        <v>0</v>
      </c>
      <c r="DP66" s="2">
        <v>1</v>
      </c>
      <c r="DQ66" s="2">
        <v>1</v>
      </c>
      <c r="DR66" s="2"/>
      <c r="DS66" s="2"/>
      <c r="DT66" s="2"/>
      <c r="DU66" s="2">
        <v>1013</v>
      </c>
      <c r="DV66" s="2" t="s">
        <v>27</v>
      </c>
      <c r="DW66" s="2" t="s">
        <v>27</v>
      </c>
      <c r="DX66" s="2">
        <v>1</v>
      </c>
      <c r="DY66" s="2"/>
      <c r="DZ66" s="2" t="s">
        <v>3</v>
      </c>
      <c r="EA66" s="2" t="s">
        <v>3</v>
      </c>
      <c r="EB66" s="2" t="s">
        <v>3</v>
      </c>
      <c r="EC66" s="2" t="s">
        <v>3</v>
      </c>
      <c r="ED66" s="2"/>
      <c r="EE66" s="2">
        <v>50991767</v>
      </c>
      <c r="EF66" s="2">
        <v>3</v>
      </c>
      <c r="EG66" s="2" t="s">
        <v>14</v>
      </c>
      <c r="EH66" s="2">
        <v>0</v>
      </c>
      <c r="EI66" s="2" t="s">
        <v>3</v>
      </c>
      <c r="EJ66" s="2">
        <v>2</v>
      </c>
      <c r="EK66" s="2">
        <v>110011</v>
      </c>
      <c r="EL66" s="2" t="s">
        <v>139</v>
      </c>
      <c r="EM66" s="2" t="s">
        <v>140</v>
      </c>
      <c r="EN66" s="2"/>
      <c r="EO66" s="2" t="s">
        <v>3</v>
      </c>
      <c r="EP66" s="2"/>
      <c r="EQ66" s="2">
        <v>0</v>
      </c>
      <c r="ER66" s="2">
        <v>0</v>
      </c>
      <c r="ES66" s="2">
        <v>0</v>
      </c>
      <c r="ET66" s="2">
        <v>0</v>
      </c>
      <c r="EU66" s="2">
        <v>0</v>
      </c>
      <c r="EV66" s="2">
        <v>0</v>
      </c>
      <c r="EW66" s="2">
        <v>0</v>
      </c>
      <c r="EX66" s="2">
        <v>0</v>
      </c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>
        <v>0</v>
      </c>
      <c r="FR66" s="2">
        <v>0</v>
      </c>
      <c r="FS66" s="2">
        <v>0</v>
      </c>
      <c r="FT66" s="2"/>
      <c r="FU66" s="2"/>
      <c r="FV66" s="2"/>
      <c r="FW66" s="2"/>
      <c r="FX66" s="2">
        <v>90</v>
      </c>
      <c r="FY66" s="2">
        <v>46</v>
      </c>
      <c r="FZ66" s="2"/>
      <c r="GA66" s="2" t="s">
        <v>3</v>
      </c>
      <c r="GB66" s="2"/>
      <c r="GC66" s="2"/>
      <c r="GD66" s="2">
        <v>1</v>
      </c>
      <c r="GE66" s="2"/>
      <c r="GF66" s="2">
        <v>274903907</v>
      </c>
      <c r="GG66" s="2">
        <v>2</v>
      </c>
      <c r="GH66" s="2">
        <v>1</v>
      </c>
      <c r="GI66" s="2">
        <v>-2</v>
      </c>
      <c r="GJ66" s="2">
        <v>0</v>
      </c>
      <c r="GK66" s="2">
        <v>0</v>
      </c>
      <c r="GL66" s="2">
        <f t="shared" si="84"/>
        <v>0</v>
      </c>
      <c r="GM66" s="2">
        <f t="shared" si="85"/>
        <v>81.62</v>
      </c>
      <c r="GN66" s="2">
        <f t="shared" si="86"/>
        <v>0</v>
      </c>
      <c r="GO66" s="2">
        <f t="shared" si="87"/>
        <v>81.62</v>
      </c>
      <c r="GP66" s="2">
        <f t="shared" si="88"/>
        <v>0</v>
      </c>
      <c r="GQ66" s="2"/>
      <c r="GR66" s="2">
        <v>0</v>
      </c>
      <c r="GS66" s="2">
        <v>3</v>
      </c>
      <c r="GT66" s="2">
        <v>0</v>
      </c>
      <c r="GU66" s="2" t="s">
        <v>3</v>
      </c>
      <c r="GV66" s="2">
        <f t="shared" si="89"/>
        <v>0</v>
      </c>
      <c r="GW66" s="2">
        <v>1</v>
      </c>
      <c r="GX66" s="2">
        <f t="shared" si="90"/>
        <v>0</v>
      </c>
      <c r="GY66" s="2"/>
      <c r="GZ66" s="2"/>
      <c r="HA66" s="2">
        <v>0</v>
      </c>
      <c r="HB66" s="2">
        <v>0</v>
      </c>
      <c r="HC66" s="2">
        <f>0</f>
        <v>0</v>
      </c>
      <c r="HD66" s="2"/>
      <c r="HE66" s="2" t="s">
        <v>3</v>
      </c>
      <c r="HF66" s="2" t="s">
        <v>3</v>
      </c>
      <c r="HG66" s="2"/>
      <c r="HH66" s="2"/>
      <c r="HI66" s="2"/>
      <c r="HJ66" s="2"/>
      <c r="HK66" s="2"/>
      <c r="HL66" s="2"/>
      <c r="HM66" s="2" t="s">
        <v>3</v>
      </c>
      <c r="HN66" s="2" t="s">
        <v>141</v>
      </c>
      <c r="HO66" s="2" t="s">
        <v>142</v>
      </c>
      <c r="HP66" s="2" t="s">
        <v>139</v>
      </c>
      <c r="HQ66" s="2" t="s">
        <v>139</v>
      </c>
      <c r="HR66" s="2"/>
      <c r="HS66" s="2">
        <v>0</v>
      </c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>
        <v>0</v>
      </c>
      <c r="IL66" s="2"/>
      <c r="IM66" s="2"/>
      <c r="IN66" s="2"/>
      <c r="IO66" s="2"/>
      <c r="IP66" s="2"/>
      <c r="IQ66" s="2"/>
      <c r="IR66" s="2"/>
      <c r="IS66" s="2"/>
      <c r="IT66" s="2"/>
      <c r="IU66" s="2"/>
    </row>
    <row r="67" spans="1:255" x14ac:dyDescent="0.2">
      <c r="A67" s="2">
        <v>17</v>
      </c>
      <c r="B67" s="2">
        <v>1</v>
      </c>
      <c r="C67" s="2"/>
      <c r="D67" s="2"/>
      <c r="E67" s="2" t="s">
        <v>158</v>
      </c>
      <c r="F67" s="2" t="s">
        <v>159</v>
      </c>
      <c r="G67" s="2" t="s">
        <v>160</v>
      </c>
      <c r="H67" s="2" t="s">
        <v>108</v>
      </c>
      <c r="I67" s="2">
        <v>10</v>
      </c>
      <c r="J67" s="2">
        <v>0</v>
      </c>
      <c r="K67" s="2">
        <v>10</v>
      </c>
      <c r="L67" s="2"/>
      <c r="M67" s="2"/>
      <c r="N67" s="2"/>
      <c r="O67" s="2">
        <f>ROUND(CP67,2)</f>
        <v>102.8</v>
      </c>
      <c r="P67" s="2">
        <f>ROUND(CQ67*I67,2)</f>
        <v>102.8</v>
      </c>
      <c r="Q67" s="2">
        <f>ROUND(CR67*I67,2)</f>
        <v>0</v>
      </c>
      <c r="R67" s="2">
        <f>ROUND(CS67*I67,2)</f>
        <v>0</v>
      </c>
      <c r="S67" s="2">
        <f>ROUND(CT67*I67,2)</f>
        <v>0</v>
      </c>
      <c r="T67" s="2">
        <f t="shared" si="75"/>
        <v>0</v>
      </c>
      <c r="U67" s="2">
        <f>ROUND(CV67*I67,7)</f>
        <v>0</v>
      </c>
      <c r="V67" s="2">
        <f>ROUND(CW67*I67,7)</f>
        <v>0</v>
      </c>
      <c r="W67" s="2">
        <f t="shared" si="76"/>
        <v>0</v>
      </c>
      <c r="X67" s="2">
        <f t="shared" si="77"/>
        <v>0</v>
      </c>
      <c r="Y67" s="2">
        <f t="shared" si="78"/>
        <v>0</v>
      </c>
      <c r="Z67" s="2"/>
      <c r="AA67" s="2">
        <v>52718353</v>
      </c>
      <c r="AB67" s="2">
        <f t="shared" si="79"/>
        <v>11.82</v>
      </c>
      <c r="AC67" s="2">
        <f>ROUND((ES67),6)</f>
        <v>11.82</v>
      </c>
      <c r="AD67" s="2">
        <f>ROUND((((ET67)-(EU67))+AE67),6)</f>
        <v>0</v>
      </c>
      <c r="AE67" s="2">
        <f t="shared" si="92"/>
        <v>0</v>
      </c>
      <c r="AF67" s="2">
        <f t="shared" si="92"/>
        <v>0</v>
      </c>
      <c r="AG67" s="2">
        <f t="shared" si="81"/>
        <v>0</v>
      </c>
      <c r="AH67" s="2">
        <f t="shared" si="93"/>
        <v>0</v>
      </c>
      <c r="AI67" s="2">
        <f t="shared" si="93"/>
        <v>0</v>
      </c>
      <c r="AJ67" s="2">
        <f t="shared" si="83"/>
        <v>0</v>
      </c>
      <c r="AK67" s="2">
        <v>11.82</v>
      </c>
      <c r="AL67" s="2">
        <v>11.82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1</v>
      </c>
      <c r="AW67" s="2">
        <v>1</v>
      </c>
      <c r="AX67" s="2"/>
      <c r="AY67" s="2"/>
      <c r="AZ67" s="2">
        <v>1</v>
      </c>
      <c r="BA67" s="2">
        <v>1</v>
      </c>
      <c r="BB67" s="2">
        <v>1</v>
      </c>
      <c r="BC67" s="2">
        <v>0.87</v>
      </c>
      <c r="BD67" s="2" t="s">
        <v>3</v>
      </c>
      <c r="BE67" s="2" t="s">
        <v>3</v>
      </c>
      <c r="BF67" s="2" t="s">
        <v>3</v>
      </c>
      <c r="BG67" s="2" t="s">
        <v>3</v>
      </c>
      <c r="BH67" s="2">
        <v>3</v>
      </c>
      <c r="BI67" s="2">
        <v>2</v>
      </c>
      <c r="BJ67" s="2" t="s">
        <v>161</v>
      </c>
      <c r="BK67" s="2"/>
      <c r="BL67" s="2"/>
      <c r="BM67" s="2">
        <v>500002</v>
      </c>
      <c r="BN67" s="2">
        <v>0</v>
      </c>
      <c r="BO67" s="2" t="s">
        <v>159</v>
      </c>
      <c r="BP67" s="2">
        <v>1</v>
      </c>
      <c r="BQ67" s="2">
        <v>12</v>
      </c>
      <c r="BR67" s="2">
        <v>0</v>
      </c>
      <c r="BS67" s="2">
        <v>1</v>
      </c>
      <c r="BT67" s="2">
        <v>1</v>
      </c>
      <c r="BU67" s="2">
        <v>1</v>
      </c>
      <c r="BV67" s="2">
        <v>1</v>
      </c>
      <c r="BW67" s="2">
        <v>1</v>
      </c>
      <c r="BX67" s="2">
        <v>1</v>
      </c>
      <c r="BY67" s="2" t="s">
        <v>3</v>
      </c>
      <c r="BZ67" s="2">
        <v>0</v>
      </c>
      <c r="CA67" s="2">
        <v>0</v>
      </c>
      <c r="CB67" s="2" t="s">
        <v>3</v>
      </c>
      <c r="CC67" s="2"/>
      <c r="CD67" s="2"/>
      <c r="CE67" s="2">
        <v>0</v>
      </c>
      <c r="CF67" s="2">
        <v>0</v>
      </c>
      <c r="CG67" s="2">
        <v>0</v>
      </c>
      <c r="CH67" s="2"/>
      <c r="CI67" s="2"/>
      <c r="CJ67" s="2"/>
      <c r="CK67" s="2"/>
      <c r="CL67" s="2"/>
      <c r="CM67" s="2">
        <v>0</v>
      </c>
      <c r="CN67" s="2" t="s">
        <v>3</v>
      </c>
      <c r="CO67" s="2">
        <v>0</v>
      </c>
      <c r="CP67" s="2">
        <f>(P67+Q67+S67+R67)</f>
        <v>102.8</v>
      </c>
      <c r="CQ67" s="2">
        <f>ROUND(AL67*BC67,2)</f>
        <v>10.28</v>
      </c>
      <c r="CR67" s="2">
        <f>ROUND(AM67*BB67,2)</f>
        <v>0</v>
      </c>
      <c r="CS67" s="2">
        <f>ROUND(AN67*BS67,2)</f>
        <v>0</v>
      </c>
      <c r="CT67" s="2">
        <f>ROUND(AO67*BA67,2)</f>
        <v>0</v>
      </c>
      <c r="CU67" s="2">
        <f t="shared" ref="CU67:CX69" si="94">AG67</f>
        <v>0</v>
      </c>
      <c r="CV67" s="2">
        <f t="shared" si="94"/>
        <v>0</v>
      </c>
      <c r="CW67" s="2">
        <f t="shared" si="94"/>
        <v>0</v>
      </c>
      <c r="CX67" s="2">
        <f t="shared" si="94"/>
        <v>0</v>
      </c>
      <c r="CY67" s="2">
        <f>0</f>
        <v>0</v>
      </c>
      <c r="CZ67" s="2">
        <f>0</f>
        <v>0</v>
      </c>
      <c r="DA67" s="2"/>
      <c r="DB67" s="2"/>
      <c r="DC67" s="2" t="s">
        <v>3</v>
      </c>
      <c r="DD67" s="2" t="s">
        <v>3</v>
      </c>
      <c r="DE67" s="2" t="s">
        <v>3</v>
      </c>
      <c r="DF67" s="2" t="s">
        <v>3</v>
      </c>
      <c r="DG67" s="2" t="s">
        <v>3</v>
      </c>
      <c r="DH67" s="2" t="s">
        <v>3</v>
      </c>
      <c r="DI67" s="2" t="s">
        <v>3</v>
      </c>
      <c r="DJ67" s="2" t="s">
        <v>3</v>
      </c>
      <c r="DK67" s="2" t="s">
        <v>3</v>
      </c>
      <c r="DL67" s="2" t="s">
        <v>3</v>
      </c>
      <c r="DM67" s="2" t="s">
        <v>3</v>
      </c>
      <c r="DN67" s="2">
        <v>0</v>
      </c>
      <c r="DO67" s="2">
        <v>0</v>
      </c>
      <c r="DP67" s="2">
        <v>1</v>
      </c>
      <c r="DQ67" s="2">
        <v>1</v>
      </c>
      <c r="DR67" s="2"/>
      <c r="DS67" s="2"/>
      <c r="DT67" s="2"/>
      <c r="DU67" s="2">
        <v>1013</v>
      </c>
      <c r="DV67" s="2" t="s">
        <v>108</v>
      </c>
      <c r="DW67" s="2" t="s">
        <v>108</v>
      </c>
      <c r="DX67" s="2">
        <v>1</v>
      </c>
      <c r="DY67" s="2"/>
      <c r="DZ67" s="2" t="s">
        <v>3</v>
      </c>
      <c r="EA67" s="2" t="s">
        <v>3</v>
      </c>
      <c r="EB67" s="2" t="s">
        <v>3</v>
      </c>
      <c r="EC67" s="2" t="s">
        <v>3</v>
      </c>
      <c r="ED67" s="2"/>
      <c r="EE67" s="2">
        <v>50991777</v>
      </c>
      <c r="EF67" s="2">
        <v>12</v>
      </c>
      <c r="EG67" s="2" t="s">
        <v>50</v>
      </c>
      <c r="EH67" s="2">
        <v>0</v>
      </c>
      <c r="EI67" s="2" t="s">
        <v>3</v>
      </c>
      <c r="EJ67" s="2">
        <v>2</v>
      </c>
      <c r="EK67" s="2">
        <v>500002</v>
      </c>
      <c r="EL67" s="2" t="s">
        <v>51</v>
      </c>
      <c r="EM67" s="2" t="s">
        <v>52</v>
      </c>
      <c r="EN67" s="2"/>
      <c r="EO67" s="2" t="s">
        <v>3</v>
      </c>
      <c r="EP67" s="2"/>
      <c r="EQ67" s="2">
        <v>0</v>
      </c>
      <c r="ER67" s="2">
        <v>11.82</v>
      </c>
      <c r="ES67" s="2">
        <v>11.82</v>
      </c>
      <c r="ET67" s="2">
        <v>0</v>
      </c>
      <c r="EU67" s="2">
        <v>0</v>
      </c>
      <c r="EV67" s="2">
        <v>0</v>
      </c>
      <c r="EW67" s="2">
        <v>0</v>
      </c>
      <c r="EX67" s="2">
        <v>0</v>
      </c>
      <c r="EY67" s="2">
        <v>0</v>
      </c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>
        <v>0</v>
      </c>
      <c r="FR67" s="2">
        <v>0</v>
      </c>
      <c r="FS67" s="2">
        <v>0</v>
      </c>
      <c r="FT67" s="2"/>
      <c r="FU67" s="2"/>
      <c r="FV67" s="2"/>
      <c r="FW67" s="2"/>
      <c r="FX67" s="2">
        <v>0</v>
      </c>
      <c r="FY67" s="2">
        <v>0</v>
      </c>
      <c r="FZ67" s="2"/>
      <c r="GA67" s="2" t="s">
        <v>3</v>
      </c>
      <c r="GB67" s="2"/>
      <c r="GC67" s="2"/>
      <c r="GD67" s="2">
        <v>1</v>
      </c>
      <c r="GE67" s="2"/>
      <c r="GF67" s="2">
        <v>1988798367</v>
      </c>
      <c r="GG67" s="2">
        <v>2</v>
      </c>
      <c r="GH67" s="2">
        <v>1</v>
      </c>
      <c r="GI67" s="2">
        <v>2</v>
      </c>
      <c r="GJ67" s="2">
        <v>0</v>
      </c>
      <c r="GK67" s="2">
        <v>0</v>
      </c>
      <c r="GL67" s="2">
        <f t="shared" si="84"/>
        <v>0</v>
      </c>
      <c r="GM67" s="2">
        <f t="shared" si="85"/>
        <v>102.8</v>
      </c>
      <c r="GN67" s="2">
        <f t="shared" si="86"/>
        <v>0</v>
      </c>
      <c r="GO67" s="2">
        <f t="shared" si="87"/>
        <v>102.8</v>
      </c>
      <c r="GP67" s="2">
        <f t="shared" si="88"/>
        <v>0</v>
      </c>
      <c r="GQ67" s="2"/>
      <c r="GR67" s="2">
        <v>0</v>
      </c>
      <c r="GS67" s="2">
        <v>3</v>
      </c>
      <c r="GT67" s="2">
        <v>0</v>
      </c>
      <c r="GU67" s="2" t="s">
        <v>3</v>
      </c>
      <c r="GV67" s="2">
        <f t="shared" si="89"/>
        <v>0</v>
      </c>
      <c r="GW67" s="2">
        <v>1</v>
      </c>
      <c r="GX67" s="2">
        <f t="shared" si="90"/>
        <v>0</v>
      </c>
      <c r="GY67" s="2"/>
      <c r="GZ67" s="2"/>
      <c r="HA67" s="2">
        <v>0</v>
      </c>
      <c r="HB67" s="2">
        <v>0</v>
      </c>
      <c r="HC67" s="2">
        <f>GV67*GW67</f>
        <v>0</v>
      </c>
      <c r="HD67" s="2"/>
      <c r="HE67" s="2" t="s">
        <v>3</v>
      </c>
      <c r="HF67" s="2" t="s">
        <v>3</v>
      </c>
      <c r="HG67" s="2"/>
      <c r="HH67" s="2"/>
      <c r="HI67" s="2"/>
      <c r="HJ67" s="2"/>
      <c r="HK67" s="2"/>
      <c r="HL67" s="2"/>
      <c r="HM67" s="2" t="s">
        <v>3</v>
      </c>
      <c r="HN67" s="2" t="s">
        <v>3</v>
      </c>
      <c r="HO67" s="2" t="s">
        <v>3</v>
      </c>
      <c r="HP67" s="2" t="s">
        <v>3</v>
      </c>
      <c r="HQ67" s="2" t="s">
        <v>3</v>
      </c>
      <c r="HR67" s="2"/>
      <c r="HS67" s="2">
        <v>0</v>
      </c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>
        <v>0</v>
      </c>
      <c r="IL67" s="2"/>
      <c r="IM67" s="2"/>
      <c r="IN67" s="2"/>
      <c r="IO67" s="2"/>
      <c r="IP67" s="2"/>
      <c r="IQ67" s="2"/>
      <c r="IR67" s="2"/>
      <c r="IS67" s="2"/>
      <c r="IT67" s="2"/>
      <c r="IU67" s="2"/>
    </row>
    <row r="68" spans="1:255" x14ac:dyDescent="0.2">
      <c r="A68" s="2">
        <v>17</v>
      </c>
      <c r="B68" s="2">
        <v>1</v>
      </c>
      <c r="C68" s="2"/>
      <c r="D68" s="2"/>
      <c r="E68" s="2" t="s">
        <v>162</v>
      </c>
      <c r="F68" s="2" t="s">
        <v>163</v>
      </c>
      <c r="G68" s="2" t="s">
        <v>164</v>
      </c>
      <c r="H68" s="2" t="s">
        <v>108</v>
      </c>
      <c r="I68" s="2">
        <v>1</v>
      </c>
      <c r="J68" s="2">
        <v>0</v>
      </c>
      <c r="K68" s="2">
        <v>1</v>
      </c>
      <c r="L68" s="2"/>
      <c r="M68" s="2"/>
      <c r="N68" s="2"/>
      <c r="O68" s="2">
        <f>ROUND(CP68,2)</f>
        <v>3023.18</v>
      </c>
      <c r="P68" s="2">
        <f>ROUND(CQ68*I68,2)</f>
        <v>3023.18</v>
      </c>
      <c r="Q68" s="2">
        <f>ROUND(CR68*I68,2)</f>
        <v>0</v>
      </c>
      <c r="R68" s="2">
        <f>ROUND(CS68*I68,2)</f>
        <v>0</v>
      </c>
      <c r="S68" s="2">
        <f>ROUND(CT68*I68,2)</f>
        <v>0</v>
      </c>
      <c r="T68" s="2">
        <f t="shared" si="75"/>
        <v>0</v>
      </c>
      <c r="U68" s="2">
        <f>ROUND(CV68*I68,7)</f>
        <v>0</v>
      </c>
      <c r="V68" s="2">
        <f>ROUND(CW68*I68,7)</f>
        <v>0</v>
      </c>
      <c r="W68" s="2">
        <f t="shared" si="76"/>
        <v>0</v>
      </c>
      <c r="X68" s="2">
        <f t="shared" si="77"/>
        <v>0</v>
      </c>
      <c r="Y68" s="2">
        <f t="shared" si="78"/>
        <v>0</v>
      </c>
      <c r="Z68" s="2"/>
      <c r="AA68" s="2">
        <v>52718353</v>
      </c>
      <c r="AB68" s="2">
        <f t="shared" si="79"/>
        <v>3474.92</v>
      </c>
      <c r="AC68" s="2">
        <f>ROUND((ES68),6)</f>
        <v>3474.92</v>
      </c>
      <c r="AD68" s="2">
        <f>ROUND((((ET68)-(EU68))+AE68),6)</f>
        <v>0</v>
      </c>
      <c r="AE68" s="2">
        <f t="shared" si="92"/>
        <v>0</v>
      </c>
      <c r="AF68" s="2">
        <f t="shared" si="92"/>
        <v>0</v>
      </c>
      <c r="AG68" s="2">
        <f t="shared" si="81"/>
        <v>0</v>
      </c>
      <c r="AH68" s="2">
        <f t="shared" si="93"/>
        <v>0</v>
      </c>
      <c r="AI68" s="2">
        <f t="shared" si="93"/>
        <v>0</v>
      </c>
      <c r="AJ68" s="2">
        <f t="shared" si="83"/>
        <v>0</v>
      </c>
      <c r="AK68" s="2">
        <v>3474.92</v>
      </c>
      <c r="AL68" s="2">
        <v>3474.92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1</v>
      </c>
      <c r="AW68" s="2">
        <v>1</v>
      </c>
      <c r="AX68" s="2"/>
      <c r="AY68" s="2"/>
      <c r="AZ68" s="2">
        <v>1</v>
      </c>
      <c r="BA68" s="2">
        <v>1</v>
      </c>
      <c r="BB68" s="2">
        <v>1</v>
      </c>
      <c r="BC68" s="2">
        <v>0.87</v>
      </c>
      <c r="BD68" s="2" t="s">
        <v>3</v>
      </c>
      <c r="BE68" s="2" t="s">
        <v>3</v>
      </c>
      <c r="BF68" s="2" t="s">
        <v>3</v>
      </c>
      <c r="BG68" s="2" t="s">
        <v>3</v>
      </c>
      <c r="BH68" s="2">
        <v>3</v>
      </c>
      <c r="BI68" s="2">
        <v>2</v>
      </c>
      <c r="BJ68" s="2" t="s">
        <v>165</v>
      </c>
      <c r="BK68" s="2"/>
      <c r="BL68" s="2"/>
      <c r="BM68" s="2">
        <v>500002</v>
      </c>
      <c r="BN68" s="2">
        <v>0</v>
      </c>
      <c r="BO68" s="2" t="s">
        <v>163</v>
      </c>
      <c r="BP68" s="2">
        <v>1</v>
      </c>
      <c r="BQ68" s="2">
        <v>12</v>
      </c>
      <c r="BR68" s="2">
        <v>0</v>
      </c>
      <c r="BS68" s="2">
        <v>1</v>
      </c>
      <c r="BT68" s="2">
        <v>1</v>
      </c>
      <c r="BU68" s="2">
        <v>1</v>
      </c>
      <c r="BV68" s="2">
        <v>1</v>
      </c>
      <c r="BW68" s="2">
        <v>1</v>
      </c>
      <c r="BX68" s="2">
        <v>1</v>
      </c>
      <c r="BY68" s="2" t="s">
        <v>3</v>
      </c>
      <c r="BZ68" s="2">
        <v>0</v>
      </c>
      <c r="CA68" s="2">
        <v>0</v>
      </c>
      <c r="CB68" s="2" t="s">
        <v>3</v>
      </c>
      <c r="CC68" s="2"/>
      <c r="CD68" s="2"/>
      <c r="CE68" s="2">
        <v>0</v>
      </c>
      <c r="CF68" s="2">
        <v>0</v>
      </c>
      <c r="CG68" s="2">
        <v>0</v>
      </c>
      <c r="CH68" s="2"/>
      <c r="CI68" s="2"/>
      <c r="CJ68" s="2"/>
      <c r="CK68" s="2"/>
      <c r="CL68" s="2"/>
      <c r="CM68" s="2">
        <v>0</v>
      </c>
      <c r="CN68" s="2" t="s">
        <v>3</v>
      </c>
      <c r="CO68" s="2">
        <v>0</v>
      </c>
      <c r="CP68" s="2">
        <f>(P68+Q68+S68+R68)</f>
        <v>3023.18</v>
      </c>
      <c r="CQ68" s="2">
        <f>ROUND(AL68*BC68,2)</f>
        <v>3023.18</v>
      </c>
      <c r="CR68" s="2">
        <f>ROUND(AM68*BB68,2)</f>
        <v>0</v>
      </c>
      <c r="CS68" s="2">
        <f>ROUND(AN68*BS68,2)</f>
        <v>0</v>
      </c>
      <c r="CT68" s="2">
        <f>ROUND(AO68*BA68,2)</f>
        <v>0</v>
      </c>
      <c r="CU68" s="2">
        <f t="shared" si="94"/>
        <v>0</v>
      </c>
      <c r="CV68" s="2">
        <f t="shared" si="94"/>
        <v>0</v>
      </c>
      <c r="CW68" s="2">
        <f t="shared" si="94"/>
        <v>0</v>
      </c>
      <c r="CX68" s="2">
        <f t="shared" si="94"/>
        <v>0</v>
      </c>
      <c r="CY68" s="2">
        <f>0</f>
        <v>0</v>
      </c>
      <c r="CZ68" s="2">
        <f>0</f>
        <v>0</v>
      </c>
      <c r="DA68" s="2"/>
      <c r="DB68" s="2"/>
      <c r="DC68" s="2" t="s">
        <v>3</v>
      </c>
      <c r="DD68" s="2" t="s">
        <v>3</v>
      </c>
      <c r="DE68" s="2" t="s">
        <v>3</v>
      </c>
      <c r="DF68" s="2" t="s">
        <v>3</v>
      </c>
      <c r="DG68" s="2" t="s">
        <v>3</v>
      </c>
      <c r="DH68" s="2" t="s">
        <v>3</v>
      </c>
      <c r="DI68" s="2" t="s">
        <v>3</v>
      </c>
      <c r="DJ68" s="2" t="s">
        <v>3</v>
      </c>
      <c r="DK68" s="2" t="s">
        <v>3</v>
      </c>
      <c r="DL68" s="2" t="s">
        <v>3</v>
      </c>
      <c r="DM68" s="2" t="s">
        <v>3</v>
      </c>
      <c r="DN68" s="2">
        <v>0</v>
      </c>
      <c r="DO68" s="2">
        <v>0</v>
      </c>
      <c r="DP68" s="2">
        <v>1</v>
      </c>
      <c r="DQ68" s="2">
        <v>1</v>
      </c>
      <c r="DR68" s="2"/>
      <c r="DS68" s="2"/>
      <c r="DT68" s="2"/>
      <c r="DU68" s="2">
        <v>1013</v>
      </c>
      <c r="DV68" s="2" t="s">
        <v>108</v>
      </c>
      <c r="DW68" s="2" t="s">
        <v>108</v>
      </c>
      <c r="DX68" s="2">
        <v>1</v>
      </c>
      <c r="DY68" s="2"/>
      <c r="DZ68" s="2" t="s">
        <v>3</v>
      </c>
      <c r="EA68" s="2" t="s">
        <v>3</v>
      </c>
      <c r="EB68" s="2" t="s">
        <v>3</v>
      </c>
      <c r="EC68" s="2" t="s">
        <v>3</v>
      </c>
      <c r="ED68" s="2"/>
      <c r="EE68" s="2">
        <v>50991777</v>
      </c>
      <c r="EF68" s="2">
        <v>12</v>
      </c>
      <c r="EG68" s="2" t="s">
        <v>50</v>
      </c>
      <c r="EH68" s="2">
        <v>0</v>
      </c>
      <c r="EI68" s="2" t="s">
        <v>3</v>
      </c>
      <c r="EJ68" s="2">
        <v>2</v>
      </c>
      <c r="EK68" s="2">
        <v>500002</v>
      </c>
      <c r="EL68" s="2" t="s">
        <v>51</v>
      </c>
      <c r="EM68" s="2" t="s">
        <v>52</v>
      </c>
      <c r="EN68" s="2"/>
      <c r="EO68" s="2" t="s">
        <v>3</v>
      </c>
      <c r="EP68" s="2"/>
      <c r="EQ68" s="2">
        <v>0</v>
      </c>
      <c r="ER68" s="2">
        <v>3474.92</v>
      </c>
      <c r="ES68" s="2">
        <v>3474.92</v>
      </c>
      <c r="ET68" s="2">
        <v>0</v>
      </c>
      <c r="EU68" s="2">
        <v>0</v>
      </c>
      <c r="EV68" s="2">
        <v>0</v>
      </c>
      <c r="EW68" s="2">
        <v>0</v>
      </c>
      <c r="EX68" s="2">
        <v>0</v>
      </c>
      <c r="EY68" s="2">
        <v>0</v>
      </c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>
        <v>0</v>
      </c>
      <c r="FR68" s="2">
        <v>0</v>
      </c>
      <c r="FS68" s="2">
        <v>0</v>
      </c>
      <c r="FT68" s="2"/>
      <c r="FU68" s="2"/>
      <c r="FV68" s="2"/>
      <c r="FW68" s="2"/>
      <c r="FX68" s="2">
        <v>0</v>
      </c>
      <c r="FY68" s="2">
        <v>0</v>
      </c>
      <c r="FZ68" s="2"/>
      <c r="GA68" s="2" t="s">
        <v>3</v>
      </c>
      <c r="GB68" s="2"/>
      <c r="GC68" s="2"/>
      <c r="GD68" s="2">
        <v>1</v>
      </c>
      <c r="GE68" s="2"/>
      <c r="GF68" s="2">
        <v>-1616701063</v>
      </c>
      <c r="GG68" s="2">
        <v>2</v>
      </c>
      <c r="GH68" s="2">
        <v>1</v>
      </c>
      <c r="GI68" s="2">
        <v>2</v>
      </c>
      <c r="GJ68" s="2">
        <v>0</v>
      </c>
      <c r="GK68" s="2">
        <v>0</v>
      </c>
      <c r="GL68" s="2">
        <f t="shared" si="84"/>
        <v>0</v>
      </c>
      <c r="GM68" s="2">
        <f t="shared" si="85"/>
        <v>3023.18</v>
      </c>
      <c r="GN68" s="2">
        <f t="shared" si="86"/>
        <v>0</v>
      </c>
      <c r="GO68" s="2">
        <f t="shared" si="87"/>
        <v>3023.18</v>
      </c>
      <c r="GP68" s="2">
        <f t="shared" si="88"/>
        <v>0</v>
      </c>
      <c r="GQ68" s="2"/>
      <c r="GR68" s="2">
        <v>0</v>
      </c>
      <c r="GS68" s="2">
        <v>3</v>
      </c>
      <c r="GT68" s="2">
        <v>0</v>
      </c>
      <c r="GU68" s="2" t="s">
        <v>3</v>
      </c>
      <c r="GV68" s="2">
        <f t="shared" si="89"/>
        <v>0</v>
      </c>
      <c r="GW68" s="2">
        <v>1</v>
      </c>
      <c r="GX68" s="2">
        <f t="shared" si="90"/>
        <v>0</v>
      </c>
      <c r="GY68" s="2"/>
      <c r="GZ68" s="2"/>
      <c r="HA68" s="2">
        <v>0</v>
      </c>
      <c r="HB68" s="2">
        <v>0</v>
      </c>
      <c r="HC68" s="2">
        <f>GV68*GW68</f>
        <v>0</v>
      </c>
      <c r="HD68" s="2"/>
      <c r="HE68" s="2" t="s">
        <v>3</v>
      </c>
      <c r="HF68" s="2" t="s">
        <v>3</v>
      </c>
      <c r="HG68" s="2"/>
      <c r="HH68" s="2"/>
      <c r="HI68" s="2"/>
      <c r="HJ68" s="2"/>
      <c r="HK68" s="2"/>
      <c r="HL68" s="2"/>
      <c r="HM68" s="2" t="s">
        <v>3</v>
      </c>
      <c r="HN68" s="2" t="s">
        <v>3</v>
      </c>
      <c r="HO68" s="2" t="s">
        <v>3</v>
      </c>
      <c r="HP68" s="2" t="s">
        <v>3</v>
      </c>
      <c r="HQ68" s="2" t="s">
        <v>3</v>
      </c>
      <c r="HR68" s="2"/>
      <c r="HS68" s="2">
        <v>0</v>
      </c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>
        <v>0</v>
      </c>
      <c r="IL68" s="2"/>
      <c r="IM68" s="2"/>
      <c r="IN68" s="2"/>
      <c r="IO68" s="2"/>
      <c r="IP68" s="2"/>
      <c r="IQ68" s="2"/>
      <c r="IR68" s="2"/>
      <c r="IS68" s="2"/>
      <c r="IT68" s="2"/>
      <c r="IU68" s="2"/>
    </row>
    <row r="69" spans="1:255" x14ac:dyDescent="0.2">
      <c r="A69" s="2">
        <v>17</v>
      </c>
      <c r="B69" s="2">
        <v>1</v>
      </c>
      <c r="C69" s="2"/>
      <c r="D69" s="2"/>
      <c r="E69" s="2" t="s">
        <v>166</v>
      </c>
      <c r="F69" s="2" t="s">
        <v>167</v>
      </c>
      <c r="G69" s="2" t="s">
        <v>168</v>
      </c>
      <c r="H69" s="2" t="s">
        <v>56</v>
      </c>
      <c r="I69" s="2">
        <f>ROUND(50/100,7)</f>
        <v>0.5</v>
      </c>
      <c r="J69" s="2">
        <v>0</v>
      </c>
      <c r="K69" s="2">
        <f>ROUND(50/100,7)</f>
        <v>0.5</v>
      </c>
      <c r="L69" s="2"/>
      <c r="M69" s="2"/>
      <c r="N69" s="2"/>
      <c r="O69" s="2">
        <f>ROUND(CP69,2)</f>
        <v>864.28</v>
      </c>
      <c r="P69" s="2">
        <f>ROUND(CQ69*I69,2)</f>
        <v>864.28</v>
      </c>
      <c r="Q69" s="2">
        <f>ROUND(CR69*I69,2)</f>
        <v>0</v>
      </c>
      <c r="R69" s="2">
        <f>ROUND(CS69*I69,2)</f>
        <v>0</v>
      </c>
      <c r="S69" s="2">
        <f>ROUND(CT69*I69,2)</f>
        <v>0</v>
      </c>
      <c r="T69" s="2">
        <f t="shared" si="75"/>
        <v>0</v>
      </c>
      <c r="U69" s="2">
        <f>ROUND(CV69*I69,7)</f>
        <v>0</v>
      </c>
      <c r="V69" s="2">
        <f>ROUND(CW69*I69,7)</f>
        <v>0</v>
      </c>
      <c r="W69" s="2">
        <f t="shared" si="76"/>
        <v>0</v>
      </c>
      <c r="X69" s="2">
        <f t="shared" si="77"/>
        <v>0</v>
      </c>
      <c r="Y69" s="2">
        <f t="shared" si="78"/>
        <v>0</v>
      </c>
      <c r="Z69" s="2"/>
      <c r="AA69" s="2">
        <v>52718353</v>
      </c>
      <c r="AB69" s="2">
        <f t="shared" si="79"/>
        <v>1382.84</v>
      </c>
      <c r="AC69" s="2">
        <f>ROUND((ES69),6)</f>
        <v>1382.84</v>
      </c>
      <c r="AD69" s="2">
        <f>ROUND((((ET69)-(EU69))+AE69),6)</f>
        <v>0</v>
      </c>
      <c r="AE69" s="2">
        <f t="shared" si="92"/>
        <v>0</v>
      </c>
      <c r="AF69" s="2">
        <f t="shared" si="92"/>
        <v>0</v>
      </c>
      <c r="AG69" s="2">
        <f t="shared" si="81"/>
        <v>0</v>
      </c>
      <c r="AH69" s="2">
        <f t="shared" si="93"/>
        <v>0</v>
      </c>
      <c r="AI69" s="2">
        <f t="shared" si="93"/>
        <v>0</v>
      </c>
      <c r="AJ69" s="2">
        <f t="shared" si="83"/>
        <v>0</v>
      </c>
      <c r="AK69" s="2">
        <v>1382.84</v>
      </c>
      <c r="AL69" s="2">
        <v>1382.84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1</v>
      </c>
      <c r="AW69" s="2">
        <v>1</v>
      </c>
      <c r="AX69" s="2"/>
      <c r="AY69" s="2"/>
      <c r="AZ69" s="2">
        <v>1</v>
      </c>
      <c r="BA69" s="2">
        <v>1</v>
      </c>
      <c r="BB69" s="2">
        <v>1</v>
      </c>
      <c r="BC69" s="2">
        <v>1.25</v>
      </c>
      <c r="BD69" s="2" t="s">
        <v>3</v>
      </c>
      <c r="BE69" s="2" t="s">
        <v>3</v>
      </c>
      <c r="BF69" s="2" t="s">
        <v>3</v>
      </c>
      <c r="BG69" s="2" t="s">
        <v>3</v>
      </c>
      <c r="BH69" s="2">
        <v>3</v>
      </c>
      <c r="BI69" s="2">
        <v>2</v>
      </c>
      <c r="BJ69" s="2" t="s">
        <v>169</v>
      </c>
      <c r="BK69" s="2"/>
      <c r="BL69" s="2"/>
      <c r="BM69" s="2">
        <v>500002</v>
      </c>
      <c r="BN69" s="2">
        <v>0</v>
      </c>
      <c r="BO69" s="2" t="s">
        <v>167</v>
      </c>
      <c r="BP69" s="2">
        <v>1</v>
      </c>
      <c r="BQ69" s="2">
        <v>12</v>
      </c>
      <c r="BR69" s="2">
        <v>0</v>
      </c>
      <c r="BS69" s="2">
        <v>1</v>
      </c>
      <c r="BT69" s="2">
        <v>1</v>
      </c>
      <c r="BU69" s="2">
        <v>1</v>
      </c>
      <c r="BV69" s="2">
        <v>1</v>
      </c>
      <c r="BW69" s="2">
        <v>1</v>
      </c>
      <c r="BX69" s="2">
        <v>1</v>
      </c>
      <c r="BY69" s="2" t="s">
        <v>3</v>
      </c>
      <c r="BZ69" s="2">
        <v>0</v>
      </c>
      <c r="CA69" s="2">
        <v>0</v>
      </c>
      <c r="CB69" s="2" t="s">
        <v>3</v>
      </c>
      <c r="CC69" s="2"/>
      <c r="CD69" s="2"/>
      <c r="CE69" s="2">
        <v>0</v>
      </c>
      <c r="CF69" s="2">
        <v>0</v>
      </c>
      <c r="CG69" s="2">
        <v>0</v>
      </c>
      <c r="CH69" s="2"/>
      <c r="CI69" s="2"/>
      <c r="CJ69" s="2"/>
      <c r="CK69" s="2"/>
      <c r="CL69" s="2"/>
      <c r="CM69" s="2">
        <v>0</v>
      </c>
      <c r="CN69" s="2" t="s">
        <v>3</v>
      </c>
      <c r="CO69" s="2">
        <v>0</v>
      </c>
      <c r="CP69" s="2">
        <f>(P69+Q69+S69+R69)</f>
        <v>864.28</v>
      </c>
      <c r="CQ69" s="2">
        <f>ROUND(AL69*BC69,2)</f>
        <v>1728.55</v>
      </c>
      <c r="CR69" s="2">
        <f>ROUND(AM69*BB69,2)</f>
        <v>0</v>
      </c>
      <c r="CS69" s="2">
        <f>ROUND(AN69*BS69,2)</f>
        <v>0</v>
      </c>
      <c r="CT69" s="2">
        <f>ROUND(AO69*BA69,2)</f>
        <v>0</v>
      </c>
      <c r="CU69" s="2">
        <f t="shared" si="94"/>
        <v>0</v>
      </c>
      <c r="CV69" s="2">
        <f t="shared" si="94"/>
        <v>0</v>
      </c>
      <c r="CW69" s="2">
        <f t="shared" si="94"/>
        <v>0</v>
      </c>
      <c r="CX69" s="2">
        <f t="shared" si="94"/>
        <v>0</v>
      </c>
      <c r="CY69" s="2">
        <f>0</f>
        <v>0</v>
      </c>
      <c r="CZ69" s="2">
        <f>0</f>
        <v>0</v>
      </c>
      <c r="DA69" s="2"/>
      <c r="DB69" s="2"/>
      <c r="DC69" s="2" t="s">
        <v>3</v>
      </c>
      <c r="DD69" s="2" t="s">
        <v>3</v>
      </c>
      <c r="DE69" s="2" t="s">
        <v>3</v>
      </c>
      <c r="DF69" s="2" t="s">
        <v>3</v>
      </c>
      <c r="DG69" s="2" t="s">
        <v>3</v>
      </c>
      <c r="DH69" s="2" t="s">
        <v>3</v>
      </c>
      <c r="DI69" s="2" t="s">
        <v>3</v>
      </c>
      <c r="DJ69" s="2" t="s">
        <v>3</v>
      </c>
      <c r="DK69" s="2" t="s">
        <v>3</v>
      </c>
      <c r="DL69" s="2" t="s">
        <v>3</v>
      </c>
      <c r="DM69" s="2" t="s">
        <v>3</v>
      </c>
      <c r="DN69" s="2">
        <v>0</v>
      </c>
      <c r="DO69" s="2">
        <v>0</v>
      </c>
      <c r="DP69" s="2">
        <v>1</v>
      </c>
      <c r="DQ69" s="2">
        <v>1</v>
      </c>
      <c r="DR69" s="2"/>
      <c r="DS69" s="2"/>
      <c r="DT69" s="2"/>
      <c r="DU69" s="2">
        <v>1013</v>
      </c>
      <c r="DV69" s="2" t="s">
        <v>56</v>
      </c>
      <c r="DW69" s="2" t="s">
        <v>56</v>
      </c>
      <c r="DX69" s="2">
        <v>1</v>
      </c>
      <c r="DY69" s="2"/>
      <c r="DZ69" s="2" t="s">
        <v>3</v>
      </c>
      <c r="EA69" s="2" t="s">
        <v>3</v>
      </c>
      <c r="EB69" s="2" t="s">
        <v>3</v>
      </c>
      <c r="EC69" s="2" t="s">
        <v>3</v>
      </c>
      <c r="ED69" s="2"/>
      <c r="EE69" s="2">
        <v>50991777</v>
      </c>
      <c r="EF69" s="2">
        <v>12</v>
      </c>
      <c r="EG69" s="2" t="s">
        <v>50</v>
      </c>
      <c r="EH69" s="2">
        <v>0</v>
      </c>
      <c r="EI69" s="2" t="s">
        <v>3</v>
      </c>
      <c r="EJ69" s="2">
        <v>2</v>
      </c>
      <c r="EK69" s="2">
        <v>500002</v>
      </c>
      <c r="EL69" s="2" t="s">
        <v>51</v>
      </c>
      <c r="EM69" s="2" t="s">
        <v>52</v>
      </c>
      <c r="EN69" s="2"/>
      <c r="EO69" s="2" t="s">
        <v>3</v>
      </c>
      <c r="EP69" s="2"/>
      <c r="EQ69" s="2">
        <v>0</v>
      </c>
      <c r="ER69" s="2">
        <v>1382.84</v>
      </c>
      <c r="ES69" s="2">
        <v>1382.84</v>
      </c>
      <c r="ET69" s="2">
        <v>0</v>
      </c>
      <c r="EU69" s="2">
        <v>0</v>
      </c>
      <c r="EV69" s="2">
        <v>0</v>
      </c>
      <c r="EW69" s="2">
        <v>0</v>
      </c>
      <c r="EX69" s="2">
        <v>0</v>
      </c>
      <c r="EY69" s="2">
        <v>0</v>
      </c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>
        <v>0</v>
      </c>
      <c r="FR69" s="2">
        <v>0</v>
      </c>
      <c r="FS69" s="2">
        <v>0</v>
      </c>
      <c r="FT69" s="2"/>
      <c r="FU69" s="2"/>
      <c r="FV69" s="2"/>
      <c r="FW69" s="2"/>
      <c r="FX69" s="2">
        <v>0</v>
      </c>
      <c r="FY69" s="2">
        <v>0</v>
      </c>
      <c r="FZ69" s="2"/>
      <c r="GA69" s="2" t="s">
        <v>3</v>
      </c>
      <c r="GB69" s="2"/>
      <c r="GC69" s="2"/>
      <c r="GD69" s="2">
        <v>1</v>
      </c>
      <c r="GE69" s="2"/>
      <c r="GF69" s="2">
        <v>-39724354</v>
      </c>
      <c r="GG69" s="2">
        <v>2</v>
      </c>
      <c r="GH69" s="2">
        <v>1</v>
      </c>
      <c r="GI69" s="2">
        <v>2</v>
      </c>
      <c r="GJ69" s="2">
        <v>0</v>
      </c>
      <c r="GK69" s="2">
        <v>0</v>
      </c>
      <c r="GL69" s="2">
        <f t="shared" si="84"/>
        <v>0</v>
      </c>
      <c r="GM69" s="2">
        <f t="shared" si="85"/>
        <v>864.28</v>
      </c>
      <c r="GN69" s="2">
        <f t="shared" si="86"/>
        <v>0</v>
      </c>
      <c r="GO69" s="2">
        <f t="shared" si="87"/>
        <v>864.28</v>
      </c>
      <c r="GP69" s="2">
        <f t="shared" si="88"/>
        <v>0</v>
      </c>
      <c r="GQ69" s="2"/>
      <c r="GR69" s="2">
        <v>0</v>
      </c>
      <c r="GS69" s="2">
        <v>3</v>
      </c>
      <c r="GT69" s="2">
        <v>0</v>
      </c>
      <c r="GU69" s="2" t="s">
        <v>3</v>
      </c>
      <c r="GV69" s="2">
        <f t="shared" si="89"/>
        <v>0</v>
      </c>
      <c r="GW69" s="2">
        <v>1</v>
      </c>
      <c r="GX69" s="2">
        <f t="shared" si="90"/>
        <v>0</v>
      </c>
      <c r="GY69" s="2"/>
      <c r="GZ69" s="2"/>
      <c r="HA69" s="2">
        <v>0</v>
      </c>
      <c r="HB69" s="2">
        <v>0</v>
      </c>
      <c r="HC69" s="2">
        <f>GV69*GW69</f>
        <v>0</v>
      </c>
      <c r="HD69" s="2"/>
      <c r="HE69" s="2" t="s">
        <v>3</v>
      </c>
      <c r="HF69" s="2" t="s">
        <v>3</v>
      </c>
      <c r="HG69" s="2"/>
      <c r="HH69" s="2"/>
      <c r="HI69" s="2"/>
      <c r="HJ69" s="2"/>
      <c r="HK69" s="2"/>
      <c r="HL69" s="2"/>
      <c r="HM69" s="2" t="s">
        <v>3</v>
      </c>
      <c r="HN69" s="2" t="s">
        <v>3</v>
      </c>
      <c r="HO69" s="2" t="s">
        <v>3</v>
      </c>
      <c r="HP69" s="2" t="s">
        <v>3</v>
      </c>
      <c r="HQ69" s="2" t="s">
        <v>3</v>
      </c>
      <c r="HR69" s="2"/>
      <c r="HS69" s="2">
        <v>0</v>
      </c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>
        <v>0</v>
      </c>
      <c r="IL69" s="2"/>
      <c r="IM69" s="2"/>
      <c r="IN69" s="2"/>
      <c r="IO69" s="2"/>
      <c r="IP69" s="2"/>
      <c r="IQ69" s="2"/>
      <c r="IR69" s="2"/>
      <c r="IS69" s="2"/>
      <c r="IT69" s="2"/>
      <c r="IU69" s="2"/>
    </row>
    <row r="70" spans="1:255" x14ac:dyDescent="0.2">
      <c r="A70" s="2">
        <v>17</v>
      </c>
      <c r="B70" s="2">
        <v>1</v>
      </c>
      <c r="C70" s="2">
        <f>ROW(SmtRes!A63)</f>
        <v>63</v>
      </c>
      <c r="D70" s="2">
        <f>ROW(EtalonRes!A63)</f>
        <v>63</v>
      </c>
      <c r="E70" s="2" t="s">
        <v>170</v>
      </c>
      <c r="F70" s="2" t="s">
        <v>171</v>
      </c>
      <c r="G70" s="2" t="s">
        <v>172</v>
      </c>
      <c r="H70" s="2" t="s">
        <v>56</v>
      </c>
      <c r="I70" s="2">
        <f>ROUND(23/100,7)</f>
        <v>0.23</v>
      </c>
      <c r="J70" s="2">
        <v>0</v>
      </c>
      <c r="K70" s="2">
        <f>ROUND(23/100,7)</f>
        <v>0.23</v>
      </c>
      <c r="L70" s="2"/>
      <c r="M70" s="2"/>
      <c r="N70" s="2"/>
      <c r="O70" s="2">
        <f>ROUND(CP70,2)</f>
        <v>5531.09</v>
      </c>
      <c r="P70" s="2">
        <f>SUMIF(SmtRes!AQ55:'SmtRes'!AQ63,"=1",SmtRes!DF55:'SmtRes'!DF63)</f>
        <v>229.37</v>
      </c>
      <c r="Q70" s="2">
        <f>SUMIF(SmtRes!AQ55:'SmtRes'!AQ63,"=1",SmtRes!DG55:'SmtRes'!DG63)</f>
        <v>13.45</v>
      </c>
      <c r="R70" s="2">
        <f>SUMIF(SmtRes!AQ55:'SmtRes'!AQ63,"=1",SmtRes!DH55:'SmtRes'!DH63)</f>
        <v>10.14</v>
      </c>
      <c r="S70" s="2">
        <f>SUMIF(SmtRes!AQ55:'SmtRes'!AQ63,"=1",SmtRes!DI55:'SmtRes'!DI63)</f>
        <v>5278.13</v>
      </c>
      <c r="T70" s="2">
        <f t="shared" si="75"/>
        <v>0</v>
      </c>
      <c r="U70" s="2">
        <f>SUMIF(SmtRes!AQ55:'SmtRes'!AQ63,"=1",SmtRes!CV55:'SmtRes'!CV63)</f>
        <v>7.0103999999999997</v>
      </c>
      <c r="V70" s="2">
        <f>SUMIF(SmtRes!AQ55:'SmtRes'!AQ63,"=1",SmtRes!CW55:'SmtRes'!CW63)</f>
        <v>1.15E-2</v>
      </c>
      <c r="W70" s="2">
        <f t="shared" si="76"/>
        <v>0</v>
      </c>
      <c r="X70" s="2">
        <f t="shared" si="77"/>
        <v>5129.62</v>
      </c>
      <c r="Y70" s="2">
        <f t="shared" si="78"/>
        <v>2697.02</v>
      </c>
      <c r="Z70" s="2"/>
      <c r="AA70" s="2">
        <v>52718353</v>
      </c>
      <c r="AB70" s="2">
        <f t="shared" si="79"/>
        <v>23861.579631000001</v>
      </c>
      <c r="AC70" s="2">
        <f>ROUND((SUM(SmtRes!BQ55:'SmtRes'!BQ63)),6)</f>
        <v>854.72243100000003</v>
      </c>
      <c r="AD70" s="2">
        <f>ROUND((((SUM(SmtRes!BR55:'SmtRes'!BR63))-(SUM(SmtRes!BS55:'SmtRes'!BS63)))+AE70),6)</f>
        <v>58.465200000000003</v>
      </c>
      <c r="AE70" s="2">
        <f>ROUND((SUM(SmtRes!BS55:'SmtRes'!BS63)),6)</f>
        <v>44.082799999999999</v>
      </c>
      <c r="AF70" s="2">
        <f>ROUND((SUM(SmtRes!BT55:'SmtRes'!BT63)),6)</f>
        <v>22948.392</v>
      </c>
      <c r="AG70" s="2">
        <f t="shared" si="81"/>
        <v>0</v>
      </c>
      <c r="AH70" s="2">
        <f>(SUM(SmtRes!BU55:'SmtRes'!BU63))</f>
        <v>30.48</v>
      </c>
      <c r="AI70" s="2">
        <f>(SUM(SmtRes!BV55:'SmtRes'!BV63))</f>
        <v>0.05</v>
      </c>
      <c r="AJ70" s="2">
        <f t="shared" si="83"/>
        <v>0</v>
      </c>
      <c r="AK70" s="2">
        <v>23905.6624305</v>
      </c>
      <c r="AL70" s="2">
        <v>854.72243049999997</v>
      </c>
      <c r="AM70" s="2">
        <v>58.465199999999996</v>
      </c>
      <c r="AN70" s="2">
        <v>44.082799999999999</v>
      </c>
      <c r="AO70" s="2">
        <v>22948.392</v>
      </c>
      <c r="AP70" s="2">
        <v>0</v>
      </c>
      <c r="AQ70" s="2">
        <v>30.48</v>
      </c>
      <c r="AR70" s="2">
        <v>0.05</v>
      </c>
      <c r="AS70" s="2">
        <v>0</v>
      </c>
      <c r="AT70" s="2">
        <v>97</v>
      </c>
      <c r="AU70" s="2">
        <v>51</v>
      </c>
      <c r="AV70" s="2">
        <v>1</v>
      </c>
      <c r="AW70" s="2">
        <v>1</v>
      </c>
      <c r="AX70" s="2"/>
      <c r="AY70" s="2"/>
      <c r="AZ70" s="2">
        <v>1</v>
      </c>
      <c r="BA70" s="2">
        <v>1</v>
      </c>
      <c r="BB70" s="2">
        <v>1</v>
      </c>
      <c r="BC70" s="2">
        <v>1</v>
      </c>
      <c r="BD70" s="2" t="s">
        <v>3</v>
      </c>
      <c r="BE70" s="2" t="s">
        <v>3</v>
      </c>
      <c r="BF70" s="2" t="s">
        <v>3</v>
      </c>
      <c r="BG70" s="2" t="s">
        <v>3</v>
      </c>
      <c r="BH70" s="2">
        <v>0</v>
      </c>
      <c r="BI70" s="2">
        <v>2</v>
      </c>
      <c r="BJ70" s="2" t="s">
        <v>173</v>
      </c>
      <c r="BK70" s="2"/>
      <c r="BL70" s="2"/>
      <c r="BM70" s="2">
        <v>108001</v>
      </c>
      <c r="BN70" s="2">
        <v>0</v>
      </c>
      <c r="BO70" s="2" t="s">
        <v>3</v>
      </c>
      <c r="BP70" s="2">
        <v>0</v>
      </c>
      <c r="BQ70" s="2">
        <v>3</v>
      </c>
      <c r="BR70" s="2">
        <v>0</v>
      </c>
      <c r="BS70" s="2">
        <v>1</v>
      </c>
      <c r="BT70" s="2">
        <v>1</v>
      </c>
      <c r="BU70" s="2">
        <v>1</v>
      </c>
      <c r="BV70" s="2">
        <v>1</v>
      </c>
      <c r="BW70" s="2">
        <v>1</v>
      </c>
      <c r="BX70" s="2">
        <v>1</v>
      </c>
      <c r="BY70" s="2" t="s">
        <v>3</v>
      </c>
      <c r="BZ70" s="2">
        <v>97</v>
      </c>
      <c r="CA70" s="2">
        <v>51</v>
      </c>
      <c r="CB70" s="2" t="s">
        <v>3</v>
      </c>
      <c r="CC70" s="2"/>
      <c r="CD70" s="2"/>
      <c r="CE70" s="2">
        <v>0</v>
      </c>
      <c r="CF70" s="2">
        <v>0</v>
      </c>
      <c r="CG70" s="2">
        <v>0</v>
      </c>
      <c r="CH70" s="2"/>
      <c r="CI70" s="2"/>
      <c r="CJ70" s="2"/>
      <c r="CK70" s="2"/>
      <c r="CL70" s="2"/>
      <c r="CM70" s="2">
        <v>0</v>
      </c>
      <c r="CN70" s="2" t="s">
        <v>3</v>
      </c>
      <c r="CO70" s="2">
        <v>0</v>
      </c>
      <c r="CP70" s="2">
        <f>(P70+Q70+S70+R70)</f>
        <v>5531.09</v>
      </c>
      <c r="CQ70" s="2">
        <f>SUMIF(SmtRes!AQ55:'SmtRes'!AQ63,"=1",SmtRes!AA55:'SmtRes'!AA63)</f>
        <v>11577.24</v>
      </c>
      <c r="CR70" s="2">
        <f>SUMIF(SmtRes!AQ55:'SmtRes'!AQ63,"=1",SmtRes!AB55:'SmtRes'!AB63)</f>
        <v>2130.48</v>
      </c>
      <c r="CS70" s="2">
        <f>SUMIF(SmtRes!AQ55:'SmtRes'!AQ63,"=1",SmtRes!AC55:'SmtRes'!AC63)</f>
        <v>1713.12</v>
      </c>
      <c r="CT70" s="2">
        <f>SUMIF(SmtRes!AQ55:'SmtRes'!AQ63,"=1",SmtRes!AD55:'SmtRes'!AD63)</f>
        <v>752.9</v>
      </c>
      <c r="CU70" s="2">
        <f>AG70</f>
        <v>0</v>
      </c>
      <c r="CV70" s="2">
        <f>SUMIF(SmtRes!AQ55:'SmtRes'!AQ63,"=1",SmtRes!BU55:'SmtRes'!BU63)</f>
        <v>30.48</v>
      </c>
      <c r="CW70" s="2">
        <f>SUMIF(SmtRes!AQ55:'SmtRes'!AQ63,"=1",SmtRes!BV55:'SmtRes'!BV63)</f>
        <v>0.05</v>
      </c>
      <c r="CX70" s="2">
        <f>AJ70</f>
        <v>0</v>
      </c>
      <c r="CY70" s="2">
        <f>(((S70+R70)*AT70)/100)</f>
        <v>5129.621900000001</v>
      </c>
      <c r="CZ70" s="2">
        <f>(((S70+R70)*AU70)/100)</f>
        <v>2697.0177000000003</v>
      </c>
      <c r="DA70" s="2"/>
      <c r="DB70" s="2"/>
      <c r="DC70" s="2" t="s">
        <v>3</v>
      </c>
      <c r="DD70" s="2" t="s">
        <v>3</v>
      </c>
      <c r="DE70" s="2" t="s">
        <v>3</v>
      </c>
      <c r="DF70" s="2" t="s">
        <v>3</v>
      </c>
      <c r="DG70" s="2" t="s">
        <v>3</v>
      </c>
      <c r="DH70" s="2" t="s">
        <v>3</v>
      </c>
      <c r="DI70" s="2" t="s">
        <v>3</v>
      </c>
      <c r="DJ70" s="2" t="s">
        <v>3</v>
      </c>
      <c r="DK70" s="2" t="s">
        <v>3</v>
      </c>
      <c r="DL70" s="2" t="s">
        <v>3</v>
      </c>
      <c r="DM70" s="2" t="s">
        <v>3</v>
      </c>
      <c r="DN70" s="2">
        <v>0</v>
      </c>
      <c r="DO70" s="2">
        <v>0</v>
      </c>
      <c r="DP70" s="2">
        <v>1</v>
      </c>
      <c r="DQ70" s="2">
        <v>1</v>
      </c>
      <c r="DR70" s="2"/>
      <c r="DS70" s="2"/>
      <c r="DT70" s="2"/>
      <c r="DU70" s="2">
        <v>1013</v>
      </c>
      <c r="DV70" s="2" t="s">
        <v>56</v>
      </c>
      <c r="DW70" s="2" t="s">
        <v>56</v>
      </c>
      <c r="DX70" s="2">
        <v>1</v>
      </c>
      <c r="DY70" s="2"/>
      <c r="DZ70" s="2" t="s">
        <v>3</v>
      </c>
      <c r="EA70" s="2" t="s">
        <v>3</v>
      </c>
      <c r="EB70" s="2" t="s">
        <v>3</v>
      </c>
      <c r="EC70" s="2" t="s">
        <v>3</v>
      </c>
      <c r="ED70" s="2"/>
      <c r="EE70" s="2">
        <v>50991719</v>
      </c>
      <c r="EF70" s="2">
        <v>3</v>
      </c>
      <c r="EG70" s="2" t="s">
        <v>14</v>
      </c>
      <c r="EH70" s="2">
        <v>0</v>
      </c>
      <c r="EI70" s="2" t="s">
        <v>3</v>
      </c>
      <c r="EJ70" s="2">
        <v>2</v>
      </c>
      <c r="EK70" s="2">
        <v>108001</v>
      </c>
      <c r="EL70" s="2" t="s">
        <v>20</v>
      </c>
      <c r="EM70" s="2" t="s">
        <v>21</v>
      </c>
      <c r="EN70" s="2"/>
      <c r="EO70" s="2" t="s">
        <v>3</v>
      </c>
      <c r="EP70" s="2"/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30.48</v>
      </c>
      <c r="EX70" s="2">
        <v>0.05</v>
      </c>
      <c r="EY70" s="2">
        <v>0</v>
      </c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>
        <v>0</v>
      </c>
      <c r="FR70" s="2">
        <v>0</v>
      </c>
      <c r="FS70" s="2">
        <v>0</v>
      </c>
      <c r="FT70" s="2"/>
      <c r="FU70" s="2"/>
      <c r="FV70" s="2"/>
      <c r="FW70" s="2"/>
      <c r="FX70" s="2">
        <v>97</v>
      </c>
      <c r="FY70" s="2">
        <v>51</v>
      </c>
      <c r="FZ70" s="2"/>
      <c r="GA70" s="2" t="s">
        <v>3</v>
      </c>
      <c r="GB70" s="2"/>
      <c r="GC70" s="2"/>
      <c r="GD70" s="2">
        <v>1</v>
      </c>
      <c r="GE70" s="2"/>
      <c r="GF70" s="2">
        <v>300136801</v>
      </c>
      <c r="GG70" s="2">
        <v>2</v>
      </c>
      <c r="GH70" s="2">
        <v>1</v>
      </c>
      <c r="GI70" s="2">
        <v>-2</v>
      </c>
      <c r="GJ70" s="2">
        <v>0</v>
      </c>
      <c r="GK70" s="2">
        <v>0</v>
      </c>
      <c r="GL70" s="2">
        <f t="shared" si="84"/>
        <v>0</v>
      </c>
      <c r="GM70" s="2">
        <f t="shared" si="85"/>
        <v>13357.73</v>
      </c>
      <c r="GN70" s="2">
        <f t="shared" si="86"/>
        <v>0</v>
      </c>
      <c r="GO70" s="2">
        <f t="shared" si="87"/>
        <v>13357.73</v>
      </c>
      <c r="GP70" s="2">
        <f t="shared" si="88"/>
        <v>0</v>
      </c>
      <c r="GQ70" s="2"/>
      <c r="GR70" s="2">
        <v>0</v>
      </c>
      <c r="GS70" s="2">
        <v>3</v>
      </c>
      <c r="GT70" s="2">
        <v>0</v>
      </c>
      <c r="GU70" s="2" t="s">
        <v>3</v>
      </c>
      <c r="GV70" s="2">
        <f t="shared" si="89"/>
        <v>0</v>
      </c>
      <c r="GW70" s="2">
        <v>1</v>
      </c>
      <c r="GX70" s="2">
        <f t="shared" si="90"/>
        <v>0</v>
      </c>
      <c r="GY70" s="2"/>
      <c r="GZ70" s="2"/>
      <c r="HA70" s="2">
        <v>0</v>
      </c>
      <c r="HB70" s="2">
        <v>0</v>
      </c>
      <c r="HC70" s="2">
        <f>GV70*GW70</f>
        <v>0</v>
      </c>
      <c r="HD70" s="2"/>
      <c r="HE70" s="2" t="s">
        <v>3</v>
      </c>
      <c r="HF70" s="2" t="s">
        <v>3</v>
      </c>
      <c r="HG70" s="2"/>
      <c r="HH70" s="2"/>
      <c r="HI70" s="2"/>
      <c r="HJ70" s="2"/>
      <c r="HK70" s="2"/>
      <c r="HL70" s="2"/>
      <c r="HM70" s="2" t="s">
        <v>3</v>
      </c>
      <c r="HN70" s="2" t="s">
        <v>22</v>
      </c>
      <c r="HO70" s="2" t="s">
        <v>23</v>
      </c>
      <c r="HP70" s="2" t="s">
        <v>20</v>
      </c>
      <c r="HQ70" s="2" t="s">
        <v>20</v>
      </c>
      <c r="HR70" s="2"/>
      <c r="HS70" s="2">
        <v>0</v>
      </c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>
        <v>0</v>
      </c>
      <c r="IL70" s="2"/>
      <c r="IM70" s="2"/>
      <c r="IN70" s="2"/>
      <c r="IO70" s="2"/>
      <c r="IP70" s="2"/>
      <c r="IQ70" s="2"/>
      <c r="IR70" s="2"/>
      <c r="IS70" s="2"/>
      <c r="IT70" s="2"/>
      <c r="IU70" s="2"/>
    </row>
    <row r="71" spans="1:255" x14ac:dyDescent="0.2">
      <c r="A71" s="2">
        <v>18</v>
      </c>
      <c r="B71" s="2">
        <v>1</v>
      </c>
      <c r="C71" s="2">
        <v>63</v>
      </c>
      <c r="D71" s="2"/>
      <c r="E71" s="2" t="s">
        <v>174</v>
      </c>
      <c r="F71" s="2" t="s">
        <v>25</v>
      </c>
      <c r="G71" s="2" t="s">
        <v>26</v>
      </c>
      <c r="H71" s="2" t="s">
        <v>27</v>
      </c>
      <c r="I71" s="2">
        <f>J71</f>
        <v>2</v>
      </c>
      <c r="J71" s="2">
        <v>2</v>
      </c>
      <c r="K71" s="2">
        <v>2</v>
      </c>
      <c r="L71" s="2"/>
      <c r="M71" s="2"/>
      <c r="N71" s="2"/>
      <c r="O71" s="2">
        <f>ROUND(P71,2)</f>
        <v>105.56</v>
      </c>
      <c r="P71" s="2">
        <f>ROUND(ROUND(ROUND(SUMIF(SmtRes!AQ55:'SmtRes'!AQ63,"=1",SmtRes!CU55:'SmtRes'!CU63),2),2)*I71/100,2)</f>
        <v>105.56</v>
      </c>
      <c r="Q71" s="2">
        <f>ROUND(CR71*I71,2)</f>
        <v>0</v>
      </c>
      <c r="R71" s="2">
        <f>ROUND(CS71*I71,2)</f>
        <v>0</v>
      </c>
      <c r="S71" s="2">
        <f>ROUND(CT71*I71,2)</f>
        <v>0</v>
      </c>
      <c r="T71" s="2">
        <f t="shared" si="75"/>
        <v>0</v>
      </c>
      <c r="U71" s="2">
        <f>ROUND(CV71*I71,7)</f>
        <v>0</v>
      </c>
      <c r="V71" s="2">
        <f>ROUND(CW71*I71,7)</f>
        <v>0</v>
      </c>
      <c r="W71" s="2">
        <f t="shared" si="76"/>
        <v>0</v>
      </c>
      <c r="X71" s="2">
        <f t="shared" si="77"/>
        <v>0</v>
      </c>
      <c r="Y71" s="2">
        <f t="shared" si="78"/>
        <v>0</v>
      </c>
      <c r="Z71" s="2"/>
      <c r="AA71" s="2">
        <v>52718353</v>
      </c>
      <c r="AB71" s="2">
        <f t="shared" si="79"/>
        <v>0</v>
      </c>
      <c r="AC71" s="2">
        <f>ROUND((ES71),6)</f>
        <v>0</v>
      </c>
      <c r="AD71" s="2">
        <f>ROUND((((ET71)-(EU71))+AE71),6)</f>
        <v>0</v>
      </c>
      <c r="AE71" s="2">
        <f t="shared" ref="AE71:AF73" si="95">ROUND((EU71),6)</f>
        <v>0</v>
      </c>
      <c r="AF71" s="2">
        <f t="shared" si="95"/>
        <v>0</v>
      </c>
      <c r="AG71" s="2">
        <f t="shared" si="81"/>
        <v>0</v>
      </c>
      <c r="AH71" s="2">
        <f t="shared" ref="AH71:AI73" si="96">(EW71)</f>
        <v>0</v>
      </c>
      <c r="AI71" s="2">
        <f t="shared" si="96"/>
        <v>0</v>
      </c>
      <c r="AJ71" s="2">
        <f t="shared" si="83"/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97</v>
      </c>
      <c r="AU71" s="2">
        <v>51</v>
      </c>
      <c r="AV71" s="2">
        <v>1</v>
      </c>
      <c r="AW71" s="2">
        <v>1</v>
      </c>
      <c r="AX71" s="2"/>
      <c r="AY71" s="2"/>
      <c r="AZ71" s="2">
        <v>1</v>
      </c>
      <c r="BA71" s="2">
        <v>1</v>
      </c>
      <c r="BB71" s="2">
        <v>1</v>
      </c>
      <c r="BC71" s="2">
        <v>1</v>
      </c>
      <c r="BD71" s="2" t="s">
        <v>3</v>
      </c>
      <c r="BE71" s="2" t="s">
        <v>3</v>
      </c>
      <c r="BF71" s="2" t="s">
        <v>3</v>
      </c>
      <c r="BG71" s="2" t="s">
        <v>3</v>
      </c>
      <c r="BH71" s="2">
        <v>3</v>
      </c>
      <c r="BI71" s="2">
        <v>2</v>
      </c>
      <c r="BJ71" s="2" t="s">
        <v>3</v>
      </c>
      <c r="BK71" s="2"/>
      <c r="BL71" s="2"/>
      <c r="BM71" s="2">
        <v>108001</v>
      </c>
      <c r="BN71" s="2">
        <v>0</v>
      </c>
      <c r="BO71" s="2" t="s">
        <v>3</v>
      </c>
      <c r="BP71" s="2">
        <v>0</v>
      </c>
      <c r="BQ71" s="2">
        <v>3</v>
      </c>
      <c r="BR71" s="2">
        <v>0</v>
      </c>
      <c r="BS71" s="2">
        <v>1</v>
      </c>
      <c r="BT71" s="2">
        <v>1</v>
      </c>
      <c r="BU71" s="2">
        <v>1</v>
      </c>
      <c r="BV71" s="2">
        <v>1</v>
      </c>
      <c r="BW71" s="2">
        <v>1</v>
      </c>
      <c r="BX71" s="2">
        <v>1</v>
      </c>
      <c r="BY71" s="2" t="s">
        <v>3</v>
      </c>
      <c r="BZ71" s="2">
        <v>97</v>
      </c>
      <c r="CA71" s="2">
        <v>51</v>
      </c>
      <c r="CB71" s="2" t="s">
        <v>3</v>
      </c>
      <c r="CC71" s="2"/>
      <c r="CD71" s="2"/>
      <c r="CE71" s="2">
        <v>0</v>
      </c>
      <c r="CF71" s="2">
        <v>0</v>
      </c>
      <c r="CG71" s="2">
        <v>0</v>
      </c>
      <c r="CH71" s="2"/>
      <c r="CI71" s="2"/>
      <c r="CJ71" s="2"/>
      <c r="CK71" s="2"/>
      <c r="CL71" s="2"/>
      <c r="CM71" s="2">
        <v>0</v>
      </c>
      <c r="CN71" s="2" t="s">
        <v>3</v>
      </c>
      <c r="CO71" s="2">
        <v>0</v>
      </c>
      <c r="CP71" s="2">
        <f>0</f>
        <v>0</v>
      </c>
      <c r="CQ71" s="2">
        <f>0</f>
        <v>0</v>
      </c>
      <c r="CR71" s="2">
        <f>0</f>
        <v>0</v>
      </c>
      <c r="CS71" s="2">
        <f>0</f>
        <v>0</v>
      </c>
      <c r="CT71" s="2">
        <f>0</f>
        <v>0</v>
      </c>
      <c r="CU71" s="2">
        <f>0</f>
        <v>0</v>
      </c>
      <c r="CV71" s="2">
        <f>0</f>
        <v>0</v>
      </c>
      <c r="CW71" s="2">
        <f>0</f>
        <v>0</v>
      </c>
      <c r="CX71" s="2">
        <f>0</f>
        <v>0</v>
      </c>
      <c r="CY71" s="2">
        <f>0</f>
        <v>0</v>
      </c>
      <c r="CZ71" s="2">
        <f>0</f>
        <v>0</v>
      </c>
      <c r="DA71" s="2"/>
      <c r="DB71" s="2"/>
      <c r="DC71" s="2" t="s">
        <v>3</v>
      </c>
      <c r="DD71" s="2" t="s">
        <v>3</v>
      </c>
      <c r="DE71" s="2" t="s">
        <v>3</v>
      </c>
      <c r="DF71" s="2" t="s">
        <v>3</v>
      </c>
      <c r="DG71" s="2" t="s">
        <v>3</v>
      </c>
      <c r="DH71" s="2" t="s">
        <v>3</v>
      </c>
      <c r="DI71" s="2" t="s">
        <v>3</v>
      </c>
      <c r="DJ71" s="2" t="s">
        <v>3</v>
      </c>
      <c r="DK71" s="2" t="s">
        <v>3</v>
      </c>
      <c r="DL71" s="2" t="s">
        <v>3</v>
      </c>
      <c r="DM71" s="2" t="s">
        <v>3</v>
      </c>
      <c r="DN71" s="2">
        <v>0</v>
      </c>
      <c r="DO71" s="2">
        <v>0</v>
      </c>
      <c r="DP71" s="2">
        <v>1</v>
      </c>
      <c r="DQ71" s="2">
        <v>1</v>
      </c>
      <c r="DR71" s="2"/>
      <c r="DS71" s="2"/>
      <c r="DT71" s="2"/>
      <c r="DU71" s="2">
        <v>1013</v>
      </c>
      <c r="DV71" s="2" t="s">
        <v>27</v>
      </c>
      <c r="DW71" s="2" t="s">
        <v>27</v>
      </c>
      <c r="DX71" s="2">
        <v>1</v>
      </c>
      <c r="DY71" s="2"/>
      <c r="DZ71" s="2" t="s">
        <v>3</v>
      </c>
      <c r="EA71" s="2" t="s">
        <v>3</v>
      </c>
      <c r="EB71" s="2" t="s">
        <v>3</v>
      </c>
      <c r="EC71" s="2" t="s">
        <v>3</v>
      </c>
      <c r="ED71" s="2"/>
      <c r="EE71" s="2">
        <v>50991719</v>
      </c>
      <c r="EF71" s="2">
        <v>3</v>
      </c>
      <c r="EG71" s="2" t="s">
        <v>14</v>
      </c>
      <c r="EH71" s="2">
        <v>0</v>
      </c>
      <c r="EI71" s="2" t="s">
        <v>3</v>
      </c>
      <c r="EJ71" s="2">
        <v>2</v>
      </c>
      <c r="EK71" s="2">
        <v>108001</v>
      </c>
      <c r="EL71" s="2" t="s">
        <v>20</v>
      </c>
      <c r="EM71" s="2" t="s">
        <v>21</v>
      </c>
      <c r="EN71" s="2"/>
      <c r="EO71" s="2" t="s">
        <v>3</v>
      </c>
      <c r="EP71" s="2"/>
      <c r="EQ71" s="2">
        <v>0</v>
      </c>
      <c r="ER71" s="2">
        <v>0</v>
      </c>
      <c r="ES71" s="2">
        <v>0</v>
      </c>
      <c r="ET71" s="2">
        <v>0</v>
      </c>
      <c r="EU71" s="2">
        <v>0</v>
      </c>
      <c r="EV71" s="2">
        <v>0</v>
      </c>
      <c r="EW71" s="2">
        <v>0</v>
      </c>
      <c r="EX71" s="2">
        <v>0</v>
      </c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>
        <v>0</v>
      </c>
      <c r="FR71" s="2">
        <v>0</v>
      </c>
      <c r="FS71" s="2">
        <v>0</v>
      </c>
      <c r="FT71" s="2"/>
      <c r="FU71" s="2"/>
      <c r="FV71" s="2"/>
      <c r="FW71" s="2"/>
      <c r="FX71" s="2">
        <v>97</v>
      </c>
      <c r="FY71" s="2">
        <v>51</v>
      </c>
      <c r="FZ71" s="2"/>
      <c r="GA71" s="2" t="s">
        <v>3</v>
      </c>
      <c r="GB71" s="2"/>
      <c r="GC71" s="2"/>
      <c r="GD71" s="2">
        <v>1</v>
      </c>
      <c r="GE71" s="2"/>
      <c r="GF71" s="2">
        <v>274903907</v>
      </c>
      <c r="GG71" s="2">
        <v>2</v>
      </c>
      <c r="GH71" s="2">
        <v>1</v>
      </c>
      <c r="GI71" s="2">
        <v>-2</v>
      </c>
      <c r="GJ71" s="2">
        <v>0</v>
      </c>
      <c r="GK71" s="2">
        <v>0</v>
      </c>
      <c r="GL71" s="2">
        <f t="shared" si="84"/>
        <v>0</v>
      </c>
      <c r="GM71" s="2">
        <f t="shared" si="85"/>
        <v>105.56</v>
      </c>
      <c r="GN71" s="2">
        <f t="shared" si="86"/>
        <v>0</v>
      </c>
      <c r="GO71" s="2">
        <f t="shared" si="87"/>
        <v>105.56</v>
      </c>
      <c r="GP71" s="2">
        <f t="shared" si="88"/>
        <v>0</v>
      </c>
      <c r="GQ71" s="2"/>
      <c r="GR71" s="2">
        <v>0</v>
      </c>
      <c r="GS71" s="2">
        <v>3</v>
      </c>
      <c r="GT71" s="2">
        <v>0</v>
      </c>
      <c r="GU71" s="2" t="s">
        <v>3</v>
      </c>
      <c r="GV71" s="2">
        <f t="shared" si="89"/>
        <v>0</v>
      </c>
      <c r="GW71" s="2">
        <v>1</v>
      </c>
      <c r="GX71" s="2">
        <f t="shared" si="90"/>
        <v>0</v>
      </c>
      <c r="GY71" s="2"/>
      <c r="GZ71" s="2"/>
      <c r="HA71" s="2">
        <v>0</v>
      </c>
      <c r="HB71" s="2">
        <v>0</v>
      </c>
      <c r="HC71" s="2">
        <f>0</f>
        <v>0</v>
      </c>
      <c r="HD71" s="2"/>
      <c r="HE71" s="2" t="s">
        <v>3</v>
      </c>
      <c r="HF71" s="2" t="s">
        <v>3</v>
      </c>
      <c r="HG71" s="2"/>
      <c r="HH71" s="2"/>
      <c r="HI71" s="2"/>
      <c r="HJ71" s="2"/>
      <c r="HK71" s="2"/>
      <c r="HL71" s="2"/>
      <c r="HM71" s="2" t="s">
        <v>3</v>
      </c>
      <c r="HN71" s="2" t="s">
        <v>22</v>
      </c>
      <c r="HO71" s="2" t="s">
        <v>23</v>
      </c>
      <c r="HP71" s="2" t="s">
        <v>20</v>
      </c>
      <c r="HQ71" s="2" t="s">
        <v>20</v>
      </c>
      <c r="HR71" s="2"/>
      <c r="HS71" s="2">
        <v>0</v>
      </c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>
        <v>0</v>
      </c>
      <c r="IL71" s="2"/>
      <c r="IM71" s="2"/>
      <c r="IN71" s="2"/>
      <c r="IO71" s="2"/>
      <c r="IP71" s="2"/>
      <c r="IQ71" s="2"/>
      <c r="IR71" s="2"/>
      <c r="IS71" s="2"/>
      <c r="IT71" s="2"/>
      <c r="IU71" s="2"/>
    </row>
    <row r="72" spans="1:255" x14ac:dyDescent="0.2">
      <c r="A72" s="2">
        <v>17</v>
      </c>
      <c r="B72" s="2">
        <v>1</v>
      </c>
      <c r="C72" s="2"/>
      <c r="D72" s="2"/>
      <c r="E72" s="2" t="s">
        <v>175</v>
      </c>
      <c r="F72" s="2" t="s">
        <v>176</v>
      </c>
      <c r="G72" s="2" t="s">
        <v>177</v>
      </c>
      <c r="H72" s="2" t="s">
        <v>108</v>
      </c>
      <c r="I72" s="2">
        <v>17</v>
      </c>
      <c r="J72" s="2">
        <v>0</v>
      </c>
      <c r="K72" s="2">
        <v>17</v>
      </c>
      <c r="L72" s="2"/>
      <c r="M72" s="2"/>
      <c r="N72" s="2"/>
      <c r="O72" s="2">
        <f>ROUND(CP72,2)</f>
        <v>3522.91</v>
      </c>
      <c r="P72" s="2">
        <f>ROUND(CQ72*I72,2)</f>
        <v>3522.91</v>
      </c>
      <c r="Q72" s="2">
        <f>ROUND(CR72*I72,2)</f>
        <v>0</v>
      </c>
      <c r="R72" s="2">
        <f>ROUND(CS72*I72,2)</f>
        <v>0</v>
      </c>
      <c r="S72" s="2">
        <f>ROUND(CT72*I72,2)</f>
        <v>0</v>
      </c>
      <c r="T72" s="2">
        <f t="shared" si="75"/>
        <v>0</v>
      </c>
      <c r="U72" s="2">
        <f>ROUND(CV72*I72,7)</f>
        <v>0</v>
      </c>
      <c r="V72" s="2">
        <f>ROUND(CW72*I72,7)</f>
        <v>0</v>
      </c>
      <c r="W72" s="2">
        <f t="shared" si="76"/>
        <v>0</v>
      </c>
      <c r="X72" s="2">
        <f t="shared" si="77"/>
        <v>0</v>
      </c>
      <c r="Y72" s="2">
        <f t="shared" si="78"/>
        <v>0</v>
      </c>
      <c r="Z72" s="2"/>
      <c r="AA72" s="2">
        <v>52718353</v>
      </c>
      <c r="AB72" s="2">
        <f t="shared" si="79"/>
        <v>238.2</v>
      </c>
      <c r="AC72" s="2">
        <f>ROUND((ES72),6)</f>
        <v>238.2</v>
      </c>
      <c r="AD72" s="2">
        <f>ROUND((((ET72)-(EU72))+AE72),6)</f>
        <v>0</v>
      </c>
      <c r="AE72" s="2">
        <f t="shared" si="95"/>
        <v>0</v>
      </c>
      <c r="AF72" s="2">
        <f t="shared" si="95"/>
        <v>0</v>
      </c>
      <c r="AG72" s="2">
        <f t="shared" si="81"/>
        <v>0</v>
      </c>
      <c r="AH72" s="2">
        <f t="shared" si="96"/>
        <v>0</v>
      </c>
      <c r="AI72" s="2">
        <f t="shared" si="96"/>
        <v>0</v>
      </c>
      <c r="AJ72" s="2">
        <f t="shared" si="83"/>
        <v>0</v>
      </c>
      <c r="AK72" s="2">
        <v>238.2</v>
      </c>
      <c r="AL72" s="2">
        <v>238.2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1</v>
      </c>
      <c r="AW72" s="2">
        <v>1</v>
      </c>
      <c r="AX72" s="2"/>
      <c r="AY72" s="2"/>
      <c r="AZ72" s="2">
        <v>1</v>
      </c>
      <c r="BA72" s="2">
        <v>1</v>
      </c>
      <c r="BB72" s="2">
        <v>1</v>
      </c>
      <c r="BC72" s="2">
        <v>0.87</v>
      </c>
      <c r="BD72" s="2" t="s">
        <v>3</v>
      </c>
      <c r="BE72" s="2" t="s">
        <v>3</v>
      </c>
      <c r="BF72" s="2" t="s">
        <v>3</v>
      </c>
      <c r="BG72" s="2" t="s">
        <v>3</v>
      </c>
      <c r="BH72" s="2">
        <v>3</v>
      </c>
      <c r="BI72" s="2">
        <v>2</v>
      </c>
      <c r="BJ72" s="2" t="s">
        <v>178</v>
      </c>
      <c r="BK72" s="2"/>
      <c r="BL72" s="2"/>
      <c r="BM72" s="2">
        <v>500002</v>
      </c>
      <c r="BN72" s="2">
        <v>0</v>
      </c>
      <c r="BO72" s="2" t="s">
        <v>176</v>
      </c>
      <c r="BP72" s="2">
        <v>1</v>
      </c>
      <c r="BQ72" s="2">
        <v>12</v>
      </c>
      <c r="BR72" s="2">
        <v>0</v>
      </c>
      <c r="BS72" s="2">
        <v>1</v>
      </c>
      <c r="BT72" s="2">
        <v>1</v>
      </c>
      <c r="BU72" s="2">
        <v>1</v>
      </c>
      <c r="BV72" s="2">
        <v>1</v>
      </c>
      <c r="BW72" s="2">
        <v>1</v>
      </c>
      <c r="BX72" s="2">
        <v>1</v>
      </c>
      <c r="BY72" s="2" t="s">
        <v>3</v>
      </c>
      <c r="BZ72" s="2">
        <v>0</v>
      </c>
      <c r="CA72" s="2">
        <v>0</v>
      </c>
      <c r="CB72" s="2" t="s">
        <v>3</v>
      </c>
      <c r="CC72" s="2"/>
      <c r="CD72" s="2"/>
      <c r="CE72" s="2">
        <v>0</v>
      </c>
      <c r="CF72" s="2">
        <v>0</v>
      </c>
      <c r="CG72" s="2">
        <v>0</v>
      </c>
      <c r="CH72" s="2"/>
      <c r="CI72" s="2"/>
      <c r="CJ72" s="2"/>
      <c r="CK72" s="2"/>
      <c r="CL72" s="2"/>
      <c r="CM72" s="2">
        <v>0</v>
      </c>
      <c r="CN72" s="2" t="s">
        <v>3</v>
      </c>
      <c r="CO72" s="2">
        <v>0</v>
      </c>
      <c r="CP72" s="2">
        <f>(P72+Q72+S72+R72)</f>
        <v>3522.91</v>
      </c>
      <c r="CQ72" s="2">
        <f>ROUND(AL72*BC72,2)</f>
        <v>207.23</v>
      </c>
      <c r="CR72" s="2">
        <f>ROUND(AM72*BB72,2)</f>
        <v>0</v>
      </c>
      <c r="CS72" s="2">
        <f>ROUND(AN72*BS72,2)</f>
        <v>0</v>
      </c>
      <c r="CT72" s="2">
        <f>ROUND(AO72*BA72,2)</f>
        <v>0</v>
      </c>
      <c r="CU72" s="2">
        <f t="shared" ref="CU72:CX73" si="97">AG72</f>
        <v>0</v>
      </c>
      <c r="CV72" s="2">
        <f t="shared" si="97"/>
        <v>0</v>
      </c>
      <c r="CW72" s="2">
        <f t="shared" si="97"/>
        <v>0</v>
      </c>
      <c r="CX72" s="2">
        <f t="shared" si="97"/>
        <v>0</v>
      </c>
      <c r="CY72" s="2">
        <f>0</f>
        <v>0</v>
      </c>
      <c r="CZ72" s="2">
        <f>0</f>
        <v>0</v>
      </c>
      <c r="DA72" s="2"/>
      <c r="DB72" s="2"/>
      <c r="DC72" s="2" t="s">
        <v>3</v>
      </c>
      <c r="DD72" s="2" t="s">
        <v>3</v>
      </c>
      <c r="DE72" s="2" t="s">
        <v>3</v>
      </c>
      <c r="DF72" s="2" t="s">
        <v>3</v>
      </c>
      <c r="DG72" s="2" t="s">
        <v>3</v>
      </c>
      <c r="DH72" s="2" t="s">
        <v>3</v>
      </c>
      <c r="DI72" s="2" t="s">
        <v>3</v>
      </c>
      <c r="DJ72" s="2" t="s">
        <v>3</v>
      </c>
      <c r="DK72" s="2" t="s">
        <v>3</v>
      </c>
      <c r="DL72" s="2" t="s">
        <v>3</v>
      </c>
      <c r="DM72" s="2" t="s">
        <v>3</v>
      </c>
      <c r="DN72" s="2">
        <v>0</v>
      </c>
      <c r="DO72" s="2">
        <v>0</v>
      </c>
      <c r="DP72" s="2">
        <v>1</v>
      </c>
      <c r="DQ72" s="2">
        <v>1</v>
      </c>
      <c r="DR72" s="2"/>
      <c r="DS72" s="2"/>
      <c r="DT72" s="2"/>
      <c r="DU72" s="2">
        <v>1013</v>
      </c>
      <c r="DV72" s="2" t="s">
        <v>108</v>
      </c>
      <c r="DW72" s="2" t="s">
        <v>108</v>
      </c>
      <c r="DX72" s="2">
        <v>1</v>
      </c>
      <c r="DY72" s="2"/>
      <c r="DZ72" s="2" t="s">
        <v>3</v>
      </c>
      <c r="EA72" s="2" t="s">
        <v>3</v>
      </c>
      <c r="EB72" s="2" t="s">
        <v>3</v>
      </c>
      <c r="EC72" s="2" t="s">
        <v>3</v>
      </c>
      <c r="ED72" s="2"/>
      <c r="EE72" s="2">
        <v>50991777</v>
      </c>
      <c r="EF72" s="2">
        <v>12</v>
      </c>
      <c r="EG72" s="2" t="s">
        <v>50</v>
      </c>
      <c r="EH72" s="2">
        <v>0</v>
      </c>
      <c r="EI72" s="2" t="s">
        <v>3</v>
      </c>
      <c r="EJ72" s="2">
        <v>2</v>
      </c>
      <c r="EK72" s="2">
        <v>500002</v>
      </c>
      <c r="EL72" s="2" t="s">
        <v>51</v>
      </c>
      <c r="EM72" s="2" t="s">
        <v>52</v>
      </c>
      <c r="EN72" s="2"/>
      <c r="EO72" s="2" t="s">
        <v>3</v>
      </c>
      <c r="EP72" s="2"/>
      <c r="EQ72" s="2">
        <v>0</v>
      </c>
      <c r="ER72" s="2">
        <v>238.2</v>
      </c>
      <c r="ES72" s="2">
        <v>238.2</v>
      </c>
      <c r="ET72" s="2">
        <v>0</v>
      </c>
      <c r="EU72" s="2">
        <v>0</v>
      </c>
      <c r="EV72" s="2">
        <v>0</v>
      </c>
      <c r="EW72" s="2">
        <v>0</v>
      </c>
      <c r="EX72" s="2">
        <v>0</v>
      </c>
      <c r="EY72" s="2">
        <v>0</v>
      </c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>
        <v>0</v>
      </c>
      <c r="FR72" s="2">
        <v>0</v>
      </c>
      <c r="FS72" s="2">
        <v>0</v>
      </c>
      <c r="FT72" s="2"/>
      <c r="FU72" s="2"/>
      <c r="FV72" s="2"/>
      <c r="FW72" s="2"/>
      <c r="FX72" s="2">
        <v>0</v>
      </c>
      <c r="FY72" s="2">
        <v>0</v>
      </c>
      <c r="FZ72" s="2"/>
      <c r="GA72" s="2" t="s">
        <v>3</v>
      </c>
      <c r="GB72" s="2"/>
      <c r="GC72" s="2"/>
      <c r="GD72" s="2">
        <v>1</v>
      </c>
      <c r="GE72" s="2"/>
      <c r="GF72" s="2">
        <v>34861573</v>
      </c>
      <c r="GG72" s="2">
        <v>2</v>
      </c>
      <c r="GH72" s="2">
        <v>1</v>
      </c>
      <c r="GI72" s="2">
        <v>2</v>
      </c>
      <c r="GJ72" s="2">
        <v>0</v>
      </c>
      <c r="GK72" s="2">
        <v>0</v>
      </c>
      <c r="GL72" s="2">
        <f t="shared" si="84"/>
        <v>0</v>
      </c>
      <c r="GM72" s="2">
        <f t="shared" si="85"/>
        <v>3522.91</v>
      </c>
      <c r="GN72" s="2">
        <f t="shared" si="86"/>
        <v>0</v>
      </c>
      <c r="GO72" s="2">
        <f t="shared" si="87"/>
        <v>3522.91</v>
      </c>
      <c r="GP72" s="2">
        <f t="shared" si="88"/>
        <v>0</v>
      </c>
      <c r="GQ72" s="2"/>
      <c r="GR72" s="2">
        <v>0</v>
      </c>
      <c r="GS72" s="2">
        <v>3</v>
      </c>
      <c r="GT72" s="2">
        <v>0</v>
      </c>
      <c r="GU72" s="2" t="s">
        <v>3</v>
      </c>
      <c r="GV72" s="2">
        <f t="shared" si="89"/>
        <v>0</v>
      </c>
      <c r="GW72" s="2">
        <v>1</v>
      </c>
      <c r="GX72" s="2">
        <f t="shared" si="90"/>
        <v>0</v>
      </c>
      <c r="GY72" s="2"/>
      <c r="GZ72" s="2"/>
      <c r="HA72" s="2">
        <v>0</v>
      </c>
      <c r="HB72" s="2">
        <v>0</v>
      </c>
      <c r="HC72" s="2">
        <f>GV72*GW72</f>
        <v>0</v>
      </c>
      <c r="HD72" s="2"/>
      <c r="HE72" s="2" t="s">
        <v>3</v>
      </c>
      <c r="HF72" s="2" t="s">
        <v>3</v>
      </c>
      <c r="HG72" s="2"/>
      <c r="HH72" s="2"/>
      <c r="HI72" s="2"/>
      <c r="HJ72" s="2"/>
      <c r="HK72" s="2"/>
      <c r="HL72" s="2"/>
      <c r="HM72" s="2" t="s">
        <v>3</v>
      </c>
      <c r="HN72" s="2" t="s">
        <v>3</v>
      </c>
      <c r="HO72" s="2" t="s">
        <v>3</v>
      </c>
      <c r="HP72" s="2" t="s">
        <v>3</v>
      </c>
      <c r="HQ72" s="2" t="s">
        <v>3</v>
      </c>
      <c r="HR72" s="2"/>
      <c r="HS72" s="2">
        <v>0</v>
      </c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>
        <v>0</v>
      </c>
      <c r="IL72" s="2"/>
      <c r="IM72" s="2"/>
      <c r="IN72" s="2"/>
      <c r="IO72" s="2"/>
      <c r="IP72" s="2"/>
      <c r="IQ72" s="2"/>
      <c r="IR72" s="2"/>
      <c r="IS72" s="2"/>
      <c r="IT72" s="2"/>
      <c r="IU72" s="2"/>
    </row>
    <row r="73" spans="1:255" x14ac:dyDescent="0.2">
      <c r="A73" s="2">
        <v>17</v>
      </c>
      <c r="B73" s="2">
        <v>1</v>
      </c>
      <c r="C73" s="2"/>
      <c r="D73" s="2"/>
      <c r="E73" s="2" t="s">
        <v>179</v>
      </c>
      <c r="F73" s="2" t="s">
        <v>180</v>
      </c>
      <c r="G73" s="2" t="s">
        <v>181</v>
      </c>
      <c r="H73" s="2" t="s">
        <v>108</v>
      </c>
      <c r="I73" s="2">
        <v>6</v>
      </c>
      <c r="J73" s="2">
        <v>0</v>
      </c>
      <c r="K73" s="2">
        <v>6</v>
      </c>
      <c r="L73" s="2"/>
      <c r="M73" s="2"/>
      <c r="N73" s="2"/>
      <c r="O73" s="2">
        <f>ROUND(CP73,2)</f>
        <v>2007.12</v>
      </c>
      <c r="P73" s="2">
        <f>ROUND(CQ73*I73,2)</f>
        <v>2007.12</v>
      </c>
      <c r="Q73" s="2">
        <f>ROUND(CR73*I73,2)</f>
        <v>0</v>
      </c>
      <c r="R73" s="2">
        <f>ROUND(CS73*I73,2)</f>
        <v>0</v>
      </c>
      <c r="S73" s="2">
        <f>ROUND(CT73*I73,2)</f>
        <v>0</v>
      </c>
      <c r="T73" s="2">
        <f t="shared" si="75"/>
        <v>0</v>
      </c>
      <c r="U73" s="2">
        <f>ROUND(CV73*I73,7)</f>
        <v>0</v>
      </c>
      <c r="V73" s="2">
        <f>ROUND(CW73*I73,7)</f>
        <v>0</v>
      </c>
      <c r="W73" s="2">
        <f t="shared" si="76"/>
        <v>0</v>
      </c>
      <c r="X73" s="2">
        <f t="shared" si="77"/>
        <v>0</v>
      </c>
      <c r="Y73" s="2">
        <f t="shared" si="78"/>
        <v>0</v>
      </c>
      <c r="Z73" s="2"/>
      <c r="AA73" s="2">
        <v>52718353</v>
      </c>
      <c r="AB73" s="2">
        <f t="shared" si="79"/>
        <v>384.51</v>
      </c>
      <c r="AC73" s="2">
        <f>ROUND((ES73),6)</f>
        <v>384.51</v>
      </c>
      <c r="AD73" s="2">
        <f>ROUND((((ET73)-(EU73))+AE73),6)</f>
        <v>0</v>
      </c>
      <c r="AE73" s="2">
        <f t="shared" si="95"/>
        <v>0</v>
      </c>
      <c r="AF73" s="2">
        <f t="shared" si="95"/>
        <v>0</v>
      </c>
      <c r="AG73" s="2">
        <f t="shared" si="81"/>
        <v>0</v>
      </c>
      <c r="AH73" s="2">
        <f t="shared" si="96"/>
        <v>0</v>
      </c>
      <c r="AI73" s="2">
        <f t="shared" si="96"/>
        <v>0</v>
      </c>
      <c r="AJ73" s="2">
        <f t="shared" si="83"/>
        <v>0</v>
      </c>
      <c r="AK73" s="2">
        <v>384.51</v>
      </c>
      <c r="AL73" s="2">
        <v>384.51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1</v>
      </c>
      <c r="AW73" s="2">
        <v>1</v>
      </c>
      <c r="AX73" s="2"/>
      <c r="AY73" s="2"/>
      <c r="AZ73" s="2">
        <v>1</v>
      </c>
      <c r="BA73" s="2">
        <v>1</v>
      </c>
      <c r="BB73" s="2">
        <v>1</v>
      </c>
      <c r="BC73" s="2">
        <v>0.87</v>
      </c>
      <c r="BD73" s="2" t="s">
        <v>3</v>
      </c>
      <c r="BE73" s="2" t="s">
        <v>3</v>
      </c>
      <c r="BF73" s="2" t="s">
        <v>3</v>
      </c>
      <c r="BG73" s="2" t="s">
        <v>3</v>
      </c>
      <c r="BH73" s="2">
        <v>3</v>
      </c>
      <c r="BI73" s="2">
        <v>2</v>
      </c>
      <c r="BJ73" s="2" t="s">
        <v>182</v>
      </c>
      <c r="BK73" s="2"/>
      <c r="BL73" s="2"/>
      <c r="BM73" s="2">
        <v>500002</v>
      </c>
      <c r="BN73" s="2">
        <v>0</v>
      </c>
      <c r="BO73" s="2" t="s">
        <v>180</v>
      </c>
      <c r="BP73" s="2">
        <v>1</v>
      </c>
      <c r="BQ73" s="2">
        <v>12</v>
      </c>
      <c r="BR73" s="2">
        <v>0</v>
      </c>
      <c r="BS73" s="2">
        <v>1</v>
      </c>
      <c r="BT73" s="2">
        <v>1</v>
      </c>
      <c r="BU73" s="2">
        <v>1</v>
      </c>
      <c r="BV73" s="2">
        <v>1</v>
      </c>
      <c r="BW73" s="2">
        <v>1</v>
      </c>
      <c r="BX73" s="2">
        <v>1</v>
      </c>
      <c r="BY73" s="2" t="s">
        <v>3</v>
      </c>
      <c r="BZ73" s="2">
        <v>0</v>
      </c>
      <c r="CA73" s="2">
        <v>0</v>
      </c>
      <c r="CB73" s="2" t="s">
        <v>3</v>
      </c>
      <c r="CC73" s="2"/>
      <c r="CD73" s="2"/>
      <c r="CE73" s="2">
        <v>0</v>
      </c>
      <c r="CF73" s="2">
        <v>0</v>
      </c>
      <c r="CG73" s="2">
        <v>0</v>
      </c>
      <c r="CH73" s="2"/>
      <c r="CI73" s="2"/>
      <c r="CJ73" s="2"/>
      <c r="CK73" s="2"/>
      <c r="CL73" s="2"/>
      <c r="CM73" s="2">
        <v>0</v>
      </c>
      <c r="CN73" s="2" t="s">
        <v>3</v>
      </c>
      <c r="CO73" s="2">
        <v>0</v>
      </c>
      <c r="CP73" s="2">
        <f>(P73+Q73+S73+R73)</f>
        <v>2007.12</v>
      </c>
      <c r="CQ73" s="2">
        <f>ROUND(AL73*BC73,2)</f>
        <v>334.52</v>
      </c>
      <c r="CR73" s="2">
        <f>ROUND(AM73*BB73,2)</f>
        <v>0</v>
      </c>
      <c r="CS73" s="2">
        <f>ROUND(AN73*BS73,2)</f>
        <v>0</v>
      </c>
      <c r="CT73" s="2">
        <f>ROUND(AO73*BA73,2)</f>
        <v>0</v>
      </c>
      <c r="CU73" s="2">
        <f t="shared" si="97"/>
        <v>0</v>
      </c>
      <c r="CV73" s="2">
        <f t="shared" si="97"/>
        <v>0</v>
      </c>
      <c r="CW73" s="2">
        <f t="shared" si="97"/>
        <v>0</v>
      </c>
      <c r="CX73" s="2">
        <f t="shared" si="97"/>
        <v>0</v>
      </c>
      <c r="CY73" s="2">
        <f>0</f>
        <v>0</v>
      </c>
      <c r="CZ73" s="2">
        <f>0</f>
        <v>0</v>
      </c>
      <c r="DA73" s="2"/>
      <c r="DB73" s="2"/>
      <c r="DC73" s="2" t="s">
        <v>3</v>
      </c>
      <c r="DD73" s="2" t="s">
        <v>3</v>
      </c>
      <c r="DE73" s="2" t="s">
        <v>3</v>
      </c>
      <c r="DF73" s="2" t="s">
        <v>3</v>
      </c>
      <c r="DG73" s="2" t="s">
        <v>3</v>
      </c>
      <c r="DH73" s="2" t="s">
        <v>3</v>
      </c>
      <c r="DI73" s="2" t="s">
        <v>3</v>
      </c>
      <c r="DJ73" s="2" t="s">
        <v>3</v>
      </c>
      <c r="DK73" s="2" t="s">
        <v>3</v>
      </c>
      <c r="DL73" s="2" t="s">
        <v>3</v>
      </c>
      <c r="DM73" s="2" t="s">
        <v>3</v>
      </c>
      <c r="DN73" s="2">
        <v>0</v>
      </c>
      <c r="DO73" s="2">
        <v>0</v>
      </c>
      <c r="DP73" s="2">
        <v>1</v>
      </c>
      <c r="DQ73" s="2">
        <v>1</v>
      </c>
      <c r="DR73" s="2"/>
      <c r="DS73" s="2"/>
      <c r="DT73" s="2"/>
      <c r="DU73" s="2">
        <v>1013</v>
      </c>
      <c r="DV73" s="2" t="s">
        <v>108</v>
      </c>
      <c r="DW73" s="2" t="s">
        <v>108</v>
      </c>
      <c r="DX73" s="2">
        <v>1</v>
      </c>
      <c r="DY73" s="2"/>
      <c r="DZ73" s="2" t="s">
        <v>3</v>
      </c>
      <c r="EA73" s="2" t="s">
        <v>3</v>
      </c>
      <c r="EB73" s="2" t="s">
        <v>3</v>
      </c>
      <c r="EC73" s="2" t="s">
        <v>3</v>
      </c>
      <c r="ED73" s="2"/>
      <c r="EE73" s="2">
        <v>50991777</v>
      </c>
      <c r="EF73" s="2">
        <v>12</v>
      </c>
      <c r="EG73" s="2" t="s">
        <v>50</v>
      </c>
      <c r="EH73" s="2">
        <v>0</v>
      </c>
      <c r="EI73" s="2" t="s">
        <v>3</v>
      </c>
      <c r="EJ73" s="2">
        <v>2</v>
      </c>
      <c r="EK73" s="2">
        <v>500002</v>
      </c>
      <c r="EL73" s="2" t="s">
        <v>51</v>
      </c>
      <c r="EM73" s="2" t="s">
        <v>52</v>
      </c>
      <c r="EN73" s="2"/>
      <c r="EO73" s="2" t="s">
        <v>3</v>
      </c>
      <c r="EP73" s="2"/>
      <c r="EQ73" s="2">
        <v>0</v>
      </c>
      <c r="ER73" s="2">
        <v>384.51</v>
      </c>
      <c r="ES73" s="2">
        <v>384.51</v>
      </c>
      <c r="ET73" s="2">
        <v>0</v>
      </c>
      <c r="EU73" s="2">
        <v>0</v>
      </c>
      <c r="EV73" s="2">
        <v>0</v>
      </c>
      <c r="EW73" s="2">
        <v>0</v>
      </c>
      <c r="EX73" s="2">
        <v>0</v>
      </c>
      <c r="EY73" s="2">
        <v>0</v>
      </c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>
        <v>0</v>
      </c>
      <c r="FR73" s="2">
        <v>0</v>
      </c>
      <c r="FS73" s="2">
        <v>0</v>
      </c>
      <c r="FT73" s="2"/>
      <c r="FU73" s="2"/>
      <c r="FV73" s="2"/>
      <c r="FW73" s="2"/>
      <c r="FX73" s="2">
        <v>0</v>
      </c>
      <c r="FY73" s="2">
        <v>0</v>
      </c>
      <c r="FZ73" s="2"/>
      <c r="GA73" s="2" t="s">
        <v>3</v>
      </c>
      <c r="GB73" s="2"/>
      <c r="GC73" s="2"/>
      <c r="GD73" s="2">
        <v>1</v>
      </c>
      <c r="GE73" s="2"/>
      <c r="GF73" s="2">
        <v>2113305616</v>
      </c>
      <c r="GG73" s="2">
        <v>2</v>
      </c>
      <c r="GH73" s="2">
        <v>1</v>
      </c>
      <c r="GI73" s="2">
        <v>2</v>
      </c>
      <c r="GJ73" s="2">
        <v>0</v>
      </c>
      <c r="GK73" s="2">
        <v>0</v>
      </c>
      <c r="GL73" s="2">
        <f t="shared" si="84"/>
        <v>0</v>
      </c>
      <c r="GM73" s="2">
        <f t="shared" si="85"/>
        <v>2007.12</v>
      </c>
      <c r="GN73" s="2">
        <f t="shared" si="86"/>
        <v>0</v>
      </c>
      <c r="GO73" s="2">
        <f t="shared" si="87"/>
        <v>2007.12</v>
      </c>
      <c r="GP73" s="2">
        <f t="shared" si="88"/>
        <v>0</v>
      </c>
      <c r="GQ73" s="2"/>
      <c r="GR73" s="2">
        <v>0</v>
      </c>
      <c r="GS73" s="2">
        <v>3</v>
      </c>
      <c r="GT73" s="2">
        <v>0</v>
      </c>
      <c r="GU73" s="2" t="s">
        <v>3</v>
      </c>
      <c r="GV73" s="2">
        <f t="shared" si="89"/>
        <v>0</v>
      </c>
      <c r="GW73" s="2">
        <v>1</v>
      </c>
      <c r="GX73" s="2">
        <f t="shared" si="90"/>
        <v>0</v>
      </c>
      <c r="GY73" s="2"/>
      <c r="GZ73" s="2"/>
      <c r="HA73" s="2">
        <v>0</v>
      </c>
      <c r="HB73" s="2">
        <v>0</v>
      </c>
      <c r="HC73" s="2">
        <f>GV73*GW73</f>
        <v>0</v>
      </c>
      <c r="HD73" s="2"/>
      <c r="HE73" s="2" t="s">
        <v>3</v>
      </c>
      <c r="HF73" s="2" t="s">
        <v>3</v>
      </c>
      <c r="HG73" s="2"/>
      <c r="HH73" s="2"/>
      <c r="HI73" s="2"/>
      <c r="HJ73" s="2"/>
      <c r="HK73" s="2"/>
      <c r="HL73" s="2"/>
      <c r="HM73" s="2" t="s">
        <v>3</v>
      </c>
      <c r="HN73" s="2" t="s">
        <v>3</v>
      </c>
      <c r="HO73" s="2" t="s">
        <v>3</v>
      </c>
      <c r="HP73" s="2" t="s">
        <v>3</v>
      </c>
      <c r="HQ73" s="2" t="s">
        <v>3</v>
      </c>
      <c r="HR73" s="2"/>
      <c r="HS73" s="2">
        <v>0</v>
      </c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>
        <v>0</v>
      </c>
      <c r="IL73" s="2"/>
      <c r="IM73" s="2"/>
      <c r="IN73" s="2"/>
      <c r="IO73" s="2"/>
      <c r="IP73" s="2"/>
      <c r="IQ73" s="2"/>
      <c r="IR73" s="2"/>
      <c r="IS73" s="2"/>
      <c r="IT73" s="2"/>
      <c r="IU73" s="2"/>
    </row>
    <row r="74" spans="1:255" x14ac:dyDescent="0.2">
      <c r="A74" s="2">
        <v>17</v>
      </c>
      <c r="B74" s="2">
        <v>1</v>
      </c>
      <c r="C74" s="2">
        <f>ROW(SmtRes!A72)</f>
        <v>72</v>
      </c>
      <c r="D74" s="2">
        <f>ROW(EtalonRes!A72)</f>
        <v>72</v>
      </c>
      <c r="E74" s="2" t="s">
        <v>183</v>
      </c>
      <c r="F74" s="2" t="s">
        <v>184</v>
      </c>
      <c r="G74" s="2" t="s">
        <v>185</v>
      </c>
      <c r="H74" s="2" t="s">
        <v>18</v>
      </c>
      <c r="I74" s="2">
        <f>ROUND(45/100,7)</f>
        <v>0.45</v>
      </c>
      <c r="J74" s="2">
        <v>0</v>
      </c>
      <c r="K74" s="2">
        <f>ROUND(45/100,7)</f>
        <v>0.45</v>
      </c>
      <c r="L74" s="2"/>
      <c r="M74" s="2"/>
      <c r="N74" s="2"/>
      <c r="O74" s="2">
        <f>ROUND(CP74,2)</f>
        <v>6966.57</v>
      </c>
      <c r="P74" s="2">
        <f>SUMIF(SmtRes!AQ64:'SmtRes'!AQ72,"=1",SmtRes!DF64:'SmtRes'!DF72)</f>
        <v>1323.73</v>
      </c>
      <c r="Q74" s="2">
        <f>SUMIF(SmtRes!AQ64:'SmtRes'!AQ72,"=1",SmtRes!DG64:'SmtRes'!DG72)</f>
        <v>205.06</v>
      </c>
      <c r="R74" s="2">
        <f>SUMIF(SmtRes!AQ64:'SmtRes'!AQ72,"=1",SmtRes!DH64:'SmtRes'!DH72)</f>
        <v>131.06</v>
      </c>
      <c r="S74" s="2">
        <f>SUMIF(SmtRes!AQ64:'SmtRes'!AQ72,"=1",SmtRes!DI64:'SmtRes'!DI72)</f>
        <v>5306.72</v>
      </c>
      <c r="T74" s="2">
        <f t="shared" si="75"/>
        <v>0</v>
      </c>
      <c r="U74" s="2">
        <f>SUMIF(SmtRes!AQ64:'SmtRes'!AQ72,"=1",SmtRes!CV64:'SmtRes'!CV72)</f>
        <v>7.4249999999999998</v>
      </c>
      <c r="V74" s="2">
        <f>SUMIF(SmtRes!AQ64:'SmtRes'!AQ72,"=1",SmtRes!CW64:'SmtRes'!CW72)</f>
        <v>0.153</v>
      </c>
      <c r="W74" s="2">
        <f t="shared" si="76"/>
        <v>0</v>
      </c>
      <c r="X74" s="2">
        <f t="shared" si="77"/>
        <v>5274.65</v>
      </c>
      <c r="Y74" s="2">
        <f t="shared" si="78"/>
        <v>2773.27</v>
      </c>
      <c r="Z74" s="2"/>
      <c r="AA74" s="2">
        <v>52718353</v>
      </c>
      <c r="AB74" s="2">
        <f t="shared" si="79"/>
        <v>15209.70066</v>
      </c>
      <c r="AC74" s="2">
        <f>ROUND((SUM(SmtRes!BQ64:'SmtRes'!BQ72)),6)</f>
        <v>2961.3080599999998</v>
      </c>
      <c r="AD74" s="2">
        <f>ROUND((((SUM(SmtRes!BR64:'SmtRes'!BR72))-(SUM(SmtRes!BS64:'SmtRes'!BS72)))+AE74),6)</f>
        <v>455.67759999999998</v>
      </c>
      <c r="AE74" s="2">
        <f>ROUND((SUM(SmtRes!BS64:'SmtRes'!BS72)),6)</f>
        <v>291.23039999999997</v>
      </c>
      <c r="AF74" s="2">
        <f>ROUND((SUM(SmtRes!BT64:'SmtRes'!BT72)),6)</f>
        <v>11792.715</v>
      </c>
      <c r="AG74" s="2">
        <f t="shared" si="81"/>
        <v>0</v>
      </c>
      <c r="AH74" s="2">
        <f>(SUM(SmtRes!BU64:'SmtRes'!BU72))</f>
        <v>16.5</v>
      </c>
      <c r="AI74" s="2">
        <f>(SUM(SmtRes!BV64:'SmtRes'!BV72))</f>
        <v>0.34</v>
      </c>
      <c r="AJ74" s="2">
        <f t="shared" si="83"/>
        <v>0</v>
      </c>
      <c r="AK74" s="2">
        <v>15500.931060000001</v>
      </c>
      <c r="AL74" s="2">
        <v>2961.3080600000003</v>
      </c>
      <c r="AM74" s="2">
        <v>455.67759999999998</v>
      </c>
      <c r="AN74" s="2">
        <v>291.23040000000003</v>
      </c>
      <c r="AO74" s="2">
        <v>11792.715</v>
      </c>
      <c r="AP74" s="2">
        <v>0</v>
      </c>
      <c r="AQ74" s="2">
        <v>16.5</v>
      </c>
      <c r="AR74" s="2">
        <v>0.34</v>
      </c>
      <c r="AS74" s="2">
        <v>0</v>
      </c>
      <c r="AT74" s="2">
        <v>97</v>
      </c>
      <c r="AU74" s="2">
        <v>51</v>
      </c>
      <c r="AV74" s="2">
        <v>1</v>
      </c>
      <c r="AW74" s="2">
        <v>1</v>
      </c>
      <c r="AX74" s="2"/>
      <c r="AY74" s="2"/>
      <c r="AZ74" s="2">
        <v>1</v>
      </c>
      <c r="BA74" s="2">
        <v>1</v>
      </c>
      <c r="BB74" s="2">
        <v>1</v>
      </c>
      <c r="BC74" s="2">
        <v>1</v>
      </c>
      <c r="BD74" s="2" t="s">
        <v>3</v>
      </c>
      <c r="BE74" s="2" t="s">
        <v>3</v>
      </c>
      <c r="BF74" s="2" t="s">
        <v>3</v>
      </c>
      <c r="BG74" s="2" t="s">
        <v>3</v>
      </c>
      <c r="BH74" s="2">
        <v>0</v>
      </c>
      <c r="BI74" s="2">
        <v>2</v>
      </c>
      <c r="BJ74" s="2" t="s">
        <v>186</v>
      </c>
      <c r="BK74" s="2"/>
      <c r="BL74" s="2"/>
      <c r="BM74" s="2">
        <v>108001</v>
      </c>
      <c r="BN74" s="2">
        <v>0</v>
      </c>
      <c r="BO74" s="2" t="s">
        <v>3</v>
      </c>
      <c r="BP74" s="2">
        <v>0</v>
      </c>
      <c r="BQ74" s="2">
        <v>3</v>
      </c>
      <c r="BR74" s="2">
        <v>0</v>
      </c>
      <c r="BS74" s="2">
        <v>1</v>
      </c>
      <c r="BT74" s="2">
        <v>1</v>
      </c>
      <c r="BU74" s="2">
        <v>1</v>
      </c>
      <c r="BV74" s="2">
        <v>1</v>
      </c>
      <c r="BW74" s="2">
        <v>1</v>
      </c>
      <c r="BX74" s="2">
        <v>1</v>
      </c>
      <c r="BY74" s="2" t="s">
        <v>3</v>
      </c>
      <c r="BZ74" s="2">
        <v>97</v>
      </c>
      <c r="CA74" s="2">
        <v>51</v>
      </c>
      <c r="CB74" s="2" t="s">
        <v>3</v>
      </c>
      <c r="CC74" s="2"/>
      <c r="CD74" s="2"/>
      <c r="CE74" s="2">
        <v>0</v>
      </c>
      <c r="CF74" s="2">
        <v>0</v>
      </c>
      <c r="CG74" s="2">
        <v>0</v>
      </c>
      <c r="CH74" s="2"/>
      <c r="CI74" s="2"/>
      <c r="CJ74" s="2"/>
      <c r="CK74" s="2"/>
      <c r="CL74" s="2"/>
      <c r="CM74" s="2">
        <v>0</v>
      </c>
      <c r="CN74" s="2" t="s">
        <v>3</v>
      </c>
      <c r="CO74" s="2">
        <v>0</v>
      </c>
      <c r="CP74" s="2">
        <f>(P74+Q74+S74+R74)</f>
        <v>6966.5700000000006</v>
      </c>
      <c r="CQ74" s="2">
        <f>SUMIF(SmtRes!AQ64:'SmtRes'!AQ72,"=1",SmtRes!AA64:'SmtRes'!AA72)</f>
        <v>48436.639999999999</v>
      </c>
      <c r="CR74" s="2">
        <f>SUMIF(SmtRes!AQ64:'SmtRes'!AQ72,"=1",SmtRes!AB64:'SmtRes'!AB72)</f>
        <v>2162.7199999999998</v>
      </c>
      <c r="CS74" s="2">
        <f>SUMIF(SmtRes!AQ64:'SmtRes'!AQ72,"=1",SmtRes!AC64:'SmtRes'!AC72)</f>
        <v>1713.12</v>
      </c>
      <c r="CT74" s="2">
        <f>SUMIF(SmtRes!AQ64:'SmtRes'!AQ72,"=1",SmtRes!AD64:'SmtRes'!AD72)</f>
        <v>714.71</v>
      </c>
      <c r="CU74" s="2">
        <f>AG74</f>
        <v>0</v>
      </c>
      <c r="CV74" s="2">
        <f>SUMIF(SmtRes!AQ64:'SmtRes'!AQ72,"=1",SmtRes!BU64:'SmtRes'!BU72)</f>
        <v>16.5</v>
      </c>
      <c r="CW74" s="2">
        <f>SUMIF(SmtRes!AQ64:'SmtRes'!AQ72,"=1",SmtRes!BV64:'SmtRes'!BV72)</f>
        <v>0.34</v>
      </c>
      <c r="CX74" s="2">
        <f>AJ74</f>
        <v>0</v>
      </c>
      <c r="CY74" s="2">
        <f>(((S74+R74)*AT74)/100)</f>
        <v>5274.6466</v>
      </c>
      <c r="CZ74" s="2">
        <f>(((S74+R74)*AU74)/100)</f>
        <v>2773.2678000000001</v>
      </c>
      <c r="DA74" s="2"/>
      <c r="DB74" s="2"/>
      <c r="DC74" s="2" t="s">
        <v>3</v>
      </c>
      <c r="DD74" s="2" t="s">
        <v>3</v>
      </c>
      <c r="DE74" s="2" t="s">
        <v>3</v>
      </c>
      <c r="DF74" s="2" t="s">
        <v>3</v>
      </c>
      <c r="DG74" s="2" t="s">
        <v>3</v>
      </c>
      <c r="DH74" s="2" t="s">
        <v>3</v>
      </c>
      <c r="DI74" s="2" t="s">
        <v>3</v>
      </c>
      <c r="DJ74" s="2" t="s">
        <v>3</v>
      </c>
      <c r="DK74" s="2" t="s">
        <v>3</v>
      </c>
      <c r="DL74" s="2" t="s">
        <v>3</v>
      </c>
      <c r="DM74" s="2" t="s">
        <v>3</v>
      </c>
      <c r="DN74" s="2">
        <v>0</v>
      </c>
      <c r="DO74" s="2">
        <v>0</v>
      </c>
      <c r="DP74" s="2">
        <v>1</v>
      </c>
      <c r="DQ74" s="2">
        <v>1</v>
      </c>
      <c r="DR74" s="2"/>
      <c r="DS74" s="2"/>
      <c r="DT74" s="2"/>
      <c r="DU74" s="2">
        <v>1003</v>
      </c>
      <c r="DV74" s="2" t="s">
        <v>18</v>
      </c>
      <c r="DW74" s="2" t="s">
        <v>18</v>
      </c>
      <c r="DX74" s="2">
        <v>100</v>
      </c>
      <c r="DY74" s="2"/>
      <c r="DZ74" s="2" t="s">
        <v>3</v>
      </c>
      <c r="EA74" s="2" t="s">
        <v>3</v>
      </c>
      <c r="EB74" s="2" t="s">
        <v>3</v>
      </c>
      <c r="EC74" s="2" t="s">
        <v>3</v>
      </c>
      <c r="ED74" s="2"/>
      <c r="EE74" s="2">
        <v>50991719</v>
      </c>
      <c r="EF74" s="2">
        <v>3</v>
      </c>
      <c r="EG74" s="2" t="s">
        <v>14</v>
      </c>
      <c r="EH74" s="2">
        <v>0</v>
      </c>
      <c r="EI74" s="2" t="s">
        <v>3</v>
      </c>
      <c r="EJ74" s="2">
        <v>2</v>
      </c>
      <c r="EK74" s="2">
        <v>108001</v>
      </c>
      <c r="EL74" s="2" t="s">
        <v>20</v>
      </c>
      <c r="EM74" s="2" t="s">
        <v>21</v>
      </c>
      <c r="EN74" s="2"/>
      <c r="EO74" s="2" t="s">
        <v>3</v>
      </c>
      <c r="EP74" s="2"/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16.5</v>
      </c>
      <c r="EX74" s="2">
        <v>0.34</v>
      </c>
      <c r="EY74" s="2">
        <v>0</v>
      </c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>
        <v>0</v>
      </c>
      <c r="FR74" s="2">
        <v>0</v>
      </c>
      <c r="FS74" s="2">
        <v>0</v>
      </c>
      <c r="FT74" s="2"/>
      <c r="FU74" s="2"/>
      <c r="FV74" s="2"/>
      <c r="FW74" s="2"/>
      <c r="FX74" s="2">
        <v>97</v>
      </c>
      <c r="FY74" s="2">
        <v>51</v>
      </c>
      <c r="FZ74" s="2"/>
      <c r="GA74" s="2" t="s">
        <v>3</v>
      </c>
      <c r="GB74" s="2"/>
      <c r="GC74" s="2"/>
      <c r="GD74" s="2">
        <v>1</v>
      </c>
      <c r="GE74" s="2"/>
      <c r="GF74" s="2">
        <v>299029444</v>
      </c>
      <c r="GG74" s="2">
        <v>2</v>
      </c>
      <c r="GH74" s="2">
        <v>1</v>
      </c>
      <c r="GI74" s="2">
        <v>-2</v>
      </c>
      <c r="GJ74" s="2">
        <v>0</v>
      </c>
      <c r="GK74" s="2">
        <v>0</v>
      </c>
      <c r="GL74" s="2">
        <f t="shared" si="84"/>
        <v>0</v>
      </c>
      <c r="GM74" s="2">
        <f t="shared" si="85"/>
        <v>15014.49</v>
      </c>
      <c r="GN74" s="2">
        <f t="shared" si="86"/>
        <v>0</v>
      </c>
      <c r="GO74" s="2">
        <f t="shared" si="87"/>
        <v>15014.49</v>
      </c>
      <c r="GP74" s="2">
        <f t="shared" si="88"/>
        <v>0</v>
      </c>
      <c r="GQ74" s="2"/>
      <c r="GR74" s="2">
        <v>0</v>
      </c>
      <c r="GS74" s="2">
        <v>3</v>
      </c>
      <c r="GT74" s="2">
        <v>0</v>
      </c>
      <c r="GU74" s="2" t="s">
        <v>3</v>
      </c>
      <c r="GV74" s="2">
        <f t="shared" si="89"/>
        <v>0</v>
      </c>
      <c r="GW74" s="2">
        <v>1</v>
      </c>
      <c r="GX74" s="2">
        <f t="shared" si="90"/>
        <v>0</v>
      </c>
      <c r="GY74" s="2"/>
      <c r="GZ74" s="2"/>
      <c r="HA74" s="2">
        <v>0</v>
      </c>
      <c r="HB74" s="2">
        <v>0</v>
      </c>
      <c r="HC74" s="2">
        <f>GV74*GW74</f>
        <v>0</v>
      </c>
      <c r="HD74" s="2"/>
      <c r="HE74" s="2" t="s">
        <v>3</v>
      </c>
      <c r="HF74" s="2" t="s">
        <v>3</v>
      </c>
      <c r="HG74" s="2"/>
      <c r="HH74" s="2"/>
      <c r="HI74" s="2"/>
      <c r="HJ74" s="2"/>
      <c r="HK74" s="2"/>
      <c r="HL74" s="2"/>
      <c r="HM74" s="2" t="s">
        <v>3</v>
      </c>
      <c r="HN74" s="2" t="s">
        <v>22</v>
      </c>
      <c r="HO74" s="2" t="s">
        <v>23</v>
      </c>
      <c r="HP74" s="2" t="s">
        <v>20</v>
      </c>
      <c r="HQ74" s="2" t="s">
        <v>20</v>
      </c>
      <c r="HR74" s="2"/>
      <c r="HS74" s="2">
        <v>0</v>
      </c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>
        <v>0</v>
      </c>
      <c r="IL74" s="2"/>
      <c r="IM74" s="2"/>
      <c r="IN74" s="2"/>
      <c r="IO74" s="2"/>
      <c r="IP74" s="2"/>
      <c r="IQ74" s="2"/>
      <c r="IR74" s="2"/>
      <c r="IS74" s="2"/>
      <c r="IT74" s="2"/>
      <c r="IU74" s="2"/>
    </row>
    <row r="75" spans="1:255" x14ac:dyDescent="0.2">
      <c r="A75" s="2">
        <v>18</v>
      </c>
      <c r="B75" s="2">
        <v>1</v>
      </c>
      <c r="C75" s="2">
        <v>72</v>
      </c>
      <c r="D75" s="2"/>
      <c r="E75" s="2" t="s">
        <v>187</v>
      </c>
      <c r="F75" s="2" t="s">
        <v>25</v>
      </c>
      <c r="G75" s="2" t="s">
        <v>26</v>
      </c>
      <c r="H75" s="2" t="s">
        <v>27</v>
      </c>
      <c r="I75" s="2">
        <f>J75</f>
        <v>2</v>
      </c>
      <c r="J75" s="2">
        <v>2</v>
      </c>
      <c r="K75" s="2">
        <v>2</v>
      </c>
      <c r="L75" s="2"/>
      <c r="M75" s="2"/>
      <c r="N75" s="2"/>
      <c r="O75" s="2">
        <f>ROUND(P75,2)</f>
        <v>106.13</v>
      </c>
      <c r="P75" s="2">
        <f>ROUND(ROUND(ROUND(SUMIF(SmtRes!AQ64:'SmtRes'!AQ72,"=1",SmtRes!CU64:'SmtRes'!CU72),2),2)*I75/100,2)</f>
        <v>106.13</v>
      </c>
      <c r="Q75" s="2">
        <f>ROUND(CR75*I75,2)</f>
        <v>0</v>
      </c>
      <c r="R75" s="2">
        <f>ROUND(CS75*I75,2)</f>
        <v>0</v>
      </c>
      <c r="S75" s="2">
        <f>ROUND(CT75*I75,2)</f>
        <v>0</v>
      </c>
      <c r="T75" s="2">
        <f t="shared" si="75"/>
        <v>0</v>
      </c>
      <c r="U75" s="2">
        <f>ROUND(CV75*I75,7)</f>
        <v>0</v>
      </c>
      <c r="V75" s="2">
        <f>ROUND(CW75*I75,7)</f>
        <v>0</v>
      </c>
      <c r="W75" s="2">
        <f t="shared" si="76"/>
        <v>0</v>
      </c>
      <c r="X75" s="2">
        <f t="shared" si="77"/>
        <v>0</v>
      </c>
      <c r="Y75" s="2">
        <f t="shared" si="78"/>
        <v>0</v>
      </c>
      <c r="Z75" s="2"/>
      <c r="AA75" s="2">
        <v>52718353</v>
      </c>
      <c r="AB75" s="2">
        <f t="shared" si="79"/>
        <v>0</v>
      </c>
      <c r="AC75" s="2">
        <f>ROUND((ES75),6)</f>
        <v>0</v>
      </c>
      <c r="AD75" s="2">
        <f>ROUND((((ET75)-(EU75))+AE75),6)</f>
        <v>0</v>
      </c>
      <c r="AE75" s="2">
        <f>ROUND((EU75),6)</f>
        <v>0</v>
      </c>
      <c r="AF75" s="2">
        <f>ROUND((EV75),6)</f>
        <v>0</v>
      </c>
      <c r="AG75" s="2">
        <f t="shared" si="81"/>
        <v>0</v>
      </c>
      <c r="AH75" s="2">
        <f>(EW75)</f>
        <v>0</v>
      </c>
      <c r="AI75" s="2">
        <f>(EX75)</f>
        <v>0</v>
      </c>
      <c r="AJ75" s="2">
        <f t="shared" si="83"/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97</v>
      </c>
      <c r="AU75" s="2">
        <v>51</v>
      </c>
      <c r="AV75" s="2">
        <v>1</v>
      </c>
      <c r="AW75" s="2">
        <v>1</v>
      </c>
      <c r="AX75" s="2"/>
      <c r="AY75" s="2"/>
      <c r="AZ75" s="2">
        <v>1</v>
      </c>
      <c r="BA75" s="2">
        <v>1</v>
      </c>
      <c r="BB75" s="2">
        <v>1</v>
      </c>
      <c r="BC75" s="2">
        <v>1</v>
      </c>
      <c r="BD75" s="2" t="s">
        <v>3</v>
      </c>
      <c r="BE75" s="2" t="s">
        <v>3</v>
      </c>
      <c r="BF75" s="2" t="s">
        <v>3</v>
      </c>
      <c r="BG75" s="2" t="s">
        <v>3</v>
      </c>
      <c r="BH75" s="2">
        <v>3</v>
      </c>
      <c r="BI75" s="2">
        <v>2</v>
      </c>
      <c r="BJ75" s="2" t="s">
        <v>3</v>
      </c>
      <c r="BK75" s="2"/>
      <c r="BL75" s="2"/>
      <c r="BM75" s="2">
        <v>108001</v>
      </c>
      <c r="BN75" s="2">
        <v>0</v>
      </c>
      <c r="BO75" s="2" t="s">
        <v>3</v>
      </c>
      <c r="BP75" s="2">
        <v>0</v>
      </c>
      <c r="BQ75" s="2">
        <v>3</v>
      </c>
      <c r="BR75" s="2">
        <v>0</v>
      </c>
      <c r="BS75" s="2">
        <v>1</v>
      </c>
      <c r="BT75" s="2">
        <v>1</v>
      </c>
      <c r="BU75" s="2">
        <v>1</v>
      </c>
      <c r="BV75" s="2">
        <v>1</v>
      </c>
      <c r="BW75" s="2">
        <v>1</v>
      </c>
      <c r="BX75" s="2">
        <v>1</v>
      </c>
      <c r="BY75" s="2" t="s">
        <v>3</v>
      </c>
      <c r="BZ75" s="2">
        <v>97</v>
      </c>
      <c r="CA75" s="2">
        <v>51</v>
      </c>
      <c r="CB75" s="2" t="s">
        <v>3</v>
      </c>
      <c r="CC75" s="2"/>
      <c r="CD75" s="2"/>
      <c r="CE75" s="2">
        <v>0</v>
      </c>
      <c r="CF75" s="2">
        <v>0</v>
      </c>
      <c r="CG75" s="2">
        <v>0</v>
      </c>
      <c r="CH75" s="2"/>
      <c r="CI75" s="2"/>
      <c r="CJ75" s="2"/>
      <c r="CK75" s="2"/>
      <c r="CL75" s="2"/>
      <c r="CM75" s="2">
        <v>0</v>
      </c>
      <c r="CN75" s="2" t="s">
        <v>3</v>
      </c>
      <c r="CO75" s="2">
        <v>0</v>
      </c>
      <c r="CP75" s="2">
        <f>0</f>
        <v>0</v>
      </c>
      <c r="CQ75" s="2">
        <f>0</f>
        <v>0</v>
      </c>
      <c r="CR75" s="2">
        <f>0</f>
        <v>0</v>
      </c>
      <c r="CS75" s="2">
        <f>0</f>
        <v>0</v>
      </c>
      <c r="CT75" s="2">
        <f>0</f>
        <v>0</v>
      </c>
      <c r="CU75" s="2">
        <f>0</f>
        <v>0</v>
      </c>
      <c r="CV75" s="2">
        <f>0</f>
        <v>0</v>
      </c>
      <c r="CW75" s="2">
        <f>0</f>
        <v>0</v>
      </c>
      <c r="CX75" s="2">
        <f>0</f>
        <v>0</v>
      </c>
      <c r="CY75" s="2">
        <f>0</f>
        <v>0</v>
      </c>
      <c r="CZ75" s="2">
        <f>0</f>
        <v>0</v>
      </c>
      <c r="DA75" s="2"/>
      <c r="DB75" s="2"/>
      <c r="DC75" s="2" t="s">
        <v>3</v>
      </c>
      <c r="DD75" s="2" t="s">
        <v>3</v>
      </c>
      <c r="DE75" s="2" t="s">
        <v>3</v>
      </c>
      <c r="DF75" s="2" t="s">
        <v>3</v>
      </c>
      <c r="DG75" s="2" t="s">
        <v>3</v>
      </c>
      <c r="DH75" s="2" t="s">
        <v>3</v>
      </c>
      <c r="DI75" s="2" t="s">
        <v>3</v>
      </c>
      <c r="DJ75" s="2" t="s">
        <v>3</v>
      </c>
      <c r="DK75" s="2" t="s">
        <v>3</v>
      </c>
      <c r="DL75" s="2" t="s">
        <v>3</v>
      </c>
      <c r="DM75" s="2" t="s">
        <v>3</v>
      </c>
      <c r="DN75" s="2">
        <v>0</v>
      </c>
      <c r="DO75" s="2">
        <v>0</v>
      </c>
      <c r="DP75" s="2">
        <v>1</v>
      </c>
      <c r="DQ75" s="2">
        <v>1</v>
      </c>
      <c r="DR75" s="2"/>
      <c r="DS75" s="2"/>
      <c r="DT75" s="2"/>
      <c r="DU75" s="2">
        <v>1013</v>
      </c>
      <c r="DV75" s="2" t="s">
        <v>27</v>
      </c>
      <c r="DW75" s="2" t="s">
        <v>27</v>
      </c>
      <c r="DX75" s="2">
        <v>1</v>
      </c>
      <c r="DY75" s="2"/>
      <c r="DZ75" s="2" t="s">
        <v>3</v>
      </c>
      <c r="EA75" s="2" t="s">
        <v>3</v>
      </c>
      <c r="EB75" s="2" t="s">
        <v>3</v>
      </c>
      <c r="EC75" s="2" t="s">
        <v>3</v>
      </c>
      <c r="ED75" s="2"/>
      <c r="EE75" s="2">
        <v>50991719</v>
      </c>
      <c r="EF75" s="2">
        <v>3</v>
      </c>
      <c r="EG75" s="2" t="s">
        <v>14</v>
      </c>
      <c r="EH75" s="2">
        <v>0</v>
      </c>
      <c r="EI75" s="2" t="s">
        <v>3</v>
      </c>
      <c r="EJ75" s="2">
        <v>2</v>
      </c>
      <c r="EK75" s="2">
        <v>108001</v>
      </c>
      <c r="EL75" s="2" t="s">
        <v>20</v>
      </c>
      <c r="EM75" s="2" t="s">
        <v>21</v>
      </c>
      <c r="EN75" s="2"/>
      <c r="EO75" s="2" t="s">
        <v>3</v>
      </c>
      <c r="EP75" s="2"/>
      <c r="EQ75" s="2">
        <v>0</v>
      </c>
      <c r="ER75" s="2">
        <v>0</v>
      </c>
      <c r="ES75" s="2">
        <v>0</v>
      </c>
      <c r="ET75" s="2">
        <v>0</v>
      </c>
      <c r="EU75" s="2">
        <v>0</v>
      </c>
      <c r="EV75" s="2">
        <v>0</v>
      </c>
      <c r="EW75" s="2">
        <v>0</v>
      </c>
      <c r="EX75" s="2">
        <v>0</v>
      </c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>
        <v>0</v>
      </c>
      <c r="FR75" s="2">
        <v>0</v>
      </c>
      <c r="FS75" s="2">
        <v>0</v>
      </c>
      <c r="FT75" s="2"/>
      <c r="FU75" s="2"/>
      <c r="FV75" s="2"/>
      <c r="FW75" s="2"/>
      <c r="FX75" s="2">
        <v>97</v>
      </c>
      <c r="FY75" s="2">
        <v>51</v>
      </c>
      <c r="FZ75" s="2"/>
      <c r="GA75" s="2" t="s">
        <v>3</v>
      </c>
      <c r="GB75" s="2"/>
      <c r="GC75" s="2"/>
      <c r="GD75" s="2">
        <v>1</v>
      </c>
      <c r="GE75" s="2"/>
      <c r="GF75" s="2">
        <v>274903907</v>
      </c>
      <c r="GG75" s="2">
        <v>2</v>
      </c>
      <c r="GH75" s="2">
        <v>1</v>
      </c>
      <c r="GI75" s="2">
        <v>-2</v>
      </c>
      <c r="GJ75" s="2">
        <v>0</v>
      </c>
      <c r="GK75" s="2">
        <v>0</v>
      </c>
      <c r="GL75" s="2">
        <f t="shared" si="84"/>
        <v>0</v>
      </c>
      <c r="GM75" s="2">
        <f t="shared" si="85"/>
        <v>106.13</v>
      </c>
      <c r="GN75" s="2">
        <f t="shared" si="86"/>
        <v>0</v>
      </c>
      <c r="GO75" s="2">
        <f t="shared" si="87"/>
        <v>106.13</v>
      </c>
      <c r="GP75" s="2">
        <f t="shared" si="88"/>
        <v>0</v>
      </c>
      <c r="GQ75" s="2"/>
      <c r="GR75" s="2">
        <v>0</v>
      </c>
      <c r="GS75" s="2">
        <v>3</v>
      </c>
      <c r="GT75" s="2">
        <v>0</v>
      </c>
      <c r="GU75" s="2" t="s">
        <v>3</v>
      </c>
      <c r="GV75" s="2">
        <f t="shared" si="89"/>
        <v>0</v>
      </c>
      <c r="GW75" s="2">
        <v>1</v>
      </c>
      <c r="GX75" s="2">
        <f t="shared" si="90"/>
        <v>0</v>
      </c>
      <c r="GY75" s="2"/>
      <c r="GZ75" s="2"/>
      <c r="HA75" s="2">
        <v>0</v>
      </c>
      <c r="HB75" s="2">
        <v>0</v>
      </c>
      <c r="HC75" s="2">
        <f>0</f>
        <v>0</v>
      </c>
      <c r="HD75" s="2"/>
      <c r="HE75" s="2" t="s">
        <v>3</v>
      </c>
      <c r="HF75" s="2" t="s">
        <v>3</v>
      </c>
      <c r="HG75" s="2"/>
      <c r="HH75" s="2"/>
      <c r="HI75" s="2"/>
      <c r="HJ75" s="2"/>
      <c r="HK75" s="2"/>
      <c r="HL75" s="2"/>
      <c r="HM75" s="2" t="s">
        <v>3</v>
      </c>
      <c r="HN75" s="2" t="s">
        <v>22</v>
      </c>
      <c r="HO75" s="2" t="s">
        <v>23</v>
      </c>
      <c r="HP75" s="2" t="s">
        <v>20</v>
      </c>
      <c r="HQ75" s="2" t="s">
        <v>20</v>
      </c>
      <c r="HR75" s="2"/>
      <c r="HS75" s="2">
        <v>0</v>
      </c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>
        <v>0</v>
      </c>
      <c r="IL75" s="2"/>
      <c r="IM75" s="2"/>
      <c r="IN75" s="2"/>
      <c r="IO75" s="2"/>
      <c r="IP75" s="2"/>
      <c r="IQ75" s="2"/>
      <c r="IR75" s="2"/>
      <c r="IS75" s="2"/>
      <c r="IT75" s="2"/>
      <c r="IU75" s="2"/>
    </row>
    <row r="76" spans="1:255" x14ac:dyDescent="0.2">
      <c r="A76" s="2">
        <v>17</v>
      </c>
      <c r="B76" s="2">
        <v>1</v>
      </c>
      <c r="C76" s="2"/>
      <c r="D76" s="2"/>
      <c r="E76" s="2" t="s">
        <v>188</v>
      </c>
      <c r="F76" s="2" t="s">
        <v>189</v>
      </c>
      <c r="G76" s="2" t="s">
        <v>190</v>
      </c>
      <c r="H76" s="2" t="s">
        <v>126</v>
      </c>
      <c r="I76" s="2">
        <v>3.533E-2</v>
      </c>
      <c r="J76" s="2">
        <v>0</v>
      </c>
      <c r="K76" s="2">
        <v>3.533E-2</v>
      </c>
      <c r="L76" s="2"/>
      <c r="M76" s="2"/>
      <c r="N76" s="2"/>
      <c r="O76" s="2">
        <f>ROUND(CP76,2)</f>
        <v>1782.64</v>
      </c>
      <c r="P76" s="2">
        <f>ROUND(CQ76*I76,2)</f>
        <v>1782.64</v>
      </c>
      <c r="Q76" s="2">
        <f>ROUND(CR76*I76,2)</f>
        <v>0</v>
      </c>
      <c r="R76" s="2">
        <f>ROUND(CS76*I76,2)</f>
        <v>0</v>
      </c>
      <c r="S76" s="2">
        <f>ROUND(CT76*I76,2)</f>
        <v>0</v>
      </c>
      <c r="T76" s="2">
        <f t="shared" si="75"/>
        <v>0</v>
      </c>
      <c r="U76" s="2">
        <f>ROUND(CV76*I76,7)</f>
        <v>0</v>
      </c>
      <c r="V76" s="2">
        <f>ROUND(CW76*I76,7)</f>
        <v>0</v>
      </c>
      <c r="W76" s="2">
        <f t="shared" si="76"/>
        <v>0</v>
      </c>
      <c r="X76" s="2">
        <f t="shared" si="77"/>
        <v>0</v>
      </c>
      <c r="Y76" s="2">
        <f t="shared" si="78"/>
        <v>0</v>
      </c>
      <c r="Z76" s="2"/>
      <c r="AA76" s="2">
        <v>52718353</v>
      </c>
      <c r="AB76" s="2">
        <f t="shared" si="79"/>
        <v>72081.279999999999</v>
      </c>
      <c r="AC76" s="2">
        <f>ROUND((ES76),6)</f>
        <v>72081.279999999999</v>
      </c>
      <c r="AD76" s="2">
        <f>ROUND((((ET76)-(EU76))+AE76),6)</f>
        <v>0</v>
      </c>
      <c r="AE76" s="2">
        <f>ROUND((EU76),6)</f>
        <v>0</v>
      </c>
      <c r="AF76" s="2">
        <f>ROUND((EV76),6)</f>
        <v>0</v>
      </c>
      <c r="AG76" s="2">
        <f t="shared" si="81"/>
        <v>0</v>
      </c>
      <c r="AH76" s="2">
        <f>(EW76)</f>
        <v>0</v>
      </c>
      <c r="AI76" s="2">
        <f>(EX76)</f>
        <v>0</v>
      </c>
      <c r="AJ76" s="2">
        <f t="shared" si="83"/>
        <v>0</v>
      </c>
      <c r="AK76" s="2">
        <v>72081.279999999999</v>
      </c>
      <c r="AL76" s="2">
        <v>72081.279999999999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1</v>
      </c>
      <c r="AW76" s="2">
        <v>1</v>
      </c>
      <c r="AX76" s="2"/>
      <c r="AY76" s="2"/>
      <c r="AZ76" s="2">
        <v>1</v>
      </c>
      <c r="BA76" s="2">
        <v>1</v>
      </c>
      <c r="BB76" s="2">
        <v>1</v>
      </c>
      <c r="BC76" s="2">
        <v>0.7</v>
      </c>
      <c r="BD76" s="2" t="s">
        <v>3</v>
      </c>
      <c r="BE76" s="2" t="s">
        <v>3</v>
      </c>
      <c r="BF76" s="2" t="s">
        <v>3</v>
      </c>
      <c r="BG76" s="2" t="s">
        <v>3</v>
      </c>
      <c r="BH76" s="2">
        <v>3</v>
      </c>
      <c r="BI76" s="2">
        <v>1</v>
      </c>
      <c r="BJ76" s="2" t="s">
        <v>191</v>
      </c>
      <c r="BK76" s="2"/>
      <c r="BL76" s="2"/>
      <c r="BM76" s="2">
        <v>500001</v>
      </c>
      <c r="BN76" s="2">
        <v>0</v>
      </c>
      <c r="BO76" s="2" t="s">
        <v>189</v>
      </c>
      <c r="BP76" s="2">
        <v>1</v>
      </c>
      <c r="BQ76" s="2">
        <v>8</v>
      </c>
      <c r="BR76" s="2">
        <v>0</v>
      </c>
      <c r="BS76" s="2">
        <v>1</v>
      </c>
      <c r="BT76" s="2">
        <v>1</v>
      </c>
      <c r="BU76" s="2">
        <v>1</v>
      </c>
      <c r="BV76" s="2">
        <v>1</v>
      </c>
      <c r="BW76" s="2">
        <v>1</v>
      </c>
      <c r="BX76" s="2">
        <v>1</v>
      </c>
      <c r="BY76" s="2" t="s">
        <v>3</v>
      </c>
      <c r="BZ76" s="2">
        <v>0</v>
      </c>
      <c r="CA76" s="2">
        <v>0</v>
      </c>
      <c r="CB76" s="2" t="s">
        <v>3</v>
      </c>
      <c r="CC76" s="2"/>
      <c r="CD76" s="2"/>
      <c r="CE76" s="2">
        <v>0</v>
      </c>
      <c r="CF76" s="2">
        <v>0</v>
      </c>
      <c r="CG76" s="2">
        <v>0</v>
      </c>
      <c r="CH76" s="2"/>
      <c r="CI76" s="2"/>
      <c r="CJ76" s="2"/>
      <c r="CK76" s="2"/>
      <c r="CL76" s="2"/>
      <c r="CM76" s="2">
        <v>0</v>
      </c>
      <c r="CN76" s="2" t="s">
        <v>3</v>
      </c>
      <c r="CO76" s="2">
        <v>0</v>
      </c>
      <c r="CP76" s="2">
        <f>(P76+Q76+S76+R76)</f>
        <v>1782.64</v>
      </c>
      <c r="CQ76" s="2">
        <f>ROUND(AL76*BC76,2)</f>
        <v>50456.9</v>
      </c>
      <c r="CR76" s="2">
        <f>ROUND(AM76*BB76,2)</f>
        <v>0</v>
      </c>
      <c r="CS76" s="2">
        <f>ROUND(AN76*BS76,2)</f>
        <v>0</v>
      </c>
      <c r="CT76" s="2">
        <f>ROUND(AO76*BA76,2)</f>
        <v>0</v>
      </c>
      <c r="CU76" s="2">
        <f>AG76</f>
        <v>0</v>
      </c>
      <c r="CV76" s="2">
        <f>AH76</f>
        <v>0</v>
      </c>
      <c r="CW76" s="2">
        <f>AI76</f>
        <v>0</v>
      </c>
      <c r="CX76" s="2">
        <f>AJ76</f>
        <v>0</v>
      </c>
      <c r="CY76" s="2">
        <f>0</f>
        <v>0</v>
      </c>
      <c r="CZ76" s="2">
        <f>0</f>
        <v>0</v>
      </c>
      <c r="DA76" s="2"/>
      <c r="DB76" s="2"/>
      <c r="DC76" s="2" t="s">
        <v>3</v>
      </c>
      <c r="DD76" s="2" t="s">
        <v>3</v>
      </c>
      <c r="DE76" s="2" t="s">
        <v>3</v>
      </c>
      <c r="DF76" s="2" t="s">
        <v>3</v>
      </c>
      <c r="DG76" s="2" t="s">
        <v>3</v>
      </c>
      <c r="DH76" s="2" t="s">
        <v>3</v>
      </c>
      <c r="DI76" s="2" t="s">
        <v>3</v>
      </c>
      <c r="DJ76" s="2" t="s">
        <v>3</v>
      </c>
      <c r="DK76" s="2" t="s">
        <v>3</v>
      </c>
      <c r="DL76" s="2" t="s">
        <v>3</v>
      </c>
      <c r="DM76" s="2" t="s">
        <v>3</v>
      </c>
      <c r="DN76" s="2">
        <v>0</v>
      </c>
      <c r="DO76" s="2">
        <v>0</v>
      </c>
      <c r="DP76" s="2">
        <v>1</v>
      </c>
      <c r="DQ76" s="2">
        <v>1</v>
      </c>
      <c r="DR76" s="2"/>
      <c r="DS76" s="2"/>
      <c r="DT76" s="2"/>
      <c r="DU76" s="2">
        <v>1009</v>
      </c>
      <c r="DV76" s="2" t="s">
        <v>126</v>
      </c>
      <c r="DW76" s="2" t="s">
        <v>126</v>
      </c>
      <c r="DX76" s="2">
        <v>1000</v>
      </c>
      <c r="DY76" s="2"/>
      <c r="DZ76" s="2" t="s">
        <v>3</v>
      </c>
      <c r="EA76" s="2" t="s">
        <v>3</v>
      </c>
      <c r="EB76" s="2" t="s">
        <v>3</v>
      </c>
      <c r="EC76" s="2" t="s">
        <v>3</v>
      </c>
      <c r="ED76" s="2"/>
      <c r="EE76" s="2">
        <v>50991776</v>
      </c>
      <c r="EF76" s="2">
        <v>8</v>
      </c>
      <c r="EG76" s="2" t="s">
        <v>33</v>
      </c>
      <c r="EH76" s="2">
        <v>0</v>
      </c>
      <c r="EI76" s="2" t="s">
        <v>3</v>
      </c>
      <c r="EJ76" s="2">
        <v>1</v>
      </c>
      <c r="EK76" s="2">
        <v>500001</v>
      </c>
      <c r="EL76" s="2" t="s">
        <v>34</v>
      </c>
      <c r="EM76" s="2" t="s">
        <v>35</v>
      </c>
      <c r="EN76" s="2"/>
      <c r="EO76" s="2" t="s">
        <v>3</v>
      </c>
      <c r="EP76" s="2"/>
      <c r="EQ76" s="2">
        <v>0</v>
      </c>
      <c r="ER76" s="2">
        <v>72081.279999999999</v>
      </c>
      <c r="ES76" s="2">
        <v>72081.279999999999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>
        <v>0</v>
      </c>
      <c r="FR76" s="2">
        <v>0</v>
      </c>
      <c r="FS76" s="2">
        <v>0</v>
      </c>
      <c r="FT76" s="2"/>
      <c r="FU76" s="2"/>
      <c r="FV76" s="2"/>
      <c r="FW76" s="2"/>
      <c r="FX76" s="2">
        <v>0</v>
      </c>
      <c r="FY76" s="2">
        <v>0</v>
      </c>
      <c r="FZ76" s="2"/>
      <c r="GA76" s="2" t="s">
        <v>3</v>
      </c>
      <c r="GB76" s="2"/>
      <c r="GC76" s="2"/>
      <c r="GD76" s="2">
        <v>1</v>
      </c>
      <c r="GE76" s="2"/>
      <c r="GF76" s="2">
        <v>241230185</v>
      </c>
      <c r="GG76" s="2">
        <v>2</v>
      </c>
      <c r="GH76" s="2">
        <v>1</v>
      </c>
      <c r="GI76" s="2">
        <v>2</v>
      </c>
      <c r="GJ76" s="2">
        <v>0</v>
      </c>
      <c r="GK76" s="2">
        <v>0</v>
      </c>
      <c r="GL76" s="2">
        <f t="shared" si="84"/>
        <v>0</v>
      </c>
      <c r="GM76" s="2">
        <f t="shared" si="85"/>
        <v>1782.64</v>
      </c>
      <c r="GN76" s="2">
        <f t="shared" si="86"/>
        <v>1782.64</v>
      </c>
      <c r="GO76" s="2">
        <f t="shared" si="87"/>
        <v>0</v>
      </c>
      <c r="GP76" s="2">
        <f t="shared" si="88"/>
        <v>0</v>
      </c>
      <c r="GQ76" s="2"/>
      <c r="GR76" s="2">
        <v>0</v>
      </c>
      <c r="GS76" s="2">
        <v>3</v>
      </c>
      <c r="GT76" s="2">
        <v>0</v>
      </c>
      <c r="GU76" s="2" t="s">
        <v>3</v>
      </c>
      <c r="GV76" s="2">
        <f t="shared" si="89"/>
        <v>0</v>
      </c>
      <c r="GW76" s="2">
        <v>1</v>
      </c>
      <c r="GX76" s="2">
        <f t="shared" si="90"/>
        <v>0</v>
      </c>
      <c r="GY76" s="2"/>
      <c r="GZ76" s="2"/>
      <c r="HA76" s="2">
        <v>0</v>
      </c>
      <c r="HB76" s="2">
        <v>0</v>
      </c>
      <c r="HC76" s="2">
        <f>GV76*GW76</f>
        <v>0</v>
      </c>
      <c r="HD76" s="2"/>
      <c r="HE76" s="2" t="s">
        <v>3</v>
      </c>
      <c r="HF76" s="2" t="s">
        <v>3</v>
      </c>
      <c r="HG76" s="2"/>
      <c r="HH76" s="2"/>
      <c r="HI76" s="2"/>
      <c r="HJ76" s="2"/>
      <c r="HK76" s="2"/>
      <c r="HL76" s="2"/>
      <c r="HM76" s="2" t="s">
        <v>3</v>
      </c>
      <c r="HN76" s="2" t="s">
        <v>3</v>
      </c>
      <c r="HO76" s="2" t="s">
        <v>3</v>
      </c>
      <c r="HP76" s="2" t="s">
        <v>3</v>
      </c>
      <c r="HQ76" s="2" t="s">
        <v>3</v>
      </c>
      <c r="HR76" s="2"/>
      <c r="HS76" s="2">
        <v>0</v>
      </c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>
        <v>0</v>
      </c>
      <c r="IL76" s="2"/>
      <c r="IM76" s="2"/>
      <c r="IN76" s="2"/>
      <c r="IO76" s="2"/>
      <c r="IP76" s="2"/>
      <c r="IQ76" s="2"/>
      <c r="IR76" s="2"/>
      <c r="IS76" s="2"/>
      <c r="IT76" s="2"/>
      <c r="IU76" s="2"/>
    </row>
    <row r="77" spans="1:255" x14ac:dyDescent="0.2">
      <c r="A77" s="2">
        <v>17</v>
      </c>
      <c r="B77" s="2">
        <v>1</v>
      </c>
      <c r="C77" s="2">
        <f>ROW(SmtRes!A87)</f>
        <v>87</v>
      </c>
      <c r="D77" s="2">
        <f>ROW(EtalonRes!A87)</f>
        <v>87</v>
      </c>
      <c r="E77" s="2" t="s">
        <v>192</v>
      </c>
      <c r="F77" s="2" t="s">
        <v>193</v>
      </c>
      <c r="G77" s="2" t="s">
        <v>194</v>
      </c>
      <c r="H77" s="2" t="s">
        <v>108</v>
      </c>
      <c r="I77" s="2">
        <v>5</v>
      </c>
      <c r="J77" s="2">
        <v>0</v>
      </c>
      <c r="K77" s="2">
        <v>5</v>
      </c>
      <c r="L77" s="2"/>
      <c r="M77" s="2"/>
      <c r="N77" s="2"/>
      <c r="O77" s="2">
        <f>ROUND(CP77,2)</f>
        <v>6341.46</v>
      </c>
      <c r="P77" s="2">
        <f>SUMIF(SmtRes!AQ73:'SmtRes'!AQ87,"=1",SmtRes!DF73:'SmtRes'!DF87)</f>
        <v>1480.69</v>
      </c>
      <c r="Q77" s="2">
        <f>SUMIF(SmtRes!AQ73:'SmtRes'!AQ87,"=1",SmtRes!DG73:'SmtRes'!DG87)</f>
        <v>17.41</v>
      </c>
      <c r="R77" s="2">
        <f>SUMIF(SmtRes!AQ73:'SmtRes'!AQ87,"=1",SmtRes!DH73:'SmtRes'!DH87)</f>
        <v>0</v>
      </c>
      <c r="S77" s="2">
        <f>SUMIF(SmtRes!AQ73:'SmtRes'!AQ87,"=1",SmtRes!DI73:'SmtRes'!DI87)</f>
        <v>4843.3599999999997</v>
      </c>
      <c r="T77" s="2">
        <f t="shared" si="75"/>
        <v>0</v>
      </c>
      <c r="U77" s="2">
        <f>SUMIF(SmtRes!AQ73:'SmtRes'!AQ87,"=1",SmtRes!CV73:'SmtRes'!CV87)</f>
        <v>6.7</v>
      </c>
      <c r="V77" s="2">
        <f>SUMIF(SmtRes!AQ73:'SmtRes'!AQ87,"=1",SmtRes!CW73:'SmtRes'!CW87)</f>
        <v>0</v>
      </c>
      <c r="W77" s="2">
        <f t="shared" si="76"/>
        <v>0</v>
      </c>
      <c r="X77" s="2">
        <f t="shared" si="77"/>
        <v>4698.0600000000004</v>
      </c>
      <c r="Y77" s="2">
        <f t="shared" si="78"/>
        <v>2470.11</v>
      </c>
      <c r="Z77" s="2"/>
      <c r="AA77" s="2">
        <v>52718353</v>
      </c>
      <c r="AB77" s="2">
        <f t="shared" si="79"/>
        <v>1203.269466</v>
      </c>
      <c r="AC77" s="2">
        <f>ROUND((SUM(SmtRes!BQ73:'SmtRes'!BQ87)),6)</f>
        <v>231.114946</v>
      </c>
      <c r="AD77" s="2">
        <f>ROUND((((SUM(SmtRes!BR73:'SmtRes'!BR87))-(0))+AE77),6)</f>
        <v>3.4819200000000001</v>
      </c>
      <c r="AE77" s="2">
        <f>ROUND((0),6)</f>
        <v>0</v>
      </c>
      <c r="AF77" s="2">
        <f>ROUND((SUM(SmtRes!BT73:'SmtRes'!BT87)),6)</f>
        <v>968.67259999999999</v>
      </c>
      <c r="AG77" s="2">
        <f t="shared" si="81"/>
        <v>0</v>
      </c>
      <c r="AH77" s="2">
        <f>(SUM(SmtRes!BU73:'SmtRes'!BU87))</f>
        <v>1.34</v>
      </c>
      <c r="AI77" s="2">
        <f>(0)</f>
        <v>0</v>
      </c>
      <c r="AJ77" s="2">
        <f t="shared" si="83"/>
        <v>0</v>
      </c>
      <c r="AK77" s="2">
        <v>1203.269466</v>
      </c>
      <c r="AL77" s="2">
        <v>231.11494599999997</v>
      </c>
      <c r="AM77" s="2">
        <v>3.4819200000000001</v>
      </c>
      <c r="AN77" s="2">
        <v>0</v>
      </c>
      <c r="AO77" s="2">
        <v>968.67259999999999</v>
      </c>
      <c r="AP77" s="2">
        <v>0</v>
      </c>
      <c r="AQ77" s="2">
        <v>1.34</v>
      </c>
      <c r="AR77" s="2">
        <v>0</v>
      </c>
      <c r="AS77" s="2">
        <v>0</v>
      </c>
      <c r="AT77" s="2">
        <v>97</v>
      </c>
      <c r="AU77" s="2">
        <v>51</v>
      </c>
      <c r="AV77" s="2">
        <v>1</v>
      </c>
      <c r="AW77" s="2">
        <v>1</v>
      </c>
      <c r="AX77" s="2"/>
      <c r="AY77" s="2"/>
      <c r="AZ77" s="2">
        <v>1</v>
      </c>
      <c r="BA77" s="2">
        <v>1</v>
      </c>
      <c r="BB77" s="2">
        <v>1</v>
      </c>
      <c r="BC77" s="2">
        <v>1</v>
      </c>
      <c r="BD77" s="2" t="s">
        <v>3</v>
      </c>
      <c r="BE77" s="2" t="s">
        <v>3</v>
      </c>
      <c r="BF77" s="2" t="s">
        <v>3</v>
      </c>
      <c r="BG77" s="2" t="s">
        <v>3</v>
      </c>
      <c r="BH77" s="2">
        <v>0</v>
      </c>
      <c r="BI77" s="2">
        <v>2</v>
      </c>
      <c r="BJ77" s="2" t="s">
        <v>195</v>
      </c>
      <c r="BK77" s="2"/>
      <c r="BL77" s="2"/>
      <c r="BM77" s="2">
        <v>108001</v>
      </c>
      <c r="BN77" s="2">
        <v>0</v>
      </c>
      <c r="BO77" s="2" t="s">
        <v>3</v>
      </c>
      <c r="BP77" s="2">
        <v>0</v>
      </c>
      <c r="BQ77" s="2">
        <v>3</v>
      </c>
      <c r="BR77" s="2">
        <v>0</v>
      </c>
      <c r="BS77" s="2">
        <v>1</v>
      </c>
      <c r="BT77" s="2">
        <v>1</v>
      </c>
      <c r="BU77" s="2">
        <v>1</v>
      </c>
      <c r="BV77" s="2">
        <v>1</v>
      </c>
      <c r="BW77" s="2">
        <v>1</v>
      </c>
      <c r="BX77" s="2">
        <v>1</v>
      </c>
      <c r="BY77" s="2" t="s">
        <v>3</v>
      </c>
      <c r="BZ77" s="2">
        <v>97</v>
      </c>
      <c r="CA77" s="2">
        <v>51</v>
      </c>
      <c r="CB77" s="2" t="s">
        <v>3</v>
      </c>
      <c r="CC77" s="2"/>
      <c r="CD77" s="2"/>
      <c r="CE77" s="2">
        <v>0</v>
      </c>
      <c r="CF77" s="2">
        <v>0</v>
      </c>
      <c r="CG77" s="2">
        <v>0</v>
      </c>
      <c r="CH77" s="2"/>
      <c r="CI77" s="2"/>
      <c r="CJ77" s="2"/>
      <c r="CK77" s="2"/>
      <c r="CL77" s="2"/>
      <c r="CM77" s="2">
        <v>0</v>
      </c>
      <c r="CN77" s="2" t="s">
        <v>3</v>
      </c>
      <c r="CO77" s="2">
        <v>0</v>
      </c>
      <c r="CP77" s="2">
        <f>(P77+Q77+S77+R77)</f>
        <v>6341.46</v>
      </c>
      <c r="CQ77" s="2">
        <f>SUMIF(SmtRes!AQ73:'SmtRes'!AQ87,"=1",SmtRes!AA73:'SmtRes'!AA87)</f>
        <v>137772.91</v>
      </c>
      <c r="CR77" s="2">
        <f>SUMIF(SmtRes!AQ73:'SmtRes'!AQ87,"=1",SmtRes!AB73:'SmtRes'!AB87)</f>
        <v>32.24</v>
      </c>
      <c r="CS77" s="2">
        <f>SUMIF(SmtRes!AQ73:'SmtRes'!AQ87,"=1",SmtRes!AC73:'SmtRes'!AC87)</f>
        <v>0</v>
      </c>
      <c r="CT77" s="2">
        <f>SUMIF(SmtRes!AQ73:'SmtRes'!AQ87,"=1",SmtRes!AD73:'SmtRes'!AD87)</f>
        <v>722.89</v>
      </c>
      <c r="CU77" s="2">
        <f>AG77</f>
        <v>0</v>
      </c>
      <c r="CV77" s="2">
        <f>SUMIF(SmtRes!AQ73:'SmtRes'!AQ87,"=1",SmtRes!BU73:'SmtRes'!BU87)</f>
        <v>1.34</v>
      </c>
      <c r="CW77" s="2">
        <f>SUMIF(SmtRes!AQ73:'SmtRes'!AQ87,"=1",SmtRes!BV73:'SmtRes'!BV87)</f>
        <v>0</v>
      </c>
      <c r="CX77" s="2">
        <f>AJ77</f>
        <v>0</v>
      </c>
      <c r="CY77" s="2">
        <f>(((S77+R77)*AT77)/100)</f>
        <v>4698.0591999999997</v>
      </c>
      <c r="CZ77" s="2">
        <f>(((S77+R77)*AU77)/100)</f>
        <v>2470.1135999999997</v>
      </c>
      <c r="DA77" s="2"/>
      <c r="DB77" s="2"/>
      <c r="DC77" s="2" t="s">
        <v>3</v>
      </c>
      <c r="DD77" s="2" t="s">
        <v>3</v>
      </c>
      <c r="DE77" s="2" t="s">
        <v>3</v>
      </c>
      <c r="DF77" s="2" t="s">
        <v>3</v>
      </c>
      <c r="DG77" s="2" t="s">
        <v>3</v>
      </c>
      <c r="DH77" s="2" t="s">
        <v>3</v>
      </c>
      <c r="DI77" s="2" t="s">
        <v>3</v>
      </c>
      <c r="DJ77" s="2" t="s">
        <v>3</v>
      </c>
      <c r="DK77" s="2" t="s">
        <v>3</v>
      </c>
      <c r="DL77" s="2" t="s">
        <v>3</v>
      </c>
      <c r="DM77" s="2" t="s">
        <v>3</v>
      </c>
      <c r="DN77" s="2">
        <v>0</v>
      </c>
      <c r="DO77" s="2">
        <v>0</v>
      </c>
      <c r="DP77" s="2">
        <v>1</v>
      </c>
      <c r="DQ77" s="2">
        <v>1</v>
      </c>
      <c r="DR77" s="2"/>
      <c r="DS77" s="2"/>
      <c r="DT77" s="2"/>
      <c r="DU77" s="2">
        <v>1013</v>
      </c>
      <c r="DV77" s="2" t="s">
        <v>108</v>
      </c>
      <c r="DW77" s="2" t="s">
        <v>108</v>
      </c>
      <c r="DX77" s="2">
        <v>1</v>
      </c>
      <c r="DY77" s="2"/>
      <c r="DZ77" s="2" t="s">
        <v>3</v>
      </c>
      <c r="EA77" s="2" t="s">
        <v>3</v>
      </c>
      <c r="EB77" s="2" t="s">
        <v>3</v>
      </c>
      <c r="EC77" s="2" t="s">
        <v>3</v>
      </c>
      <c r="ED77" s="2"/>
      <c r="EE77" s="2">
        <v>50991719</v>
      </c>
      <c r="EF77" s="2">
        <v>3</v>
      </c>
      <c r="EG77" s="2" t="s">
        <v>14</v>
      </c>
      <c r="EH77" s="2">
        <v>0</v>
      </c>
      <c r="EI77" s="2" t="s">
        <v>3</v>
      </c>
      <c r="EJ77" s="2">
        <v>2</v>
      </c>
      <c r="EK77" s="2">
        <v>108001</v>
      </c>
      <c r="EL77" s="2" t="s">
        <v>20</v>
      </c>
      <c r="EM77" s="2" t="s">
        <v>21</v>
      </c>
      <c r="EN77" s="2"/>
      <c r="EO77" s="2" t="s">
        <v>3</v>
      </c>
      <c r="EP77" s="2"/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1.34</v>
      </c>
      <c r="EX77" s="2">
        <v>0</v>
      </c>
      <c r="EY77" s="2">
        <v>0</v>
      </c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>
        <v>0</v>
      </c>
      <c r="FR77" s="2">
        <v>0</v>
      </c>
      <c r="FS77" s="2">
        <v>0</v>
      </c>
      <c r="FT77" s="2"/>
      <c r="FU77" s="2"/>
      <c r="FV77" s="2"/>
      <c r="FW77" s="2"/>
      <c r="FX77" s="2">
        <v>97</v>
      </c>
      <c r="FY77" s="2">
        <v>51</v>
      </c>
      <c r="FZ77" s="2"/>
      <c r="GA77" s="2" t="s">
        <v>3</v>
      </c>
      <c r="GB77" s="2"/>
      <c r="GC77" s="2"/>
      <c r="GD77" s="2">
        <v>1</v>
      </c>
      <c r="GE77" s="2"/>
      <c r="GF77" s="2">
        <v>2033611604</v>
      </c>
      <c r="GG77" s="2">
        <v>2</v>
      </c>
      <c r="GH77" s="2">
        <v>1</v>
      </c>
      <c r="GI77" s="2">
        <v>-2</v>
      </c>
      <c r="GJ77" s="2">
        <v>0</v>
      </c>
      <c r="GK77" s="2">
        <v>0</v>
      </c>
      <c r="GL77" s="2">
        <f t="shared" si="84"/>
        <v>0</v>
      </c>
      <c r="GM77" s="2">
        <f t="shared" si="85"/>
        <v>13509.63</v>
      </c>
      <c r="GN77" s="2">
        <f t="shared" si="86"/>
        <v>0</v>
      </c>
      <c r="GO77" s="2">
        <f t="shared" si="87"/>
        <v>13509.63</v>
      </c>
      <c r="GP77" s="2">
        <f t="shared" si="88"/>
        <v>0</v>
      </c>
      <c r="GQ77" s="2"/>
      <c r="GR77" s="2">
        <v>0</v>
      </c>
      <c r="GS77" s="2">
        <v>3</v>
      </c>
      <c r="GT77" s="2">
        <v>0</v>
      </c>
      <c r="GU77" s="2" t="s">
        <v>3</v>
      </c>
      <c r="GV77" s="2">
        <f t="shared" si="89"/>
        <v>0</v>
      </c>
      <c r="GW77" s="2">
        <v>1</v>
      </c>
      <c r="GX77" s="2">
        <f t="shared" si="90"/>
        <v>0</v>
      </c>
      <c r="GY77" s="2"/>
      <c r="GZ77" s="2"/>
      <c r="HA77" s="2">
        <v>0</v>
      </c>
      <c r="HB77" s="2">
        <v>0</v>
      </c>
      <c r="HC77" s="2">
        <f>GV77*GW77</f>
        <v>0</v>
      </c>
      <c r="HD77" s="2"/>
      <c r="HE77" s="2" t="s">
        <v>3</v>
      </c>
      <c r="HF77" s="2" t="s">
        <v>3</v>
      </c>
      <c r="HG77" s="2"/>
      <c r="HH77" s="2"/>
      <c r="HI77" s="2"/>
      <c r="HJ77" s="2"/>
      <c r="HK77" s="2"/>
      <c r="HL77" s="2"/>
      <c r="HM77" s="2" t="s">
        <v>3</v>
      </c>
      <c r="HN77" s="2" t="s">
        <v>22</v>
      </c>
      <c r="HO77" s="2" t="s">
        <v>23</v>
      </c>
      <c r="HP77" s="2" t="s">
        <v>20</v>
      </c>
      <c r="HQ77" s="2" t="s">
        <v>20</v>
      </c>
      <c r="HR77" s="2"/>
      <c r="HS77" s="2">
        <v>0</v>
      </c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>
        <v>0</v>
      </c>
      <c r="IL77" s="2"/>
      <c r="IM77" s="2"/>
      <c r="IN77" s="2"/>
      <c r="IO77" s="2"/>
      <c r="IP77" s="2"/>
      <c r="IQ77" s="2"/>
      <c r="IR77" s="2"/>
      <c r="IS77" s="2"/>
      <c r="IT77" s="2"/>
      <c r="IU77" s="2"/>
    </row>
    <row r="78" spans="1:255" x14ac:dyDescent="0.2">
      <c r="A78" s="2">
        <v>18</v>
      </c>
      <c r="B78" s="2">
        <v>1</v>
      </c>
      <c r="C78" s="2">
        <v>87</v>
      </c>
      <c r="D78" s="2"/>
      <c r="E78" s="2" t="s">
        <v>196</v>
      </c>
      <c r="F78" s="2" t="s">
        <v>25</v>
      </c>
      <c r="G78" s="2" t="s">
        <v>26</v>
      </c>
      <c r="H78" s="2" t="s">
        <v>27</v>
      </c>
      <c r="I78" s="2">
        <f>J78</f>
        <v>2</v>
      </c>
      <c r="J78" s="2">
        <v>2</v>
      </c>
      <c r="K78" s="2">
        <v>2</v>
      </c>
      <c r="L78" s="2"/>
      <c r="M78" s="2"/>
      <c r="N78" s="2"/>
      <c r="O78" s="2">
        <f>ROUND(P78,2)</f>
        <v>96.87</v>
      </c>
      <c r="P78" s="2">
        <f>ROUND(ROUND(ROUND(SUMIF(SmtRes!AQ73:'SmtRes'!AQ87,"=1",SmtRes!CU73:'SmtRes'!CU87),2),2)*I78/100,2)</f>
        <v>96.87</v>
      </c>
      <c r="Q78" s="2">
        <f>ROUND(CR78*I78,2)</f>
        <v>0</v>
      </c>
      <c r="R78" s="2">
        <f>ROUND(CS78*I78,2)</f>
        <v>0</v>
      </c>
      <c r="S78" s="2">
        <f>ROUND(CT78*I78,2)</f>
        <v>0</v>
      </c>
      <c r="T78" s="2">
        <f t="shared" si="75"/>
        <v>0</v>
      </c>
      <c r="U78" s="2">
        <f>ROUND(CV78*I78,7)</f>
        <v>0</v>
      </c>
      <c r="V78" s="2">
        <f>ROUND(CW78*I78,7)</f>
        <v>0</v>
      </c>
      <c r="W78" s="2">
        <f t="shared" si="76"/>
        <v>0</v>
      </c>
      <c r="X78" s="2">
        <f t="shared" si="77"/>
        <v>0</v>
      </c>
      <c r="Y78" s="2">
        <f t="shared" si="78"/>
        <v>0</v>
      </c>
      <c r="Z78" s="2"/>
      <c r="AA78" s="2">
        <v>52718353</v>
      </c>
      <c r="AB78" s="2">
        <f t="shared" si="79"/>
        <v>0</v>
      </c>
      <c r="AC78" s="2">
        <f>ROUND((ES78),6)</f>
        <v>0</v>
      </c>
      <c r="AD78" s="2">
        <f>ROUND((((ET78)-(EU78))+AE78),6)</f>
        <v>0</v>
      </c>
      <c r="AE78" s="2">
        <f t="shared" ref="AE78:AF82" si="98">ROUND((EU78),6)</f>
        <v>0</v>
      </c>
      <c r="AF78" s="2">
        <f t="shared" si="98"/>
        <v>0</v>
      </c>
      <c r="AG78" s="2">
        <f t="shared" si="81"/>
        <v>0</v>
      </c>
      <c r="AH78" s="2">
        <f t="shared" ref="AH78:AI82" si="99">(EW78)</f>
        <v>0</v>
      </c>
      <c r="AI78" s="2">
        <f t="shared" si="99"/>
        <v>0</v>
      </c>
      <c r="AJ78" s="2">
        <f t="shared" si="83"/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97</v>
      </c>
      <c r="AU78" s="2">
        <v>51</v>
      </c>
      <c r="AV78" s="2">
        <v>1</v>
      </c>
      <c r="AW78" s="2">
        <v>1</v>
      </c>
      <c r="AX78" s="2"/>
      <c r="AY78" s="2"/>
      <c r="AZ78" s="2">
        <v>1</v>
      </c>
      <c r="BA78" s="2">
        <v>1</v>
      </c>
      <c r="BB78" s="2">
        <v>1</v>
      </c>
      <c r="BC78" s="2">
        <v>1</v>
      </c>
      <c r="BD78" s="2" t="s">
        <v>3</v>
      </c>
      <c r="BE78" s="2" t="s">
        <v>3</v>
      </c>
      <c r="BF78" s="2" t="s">
        <v>3</v>
      </c>
      <c r="BG78" s="2" t="s">
        <v>3</v>
      </c>
      <c r="BH78" s="2">
        <v>3</v>
      </c>
      <c r="BI78" s="2">
        <v>2</v>
      </c>
      <c r="BJ78" s="2" t="s">
        <v>3</v>
      </c>
      <c r="BK78" s="2"/>
      <c r="BL78" s="2"/>
      <c r="BM78" s="2">
        <v>108001</v>
      </c>
      <c r="BN78" s="2">
        <v>0</v>
      </c>
      <c r="BO78" s="2" t="s">
        <v>3</v>
      </c>
      <c r="BP78" s="2">
        <v>0</v>
      </c>
      <c r="BQ78" s="2">
        <v>3</v>
      </c>
      <c r="BR78" s="2">
        <v>0</v>
      </c>
      <c r="BS78" s="2">
        <v>1</v>
      </c>
      <c r="BT78" s="2">
        <v>1</v>
      </c>
      <c r="BU78" s="2">
        <v>1</v>
      </c>
      <c r="BV78" s="2">
        <v>1</v>
      </c>
      <c r="BW78" s="2">
        <v>1</v>
      </c>
      <c r="BX78" s="2">
        <v>1</v>
      </c>
      <c r="BY78" s="2" t="s">
        <v>3</v>
      </c>
      <c r="BZ78" s="2">
        <v>97</v>
      </c>
      <c r="CA78" s="2">
        <v>51</v>
      </c>
      <c r="CB78" s="2" t="s">
        <v>3</v>
      </c>
      <c r="CC78" s="2"/>
      <c r="CD78" s="2"/>
      <c r="CE78" s="2">
        <v>0</v>
      </c>
      <c r="CF78" s="2">
        <v>0</v>
      </c>
      <c r="CG78" s="2">
        <v>0</v>
      </c>
      <c r="CH78" s="2"/>
      <c r="CI78" s="2"/>
      <c r="CJ78" s="2"/>
      <c r="CK78" s="2"/>
      <c r="CL78" s="2"/>
      <c r="CM78" s="2">
        <v>0</v>
      </c>
      <c r="CN78" s="2" t="s">
        <v>3</v>
      </c>
      <c r="CO78" s="2">
        <v>0</v>
      </c>
      <c r="CP78" s="2">
        <f>0</f>
        <v>0</v>
      </c>
      <c r="CQ78" s="2">
        <f>0</f>
        <v>0</v>
      </c>
      <c r="CR78" s="2">
        <f>0</f>
        <v>0</v>
      </c>
      <c r="CS78" s="2">
        <f>0</f>
        <v>0</v>
      </c>
      <c r="CT78" s="2">
        <f>0</f>
        <v>0</v>
      </c>
      <c r="CU78" s="2">
        <f>0</f>
        <v>0</v>
      </c>
      <c r="CV78" s="2">
        <f>0</f>
        <v>0</v>
      </c>
      <c r="CW78" s="2">
        <f>0</f>
        <v>0</v>
      </c>
      <c r="CX78" s="2">
        <f>0</f>
        <v>0</v>
      </c>
      <c r="CY78" s="2">
        <f>0</f>
        <v>0</v>
      </c>
      <c r="CZ78" s="2">
        <f>0</f>
        <v>0</v>
      </c>
      <c r="DA78" s="2"/>
      <c r="DB78" s="2"/>
      <c r="DC78" s="2" t="s">
        <v>3</v>
      </c>
      <c r="DD78" s="2" t="s">
        <v>3</v>
      </c>
      <c r="DE78" s="2" t="s">
        <v>3</v>
      </c>
      <c r="DF78" s="2" t="s">
        <v>3</v>
      </c>
      <c r="DG78" s="2" t="s">
        <v>3</v>
      </c>
      <c r="DH78" s="2" t="s">
        <v>3</v>
      </c>
      <c r="DI78" s="2" t="s">
        <v>3</v>
      </c>
      <c r="DJ78" s="2" t="s">
        <v>3</v>
      </c>
      <c r="DK78" s="2" t="s">
        <v>3</v>
      </c>
      <c r="DL78" s="2" t="s">
        <v>3</v>
      </c>
      <c r="DM78" s="2" t="s">
        <v>3</v>
      </c>
      <c r="DN78" s="2">
        <v>0</v>
      </c>
      <c r="DO78" s="2">
        <v>0</v>
      </c>
      <c r="DP78" s="2">
        <v>1</v>
      </c>
      <c r="DQ78" s="2">
        <v>1</v>
      </c>
      <c r="DR78" s="2"/>
      <c r="DS78" s="2"/>
      <c r="DT78" s="2"/>
      <c r="DU78" s="2">
        <v>1013</v>
      </c>
      <c r="DV78" s="2" t="s">
        <v>27</v>
      </c>
      <c r="DW78" s="2" t="s">
        <v>27</v>
      </c>
      <c r="DX78" s="2">
        <v>1</v>
      </c>
      <c r="DY78" s="2"/>
      <c r="DZ78" s="2" t="s">
        <v>3</v>
      </c>
      <c r="EA78" s="2" t="s">
        <v>3</v>
      </c>
      <c r="EB78" s="2" t="s">
        <v>3</v>
      </c>
      <c r="EC78" s="2" t="s">
        <v>3</v>
      </c>
      <c r="ED78" s="2"/>
      <c r="EE78" s="2">
        <v>50991719</v>
      </c>
      <c r="EF78" s="2">
        <v>3</v>
      </c>
      <c r="EG78" s="2" t="s">
        <v>14</v>
      </c>
      <c r="EH78" s="2">
        <v>0</v>
      </c>
      <c r="EI78" s="2" t="s">
        <v>3</v>
      </c>
      <c r="EJ78" s="2">
        <v>2</v>
      </c>
      <c r="EK78" s="2">
        <v>108001</v>
      </c>
      <c r="EL78" s="2" t="s">
        <v>20</v>
      </c>
      <c r="EM78" s="2" t="s">
        <v>21</v>
      </c>
      <c r="EN78" s="2"/>
      <c r="EO78" s="2" t="s">
        <v>3</v>
      </c>
      <c r="EP78" s="2"/>
      <c r="EQ78" s="2">
        <v>0</v>
      </c>
      <c r="ER78" s="2">
        <v>0</v>
      </c>
      <c r="ES78" s="2">
        <v>0</v>
      </c>
      <c r="ET78" s="2">
        <v>0</v>
      </c>
      <c r="EU78" s="2">
        <v>0</v>
      </c>
      <c r="EV78" s="2">
        <v>0</v>
      </c>
      <c r="EW78" s="2">
        <v>0</v>
      </c>
      <c r="EX78" s="2">
        <v>0</v>
      </c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>
        <v>0</v>
      </c>
      <c r="FR78" s="2">
        <v>0</v>
      </c>
      <c r="FS78" s="2">
        <v>0</v>
      </c>
      <c r="FT78" s="2"/>
      <c r="FU78" s="2"/>
      <c r="FV78" s="2"/>
      <c r="FW78" s="2"/>
      <c r="FX78" s="2">
        <v>97</v>
      </c>
      <c r="FY78" s="2">
        <v>51</v>
      </c>
      <c r="FZ78" s="2"/>
      <c r="GA78" s="2" t="s">
        <v>3</v>
      </c>
      <c r="GB78" s="2"/>
      <c r="GC78" s="2"/>
      <c r="GD78" s="2">
        <v>1</v>
      </c>
      <c r="GE78" s="2"/>
      <c r="GF78" s="2">
        <v>274903907</v>
      </c>
      <c r="GG78" s="2">
        <v>2</v>
      </c>
      <c r="GH78" s="2">
        <v>1</v>
      </c>
      <c r="GI78" s="2">
        <v>-2</v>
      </c>
      <c r="GJ78" s="2">
        <v>0</v>
      </c>
      <c r="GK78" s="2">
        <v>0</v>
      </c>
      <c r="GL78" s="2">
        <f t="shared" si="84"/>
        <v>0</v>
      </c>
      <c r="GM78" s="2">
        <f t="shared" si="85"/>
        <v>96.87</v>
      </c>
      <c r="GN78" s="2">
        <f t="shared" si="86"/>
        <v>0</v>
      </c>
      <c r="GO78" s="2">
        <f t="shared" si="87"/>
        <v>96.87</v>
      </c>
      <c r="GP78" s="2">
        <f t="shared" si="88"/>
        <v>0</v>
      </c>
      <c r="GQ78" s="2"/>
      <c r="GR78" s="2">
        <v>0</v>
      </c>
      <c r="GS78" s="2">
        <v>3</v>
      </c>
      <c r="GT78" s="2">
        <v>0</v>
      </c>
      <c r="GU78" s="2" t="s">
        <v>3</v>
      </c>
      <c r="GV78" s="2">
        <f t="shared" si="89"/>
        <v>0</v>
      </c>
      <c r="GW78" s="2">
        <v>1</v>
      </c>
      <c r="GX78" s="2">
        <f t="shared" si="90"/>
        <v>0</v>
      </c>
      <c r="GY78" s="2"/>
      <c r="GZ78" s="2"/>
      <c r="HA78" s="2">
        <v>0</v>
      </c>
      <c r="HB78" s="2">
        <v>0</v>
      </c>
      <c r="HC78" s="2">
        <f>0</f>
        <v>0</v>
      </c>
      <c r="HD78" s="2"/>
      <c r="HE78" s="2" t="s">
        <v>3</v>
      </c>
      <c r="HF78" s="2" t="s">
        <v>3</v>
      </c>
      <c r="HG78" s="2"/>
      <c r="HH78" s="2"/>
      <c r="HI78" s="2"/>
      <c r="HJ78" s="2"/>
      <c r="HK78" s="2"/>
      <c r="HL78" s="2"/>
      <c r="HM78" s="2" t="s">
        <v>3</v>
      </c>
      <c r="HN78" s="2" t="s">
        <v>22</v>
      </c>
      <c r="HO78" s="2" t="s">
        <v>23</v>
      </c>
      <c r="HP78" s="2" t="s">
        <v>20</v>
      </c>
      <c r="HQ78" s="2" t="s">
        <v>20</v>
      </c>
      <c r="HR78" s="2"/>
      <c r="HS78" s="2">
        <v>0</v>
      </c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>
        <v>0</v>
      </c>
      <c r="IL78" s="2"/>
      <c r="IM78" s="2"/>
      <c r="IN78" s="2"/>
      <c r="IO78" s="2"/>
      <c r="IP78" s="2"/>
      <c r="IQ78" s="2"/>
      <c r="IR78" s="2"/>
      <c r="IS78" s="2"/>
      <c r="IT78" s="2"/>
      <c r="IU78" s="2"/>
    </row>
    <row r="79" spans="1:255" x14ac:dyDescent="0.2">
      <c r="A79" s="2">
        <v>17</v>
      </c>
      <c r="B79" s="2">
        <v>1</v>
      </c>
      <c r="C79" s="2"/>
      <c r="D79" s="2"/>
      <c r="E79" s="2" t="s">
        <v>197</v>
      </c>
      <c r="F79" s="2" t="s">
        <v>198</v>
      </c>
      <c r="G79" s="2" t="s">
        <v>199</v>
      </c>
      <c r="H79" s="2" t="s">
        <v>108</v>
      </c>
      <c r="I79" s="2">
        <v>90</v>
      </c>
      <c r="J79" s="2">
        <v>0</v>
      </c>
      <c r="K79" s="2">
        <v>90</v>
      </c>
      <c r="L79" s="2"/>
      <c r="M79" s="2"/>
      <c r="N79" s="2"/>
      <c r="O79" s="2">
        <f>ROUND(CP79,2)</f>
        <v>1267.2</v>
      </c>
      <c r="P79" s="2">
        <f>ROUND(CQ79*I79,2)</f>
        <v>1267.2</v>
      </c>
      <c r="Q79" s="2">
        <f>ROUND(CR79*I79,2)</f>
        <v>0</v>
      </c>
      <c r="R79" s="2">
        <f>ROUND(CS79*I79,2)</f>
        <v>0</v>
      </c>
      <c r="S79" s="2">
        <f>ROUND(CT79*I79,2)</f>
        <v>0</v>
      </c>
      <c r="T79" s="2">
        <f t="shared" si="75"/>
        <v>0</v>
      </c>
      <c r="U79" s="2">
        <f>ROUND(CV79*I79,7)</f>
        <v>0</v>
      </c>
      <c r="V79" s="2">
        <f>ROUND(CW79*I79,7)</f>
        <v>0</v>
      </c>
      <c r="W79" s="2">
        <f t="shared" si="76"/>
        <v>0</v>
      </c>
      <c r="X79" s="2">
        <f t="shared" si="77"/>
        <v>0</v>
      </c>
      <c r="Y79" s="2">
        <f t="shared" si="78"/>
        <v>0</v>
      </c>
      <c r="Z79" s="2"/>
      <c r="AA79" s="2">
        <v>52718353</v>
      </c>
      <c r="AB79" s="2">
        <f t="shared" si="79"/>
        <v>13.28</v>
      </c>
      <c r="AC79" s="2">
        <f>ROUND((ES79),6)</f>
        <v>13.28</v>
      </c>
      <c r="AD79" s="2">
        <f>ROUND((((ET79)-(EU79))+AE79),6)</f>
        <v>0</v>
      </c>
      <c r="AE79" s="2">
        <f t="shared" si="98"/>
        <v>0</v>
      </c>
      <c r="AF79" s="2">
        <f t="shared" si="98"/>
        <v>0</v>
      </c>
      <c r="AG79" s="2">
        <f t="shared" si="81"/>
        <v>0</v>
      </c>
      <c r="AH79" s="2">
        <f t="shared" si="99"/>
        <v>0</v>
      </c>
      <c r="AI79" s="2">
        <f t="shared" si="99"/>
        <v>0</v>
      </c>
      <c r="AJ79" s="2">
        <f t="shared" si="83"/>
        <v>0</v>
      </c>
      <c r="AK79" s="2">
        <v>13.28</v>
      </c>
      <c r="AL79" s="2">
        <v>13.28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1</v>
      </c>
      <c r="AW79" s="2">
        <v>1</v>
      </c>
      <c r="AX79" s="2"/>
      <c r="AY79" s="2"/>
      <c r="AZ79" s="2">
        <v>1</v>
      </c>
      <c r="BA79" s="2">
        <v>1</v>
      </c>
      <c r="BB79" s="2">
        <v>1</v>
      </c>
      <c r="BC79" s="2">
        <v>1.06</v>
      </c>
      <c r="BD79" s="2" t="s">
        <v>3</v>
      </c>
      <c r="BE79" s="2" t="s">
        <v>3</v>
      </c>
      <c r="BF79" s="2" t="s">
        <v>3</v>
      </c>
      <c r="BG79" s="2" t="s">
        <v>3</v>
      </c>
      <c r="BH79" s="2">
        <v>3</v>
      </c>
      <c r="BI79" s="2">
        <v>1</v>
      </c>
      <c r="BJ79" s="2" t="s">
        <v>200</v>
      </c>
      <c r="BK79" s="2"/>
      <c r="BL79" s="2"/>
      <c r="BM79" s="2">
        <v>500001</v>
      </c>
      <c r="BN79" s="2">
        <v>0</v>
      </c>
      <c r="BO79" s="2" t="s">
        <v>198</v>
      </c>
      <c r="BP79" s="2">
        <v>1</v>
      </c>
      <c r="BQ79" s="2">
        <v>8</v>
      </c>
      <c r="BR79" s="2">
        <v>0</v>
      </c>
      <c r="BS79" s="2">
        <v>1</v>
      </c>
      <c r="BT79" s="2">
        <v>1</v>
      </c>
      <c r="BU79" s="2">
        <v>1</v>
      </c>
      <c r="BV79" s="2">
        <v>1</v>
      </c>
      <c r="BW79" s="2">
        <v>1</v>
      </c>
      <c r="BX79" s="2">
        <v>1</v>
      </c>
      <c r="BY79" s="2" t="s">
        <v>3</v>
      </c>
      <c r="BZ79" s="2">
        <v>0</v>
      </c>
      <c r="CA79" s="2">
        <v>0</v>
      </c>
      <c r="CB79" s="2" t="s">
        <v>3</v>
      </c>
      <c r="CC79" s="2"/>
      <c r="CD79" s="2"/>
      <c r="CE79" s="2">
        <v>0</v>
      </c>
      <c r="CF79" s="2">
        <v>0</v>
      </c>
      <c r="CG79" s="2">
        <v>0</v>
      </c>
      <c r="CH79" s="2"/>
      <c r="CI79" s="2"/>
      <c r="CJ79" s="2"/>
      <c r="CK79" s="2"/>
      <c r="CL79" s="2"/>
      <c r="CM79" s="2">
        <v>0</v>
      </c>
      <c r="CN79" s="2" t="s">
        <v>3</v>
      </c>
      <c r="CO79" s="2">
        <v>0</v>
      </c>
      <c r="CP79" s="2">
        <f>(P79+Q79+S79+R79)</f>
        <v>1267.2</v>
      </c>
      <c r="CQ79" s="2">
        <f>ROUND(AL79*BC79,2)</f>
        <v>14.08</v>
      </c>
      <c r="CR79" s="2">
        <f>ROUND(AM79*BB79,2)</f>
        <v>0</v>
      </c>
      <c r="CS79" s="2">
        <f>ROUND(AN79*BS79,2)</f>
        <v>0</v>
      </c>
      <c r="CT79" s="2">
        <f>ROUND(AO79*BA79,2)</f>
        <v>0</v>
      </c>
      <c r="CU79" s="2">
        <f t="shared" ref="CU79:CX82" si="100">AG79</f>
        <v>0</v>
      </c>
      <c r="CV79" s="2">
        <f t="shared" si="100"/>
        <v>0</v>
      </c>
      <c r="CW79" s="2">
        <f t="shared" si="100"/>
        <v>0</v>
      </c>
      <c r="CX79" s="2">
        <f t="shared" si="100"/>
        <v>0</v>
      </c>
      <c r="CY79" s="2">
        <f>0</f>
        <v>0</v>
      </c>
      <c r="CZ79" s="2">
        <f>0</f>
        <v>0</v>
      </c>
      <c r="DA79" s="2"/>
      <c r="DB79" s="2"/>
      <c r="DC79" s="2" t="s">
        <v>3</v>
      </c>
      <c r="DD79" s="2" t="s">
        <v>3</v>
      </c>
      <c r="DE79" s="2" t="s">
        <v>3</v>
      </c>
      <c r="DF79" s="2" t="s">
        <v>3</v>
      </c>
      <c r="DG79" s="2" t="s">
        <v>3</v>
      </c>
      <c r="DH79" s="2" t="s">
        <v>3</v>
      </c>
      <c r="DI79" s="2" t="s">
        <v>3</v>
      </c>
      <c r="DJ79" s="2" t="s">
        <v>3</v>
      </c>
      <c r="DK79" s="2" t="s">
        <v>3</v>
      </c>
      <c r="DL79" s="2" t="s">
        <v>3</v>
      </c>
      <c r="DM79" s="2" t="s">
        <v>3</v>
      </c>
      <c r="DN79" s="2">
        <v>0</v>
      </c>
      <c r="DO79" s="2">
        <v>0</v>
      </c>
      <c r="DP79" s="2">
        <v>1</v>
      </c>
      <c r="DQ79" s="2">
        <v>1</v>
      </c>
      <c r="DR79" s="2"/>
      <c r="DS79" s="2"/>
      <c r="DT79" s="2"/>
      <c r="DU79" s="2">
        <v>1013</v>
      </c>
      <c r="DV79" s="2" t="s">
        <v>108</v>
      </c>
      <c r="DW79" s="2" t="s">
        <v>108</v>
      </c>
      <c r="DX79" s="2">
        <v>1</v>
      </c>
      <c r="DY79" s="2"/>
      <c r="DZ79" s="2" t="s">
        <v>3</v>
      </c>
      <c r="EA79" s="2" t="s">
        <v>3</v>
      </c>
      <c r="EB79" s="2" t="s">
        <v>3</v>
      </c>
      <c r="EC79" s="2" t="s">
        <v>3</v>
      </c>
      <c r="ED79" s="2"/>
      <c r="EE79" s="2">
        <v>50991776</v>
      </c>
      <c r="EF79" s="2">
        <v>8</v>
      </c>
      <c r="EG79" s="2" t="s">
        <v>33</v>
      </c>
      <c r="EH79" s="2">
        <v>0</v>
      </c>
      <c r="EI79" s="2" t="s">
        <v>3</v>
      </c>
      <c r="EJ79" s="2">
        <v>1</v>
      </c>
      <c r="EK79" s="2">
        <v>500001</v>
      </c>
      <c r="EL79" s="2" t="s">
        <v>34</v>
      </c>
      <c r="EM79" s="2" t="s">
        <v>35</v>
      </c>
      <c r="EN79" s="2"/>
      <c r="EO79" s="2" t="s">
        <v>3</v>
      </c>
      <c r="EP79" s="2"/>
      <c r="EQ79" s="2">
        <v>0</v>
      </c>
      <c r="ER79" s="2">
        <v>13.28</v>
      </c>
      <c r="ES79" s="2">
        <v>13.28</v>
      </c>
      <c r="ET79" s="2">
        <v>0</v>
      </c>
      <c r="EU79" s="2">
        <v>0</v>
      </c>
      <c r="EV79" s="2">
        <v>0</v>
      </c>
      <c r="EW79" s="2">
        <v>0</v>
      </c>
      <c r="EX79" s="2">
        <v>0</v>
      </c>
      <c r="EY79" s="2">
        <v>0</v>
      </c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>
        <v>0</v>
      </c>
      <c r="FR79" s="2">
        <v>0</v>
      </c>
      <c r="FS79" s="2">
        <v>0</v>
      </c>
      <c r="FT79" s="2"/>
      <c r="FU79" s="2"/>
      <c r="FV79" s="2"/>
      <c r="FW79" s="2"/>
      <c r="FX79" s="2">
        <v>0</v>
      </c>
      <c r="FY79" s="2">
        <v>0</v>
      </c>
      <c r="FZ79" s="2"/>
      <c r="GA79" s="2" t="s">
        <v>3</v>
      </c>
      <c r="GB79" s="2"/>
      <c r="GC79" s="2"/>
      <c r="GD79" s="2">
        <v>1</v>
      </c>
      <c r="GE79" s="2"/>
      <c r="GF79" s="2">
        <v>12813623</v>
      </c>
      <c r="GG79" s="2">
        <v>2</v>
      </c>
      <c r="GH79" s="2">
        <v>1</v>
      </c>
      <c r="GI79" s="2">
        <v>2</v>
      </c>
      <c r="GJ79" s="2">
        <v>0</v>
      </c>
      <c r="GK79" s="2">
        <v>0</v>
      </c>
      <c r="GL79" s="2">
        <f t="shared" si="84"/>
        <v>0</v>
      </c>
      <c r="GM79" s="2">
        <f t="shared" si="85"/>
        <v>1267.2</v>
      </c>
      <c r="GN79" s="2">
        <f t="shared" si="86"/>
        <v>1267.2</v>
      </c>
      <c r="GO79" s="2">
        <f t="shared" si="87"/>
        <v>0</v>
      </c>
      <c r="GP79" s="2">
        <f t="shared" si="88"/>
        <v>0</v>
      </c>
      <c r="GQ79" s="2"/>
      <c r="GR79" s="2">
        <v>0</v>
      </c>
      <c r="GS79" s="2">
        <v>3</v>
      </c>
      <c r="GT79" s="2">
        <v>0</v>
      </c>
      <c r="GU79" s="2" t="s">
        <v>3</v>
      </c>
      <c r="GV79" s="2">
        <f t="shared" si="89"/>
        <v>0</v>
      </c>
      <c r="GW79" s="2">
        <v>1</v>
      </c>
      <c r="GX79" s="2">
        <f t="shared" si="90"/>
        <v>0</v>
      </c>
      <c r="GY79" s="2"/>
      <c r="GZ79" s="2"/>
      <c r="HA79" s="2">
        <v>0</v>
      </c>
      <c r="HB79" s="2">
        <v>0</v>
      </c>
      <c r="HC79" s="2">
        <f>GV79*GW79</f>
        <v>0</v>
      </c>
      <c r="HD79" s="2"/>
      <c r="HE79" s="2" t="s">
        <v>3</v>
      </c>
      <c r="HF79" s="2" t="s">
        <v>3</v>
      </c>
      <c r="HG79" s="2"/>
      <c r="HH79" s="2"/>
      <c r="HI79" s="2"/>
      <c r="HJ79" s="2"/>
      <c r="HK79" s="2"/>
      <c r="HL79" s="2"/>
      <c r="HM79" s="2" t="s">
        <v>3</v>
      </c>
      <c r="HN79" s="2" t="s">
        <v>3</v>
      </c>
      <c r="HO79" s="2" t="s">
        <v>3</v>
      </c>
      <c r="HP79" s="2" t="s">
        <v>3</v>
      </c>
      <c r="HQ79" s="2" t="s">
        <v>3</v>
      </c>
      <c r="HR79" s="2"/>
      <c r="HS79" s="2">
        <v>0</v>
      </c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>
        <v>0</v>
      </c>
      <c r="IL79" s="2"/>
      <c r="IM79" s="2"/>
      <c r="IN79" s="2"/>
      <c r="IO79" s="2"/>
      <c r="IP79" s="2"/>
      <c r="IQ79" s="2"/>
      <c r="IR79" s="2"/>
      <c r="IS79" s="2"/>
      <c r="IT79" s="2"/>
      <c r="IU79" s="2"/>
    </row>
    <row r="80" spans="1:255" x14ac:dyDescent="0.2">
      <c r="A80" s="2">
        <v>17</v>
      </c>
      <c r="B80" s="2">
        <v>1</v>
      </c>
      <c r="C80" s="2"/>
      <c r="D80" s="2"/>
      <c r="E80" s="2" t="s">
        <v>201</v>
      </c>
      <c r="F80" s="2" t="s">
        <v>202</v>
      </c>
      <c r="G80" s="2" t="s">
        <v>203</v>
      </c>
      <c r="H80" s="2" t="s">
        <v>108</v>
      </c>
      <c r="I80" s="2">
        <v>2</v>
      </c>
      <c r="J80" s="2">
        <v>0</v>
      </c>
      <c r="K80" s="2">
        <v>2</v>
      </c>
      <c r="L80" s="2"/>
      <c r="M80" s="2"/>
      <c r="N80" s="2"/>
      <c r="O80" s="2">
        <f>ROUND(CP80,2)</f>
        <v>581.5</v>
      </c>
      <c r="P80" s="2">
        <f>ROUND(CQ80*I80,2)</f>
        <v>581.5</v>
      </c>
      <c r="Q80" s="2">
        <f>ROUND(CR80*I80,2)</f>
        <v>0</v>
      </c>
      <c r="R80" s="2">
        <f>ROUND(CS80*I80,2)</f>
        <v>0</v>
      </c>
      <c r="S80" s="2">
        <f>ROUND(CT80*I80,2)</f>
        <v>0</v>
      </c>
      <c r="T80" s="2">
        <f t="shared" si="75"/>
        <v>0</v>
      </c>
      <c r="U80" s="2">
        <f>ROUND(CV80*I80,7)</f>
        <v>0</v>
      </c>
      <c r="V80" s="2">
        <f>ROUND(CW80*I80,7)</f>
        <v>0</v>
      </c>
      <c r="W80" s="2">
        <f t="shared" si="76"/>
        <v>0</v>
      </c>
      <c r="X80" s="2">
        <f t="shared" si="77"/>
        <v>0</v>
      </c>
      <c r="Y80" s="2">
        <f t="shared" si="78"/>
        <v>0</v>
      </c>
      <c r="Z80" s="2"/>
      <c r="AA80" s="2">
        <v>52718353</v>
      </c>
      <c r="AB80" s="2">
        <f t="shared" si="79"/>
        <v>255.04</v>
      </c>
      <c r="AC80" s="2">
        <f>ROUND((ES80),6)</f>
        <v>255.04</v>
      </c>
      <c r="AD80" s="2">
        <f>ROUND((((ET80)-(EU80))+AE80),6)</f>
        <v>0</v>
      </c>
      <c r="AE80" s="2">
        <f t="shared" si="98"/>
        <v>0</v>
      </c>
      <c r="AF80" s="2">
        <f t="shared" si="98"/>
        <v>0</v>
      </c>
      <c r="AG80" s="2">
        <f t="shared" si="81"/>
        <v>0</v>
      </c>
      <c r="AH80" s="2">
        <f t="shared" si="99"/>
        <v>0</v>
      </c>
      <c r="AI80" s="2">
        <f t="shared" si="99"/>
        <v>0</v>
      </c>
      <c r="AJ80" s="2">
        <f t="shared" si="83"/>
        <v>0</v>
      </c>
      <c r="AK80" s="2">
        <v>255.04</v>
      </c>
      <c r="AL80" s="2">
        <v>255.04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1</v>
      </c>
      <c r="AW80" s="2">
        <v>1</v>
      </c>
      <c r="AX80" s="2"/>
      <c r="AY80" s="2"/>
      <c r="AZ80" s="2">
        <v>1</v>
      </c>
      <c r="BA80" s="2">
        <v>1</v>
      </c>
      <c r="BB80" s="2">
        <v>1</v>
      </c>
      <c r="BC80" s="2">
        <v>1.1399999999999999</v>
      </c>
      <c r="BD80" s="2" t="s">
        <v>3</v>
      </c>
      <c r="BE80" s="2" t="s">
        <v>3</v>
      </c>
      <c r="BF80" s="2" t="s">
        <v>3</v>
      </c>
      <c r="BG80" s="2" t="s">
        <v>3</v>
      </c>
      <c r="BH80" s="2">
        <v>3</v>
      </c>
      <c r="BI80" s="2">
        <v>3</v>
      </c>
      <c r="BJ80" s="2" t="s">
        <v>204</v>
      </c>
      <c r="BK80" s="2"/>
      <c r="BL80" s="2"/>
      <c r="BM80" s="2">
        <v>600001</v>
      </c>
      <c r="BN80" s="2">
        <v>0</v>
      </c>
      <c r="BO80" s="2" t="s">
        <v>3</v>
      </c>
      <c r="BP80" s="2">
        <v>0</v>
      </c>
      <c r="BQ80" s="2">
        <v>5</v>
      </c>
      <c r="BR80" s="2">
        <v>0</v>
      </c>
      <c r="BS80" s="2">
        <v>1</v>
      </c>
      <c r="BT80" s="2">
        <v>1</v>
      </c>
      <c r="BU80" s="2">
        <v>1</v>
      </c>
      <c r="BV80" s="2">
        <v>1</v>
      </c>
      <c r="BW80" s="2">
        <v>1</v>
      </c>
      <c r="BX80" s="2">
        <v>1</v>
      </c>
      <c r="BY80" s="2" t="s">
        <v>3</v>
      </c>
      <c r="BZ80" s="2">
        <v>0</v>
      </c>
      <c r="CA80" s="2">
        <v>0</v>
      </c>
      <c r="CB80" s="2" t="s">
        <v>3</v>
      </c>
      <c r="CC80" s="2"/>
      <c r="CD80" s="2"/>
      <c r="CE80" s="2">
        <v>0</v>
      </c>
      <c r="CF80" s="2">
        <v>0</v>
      </c>
      <c r="CG80" s="2">
        <v>0</v>
      </c>
      <c r="CH80" s="2"/>
      <c r="CI80" s="2"/>
      <c r="CJ80" s="2"/>
      <c r="CK80" s="2"/>
      <c r="CL80" s="2"/>
      <c r="CM80" s="2">
        <v>0</v>
      </c>
      <c r="CN80" s="2" t="s">
        <v>3</v>
      </c>
      <c r="CO80" s="2">
        <v>0</v>
      </c>
      <c r="CP80" s="2">
        <f>(P80+Q80+S80+R80)</f>
        <v>581.5</v>
      </c>
      <c r="CQ80" s="2">
        <f>ROUND(AL80*BC80,2)</f>
        <v>290.75</v>
      </c>
      <c r="CR80" s="2">
        <f>ROUND(AM80*BB80,2)</f>
        <v>0</v>
      </c>
      <c r="CS80" s="2">
        <f>ROUND(AN80*BS80,2)</f>
        <v>0</v>
      </c>
      <c r="CT80" s="2">
        <f>ROUND(AO80*BA80,2)</f>
        <v>0</v>
      </c>
      <c r="CU80" s="2">
        <f t="shared" si="100"/>
        <v>0</v>
      </c>
      <c r="CV80" s="2">
        <f t="shared" si="100"/>
        <v>0</v>
      </c>
      <c r="CW80" s="2">
        <f t="shared" si="100"/>
        <v>0</v>
      </c>
      <c r="CX80" s="2">
        <f t="shared" si="100"/>
        <v>0</v>
      </c>
      <c r="CY80" s="2">
        <f>0</f>
        <v>0</v>
      </c>
      <c r="CZ80" s="2">
        <f>0</f>
        <v>0</v>
      </c>
      <c r="DA80" s="2"/>
      <c r="DB80" s="2"/>
      <c r="DC80" s="2" t="s">
        <v>3</v>
      </c>
      <c r="DD80" s="2" t="s">
        <v>3</v>
      </c>
      <c r="DE80" s="2" t="s">
        <v>3</v>
      </c>
      <c r="DF80" s="2" t="s">
        <v>3</v>
      </c>
      <c r="DG80" s="2" t="s">
        <v>3</v>
      </c>
      <c r="DH80" s="2" t="s">
        <v>3</v>
      </c>
      <c r="DI80" s="2" t="s">
        <v>3</v>
      </c>
      <c r="DJ80" s="2" t="s">
        <v>3</v>
      </c>
      <c r="DK80" s="2" t="s">
        <v>3</v>
      </c>
      <c r="DL80" s="2" t="s">
        <v>3</v>
      </c>
      <c r="DM80" s="2" t="s">
        <v>3</v>
      </c>
      <c r="DN80" s="2">
        <v>0</v>
      </c>
      <c r="DO80" s="2">
        <v>0</v>
      </c>
      <c r="DP80" s="2">
        <v>1</v>
      </c>
      <c r="DQ80" s="2">
        <v>1</v>
      </c>
      <c r="DR80" s="2"/>
      <c r="DS80" s="2"/>
      <c r="DT80" s="2"/>
      <c r="DU80" s="2">
        <v>1013</v>
      </c>
      <c r="DV80" s="2" t="s">
        <v>108</v>
      </c>
      <c r="DW80" s="2" t="s">
        <v>108</v>
      </c>
      <c r="DX80" s="2">
        <v>1</v>
      </c>
      <c r="DY80" s="2"/>
      <c r="DZ80" s="2" t="s">
        <v>3</v>
      </c>
      <c r="EA80" s="2" t="s">
        <v>3</v>
      </c>
      <c r="EB80" s="2" t="s">
        <v>3</v>
      </c>
      <c r="EC80" s="2" t="s">
        <v>3</v>
      </c>
      <c r="ED80" s="2"/>
      <c r="EE80" s="2">
        <v>50991778</v>
      </c>
      <c r="EF80" s="2">
        <v>5</v>
      </c>
      <c r="EG80" s="2" t="s">
        <v>205</v>
      </c>
      <c r="EH80" s="2">
        <v>0</v>
      </c>
      <c r="EI80" s="2" t="s">
        <v>3</v>
      </c>
      <c r="EJ80" s="2">
        <v>3</v>
      </c>
      <c r="EK80" s="2">
        <v>600001</v>
      </c>
      <c r="EL80" s="2" t="s">
        <v>206</v>
      </c>
      <c r="EM80" s="2" t="s">
        <v>207</v>
      </c>
      <c r="EN80" s="2"/>
      <c r="EO80" s="2" t="s">
        <v>3</v>
      </c>
      <c r="EP80" s="2"/>
      <c r="EQ80" s="2">
        <v>0</v>
      </c>
      <c r="ER80" s="2">
        <v>255.04</v>
      </c>
      <c r="ES80" s="2">
        <v>255.04</v>
      </c>
      <c r="ET80" s="2">
        <v>0</v>
      </c>
      <c r="EU80" s="2">
        <v>0</v>
      </c>
      <c r="EV80" s="2">
        <v>0</v>
      </c>
      <c r="EW80" s="2">
        <v>0</v>
      </c>
      <c r="EX80" s="2">
        <v>0</v>
      </c>
      <c r="EY80" s="2">
        <v>0</v>
      </c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>
        <v>0</v>
      </c>
      <c r="FR80" s="2">
        <f>P80</f>
        <v>581.5</v>
      </c>
      <c r="FS80" s="2">
        <v>0</v>
      </c>
      <c r="FT80" s="2"/>
      <c r="FU80" s="2"/>
      <c r="FV80" s="2"/>
      <c r="FW80" s="2"/>
      <c r="FX80" s="2">
        <v>0</v>
      </c>
      <c r="FY80" s="2">
        <v>0</v>
      </c>
      <c r="FZ80" s="2"/>
      <c r="GA80" s="2" t="s">
        <v>3</v>
      </c>
      <c r="GB80" s="2"/>
      <c r="GC80" s="2"/>
      <c r="GD80" s="2">
        <v>1</v>
      </c>
      <c r="GE80" s="2"/>
      <c r="GF80" s="2">
        <v>526912571</v>
      </c>
      <c r="GG80" s="2">
        <v>2</v>
      </c>
      <c r="GH80" s="2">
        <v>1</v>
      </c>
      <c r="GI80" s="2">
        <v>2</v>
      </c>
      <c r="GJ80" s="2">
        <v>0</v>
      </c>
      <c r="GK80" s="2">
        <v>0</v>
      </c>
      <c r="GL80" s="2">
        <f t="shared" si="84"/>
        <v>0</v>
      </c>
      <c r="GM80" s="2">
        <f t="shared" si="85"/>
        <v>581.5</v>
      </c>
      <c r="GN80" s="2">
        <f t="shared" si="86"/>
        <v>0</v>
      </c>
      <c r="GO80" s="2">
        <f t="shared" si="87"/>
        <v>0</v>
      </c>
      <c r="GP80" s="2">
        <f t="shared" si="88"/>
        <v>0</v>
      </c>
      <c r="GQ80" s="2"/>
      <c r="GR80" s="2">
        <v>0</v>
      </c>
      <c r="GS80" s="2">
        <v>3</v>
      </c>
      <c r="GT80" s="2">
        <v>0</v>
      </c>
      <c r="GU80" s="2" t="s">
        <v>3</v>
      </c>
      <c r="GV80" s="2">
        <f t="shared" si="89"/>
        <v>0</v>
      </c>
      <c r="GW80" s="2">
        <v>1</v>
      </c>
      <c r="GX80" s="2">
        <f t="shared" si="90"/>
        <v>0</v>
      </c>
      <c r="GY80" s="2"/>
      <c r="GZ80" s="2"/>
      <c r="HA80" s="2">
        <v>0</v>
      </c>
      <c r="HB80" s="2">
        <v>0</v>
      </c>
      <c r="HC80" s="2">
        <f>GV80*GW80</f>
        <v>0</v>
      </c>
      <c r="HD80" s="2"/>
      <c r="HE80" s="2" t="s">
        <v>3</v>
      </c>
      <c r="HF80" s="2" t="s">
        <v>3</v>
      </c>
      <c r="HG80" s="2"/>
      <c r="HH80" s="2"/>
      <c r="HI80" s="2"/>
      <c r="HJ80" s="2"/>
      <c r="HK80" s="2"/>
      <c r="HL80" s="2"/>
      <c r="HM80" s="2" t="s">
        <v>3</v>
      </c>
      <c r="HN80" s="2" t="s">
        <v>3</v>
      </c>
      <c r="HO80" s="2" t="s">
        <v>3</v>
      </c>
      <c r="HP80" s="2" t="s">
        <v>3</v>
      </c>
      <c r="HQ80" s="2" t="s">
        <v>3</v>
      </c>
      <c r="HR80" s="2"/>
      <c r="HS80" s="2">
        <v>0</v>
      </c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>
        <v>0</v>
      </c>
      <c r="IL80" s="2"/>
      <c r="IM80" s="2"/>
      <c r="IN80" s="2"/>
      <c r="IO80" s="2"/>
      <c r="IP80" s="2"/>
      <c r="IQ80" s="2"/>
      <c r="IR80" s="2"/>
      <c r="IS80" s="2"/>
      <c r="IT80" s="2"/>
      <c r="IU80" s="2"/>
    </row>
    <row r="81" spans="1:255" x14ac:dyDescent="0.2">
      <c r="A81" s="2">
        <v>17</v>
      </c>
      <c r="B81" s="2">
        <v>1</v>
      </c>
      <c r="C81" s="2"/>
      <c r="D81" s="2"/>
      <c r="E81" s="2" t="s">
        <v>208</v>
      </c>
      <c r="F81" s="2" t="s">
        <v>209</v>
      </c>
      <c r="G81" s="2" t="s">
        <v>210</v>
      </c>
      <c r="H81" s="2" t="s">
        <v>108</v>
      </c>
      <c r="I81" s="2">
        <v>2</v>
      </c>
      <c r="J81" s="2">
        <v>0</v>
      </c>
      <c r="K81" s="2">
        <v>2</v>
      </c>
      <c r="L81" s="2"/>
      <c r="M81" s="2"/>
      <c r="N81" s="2"/>
      <c r="O81" s="2">
        <f>ROUND(CP81,2)</f>
        <v>541.28</v>
      </c>
      <c r="P81" s="2">
        <f>ROUND(CQ81*I81,2)</f>
        <v>541.28</v>
      </c>
      <c r="Q81" s="2">
        <f>ROUND(CR81*I81,2)</f>
        <v>0</v>
      </c>
      <c r="R81" s="2">
        <f>ROUND(CS81*I81,2)</f>
        <v>0</v>
      </c>
      <c r="S81" s="2">
        <f>ROUND(CT81*I81,2)</f>
        <v>0</v>
      </c>
      <c r="T81" s="2">
        <f t="shared" si="75"/>
        <v>0</v>
      </c>
      <c r="U81" s="2">
        <f>ROUND(CV81*I81,7)</f>
        <v>0</v>
      </c>
      <c r="V81" s="2">
        <f>ROUND(CW81*I81,7)</f>
        <v>0</v>
      </c>
      <c r="W81" s="2">
        <f t="shared" si="76"/>
        <v>0</v>
      </c>
      <c r="X81" s="2">
        <f t="shared" si="77"/>
        <v>0</v>
      </c>
      <c r="Y81" s="2">
        <f t="shared" si="78"/>
        <v>0</v>
      </c>
      <c r="Z81" s="2"/>
      <c r="AA81" s="2">
        <v>52718353</v>
      </c>
      <c r="AB81" s="2">
        <f t="shared" si="79"/>
        <v>237.4</v>
      </c>
      <c r="AC81" s="2">
        <f>ROUND((ES81),6)</f>
        <v>237.4</v>
      </c>
      <c r="AD81" s="2">
        <f>ROUND((((ET81)-(EU81))+AE81),6)</f>
        <v>0</v>
      </c>
      <c r="AE81" s="2">
        <f t="shared" si="98"/>
        <v>0</v>
      </c>
      <c r="AF81" s="2">
        <f t="shared" si="98"/>
        <v>0</v>
      </c>
      <c r="AG81" s="2">
        <f t="shared" si="81"/>
        <v>0</v>
      </c>
      <c r="AH81" s="2">
        <f t="shared" si="99"/>
        <v>0</v>
      </c>
      <c r="AI81" s="2">
        <f t="shared" si="99"/>
        <v>0</v>
      </c>
      <c r="AJ81" s="2">
        <f t="shared" si="83"/>
        <v>0</v>
      </c>
      <c r="AK81" s="2">
        <v>237.4</v>
      </c>
      <c r="AL81" s="2">
        <v>237.4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1</v>
      </c>
      <c r="AW81" s="2">
        <v>1</v>
      </c>
      <c r="AX81" s="2"/>
      <c r="AY81" s="2"/>
      <c r="AZ81" s="2">
        <v>1</v>
      </c>
      <c r="BA81" s="2">
        <v>1</v>
      </c>
      <c r="BB81" s="2">
        <v>1</v>
      </c>
      <c r="BC81" s="2">
        <v>1.1399999999999999</v>
      </c>
      <c r="BD81" s="2" t="s">
        <v>3</v>
      </c>
      <c r="BE81" s="2" t="s">
        <v>3</v>
      </c>
      <c r="BF81" s="2" t="s">
        <v>3</v>
      </c>
      <c r="BG81" s="2" t="s">
        <v>3</v>
      </c>
      <c r="BH81" s="2">
        <v>3</v>
      </c>
      <c r="BI81" s="2">
        <v>3</v>
      </c>
      <c r="BJ81" s="2" t="s">
        <v>211</v>
      </c>
      <c r="BK81" s="2"/>
      <c r="BL81" s="2"/>
      <c r="BM81" s="2">
        <v>600001</v>
      </c>
      <c r="BN81" s="2">
        <v>0</v>
      </c>
      <c r="BO81" s="2" t="s">
        <v>3</v>
      </c>
      <c r="BP81" s="2">
        <v>0</v>
      </c>
      <c r="BQ81" s="2">
        <v>5</v>
      </c>
      <c r="BR81" s="2">
        <v>0</v>
      </c>
      <c r="BS81" s="2">
        <v>1</v>
      </c>
      <c r="BT81" s="2">
        <v>1</v>
      </c>
      <c r="BU81" s="2">
        <v>1</v>
      </c>
      <c r="BV81" s="2">
        <v>1</v>
      </c>
      <c r="BW81" s="2">
        <v>1</v>
      </c>
      <c r="BX81" s="2">
        <v>1</v>
      </c>
      <c r="BY81" s="2" t="s">
        <v>3</v>
      </c>
      <c r="BZ81" s="2">
        <v>0</v>
      </c>
      <c r="CA81" s="2">
        <v>0</v>
      </c>
      <c r="CB81" s="2" t="s">
        <v>3</v>
      </c>
      <c r="CC81" s="2"/>
      <c r="CD81" s="2"/>
      <c r="CE81" s="2">
        <v>0</v>
      </c>
      <c r="CF81" s="2">
        <v>0</v>
      </c>
      <c r="CG81" s="2">
        <v>0</v>
      </c>
      <c r="CH81" s="2"/>
      <c r="CI81" s="2"/>
      <c r="CJ81" s="2"/>
      <c r="CK81" s="2"/>
      <c r="CL81" s="2"/>
      <c r="CM81" s="2">
        <v>0</v>
      </c>
      <c r="CN81" s="2" t="s">
        <v>3</v>
      </c>
      <c r="CO81" s="2">
        <v>0</v>
      </c>
      <c r="CP81" s="2">
        <f>(P81+Q81+S81+R81)</f>
        <v>541.28</v>
      </c>
      <c r="CQ81" s="2">
        <f>ROUND(AL81*BC81,2)</f>
        <v>270.64</v>
      </c>
      <c r="CR81" s="2">
        <f>ROUND(AM81*BB81,2)</f>
        <v>0</v>
      </c>
      <c r="CS81" s="2">
        <f>ROUND(AN81*BS81,2)</f>
        <v>0</v>
      </c>
      <c r="CT81" s="2">
        <f>ROUND(AO81*BA81,2)</f>
        <v>0</v>
      </c>
      <c r="CU81" s="2">
        <f t="shared" si="100"/>
        <v>0</v>
      </c>
      <c r="CV81" s="2">
        <f t="shared" si="100"/>
        <v>0</v>
      </c>
      <c r="CW81" s="2">
        <f t="shared" si="100"/>
        <v>0</v>
      </c>
      <c r="CX81" s="2">
        <f t="shared" si="100"/>
        <v>0</v>
      </c>
      <c r="CY81" s="2">
        <f>0</f>
        <v>0</v>
      </c>
      <c r="CZ81" s="2">
        <f>0</f>
        <v>0</v>
      </c>
      <c r="DA81" s="2"/>
      <c r="DB81" s="2"/>
      <c r="DC81" s="2" t="s">
        <v>3</v>
      </c>
      <c r="DD81" s="2" t="s">
        <v>3</v>
      </c>
      <c r="DE81" s="2" t="s">
        <v>3</v>
      </c>
      <c r="DF81" s="2" t="s">
        <v>3</v>
      </c>
      <c r="DG81" s="2" t="s">
        <v>3</v>
      </c>
      <c r="DH81" s="2" t="s">
        <v>3</v>
      </c>
      <c r="DI81" s="2" t="s">
        <v>3</v>
      </c>
      <c r="DJ81" s="2" t="s">
        <v>3</v>
      </c>
      <c r="DK81" s="2" t="s">
        <v>3</v>
      </c>
      <c r="DL81" s="2" t="s">
        <v>3</v>
      </c>
      <c r="DM81" s="2" t="s">
        <v>3</v>
      </c>
      <c r="DN81" s="2">
        <v>0</v>
      </c>
      <c r="DO81" s="2">
        <v>0</v>
      </c>
      <c r="DP81" s="2">
        <v>1</v>
      </c>
      <c r="DQ81" s="2">
        <v>1</v>
      </c>
      <c r="DR81" s="2"/>
      <c r="DS81" s="2"/>
      <c r="DT81" s="2"/>
      <c r="DU81" s="2">
        <v>1013</v>
      </c>
      <c r="DV81" s="2" t="s">
        <v>108</v>
      </c>
      <c r="DW81" s="2" t="s">
        <v>108</v>
      </c>
      <c r="DX81" s="2">
        <v>1</v>
      </c>
      <c r="DY81" s="2"/>
      <c r="DZ81" s="2" t="s">
        <v>3</v>
      </c>
      <c r="EA81" s="2" t="s">
        <v>3</v>
      </c>
      <c r="EB81" s="2" t="s">
        <v>3</v>
      </c>
      <c r="EC81" s="2" t="s">
        <v>3</v>
      </c>
      <c r="ED81" s="2"/>
      <c r="EE81" s="2">
        <v>50991778</v>
      </c>
      <c r="EF81" s="2">
        <v>5</v>
      </c>
      <c r="EG81" s="2" t="s">
        <v>205</v>
      </c>
      <c r="EH81" s="2">
        <v>0</v>
      </c>
      <c r="EI81" s="2" t="s">
        <v>3</v>
      </c>
      <c r="EJ81" s="2">
        <v>3</v>
      </c>
      <c r="EK81" s="2">
        <v>600001</v>
      </c>
      <c r="EL81" s="2" t="s">
        <v>206</v>
      </c>
      <c r="EM81" s="2" t="s">
        <v>207</v>
      </c>
      <c r="EN81" s="2"/>
      <c r="EO81" s="2" t="s">
        <v>3</v>
      </c>
      <c r="EP81" s="2"/>
      <c r="EQ81" s="2">
        <v>0</v>
      </c>
      <c r="ER81" s="2">
        <v>237.4</v>
      </c>
      <c r="ES81" s="2">
        <v>237.4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>
        <v>0</v>
      </c>
      <c r="FR81" s="2">
        <f>P81</f>
        <v>541.28</v>
      </c>
      <c r="FS81" s="2">
        <v>0</v>
      </c>
      <c r="FT81" s="2"/>
      <c r="FU81" s="2"/>
      <c r="FV81" s="2"/>
      <c r="FW81" s="2"/>
      <c r="FX81" s="2">
        <v>0</v>
      </c>
      <c r="FY81" s="2">
        <v>0</v>
      </c>
      <c r="FZ81" s="2"/>
      <c r="GA81" s="2" t="s">
        <v>3</v>
      </c>
      <c r="GB81" s="2"/>
      <c r="GC81" s="2"/>
      <c r="GD81" s="2">
        <v>1</v>
      </c>
      <c r="GE81" s="2"/>
      <c r="GF81" s="2">
        <v>-1266627625</v>
      </c>
      <c r="GG81" s="2">
        <v>2</v>
      </c>
      <c r="GH81" s="2">
        <v>1</v>
      </c>
      <c r="GI81" s="2">
        <v>2</v>
      </c>
      <c r="GJ81" s="2">
        <v>0</v>
      </c>
      <c r="GK81" s="2">
        <v>0</v>
      </c>
      <c r="GL81" s="2">
        <f t="shared" si="84"/>
        <v>0</v>
      </c>
      <c r="GM81" s="2">
        <f t="shared" si="85"/>
        <v>541.28</v>
      </c>
      <c r="GN81" s="2">
        <f t="shared" si="86"/>
        <v>0</v>
      </c>
      <c r="GO81" s="2">
        <f t="shared" si="87"/>
        <v>0</v>
      </c>
      <c r="GP81" s="2">
        <f t="shared" si="88"/>
        <v>0</v>
      </c>
      <c r="GQ81" s="2"/>
      <c r="GR81" s="2">
        <v>0</v>
      </c>
      <c r="GS81" s="2">
        <v>3</v>
      </c>
      <c r="GT81" s="2">
        <v>0</v>
      </c>
      <c r="GU81" s="2" t="s">
        <v>3</v>
      </c>
      <c r="GV81" s="2">
        <f t="shared" si="89"/>
        <v>0</v>
      </c>
      <c r="GW81" s="2">
        <v>1</v>
      </c>
      <c r="GX81" s="2">
        <f t="shared" si="90"/>
        <v>0</v>
      </c>
      <c r="GY81" s="2"/>
      <c r="GZ81" s="2"/>
      <c r="HA81" s="2">
        <v>0</v>
      </c>
      <c r="HB81" s="2">
        <v>0</v>
      </c>
      <c r="HC81" s="2">
        <f>GV81*GW81</f>
        <v>0</v>
      </c>
      <c r="HD81" s="2"/>
      <c r="HE81" s="2" t="s">
        <v>3</v>
      </c>
      <c r="HF81" s="2" t="s">
        <v>3</v>
      </c>
      <c r="HG81" s="2"/>
      <c r="HH81" s="2"/>
      <c r="HI81" s="2"/>
      <c r="HJ81" s="2"/>
      <c r="HK81" s="2"/>
      <c r="HL81" s="2"/>
      <c r="HM81" s="2" t="s">
        <v>3</v>
      </c>
      <c r="HN81" s="2" t="s">
        <v>3</v>
      </c>
      <c r="HO81" s="2" t="s">
        <v>3</v>
      </c>
      <c r="HP81" s="2" t="s">
        <v>3</v>
      </c>
      <c r="HQ81" s="2" t="s">
        <v>3</v>
      </c>
      <c r="HR81" s="2"/>
      <c r="HS81" s="2">
        <v>0</v>
      </c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>
        <v>0</v>
      </c>
      <c r="IL81" s="2"/>
      <c r="IM81" s="2"/>
      <c r="IN81" s="2"/>
      <c r="IO81" s="2"/>
      <c r="IP81" s="2"/>
      <c r="IQ81" s="2"/>
      <c r="IR81" s="2"/>
      <c r="IS81" s="2"/>
      <c r="IT81" s="2"/>
      <c r="IU81" s="2"/>
    </row>
    <row r="82" spans="1:255" x14ac:dyDescent="0.2">
      <c r="A82" s="2">
        <v>17</v>
      </c>
      <c r="B82" s="2">
        <v>1</v>
      </c>
      <c r="C82" s="2"/>
      <c r="D82" s="2"/>
      <c r="E82" s="2" t="s">
        <v>212</v>
      </c>
      <c r="F82" s="2" t="s">
        <v>213</v>
      </c>
      <c r="G82" s="2" t="s">
        <v>214</v>
      </c>
      <c r="H82" s="2" t="s">
        <v>108</v>
      </c>
      <c r="I82" s="2">
        <v>1</v>
      </c>
      <c r="J82" s="2">
        <v>0</v>
      </c>
      <c r="K82" s="2">
        <v>1</v>
      </c>
      <c r="L82" s="2"/>
      <c r="M82" s="2"/>
      <c r="N82" s="2"/>
      <c r="O82" s="2">
        <f>ROUND(CP82,2)</f>
        <v>1384.2</v>
      </c>
      <c r="P82" s="2">
        <f>ROUND(CQ82*I82,2)</f>
        <v>1384.2</v>
      </c>
      <c r="Q82" s="2">
        <f>ROUND(CR82*I82,2)</f>
        <v>0</v>
      </c>
      <c r="R82" s="2">
        <f>ROUND(CS82*I82,2)</f>
        <v>0</v>
      </c>
      <c r="S82" s="2">
        <f>ROUND(CT82*I82,2)</f>
        <v>0</v>
      </c>
      <c r="T82" s="2">
        <f t="shared" si="75"/>
        <v>0</v>
      </c>
      <c r="U82" s="2">
        <f>ROUND(CV82*I82,7)</f>
        <v>0</v>
      </c>
      <c r="V82" s="2">
        <f>ROUND(CW82*I82,7)</f>
        <v>0</v>
      </c>
      <c r="W82" s="2">
        <f t="shared" si="76"/>
        <v>0</v>
      </c>
      <c r="X82" s="2">
        <f t="shared" si="77"/>
        <v>0</v>
      </c>
      <c r="Y82" s="2">
        <f t="shared" si="78"/>
        <v>0</v>
      </c>
      <c r="Z82" s="2"/>
      <c r="AA82" s="2">
        <v>52718353</v>
      </c>
      <c r="AB82" s="2">
        <f t="shared" si="79"/>
        <v>1281.67</v>
      </c>
      <c r="AC82" s="2">
        <f>ROUND((ES82),6)</f>
        <v>1281.67</v>
      </c>
      <c r="AD82" s="2">
        <f>ROUND((((ET82)-(EU82))+AE82),6)</f>
        <v>0</v>
      </c>
      <c r="AE82" s="2">
        <f t="shared" si="98"/>
        <v>0</v>
      </c>
      <c r="AF82" s="2">
        <f t="shared" si="98"/>
        <v>0</v>
      </c>
      <c r="AG82" s="2">
        <f t="shared" si="81"/>
        <v>0</v>
      </c>
      <c r="AH82" s="2">
        <f t="shared" si="99"/>
        <v>0</v>
      </c>
      <c r="AI82" s="2">
        <f t="shared" si="99"/>
        <v>0</v>
      </c>
      <c r="AJ82" s="2">
        <f t="shared" si="83"/>
        <v>0</v>
      </c>
      <c r="AK82" s="2">
        <v>1281.67</v>
      </c>
      <c r="AL82" s="2">
        <v>1281.67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1</v>
      </c>
      <c r="AW82" s="2">
        <v>1</v>
      </c>
      <c r="AX82" s="2"/>
      <c r="AY82" s="2"/>
      <c r="AZ82" s="2">
        <v>1</v>
      </c>
      <c r="BA82" s="2">
        <v>1</v>
      </c>
      <c r="BB82" s="2">
        <v>1</v>
      </c>
      <c r="BC82" s="2">
        <v>1.08</v>
      </c>
      <c r="BD82" s="2" t="s">
        <v>3</v>
      </c>
      <c r="BE82" s="2" t="s">
        <v>3</v>
      </c>
      <c r="BF82" s="2" t="s">
        <v>3</v>
      </c>
      <c r="BG82" s="2" t="s">
        <v>3</v>
      </c>
      <c r="BH82" s="2">
        <v>3</v>
      </c>
      <c r="BI82" s="2">
        <v>3</v>
      </c>
      <c r="BJ82" s="2" t="s">
        <v>215</v>
      </c>
      <c r="BK82" s="2"/>
      <c r="BL82" s="2"/>
      <c r="BM82" s="2">
        <v>600001</v>
      </c>
      <c r="BN82" s="2">
        <v>0</v>
      </c>
      <c r="BO82" s="2" t="s">
        <v>3</v>
      </c>
      <c r="BP82" s="2">
        <v>0</v>
      </c>
      <c r="BQ82" s="2">
        <v>5</v>
      </c>
      <c r="BR82" s="2">
        <v>0</v>
      </c>
      <c r="BS82" s="2">
        <v>1</v>
      </c>
      <c r="BT82" s="2">
        <v>1</v>
      </c>
      <c r="BU82" s="2">
        <v>1</v>
      </c>
      <c r="BV82" s="2">
        <v>1</v>
      </c>
      <c r="BW82" s="2">
        <v>1</v>
      </c>
      <c r="BX82" s="2">
        <v>1</v>
      </c>
      <c r="BY82" s="2" t="s">
        <v>3</v>
      </c>
      <c r="BZ82" s="2">
        <v>0</v>
      </c>
      <c r="CA82" s="2">
        <v>0</v>
      </c>
      <c r="CB82" s="2" t="s">
        <v>3</v>
      </c>
      <c r="CC82" s="2"/>
      <c r="CD82" s="2"/>
      <c r="CE82" s="2">
        <v>0</v>
      </c>
      <c r="CF82" s="2">
        <v>0</v>
      </c>
      <c r="CG82" s="2">
        <v>0</v>
      </c>
      <c r="CH82" s="2"/>
      <c r="CI82" s="2"/>
      <c r="CJ82" s="2"/>
      <c r="CK82" s="2"/>
      <c r="CL82" s="2"/>
      <c r="CM82" s="2">
        <v>0</v>
      </c>
      <c r="CN82" s="2" t="s">
        <v>3</v>
      </c>
      <c r="CO82" s="2">
        <v>0</v>
      </c>
      <c r="CP82" s="2">
        <f>(P82+Q82+S82+R82)</f>
        <v>1384.2</v>
      </c>
      <c r="CQ82" s="2">
        <f>ROUND(AL82*BC82,2)</f>
        <v>1384.2</v>
      </c>
      <c r="CR82" s="2">
        <f>ROUND(AM82*BB82,2)</f>
        <v>0</v>
      </c>
      <c r="CS82" s="2">
        <f>ROUND(AN82*BS82,2)</f>
        <v>0</v>
      </c>
      <c r="CT82" s="2">
        <f>ROUND(AO82*BA82,2)</f>
        <v>0</v>
      </c>
      <c r="CU82" s="2">
        <f t="shared" si="100"/>
        <v>0</v>
      </c>
      <c r="CV82" s="2">
        <f t="shared" si="100"/>
        <v>0</v>
      </c>
      <c r="CW82" s="2">
        <f t="shared" si="100"/>
        <v>0</v>
      </c>
      <c r="CX82" s="2">
        <f t="shared" si="100"/>
        <v>0</v>
      </c>
      <c r="CY82" s="2">
        <f>0</f>
        <v>0</v>
      </c>
      <c r="CZ82" s="2">
        <f>0</f>
        <v>0</v>
      </c>
      <c r="DA82" s="2"/>
      <c r="DB82" s="2"/>
      <c r="DC82" s="2" t="s">
        <v>3</v>
      </c>
      <c r="DD82" s="2" t="s">
        <v>3</v>
      </c>
      <c r="DE82" s="2" t="s">
        <v>3</v>
      </c>
      <c r="DF82" s="2" t="s">
        <v>3</v>
      </c>
      <c r="DG82" s="2" t="s">
        <v>3</v>
      </c>
      <c r="DH82" s="2" t="s">
        <v>3</v>
      </c>
      <c r="DI82" s="2" t="s">
        <v>3</v>
      </c>
      <c r="DJ82" s="2" t="s">
        <v>3</v>
      </c>
      <c r="DK82" s="2" t="s">
        <v>3</v>
      </c>
      <c r="DL82" s="2" t="s">
        <v>3</v>
      </c>
      <c r="DM82" s="2" t="s">
        <v>3</v>
      </c>
      <c r="DN82" s="2">
        <v>0</v>
      </c>
      <c r="DO82" s="2">
        <v>0</v>
      </c>
      <c r="DP82" s="2">
        <v>1</v>
      </c>
      <c r="DQ82" s="2">
        <v>1</v>
      </c>
      <c r="DR82" s="2"/>
      <c r="DS82" s="2"/>
      <c r="DT82" s="2"/>
      <c r="DU82" s="2">
        <v>1013</v>
      </c>
      <c r="DV82" s="2" t="s">
        <v>108</v>
      </c>
      <c r="DW82" s="2" t="s">
        <v>108</v>
      </c>
      <c r="DX82" s="2">
        <v>1</v>
      </c>
      <c r="DY82" s="2"/>
      <c r="DZ82" s="2" t="s">
        <v>3</v>
      </c>
      <c r="EA82" s="2" t="s">
        <v>3</v>
      </c>
      <c r="EB82" s="2" t="s">
        <v>3</v>
      </c>
      <c r="EC82" s="2" t="s">
        <v>3</v>
      </c>
      <c r="ED82" s="2"/>
      <c r="EE82" s="2">
        <v>50991778</v>
      </c>
      <c r="EF82" s="2">
        <v>5</v>
      </c>
      <c r="EG82" s="2" t="s">
        <v>205</v>
      </c>
      <c r="EH82" s="2">
        <v>0</v>
      </c>
      <c r="EI82" s="2" t="s">
        <v>3</v>
      </c>
      <c r="EJ82" s="2">
        <v>3</v>
      </c>
      <c r="EK82" s="2">
        <v>600001</v>
      </c>
      <c r="EL82" s="2" t="s">
        <v>206</v>
      </c>
      <c r="EM82" s="2" t="s">
        <v>207</v>
      </c>
      <c r="EN82" s="2"/>
      <c r="EO82" s="2" t="s">
        <v>3</v>
      </c>
      <c r="EP82" s="2"/>
      <c r="EQ82" s="2">
        <v>0</v>
      </c>
      <c r="ER82" s="2">
        <v>1281.67</v>
      </c>
      <c r="ES82" s="2">
        <v>1281.67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>
        <v>0</v>
      </c>
      <c r="FR82" s="2">
        <f>P82</f>
        <v>1384.2</v>
      </c>
      <c r="FS82" s="2">
        <v>0</v>
      </c>
      <c r="FT82" s="2"/>
      <c r="FU82" s="2"/>
      <c r="FV82" s="2"/>
      <c r="FW82" s="2"/>
      <c r="FX82" s="2">
        <v>0</v>
      </c>
      <c r="FY82" s="2">
        <v>0</v>
      </c>
      <c r="FZ82" s="2"/>
      <c r="GA82" s="2" t="s">
        <v>3</v>
      </c>
      <c r="GB82" s="2"/>
      <c r="GC82" s="2"/>
      <c r="GD82" s="2">
        <v>1</v>
      </c>
      <c r="GE82" s="2"/>
      <c r="GF82" s="2">
        <v>-3654264</v>
      </c>
      <c r="GG82" s="2">
        <v>2</v>
      </c>
      <c r="GH82" s="2">
        <v>1</v>
      </c>
      <c r="GI82" s="2">
        <v>2</v>
      </c>
      <c r="GJ82" s="2">
        <v>0</v>
      </c>
      <c r="GK82" s="2">
        <v>0</v>
      </c>
      <c r="GL82" s="2">
        <f t="shared" si="84"/>
        <v>0</v>
      </c>
      <c r="GM82" s="2">
        <f t="shared" si="85"/>
        <v>1384.2</v>
      </c>
      <c r="GN82" s="2">
        <f t="shared" si="86"/>
        <v>0</v>
      </c>
      <c r="GO82" s="2">
        <f t="shared" si="87"/>
        <v>0</v>
      </c>
      <c r="GP82" s="2">
        <f t="shared" si="88"/>
        <v>0</v>
      </c>
      <c r="GQ82" s="2"/>
      <c r="GR82" s="2">
        <v>0</v>
      </c>
      <c r="GS82" s="2">
        <v>3</v>
      </c>
      <c r="GT82" s="2">
        <v>0</v>
      </c>
      <c r="GU82" s="2" t="s">
        <v>3</v>
      </c>
      <c r="GV82" s="2">
        <f t="shared" si="89"/>
        <v>0</v>
      </c>
      <c r="GW82" s="2">
        <v>1</v>
      </c>
      <c r="GX82" s="2">
        <f t="shared" si="90"/>
        <v>0</v>
      </c>
      <c r="GY82" s="2"/>
      <c r="GZ82" s="2"/>
      <c r="HA82" s="2">
        <v>0</v>
      </c>
      <c r="HB82" s="2">
        <v>0</v>
      </c>
      <c r="HC82" s="2">
        <f>GV82*GW82</f>
        <v>0</v>
      </c>
      <c r="HD82" s="2"/>
      <c r="HE82" s="2" t="s">
        <v>3</v>
      </c>
      <c r="HF82" s="2" t="s">
        <v>3</v>
      </c>
      <c r="HG82" s="2"/>
      <c r="HH82" s="2"/>
      <c r="HI82" s="2"/>
      <c r="HJ82" s="2"/>
      <c r="HK82" s="2"/>
      <c r="HL82" s="2"/>
      <c r="HM82" s="2" t="s">
        <v>3</v>
      </c>
      <c r="HN82" s="2" t="s">
        <v>3</v>
      </c>
      <c r="HO82" s="2" t="s">
        <v>3</v>
      </c>
      <c r="HP82" s="2" t="s">
        <v>3</v>
      </c>
      <c r="HQ82" s="2" t="s">
        <v>3</v>
      </c>
      <c r="HR82" s="2"/>
      <c r="HS82" s="2">
        <v>0</v>
      </c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>
        <v>0</v>
      </c>
      <c r="IL82" s="2"/>
      <c r="IM82" s="2"/>
      <c r="IN82" s="2"/>
      <c r="IO82" s="2"/>
      <c r="IP82" s="2"/>
      <c r="IQ82" s="2"/>
      <c r="IR82" s="2"/>
      <c r="IS82" s="2"/>
      <c r="IT82" s="2"/>
      <c r="IU82" s="2"/>
    </row>
    <row r="84" spans="1:255" x14ac:dyDescent="0.2">
      <c r="A84" s="3">
        <v>51</v>
      </c>
      <c r="B84" s="3">
        <f>B24</f>
        <v>1</v>
      </c>
      <c r="C84" s="3">
        <f>A24</f>
        <v>4</v>
      </c>
      <c r="D84" s="3">
        <f>ROW(A24)</f>
        <v>24</v>
      </c>
      <c r="E84" s="3"/>
      <c r="F84" s="3" t="str">
        <f>IF(F24&lt;&gt;"",F24,"")</f>
        <v/>
      </c>
      <c r="G84" s="3" t="str">
        <f>IF(G24&lt;&gt;"",G24,"")</f>
        <v>Монтажные работы</v>
      </c>
      <c r="H84" s="3">
        <v>0</v>
      </c>
      <c r="I84" s="3"/>
      <c r="J84" s="3"/>
      <c r="K84" s="3"/>
      <c r="L84" s="3"/>
      <c r="M84" s="3"/>
      <c r="N84" s="3"/>
      <c r="O84" s="3">
        <f t="shared" ref="O84:T84" si="101">ROUND(AB84,2)</f>
        <v>129520.4</v>
      </c>
      <c r="P84" s="3">
        <f t="shared" si="101"/>
        <v>69955.070000000007</v>
      </c>
      <c r="Q84" s="3">
        <f t="shared" si="101"/>
        <v>294.23</v>
      </c>
      <c r="R84" s="3">
        <f t="shared" si="101"/>
        <v>193.21</v>
      </c>
      <c r="S84" s="3">
        <f t="shared" si="101"/>
        <v>59077.89</v>
      </c>
      <c r="T84" s="3">
        <f t="shared" si="101"/>
        <v>0</v>
      </c>
      <c r="U84" s="3">
        <f>AH84</f>
        <v>83.889300000000006</v>
      </c>
      <c r="V84" s="3">
        <f>AI84</f>
        <v>0.22770000000000001</v>
      </c>
      <c r="W84" s="3">
        <f>ROUND(AJ84,2)</f>
        <v>0</v>
      </c>
      <c r="X84" s="3">
        <f>ROUND(AK84,2)</f>
        <v>56040.95</v>
      </c>
      <c r="Y84" s="3">
        <f>ROUND(AL84,2)</f>
        <v>29008.29</v>
      </c>
      <c r="Z84" s="3"/>
      <c r="AA84" s="3"/>
      <c r="AB84" s="3">
        <f>ROUND(SUMIF(AA28:AA82,"=52718353",O28:O82),2)</f>
        <v>129520.4</v>
      </c>
      <c r="AC84" s="3">
        <f>ROUND(SUMIF(AA28:AA82,"=52718353",P28:P82),2)</f>
        <v>69955.070000000007</v>
      </c>
      <c r="AD84" s="3">
        <f>ROUND(SUMIF(AA28:AA82,"=52718353",Q28:Q82),2)</f>
        <v>294.23</v>
      </c>
      <c r="AE84" s="3">
        <f>ROUND(SUMIF(AA28:AA82,"=52718353",R28:R82),2)</f>
        <v>193.21</v>
      </c>
      <c r="AF84" s="3">
        <f>ROUND(SUMIF(AA28:AA82,"=52718353",S28:S82),2)</f>
        <v>59077.89</v>
      </c>
      <c r="AG84" s="3">
        <f>ROUND(SUMIF(AA28:AA82,"=52718353",T28:T82),2)</f>
        <v>0</v>
      </c>
      <c r="AH84" s="3">
        <f>SUMIF(AA28:AA82,"=52718353",U28:U82)</f>
        <v>83.889300000000006</v>
      </c>
      <c r="AI84" s="3">
        <f>SUMIF(AA28:AA82,"=52718353",V28:V82)</f>
        <v>0.22770000000000001</v>
      </c>
      <c r="AJ84" s="3">
        <f>ROUND(SUMIF(AA28:AA82,"=52718353",W28:W82),2)</f>
        <v>0</v>
      </c>
      <c r="AK84" s="3">
        <f>ROUND(SUMIF(AA28:AA82,"=52718353",X28:X82),2)</f>
        <v>56040.95</v>
      </c>
      <c r="AL84" s="3">
        <f>ROUND(SUMIF(AA28:AA82,"=52718353",Y28:Y82),2)</f>
        <v>29008.29</v>
      </c>
      <c r="AM84" s="3"/>
      <c r="AN84" s="3"/>
      <c r="AO84" s="3">
        <f t="shared" ref="AO84:BD84" si="102">ROUND(BX84,2)</f>
        <v>0</v>
      </c>
      <c r="AP84" s="3">
        <f t="shared" si="102"/>
        <v>2506.98</v>
      </c>
      <c r="AQ84" s="3">
        <f t="shared" si="102"/>
        <v>0</v>
      </c>
      <c r="AR84" s="3">
        <f t="shared" si="102"/>
        <v>214569.64</v>
      </c>
      <c r="AS84" s="3">
        <f t="shared" si="102"/>
        <v>21255.94</v>
      </c>
      <c r="AT84" s="3">
        <f t="shared" si="102"/>
        <v>190806.72</v>
      </c>
      <c r="AU84" s="3">
        <f t="shared" si="102"/>
        <v>0</v>
      </c>
      <c r="AV84" s="3">
        <f t="shared" si="102"/>
        <v>69955.070000000007</v>
      </c>
      <c r="AW84" s="3">
        <f t="shared" si="102"/>
        <v>67448.09</v>
      </c>
      <c r="AX84" s="3">
        <f t="shared" si="102"/>
        <v>0</v>
      </c>
      <c r="AY84" s="3">
        <f t="shared" si="102"/>
        <v>67448.09</v>
      </c>
      <c r="AZ84" s="3">
        <f t="shared" si="102"/>
        <v>2506.98</v>
      </c>
      <c r="BA84" s="3">
        <f t="shared" si="102"/>
        <v>0</v>
      </c>
      <c r="BB84" s="3">
        <f t="shared" si="102"/>
        <v>0</v>
      </c>
      <c r="BC84" s="3">
        <f t="shared" si="102"/>
        <v>0</v>
      </c>
      <c r="BD84" s="3">
        <f t="shared" si="102"/>
        <v>0</v>
      </c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>
        <f>ROUND(SUMIF(AA28:AA82,"=52718353",FQ28:FQ82),2)</f>
        <v>0</v>
      </c>
      <c r="BY84" s="3">
        <f>ROUND(SUMIF(AA28:AA82,"=52718353",FR28:FR82),2)</f>
        <v>2506.98</v>
      </c>
      <c r="BZ84" s="3">
        <f>ROUND(SUMIF(AA28:AA82,"=52718353",GL28:GL82),2)</f>
        <v>0</v>
      </c>
      <c r="CA84" s="3">
        <f>ROUND(SUMIF(AA28:AA82,"=52718353",GM28:GM82),2)</f>
        <v>214569.64</v>
      </c>
      <c r="CB84" s="3">
        <f>ROUND(SUMIF(AA28:AA82,"=52718353",GN28:GN82),2)</f>
        <v>21255.94</v>
      </c>
      <c r="CC84" s="3">
        <f>ROUND(SUMIF(AA28:AA82,"=52718353",GO28:GO82),2)</f>
        <v>190806.72</v>
      </c>
      <c r="CD84" s="3">
        <f>ROUND(SUMIF(AA28:AA82,"=52718353",GP28:GP82),2)</f>
        <v>0</v>
      </c>
      <c r="CE84" s="3">
        <f>AC84-BX84</f>
        <v>69955.070000000007</v>
      </c>
      <c r="CF84" s="3">
        <f>AC84-BY84</f>
        <v>67448.090000000011</v>
      </c>
      <c r="CG84" s="3">
        <f>BX84-BZ84</f>
        <v>0</v>
      </c>
      <c r="CH84" s="3">
        <f>AC84-BX84-BY84+BZ84</f>
        <v>67448.090000000011</v>
      </c>
      <c r="CI84" s="3">
        <f>BY84-BZ84</f>
        <v>2506.98</v>
      </c>
      <c r="CJ84" s="3">
        <f>ROUND(SUMIF(AA28:AA82,"=52718353",GX28:GX82),2)</f>
        <v>0</v>
      </c>
      <c r="CK84" s="3">
        <f>ROUND(SUMIF(AA28:AA82,"=52718353",GY28:GY82),2)</f>
        <v>0</v>
      </c>
      <c r="CL84" s="3">
        <f>ROUND(SUMIF(AA28:AA82,"=52718353",GZ28:GZ82),2)</f>
        <v>0</v>
      </c>
      <c r="CM84" s="3">
        <f>ROUND(SUMIF(AA28:AA82,"=52718353",HD28:HD82),2)</f>
        <v>0</v>
      </c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>
        <v>0</v>
      </c>
    </row>
    <row r="86" spans="1:255" x14ac:dyDescent="0.2">
      <c r="A86" s="5">
        <v>50</v>
      </c>
      <c r="B86" s="5">
        <v>0</v>
      </c>
      <c r="C86" s="5">
        <v>0</v>
      </c>
      <c r="D86" s="5">
        <v>1</v>
      </c>
      <c r="E86" s="5">
        <v>201</v>
      </c>
      <c r="F86" s="5">
        <f>ROUND(Source!O84,O86)</f>
        <v>129520.4</v>
      </c>
      <c r="G86" s="5" t="s">
        <v>216</v>
      </c>
      <c r="H86" s="5" t="s">
        <v>217</v>
      </c>
      <c r="I86" s="5"/>
      <c r="J86" s="5"/>
      <c r="K86" s="5">
        <v>201</v>
      </c>
      <c r="L86" s="5">
        <v>1</v>
      </c>
      <c r="M86" s="5">
        <v>3</v>
      </c>
      <c r="N86" s="5" t="s">
        <v>3</v>
      </c>
      <c r="O86" s="5">
        <v>2</v>
      </c>
      <c r="P86" s="5"/>
      <c r="Q86" s="5"/>
      <c r="R86" s="5"/>
      <c r="S86" s="5"/>
      <c r="T86" s="5"/>
      <c r="U86" s="5"/>
      <c r="V86" s="5"/>
      <c r="W86" s="5">
        <v>127013.42</v>
      </c>
      <c r="X86" s="5">
        <v>1</v>
      </c>
      <c r="Y86" s="5">
        <v>127013.42</v>
      </c>
      <c r="Z86" s="5"/>
      <c r="AA86" s="5"/>
      <c r="AB86" s="5"/>
    </row>
    <row r="87" spans="1:255" x14ac:dyDescent="0.2">
      <c r="A87" s="5">
        <v>50</v>
      </c>
      <c r="B87" s="5">
        <v>0</v>
      </c>
      <c r="C87" s="5">
        <v>0</v>
      </c>
      <c r="D87" s="5">
        <v>1</v>
      </c>
      <c r="E87" s="5">
        <v>202</v>
      </c>
      <c r="F87" s="5">
        <f>ROUND(Source!P84,O87)</f>
        <v>69955.070000000007</v>
      </c>
      <c r="G87" s="5" t="s">
        <v>218</v>
      </c>
      <c r="H87" s="5" t="s">
        <v>219</v>
      </c>
      <c r="I87" s="5"/>
      <c r="J87" s="5"/>
      <c r="K87" s="5">
        <v>202</v>
      </c>
      <c r="L87" s="5">
        <v>2</v>
      </c>
      <c r="M87" s="5">
        <v>3</v>
      </c>
      <c r="N87" s="5" t="s">
        <v>3</v>
      </c>
      <c r="O87" s="5">
        <v>2</v>
      </c>
      <c r="P87" s="5"/>
      <c r="Q87" s="5"/>
      <c r="R87" s="5"/>
      <c r="S87" s="5"/>
      <c r="T87" s="5"/>
      <c r="U87" s="5"/>
      <c r="V87" s="5"/>
      <c r="W87" s="5">
        <v>69955.069999999992</v>
      </c>
      <c r="X87" s="5">
        <v>1</v>
      </c>
      <c r="Y87" s="5">
        <v>69955.069999999992</v>
      </c>
      <c r="Z87" s="5"/>
      <c r="AA87" s="5"/>
      <c r="AB87" s="5"/>
    </row>
    <row r="88" spans="1:255" x14ac:dyDescent="0.2">
      <c r="A88" s="5">
        <v>50</v>
      </c>
      <c r="B88" s="5">
        <v>0</v>
      </c>
      <c r="C88" s="5">
        <v>0</v>
      </c>
      <c r="D88" s="5">
        <v>1</v>
      </c>
      <c r="E88" s="5">
        <v>222</v>
      </c>
      <c r="F88" s="5">
        <f>ROUND(Source!AO84,O88)</f>
        <v>0</v>
      </c>
      <c r="G88" s="5" t="s">
        <v>220</v>
      </c>
      <c r="H88" s="5" t="s">
        <v>221</v>
      </c>
      <c r="I88" s="5"/>
      <c r="J88" s="5"/>
      <c r="K88" s="5">
        <v>222</v>
      </c>
      <c r="L88" s="5">
        <v>3</v>
      </c>
      <c r="M88" s="5">
        <v>3</v>
      </c>
      <c r="N88" s="5" t="s">
        <v>3</v>
      </c>
      <c r="O88" s="5">
        <v>2</v>
      </c>
      <c r="P88" s="5"/>
      <c r="Q88" s="5"/>
      <c r="R88" s="5"/>
      <c r="S88" s="5"/>
      <c r="T88" s="5"/>
      <c r="U88" s="5"/>
      <c r="V88" s="5"/>
      <c r="W88" s="5">
        <v>0</v>
      </c>
      <c r="X88" s="5">
        <v>1</v>
      </c>
      <c r="Y88" s="5">
        <v>0</v>
      </c>
      <c r="Z88" s="5"/>
      <c r="AA88" s="5"/>
      <c r="AB88" s="5"/>
    </row>
    <row r="89" spans="1:255" x14ac:dyDescent="0.2">
      <c r="A89" s="5">
        <v>50</v>
      </c>
      <c r="B89" s="5">
        <v>0</v>
      </c>
      <c r="C89" s="5">
        <v>0</v>
      </c>
      <c r="D89" s="5">
        <v>1</v>
      </c>
      <c r="E89" s="5">
        <v>225</v>
      </c>
      <c r="F89" s="5">
        <f>ROUND(Source!AV84,O89)</f>
        <v>69955.070000000007</v>
      </c>
      <c r="G89" s="5" t="s">
        <v>222</v>
      </c>
      <c r="H89" s="5" t="s">
        <v>223</v>
      </c>
      <c r="I89" s="5"/>
      <c r="J89" s="5"/>
      <c r="K89" s="5">
        <v>225</v>
      </c>
      <c r="L89" s="5">
        <v>4</v>
      </c>
      <c r="M89" s="5">
        <v>3</v>
      </c>
      <c r="N89" s="5" t="s">
        <v>3</v>
      </c>
      <c r="O89" s="5">
        <v>2</v>
      </c>
      <c r="P89" s="5"/>
      <c r="Q89" s="5"/>
      <c r="R89" s="5"/>
      <c r="S89" s="5"/>
      <c r="T89" s="5"/>
      <c r="U89" s="5"/>
      <c r="V89" s="5"/>
      <c r="W89" s="5">
        <v>69955.070000000007</v>
      </c>
      <c r="X89" s="5">
        <v>1</v>
      </c>
      <c r="Y89" s="5">
        <v>69955.070000000007</v>
      </c>
      <c r="Z89" s="5"/>
      <c r="AA89" s="5"/>
      <c r="AB89" s="5"/>
    </row>
    <row r="90" spans="1:255" x14ac:dyDescent="0.2">
      <c r="A90" s="5">
        <v>50</v>
      </c>
      <c r="B90" s="5">
        <v>0</v>
      </c>
      <c r="C90" s="5">
        <v>0</v>
      </c>
      <c r="D90" s="5">
        <v>1</v>
      </c>
      <c r="E90" s="5">
        <v>226</v>
      </c>
      <c r="F90" s="5">
        <f>ROUND(Source!AW84,O90)</f>
        <v>67448.09</v>
      </c>
      <c r="G90" s="5" t="s">
        <v>224</v>
      </c>
      <c r="H90" s="5" t="s">
        <v>225</v>
      </c>
      <c r="I90" s="5"/>
      <c r="J90" s="5"/>
      <c r="K90" s="5">
        <v>226</v>
      </c>
      <c r="L90" s="5">
        <v>5</v>
      </c>
      <c r="M90" s="5">
        <v>3</v>
      </c>
      <c r="N90" s="5" t="s">
        <v>3</v>
      </c>
      <c r="O90" s="5">
        <v>2</v>
      </c>
      <c r="P90" s="5"/>
      <c r="Q90" s="5"/>
      <c r="R90" s="5"/>
      <c r="S90" s="5"/>
      <c r="T90" s="5"/>
      <c r="U90" s="5"/>
      <c r="V90" s="5"/>
      <c r="W90" s="5">
        <v>67448.09</v>
      </c>
      <c r="X90" s="5">
        <v>1</v>
      </c>
      <c r="Y90" s="5">
        <v>67448.09</v>
      </c>
      <c r="Z90" s="5"/>
      <c r="AA90" s="5"/>
      <c r="AB90" s="5"/>
    </row>
    <row r="91" spans="1:255" x14ac:dyDescent="0.2">
      <c r="A91" s="5">
        <v>50</v>
      </c>
      <c r="B91" s="5">
        <v>0</v>
      </c>
      <c r="C91" s="5">
        <v>0</v>
      </c>
      <c r="D91" s="5">
        <v>1</v>
      </c>
      <c r="E91" s="5">
        <v>227</v>
      </c>
      <c r="F91" s="5">
        <f>ROUND(Source!AX84,O91)</f>
        <v>0</v>
      </c>
      <c r="G91" s="5" t="s">
        <v>226</v>
      </c>
      <c r="H91" s="5" t="s">
        <v>227</v>
      </c>
      <c r="I91" s="5"/>
      <c r="J91" s="5"/>
      <c r="K91" s="5">
        <v>227</v>
      </c>
      <c r="L91" s="5">
        <v>6</v>
      </c>
      <c r="M91" s="5">
        <v>3</v>
      </c>
      <c r="N91" s="5" t="s">
        <v>3</v>
      </c>
      <c r="O91" s="5">
        <v>2</v>
      </c>
      <c r="P91" s="5"/>
      <c r="Q91" s="5"/>
      <c r="R91" s="5"/>
      <c r="S91" s="5"/>
      <c r="T91" s="5"/>
      <c r="U91" s="5"/>
      <c r="V91" s="5"/>
      <c r="W91" s="5">
        <v>0</v>
      </c>
      <c r="X91" s="5">
        <v>1</v>
      </c>
      <c r="Y91" s="5">
        <v>0</v>
      </c>
      <c r="Z91" s="5"/>
      <c r="AA91" s="5"/>
      <c r="AB91" s="5"/>
    </row>
    <row r="92" spans="1:255" x14ac:dyDescent="0.2">
      <c r="A92" s="5">
        <v>50</v>
      </c>
      <c r="B92" s="5">
        <v>0</v>
      </c>
      <c r="C92" s="5">
        <v>0</v>
      </c>
      <c r="D92" s="5">
        <v>1</v>
      </c>
      <c r="E92" s="5">
        <v>228</v>
      </c>
      <c r="F92" s="5">
        <f>ROUND(Source!AY84,O92)</f>
        <v>67448.09</v>
      </c>
      <c r="G92" s="5" t="s">
        <v>228</v>
      </c>
      <c r="H92" s="5" t="s">
        <v>229</v>
      </c>
      <c r="I92" s="5"/>
      <c r="J92" s="5"/>
      <c r="K92" s="5">
        <v>228</v>
      </c>
      <c r="L92" s="5">
        <v>7</v>
      </c>
      <c r="M92" s="5">
        <v>3</v>
      </c>
      <c r="N92" s="5" t="s">
        <v>3</v>
      </c>
      <c r="O92" s="5">
        <v>2</v>
      </c>
      <c r="P92" s="5"/>
      <c r="Q92" s="5"/>
      <c r="R92" s="5"/>
      <c r="S92" s="5"/>
      <c r="T92" s="5"/>
      <c r="U92" s="5"/>
      <c r="V92" s="5"/>
      <c r="W92" s="5">
        <v>67448.09</v>
      </c>
      <c r="X92" s="5">
        <v>1</v>
      </c>
      <c r="Y92" s="5">
        <v>67448.09</v>
      </c>
      <c r="Z92" s="5"/>
      <c r="AA92" s="5"/>
      <c r="AB92" s="5"/>
    </row>
    <row r="93" spans="1:255" x14ac:dyDescent="0.2">
      <c r="A93" s="5">
        <v>50</v>
      </c>
      <c r="B93" s="5">
        <v>0</v>
      </c>
      <c r="C93" s="5">
        <v>0</v>
      </c>
      <c r="D93" s="5">
        <v>1</v>
      </c>
      <c r="E93" s="5">
        <v>216</v>
      </c>
      <c r="F93" s="5">
        <f>ROUND(Source!AP84,O93)</f>
        <v>2506.98</v>
      </c>
      <c r="G93" s="5" t="s">
        <v>230</v>
      </c>
      <c r="H93" s="5" t="s">
        <v>231</v>
      </c>
      <c r="I93" s="5"/>
      <c r="J93" s="5"/>
      <c r="K93" s="5">
        <v>216</v>
      </c>
      <c r="L93" s="5">
        <v>8</v>
      </c>
      <c r="M93" s="5">
        <v>3</v>
      </c>
      <c r="N93" s="5" t="s">
        <v>3</v>
      </c>
      <c r="O93" s="5">
        <v>2</v>
      </c>
      <c r="P93" s="5"/>
      <c r="Q93" s="5"/>
      <c r="R93" s="5"/>
      <c r="S93" s="5"/>
      <c r="T93" s="5"/>
      <c r="U93" s="5"/>
      <c r="V93" s="5"/>
      <c r="W93" s="5">
        <v>2506.98</v>
      </c>
      <c r="X93" s="5">
        <v>1</v>
      </c>
      <c r="Y93" s="5">
        <v>2506.98</v>
      </c>
      <c r="Z93" s="5"/>
      <c r="AA93" s="5"/>
      <c r="AB93" s="5"/>
    </row>
    <row r="94" spans="1:255" x14ac:dyDescent="0.2">
      <c r="A94" s="5">
        <v>50</v>
      </c>
      <c r="B94" s="5">
        <v>0</v>
      </c>
      <c r="C94" s="5">
        <v>0</v>
      </c>
      <c r="D94" s="5">
        <v>1</v>
      </c>
      <c r="E94" s="5">
        <v>223</v>
      </c>
      <c r="F94" s="5">
        <f>ROUND(Source!AQ84,O94)</f>
        <v>0</v>
      </c>
      <c r="G94" s="5" t="s">
        <v>232</v>
      </c>
      <c r="H94" s="5" t="s">
        <v>233</v>
      </c>
      <c r="I94" s="5"/>
      <c r="J94" s="5"/>
      <c r="K94" s="5">
        <v>223</v>
      </c>
      <c r="L94" s="5">
        <v>9</v>
      </c>
      <c r="M94" s="5">
        <v>3</v>
      </c>
      <c r="N94" s="5" t="s">
        <v>3</v>
      </c>
      <c r="O94" s="5">
        <v>2</v>
      </c>
      <c r="P94" s="5"/>
      <c r="Q94" s="5"/>
      <c r="R94" s="5"/>
      <c r="S94" s="5"/>
      <c r="T94" s="5"/>
      <c r="U94" s="5"/>
      <c r="V94" s="5"/>
      <c r="W94" s="5">
        <v>0</v>
      </c>
      <c r="X94" s="5">
        <v>1</v>
      </c>
      <c r="Y94" s="5">
        <v>0</v>
      </c>
      <c r="Z94" s="5"/>
      <c r="AA94" s="5"/>
      <c r="AB94" s="5"/>
    </row>
    <row r="95" spans="1:255" x14ac:dyDescent="0.2">
      <c r="A95" s="5">
        <v>50</v>
      </c>
      <c r="B95" s="5">
        <v>0</v>
      </c>
      <c r="C95" s="5">
        <v>0</v>
      </c>
      <c r="D95" s="5">
        <v>1</v>
      </c>
      <c r="E95" s="5">
        <v>229</v>
      </c>
      <c r="F95" s="5">
        <f>ROUND(Source!AZ84,O95)</f>
        <v>2506.98</v>
      </c>
      <c r="G95" s="5" t="s">
        <v>234</v>
      </c>
      <c r="H95" s="5" t="s">
        <v>235</v>
      </c>
      <c r="I95" s="5"/>
      <c r="J95" s="5"/>
      <c r="K95" s="5">
        <v>229</v>
      </c>
      <c r="L95" s="5">
        <v>10</v>
      </c>
      <c r="M95" s="5">
        <v>3</v>
      </c>
      <c r="N95" s="5" t="s">
        <v>3</v>
      </c>
      <c r="O95" s="5">
        <v>2</v>
      </c>
      <c r="P95" s="5"/>
      <c r="Q95" s="5"/>
      <c r="R95" s="5"/>
      <c r="S95" s="5"/>
      <c r="T95" s="5"/>
      <c r="U95" s="5"/>
      <c r="V95" s="5"/>
      <c r="W95" s="5">
        <v>2506.98</v>
      </c>
      <c r="X95" s="5">
        <v>1</v>
      </c>
      <c r="Y95" s="5">
        <v>2506.98</v>
      </c>
      <c r="Z95" s="5"/>
      <c r="AA95" s="5"/>
      <c r="AB95" s="5"/>
    </row>
    <row r="96" spans="1:255" x14ac:dyDescent="0.2">
      <c r="A96" s="5">
        <v>50</v>
      </c>
      <c r="B96" s="5">
        <v>0</v>
      </c>
      <c r="C96" s="5">
        <v>0</v>
      </c>
      <c r="D96" s="5">
        <v>1</v>
      </c>
      <c r="E96" s="5">
        <v>203</v>
      </c>
      <c r="F96" s="5">
        <f>ROUND(Source!Q84,O96)</f>
        <v>294.23</v>
      </c>
      <c r="G96" s="5" t="s">
        <v>236</v>
      </c>
      <c r="H96" s="5" t="s">
        <v>237</v>
      </c>
      <c r="I96" s="5"/>
      <c r="J96" s="5"/>
      <c r="K96" s="5">
        <v>203</v>
      </c>
      <c r="L96" s="5">
        <v>11</v>
      </c>
      <c r="M96" s="5">
        <v>3</v>
      </c>
      <c r="N96" s="5" t="s">
        <v>3</v>
      </c>
      <c r="O96" s="5">
        <v>2</v>
      </c>
      <c r="P96" s="5"/>
      <c r="Q96" s="5"/>
      <c r="R96" s="5"/>
      <c r="S96" s="5"/>
      <c r="T96" s="5"/>
      <c r="U96" s="5"/>
      <c r="V96" s="5"/>
      <c r="W96" s="5">
        <v>294.23</v>
      </c>
      <c r="X96" s="5">
        <v>1</v>
      </c>
      <c r="Y96" s="5">
        <v>294.23</v>
      </c>
      <c r="Z96" s="5"/>
      <c r="AA96" s="5"/>
      <c r="AB96" s="5"/>
    </row>
    <row r="97" spans="1:28" x14ac:dyDescent="0.2">
      <c r="A97" s="5">
        <v>50</v>
      </c>
      <c r="B97" s="5">
        <v>0</v>
      </c>
      <c r="C97" s="5">
        <v>0</v>
      </c>
      <c r="D97" s="5">
        <v>1</v>
      </c>
      <c r="E97" s="5">
        <v>231</v>
      </c>
      <c r="F97" s="5">
        <f>ROUND(Source!BB84,O97)</f>
        <v>0</v>
      </c>
      <c r="G97" s="5" t="s">
        <v>238</v>
      </c>
      <c r="H97" s="5" t="s">
        <v>239</v>
      </c>
      <c r="I97" s="5"/>
      <c r="J97" s="5"/>
      <c r="K97" s="5">
        <v>231</v>
      </c>
      <c r="L97" s="5">
        <v>12</v>
      </c>
      <c r="M97" s="5">
        <v>3</v>
      </c>
      <c r="N97" s="5" t="s">
        <v>3</v>
      </c>
      <c r="O97" s="5">
        <v>2</v>
      </c>
      <c r="P97" s="5"/>
      <c r="Q97" s="5"/>
      <c r="R97" s="5"/>
      <c r="S97" s="5"/>
      <c r="T97" s="5"/>
      <c r="U97" s="5"/>
      <c r="V97" s="5"/>
      <c r="W97" s="5">
        <v>0</v>
      </c>
      <c r="X97" s="5">
        <v>1</v>
      </c>
      <c r="Y97" s="5">
        <v>0</v>
      </c>
      <c r="Z97" s="5"/>
      <c r="AA97" s="5"/>
      <c r="AB97" s="5"/>
    </row>
    <row r="98" spans="1:28" x14ac:dyDescent="0.2">
      <c r="A98" s="5">
        <v>50</v>
      </c>
      <c r="B98" s="5">
        <v>0</v>
      </c>
      <c r="C98" s="5">
        <v>0</v>
      </c>
      <c r="D98" s="5">
        <v>1</v>
      </c>
      <c r="E98" s="5">
        <v>204</v>
      </c>
      <c r="F98" s="5">
        <f>ROUND(Source!R84,O98)</f>
        <v>193.21</v>
      </c>
      <c r="G98" s="5" t="s">
        <v>240</v>
      </c>
      <c r="H98" s="5" t="s">
        <v>241</v>
      </c>
      <c r="I98" s="5"/>
      <c r="J98" s="5"/>
      <c r="K98" s="5">
        <v>204</v>
      </c>
      <c r="L98" s="5">
        <v>13</v>
      </c>
      <c r="M98" s="5">
        <v>3</v>
      </c>
      <c r="N98" s="5" t="s">
        <v>3</v>
      </c>
      <c r="O98" s="5">
        <v>2</v>
      </c>
      <c r="P98" s="5"/>
      <c r="Q98" s="5"/>
      <c r="R98" s="5"/>
      <c r="S98" s="5"/>
      <c r="T98" s="5"/>
      <c r="U98" s="5"/>
      <c r="V98" s="5"/>
      <c r="W98" s="5">
        <v>193.21</v>
      </c>
      <c r="X98" s="5">
        <v>1</v>
      </c>
      <c r="Y98" s="5">
        <v>193.21</v>
      </c>
      <c r="Z98" s="5"/>
      <c r="AA98" s="5"/>
      <c r="AB98" s="5"/>
    </row>
    <row r="99" spans="1:28" x14ac:dyDescent="0.2">
      <c r="A99" s="5">
        <v>50</v>
      </c>
      <c r="B99" s="5">
        <v>0</v>
      </c>
      <c r="C99" s="5">
        <v>0</v>
      </c>
      <c r="D99" s="5">
        <v>1</v>
      </c>
      <c r="E99" s="5">
        <v>205</v>
      </c>
      <c r="F99" s="5">
        <f>ROUND(Source!S84,O99)</f>
        <v>59077.89</v>
      </c>
      <c r="G99" s="5" t="s">
        <v>242</v>
      </c>
      <c r="H99" s="5" t="s">
        <v>243</v>
      </c>
      <c r="I99" s="5"/>
      <c r="J99" s="5"/>
      <c r="K99" s="5">
        <v>205</v>
      </c>
      <c r="L99" s="5">
        <v>14</v>
      </c>
      <c r="M99" s="5">
        <v>3</v>
      </c>
      <c r="N99" s="5" t="s">
        <v>3</v>
      </c>
      <c r="O99" s="5">
        <v>2</v>
      </c>
      <c r="P99" s="5"/>
      <c r="Q99" s="5"/>
      <c r="R99" s="5"/>
      <c r="S99" s="5"/>
      <c r="T99" s="5"/>
      <c r="U99" s="5"/>
      <c r="V99" s="5"/>
      <c r="W99" s="5">
        <v>59077.89</v>
      </c>
      <c r="X99" s="5">
        <v>1</v>
      </c>
      <c r="Y99" s="5">
        <v>59077.89</v>
      </c>
      <c r="Z99" s="5"/>
      <c r="AA99" s="5"/>
      <c r="AB99" s="5"/>
    </row>
    <row r="100" spans="1:28" x14ac:dyDescent="0.2">
      <c r="A100" s="5">
        <v>50</v>
      </c>
      <c r="B100" s="5">
        <v>0</v>
      </c>
      <c r="C100" s="5">
        <v>0</v>
      </c>
      <c r="D100" s="5">
        <v>1</v>
      </c>
      <c r="E100" s="5">
        <v>232</v>
      </c>
      <c r="F100" s="5">
        <f>ROUND(Source!BC84,O100)</f>
        <v>0</v>
      </c>
      <c r="G100" s="5" t="s">
        <v>244</v>
      </c>
      <c r="H100" s="5" t="s">
        <v>245</v>
      </c>
      <c r="I100" s="5"/>
      <c r="J100" s="5"/>
      <c r="K100" s="5">
        <v>232</v>
      </c>
      <c r="L100" s="5">
        <v>15</v>
      </c>
      <c r="M100" s="5">
        <v>3</v>
      </c>
      <c r="N100" s="5" t="s">
        <v>3</v>
      </c>
      <c r="O100" s="5">
        <v>2</v>
      </c>
      <c r="P100" s="5"/>
      <c r="Q100" s="5"/>
      <c r="R100" s="5"/>
      <c r="S100" s="5"/>
      <c r="T100" s="5"/>
      <c r="U100" s="5"/>
      <c r="V100" s="5"/>
      <c r="W100" s="5">
        <v>0</v>
      </c>
      <c r="X100" s="5">
        <v>1</v>
      </c>
      <c r="Y100" s="5">
        <v>0</v>
      </c>
      <c r="Z100" s="5"/>
      <c r="AA100" s="5"/>
      <c r="AB100" s="5"/>
    </row>
    <row r="101" spans="1:28" x14ac:dyDescent="0.2">
      <c r="A101" s="5">
        <v>50</v>
      </c>
      <c r="B101" s="5">
        <v>0</v>
      </c>
      <c r="C101" s="5">
        <v>0</v>
      </c>
      <c r="D101" s="5">
        <v>1</v>
      </c>
      <c r="E101" s="5">
        <v>214</v>
      </c>
      <c r="F101" s="5">
        <f>ROUND(Source!AS84,O101)</f>
        <v>21255.94</v>
      </c>
      <c r="G101" s="5" t="s">
        <v>246</v>
      </c>
      <c r="H101" s="5" t="s">
        <v>247</v>
      </c>
      <c r="I101" s="5"/>
      <c r="J101" s="5"/>
      <c r="K101" s="5">
        <v>214</v>
      </c>
      <c r="L101" s="5">
        <v>16</v>
      </c>
      <c r="M101" s="5">
        <v>3</v>
      </c>
      <c r="N101" s="5" t="s">
        <v>3</v>
      </c>
      <c r="O101" s="5">
        <v>2</v>
      </c>
      <c r="P101" s="5"/>
      <c r="Q101" s="5"/>
      <c r="R101" s="5"/>
      <c r="S101" s="5"/>
      <c r="T101" s="5"/>
      <c r="U101" s="5"/>
      <c r="V101" s="5"/>
      <c r="W101" s="5">
        <v>21255.94</v>
      </c>
      <c r="X101" s="5">
        <v>1</v>
      </c>
      <c r="Y101" s="5">
        <v>21255.94</v>
      </c>
      <c r="Z101" s="5"/>
      <c r="AA101" s="5"/>
      <c r="AB101" s="5"/>
    </row>
    <row r="102" spans="1:28" x14ac:dyDescent="0.2">
      <c r="A102" s="5">
        <v>50</v>
      </c>
      <c r="B102" s="5">
        <v>0</v>
      </c>
      <c r="C102" s="5">
        <v>0</v>
      </c>
      <c r="D102" s="5">
        <v>1</v>
      </c>
      <c r="E102" s="5">
        <v>215</v>
      </c>
      <c r="F102" s="5">
        <f>ROUND(Source!AT84,O102)</f>
        <v>190806.72</v>
      </c>
      <c r="G102" s="5" t="s">
        <v>248</v>
      </c>
      <c r="H102" s="5" t="s">
        <v>249</v>
      </c>
      <c r="I102" s="5"/>
      <c r="J102" s="5"/>
      <c r="K102" s="5">
        <v>215</v>
      </c>
      <c r="L102" s="5">
        <v>17</v>
      </c>
      <c r="M102" s="5">
        <v>3</v>
      </c>
      <c r="N102" s="5" t="s">
        <v>3</v>
      </c>
      <c r="O102" s="5">
        <v>2</v>
      </c>
      <c r="P102" s="5"/>
      <c r="Q102" s="5"/>
      <c r="R102" s="5"/>
      <c r="S102" s="5"/>
      <c r="T102" s="5"/>
      <c r="U102" s="5"/>
      <c r="V102" s="5"/>
      <c r="W102" s="5">
        <v>190806.72</v>
      </c>
      <c r="X102" s="5">
        <v>1</v>
      </c>
      <c r="Y102" s="5">
        <v>190806.72</v>
      </c>
      <c r="Z102" s="5"/>
      <c r="AA102" s="5"/>
      <c r="AB102" s="5"/>
    </row>
    <row r="103" spans="1:28" x14ac:dyDescent="0.2">
      <c r="A103" s="5">
        <v>50</v>
      </c>
      <c r="B103" s="5">
        <v>0</v>
      </c>
      <c r="C103" s="5">
        <v>0</v>
      </c>
      <c r="D103" s="5">
        <v>1</v>
      </c>
      <c r="E103" s="5">
        <v>217</v>
      </c>
      <c r="F103" s="5">
        <f>ROUND(Source!AU84,O103)</f>
        <v>0</v>
      </c>
      <c r="G103" s="5" t="s">
        <v>250</v>
      </c>
      <c r="H103" s="5" t="s">
        <v>251</v>
      </c>
      <c r="I103" s="5"/>
      <c r="J103" s="5"/>
      <c r="K103" s="5">
        <v>217</v>
      </c>
      <c r="L103" s="5">
        <v>18</v>
      </c>
      <c r="M103" s="5">
        <v>3</v>
      </c>
      <c r="N103" s="5" t="s">
        <v>3</v>
      </c>
      <c r="O103" s="5">
        <v>2</v>
      </c>
      <c r="P103" s="5"/>
      <c r="Q103" s="5"/>
      <c r="R103" s="5"/>
      <c r="S103" s="5"/>
      <c r="T103" s="5"/>
      <c r="U103" s="5"/>
      <c r="V103" s="5"/>
      <c r="W103" s="5">
        <v>0</v>
      </c>
      <c r="X103" s="5">
        <v>1</v>
      </c>
      <c r="Y103" s="5">
        <v>0</v>
      </c>
      <c r="Z103" s="5"/>
      <c r="AA103" s="5"/>
      <c r="AB103" s="5"/>
    </row>
    <row r="104" spans="1:28" x14ac:dyDescent="0.2">
      <c r="A104" s="5">
        <v>50</v>
      </c>
      <c r="B104" s="5">
        <v>0</v>
      </c>
      <c r="C104" s="5">
        <v>0</v>
      </c>
      <c r="D104" s="5">
        <v>1</v>
      </c>
      <c r="E104" s="5">
        <v>230</v>
      </c>
      <c r="F104" s="5">
        <f>ROUND(Source!BA84,O104)</f>
        <v>0</v>
      </c>
      <c r="G104" s="5" t="s">
        <v>252</v>
      </c>
      <c r="H104" s="5" t="s">
        <v>253</v>
      </c>
      <c r="I104" s="5"/>
      <c r="J104" s="5"/>
      <c r="K104" s="5">
        <v>230</v>
      </c>
      <c r="L104" s="5">
        <v>19</v>
      </c>
      <c r="M104" s="5">
        <v>3</v>
      </c>
      <c r="N104" s="5" t="s">
        <v>3</v>
      </c>
      <c r="O104" s="5">
        <v>2</v>
      </c>
      <c r="P104" s="5"/>
      <c r="Q104" s="5"/>
      <c r="R104" s="5"/>
      <c r="S104" s="5"/>
      <c r="T104" s="5"/>
      <c r="U104" s="5"/>
      <c r="V104" s="5"/>
      <c r="W104" s="5">
        <v>0</v>
      </c>
      <c r="X104" s="5">
        <v>1</v>
      </c>
      <c r="Y104" s="5">
        <v>0</v>
      </c>
      <c r="Z104" s="5"/>
      <c r="AA104" s="5"/>
      <c r="AB104" s="5"/>
    </row>
    <row r="105" spans="1:28" x14ac:dyDescent="0.2">
      <c r="A105" s="5">
        <v>50</v>
      </c>
      <c r="B105" s="5">
        <v>0</v>
      </c>
      <c r="C105" s="5">
        <v>0</v>
      </c>
      <c r="D105" s="5">
        <v>1</v>
      </c>
      <c r="E105" s="5">
        <v>206</v>
      </c>
      <c r="F105" s="5">
        <f>ROUND(Source!T84,O105)</f>
        <v>0</v>
      </c>
      <c r="G105" s="5" t="s">
        <v>254</v>
      </c>
      <c r="H105" s="5" t="s">
        <v>255</v>
      </c>
      <c r="I105" s="5"/>
      <c r="J105" s="5"/>
      <c r="K105" s="5">
        <v>206</v>
      </c>
      <c r="L105" s="5">
        <v>20</v>
      </c>
      <c r="M105" s="5">
        <v>3</v>
      </c>
      <c r="N105" s="5" t="s">
        <v>3</v>
      </c>
      <c r="O105" s="5">
        <v>2</v>
      </c>
      <c r="P105" s="5"/>
      <c r="Q105" s="5"/>
      <c r="R105" s="5"/>
      <c r="S105" s="5"/>
      <c r="T105" s="5"/>
      <c r="U105" s="5"/>
      <c r="V105" s="5"/>
      <c r="W105" s="5">
        <v>0</v>
      </c>
      <c r="X105" s="5">
        <v>1</v>
      </c>
      <c r="Y105" s="5">
        <v>0</v>
      </c>
      <c r="Z105" s="5"/>
      <c r="AA105" s="5"/>
      <c r="AB105" s="5"/>
    </row>
    <row r="106" spans="1:28" x14ac:dyDescent="0.2">
      <c r="A106" s="5">
        <v>50</v>
      </c>
      <c r="B106" s="5">
        <v>0</v>
      </c>
      <c r="C106" s="5">
        <v>0</v>
      </c>
      <c r="D106" s="5">
        <v>1</v>
      </c>
      <c r="E106" s="5">
        <v>207</v>
      </c>
      <c r="F106" s="5">
        <f>ROUND(Source!U84,O106)</f>
        <v>83.889300000000006</v>
      </c>
      <c r="G106" s="5" t="s">
        <v>256</v>
      </c>
      <c r="H106" s="5" t="s">
        <v>257</v>
      </c>
      <c r="I106" s="5"/>
      <c r="J106" s="5"/>
      <c r="K106" s="5">
        <v>207</v>
      </c>
      <c r="L106" s="5">
        <v>21</v>
      </c>
      <c r="M106" s="5">
        <v>3</v>
      </c>
      <c r="N106" s="5" t="s">
        <v>3</v>
      </c>
      <c r="O106" s="5">
        <v>7</v>
      </c>
      <c r="P106" s="5"/>
      <c r="Q106" s="5"/>
      <c r="R106" s="5"/>
      <c r="S106" s="5"/>
      <c r="T106" s="5"/>
      <c r="U106" s="5"/>
      <c r="V106" s="5"/>
      <c r="W106" s="5">
        <v>83.889300000000006</v>
      </c>
      <c r="X106" s="5">
        <v>1</v>
      </c>
      <c r="Y106" s="5">
        <v>83.889300000000006</v>
      </c>
      <c r="Z106" s="5"/>
      <c r="AA106" s="5"/>
      <c r="AB106" s="5"/>
    </row>
    <row r="107" spans="1:28" x14ac:dyDescent="0.2">
      <c r="A107" s="5">
        <v>50</v>
      </c>
      <c r="B107" s="5">
        <v>0</v>
      </c>
      <c r="C107" s="5">
        <v>0</v>
      </c>
      <c r="D107" s="5">
        <v>1</v>
      </c>
      <c r="E107" s="5">
        <v>208</v>
      </c>
      <c r="F107" s="5">
        <f>ROUND(Source!V84,O107)</f>
        <v>0.22770000000000001</v>
      </c>
      <c r="G107" s="5" t="s">
        <v>258</v>
      </c>
      <c r="H107" s="5" t="s">
        <v>259</v>
      </c>
      <c r="I107" s="5"/>
      <c r="J107" s="5"/>
      <c r="K107" s="5">
        <v>208</v>
      </c>
      <c r="L107" s="5">
        <v>22</v>
      </c>
      <c r="M107" s="5">
        <v>3</v>
      </c>
      <c r="N107" s="5" t="s">
        <v>3</v>
      </c>
      <c r="O107" s="5">
        <v>7</v>
      </c>
      <c r="P107" s="5"/>
      <c r="Q107" s="5"/>
      <c r="R107" s="5"/>
      <c r="S107" s="5"/>
      <c r="T107" s="5"/>
      <c r="U107" s="5"/>
      <c r="V107" s="5"/>
      <c r="W107" s="5">
        <v>0.22770000000000001</v>
      </c>
      <c r="X107" s="5">
        <v>1</v>
      </c>
      <c r="Y107" s="5">
        <v>0.22770000000000001</v>
      </c>
      <c r="Z107" s="5"/>
      <c r="AA107" s="5"/>
      <c r="AB107" s="5"/>
    </row>
    <row r="108" spans="1:28" x14ac:dyDescent="0.2">
      <c r="A108" s="5">
        <v>50</v>
      </c>
      <c r="B108" s="5">
        <v>0</v>
      </c>
      <c r="C108" s="5">
        <v>0</v>
      </c>
      <c r="D108" s="5">
        <v>1</v>
      </c>
      <c r="E108" s="5">
        <v>209</v>
      </c>
      <c r="F108" s="5">
        <f>ROUND(Source!W84,O108)</f>
        <v>0</v>
      </c>
      <c r="G108" s="5" t="s">
        <v>260</v>
      </c>
      <c r="H108" s="5" t="s">
        <v>261</v>
      </c>
      <c r="I108" s="5"/>
      <c r="J108" s="5"/>
      <c r="K108" s="5">
        <v>209</v>
      </c>
      <c r="L108" s="5">
        <v>23</v>
      </c>
      <c r="M108" s="5">
        <v>3</v>
      </c>
      <c r="N108" s="5" t="s">
        <v>3</v>
      </c>
      <c r="O108" s="5">
        <v>2</v>
      </c>
      <c r="P108" s="5"/>
      <c r="Q108" s="5"/>
      <c r="R108" s="5"/>
      <c r="S108" s="5"/>
      <c r="T108" s="5"/>
      <c r="U108" s="5"/>
      <c r="V108" s="5"/>
      <c r="W108" s="5">
        <v>0</v>
      </c>
      <c r="X108" s="5">
        <v>1</v>
      </c>
      <c r="Y108" s="5">
        <v>0</v>
      </c>
      <c r="Z108" s="5"/>
      <c r="AA108" s="5"/>
      <c r="AB108" s="5"/>
    </row>
    <row r="109" spans="1:28" x14ac:dyDescent="0.2">
      <c r="A109" s="5">
        <v>50</v>
      </c>
      <c r="B109" s="5">
        <v>0</v>
      </c>
      <c r="C109" s="5">
        <v>0</v>
      </c>
      <c r="D109" s="5">
        <v>1</v>
      </c>
      <c r="E109" s="5">
        <v>233</v>
      </c>
      <c r="F109" s="5">
        <f>ROUND(Source!BD84,O109)</f>
        <v>0</v>
      </c>
      <c r="G109" s="5" t="s">
        <v>262</v>
      </c>
      <c r="H109" s="5" t="s">
        <v>263</v>
      </c>
      <c r="I109" s="5"/>
      <c r="J109" s="5"/>
      <c r="K109" s="5">
        <v>233</v>
      </c>
      <c r="L109" s="5">
        <v>24</v>
      </c>
      <c r="M109" s="5">
        <v>3</v>
      </c>
      <c r="N109" s="5" t="s">
        <v>3</v>
      </c>
      <c r="O109" s="5">
        <v>2</v>
      </c>
      <c r="P109" s="5"/>
      <c r="Q109" s="5"/>
      <c r="R109" s="5"/>
      <c r="S109" s="5"/>
      <c r="T109" s="5"/>
      <c r="U109" s="5"/>
      <c r="V109" s="5"/>
      <c r="W109" s="5">
        <v>0</v>
      </c>
      <c r="X109" s="5">
        <v>1</v>
      </c>
      <c r="Y109" s="5">
        <v>0</v>
      </c>
      <c r="Z109" s="5"/>
      <c r="AA109" s="5"/>
      <c r="AB109" s="5"/>
    </row>
    <row r="110" spans="1:28" x14ac:dyDescent="0.2">
      <c r="A110" s="5">
        <v>50</v>
      </c>
      <c r="B110" s="5">
        <v>0</v>
      </c>
      <c r="C110" s="5">
        <v>0</v>
      </c>
      <c r="D110" s="5">
        <v>1</v>
      </c>
      <c r="E110" s="5">
        <v>210</v>
      </c>
      <c r="F110" s="5">
        <f>ROUND(Source!X84,O110)</f>
        <v>56040.95</v>
      </c>
      <c r="G110" s="5" t="s">
        <v>264</v>
      </c>
      <c r="H110" s="5" t="s">
        <v>265</v>
      </c>
      <c r="I110" s="5"/>
      <c r="J110" s="5"/>
      <c r="K110" s="5">
        <v>210</v>
      </c>
      <c r="L110" s="5">
        <v>25</v>
      </c>
      <c r="M110" s="5">
        <v>3</v>
      </c>
      <c r="N110" s="5" t="s">
        <v>3</v>
      </c>
      <c r="O110" s="5">
        <v>2</v>
      </c>
      <c r="P110" s="5"/>
      <c r="Q110" s="5"/>
      <c r="R110" s="5"/>
      <c r="S110" s="5"/>
      <c r="T110" s="5"/>
      <c r="U110" s="5"/>
      <c r="V110" s="5"/>
      <c r="W110" s="5">
        <v>56040.95</v>
      </c>
      <c r="X110" s="5">
        <v>1</v>
      </c>
      <c r="Y110" s="5">
        <v>56040.95</v>
      </c>
      <c r="Z110" s="5"/>
      <c r="AA110" s="5"/>
      <c r="AB110" s="5"/>
    </row>
    <row r="111" spans="1:28" x14ac:dyDescent="0.2">
      <c r="A111" s="5">
        <v>50</v>
      </c>
      <c r="B111" s="5">
        <v>0</v>
      </c>
      <c r="C111" s="5">
        <v>0</v>
      </c>
      <c r="D111" s="5">
        <v>1</v>
      </c>
      <c r="E111" s="5">
        <v>211</v>
      </c>
      <c r="F111" s="5">
        <f>ROUND(Source!Y84,O111)</f>
        <v>29008.29</v>
      </c>
      <c r="G111" s="5" t="s">
        <v>266</v>
      </c>
      <c r="H111" s="5" t="s">
        <v>267</v>
      </c>
      <c r="I111" s="5"/>
      <c r="J111" s="5"/>
      <c r="K111" s="5">
        <v>211</v>
      </c>
      <c r="L111" s="5">
        <v>26</v>
      </c>
      <c r="M111" s="5">
        <v>3</v>
      </c>
      <c r="N111" s="5" t="s">
        <v>3</v>
      </c>
      <c r="O111" s="5">
        <v>2</v>
      </c>
      <c r="P111" s="5"/>
      <c r="Q111" s="5"/>
      <c r="R111" s="5"/>
      <c r="S111" s="5"/>
      <c r="T111" s="5"/>
      <c r="U111" s="5"/>
      <c r="V111" s="5"/>
      <c r="W111" s="5">
        <v>29008.29</v>
      </c>
      <c r="X111" s="5">
        <v>1</v>
      </c>
      <c r="Y111" s="5">
        <v>29008.29</v>
      </c>
      <c r="Z111" s="5"/>
      <c r="AA111" s="5"/>
      <c r="AB111" s="5"/>
    </row>
    <row r="112" spans="1:28" x14ac:dyDescent="0.2">
      <c r="A112" s="5">
        <v>50</v>
      </c>
      <c r="B112" s="5">
        <v>0</v>
      </c>
      <c r="C112" s="5">
        <v>0</v>
      </c>
      <c r="D112" s="5">
        <v>1</v>
      </c>
      <c r="E112" s="5">
        <v>224</v>
      </c>
      <c r="F112" s="5">
        <f>ROUND(Source!AR84,O112)</f>
        <v>214569.64</v>
      </c>
      <c r="G112" s="5" t="s">
        <v>268</v>
      </c>
      <c r="H112" s="5" t="s">
        <v>269</v>
      </c>
      <c r="I112" s="5"/>
      <c r="J112" s="5"/>
      <c r="K112" s="5">
        <v>224</v>
      </c>
      <c r="L112" s="5">
        <v>27</v>
      </c>
      <c r="M112" s="5">
        <v>3</v>
      </c>
      <c r="N112" s="5" t="s">
        <v>3</v>
      </c>
      <c r="O112" s="5">
        <v>2</v>
      </c>
      <c r="P112" s="5"/>
      <c r="Q112" s="5"/>
      <c r="R112" s="5"/>
      <c r="S112" s="5"/>
      <c r="T112" s="5"/>
      <c r="U112" s="5"/>
      <c r="V112" s="5"/>
      <c r="W112" s="5">
        <v>214569.64</v>
      </c>
      <c r="X112" s="5">
        <v>1</v>
      </c>
      <c r="Y112" s="5">
        <v>214569.64</v>
      </c>
      <c r="Z112" s="5"/>
      <c r="AA112" s="5"/>
      <c r="AB112" s="5"/>
    </row>
    <row r="114" spans="1:255" x14ac:dyDescent="0.2">
      <c r="A114" s="1">
        <v>4</v>
      </c>
      <c r="B114" s="1">
        <v>1</v>
      </c>
      <c r="C114" s="1"/>
      <c r="D114" s="1">
        <f>ROW(A123)</f>
        <v>123</v>
      </c>
      <c r="E114" s="1"/>
      <c r="F114" s="1" t="s">
        <v>3</v>
      </c>
      <c r="G114" s="1" t="s">
        <v>270</v>
      </c>
      <c r="H114" s="1" t="s">
        <v>3</v>
      </c>
      <c r="I114" s="1">
        <v>0</v>
      </c>
      <c r="J114" s="1"/>
      <c r="K114" s="1">
        <v>-1</v>
      </c>
      <c r="L114" s="1"/>
      <c r="M114" s="1" t="s">
        <v>3</v>
      </c>
      <c r="N114" s="1"/>
      <c r="O114" s="1"/>
      <c r="P114" s="1"/>
      <c r="Q114" s="1"/>
      <c r="R114" s="1"/>
      <c r="S114" s="1">
        <v>0</v>
      </c>
      <c r="T114" s="1"/>
      <c r="U114" s="1" t="s">
        <v>3</v>
      </c>
      <c r="V114" s="1">
        <v>0</v>
      </c>
      <c r="W114" s="1"/>
      <c r="X114" s="1"/>
      <c r="Y114" s="1"/>
      <c r="Z114" s="1"/>
      <c r="AA114" s="1"/>
      <c r="AB114" s="1" t="s">
        <v>3</v>
      </c>
      <c r="AC114" s="1" t="s">
        <v>3</v>
      </c>
      <c r="AD114" s="1" t="s">
        <v>3</v>
      </c>
      <c r="AE114" s="1" t="s">
        <v>3</v>
      </c>
      <c r="AF114" s="1" t="s">
        <v>3</v>
      </c>
      <c r="AG114" s="1" t="s">
        <v>3</v>
      </c>
      <c r="AH114" s="1"/>
      <c r="AI114" s="1"/>
      <c r="AJ114" s="1"/>
      <c r="AK114" s="1"/>
      <c r="AL114" s="1"/>
      <c r="AM114" s="1"/>
      <c r="AN114" s="1"/>
      <c r="AO114" s="1"/>
      <c r="AP114" s="1" t="s">
        <v>3</v>
      </c>
      <c r="AQ114" s="1" t="s">
        <v>3</v>
      </c>
      <c r="AR114" s="1" t="s">
        <v>3</v>
      </c>
      <c r="AS114" s="1"/>
      <c r="AT114" s="1"/>
      <c r="AU114" s="1"/>
      <c r="AV114" s="1"/>
      <c r="AW114" s="1"/>
      <c r="AX114" s="1"/>
      <c r="AY114" s="1"/>
      <c r="AZ114" s="1" t="s">
        <v>3</v>
      </c>
      <c r="BA114" s="1"/>
      <c r="BB114" s="1" t="s">
        <v>3</v>
      </c>
      <c r="BC114" s="1" t="s">
        <v>3</v>
      </c>
      <c r="BD114" s="1" t="s">
        <v>3</v>
      </c>
      <c r="BE114" s="1" t="s">
        <v>3</v>
      </c>
      <c r="BF114" s="1" t="s">
        <v>3</v>
      </c>
      <c r="BG114" s="1" t="s">
        <v>3</v>
      </c>
      <c r="BH114" s="1" t="s">
        <v>3</v>
      </c>
      <c r="BI114" s="1" t="s">
        <v>3</v>
      </c>
      <c r="BJ114" s="1" t="s">
        <v>3</v>
      </c>
      <c r="BK114" s="1" t="s">
        <v>3</v>
      </c>
      <c r="BL114" s="1" t="s">
        <v>3</v>
      </c>
      <c r="BM114" s="1" t="s">
        <v>3</v>
      </c>
      <c r="BN114" s="1" t="s">
        <v>3</v>
      </c>
      <c r="BO114" s="1" t="s">
        <v>3</v>
      </c>
      <c r="BP114" s="1" t="s">
        <v>3</v>
      </c>
      <c r="BQ114" s="1"/>
      <c r="BR114" s="1"/>
      <c r="BS114" s="1"/>
      <c r="BT114" s="1"/>
      <c r="BU114" s="1"/>
      <c r="BV114" s="1"/>
      <c r="BW114" s="1"/>
      <c r="BX114" s="1">
        <v>0</v>
      </c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>
        <v>0</v>
      </c>
    </row>
    <row r="116" spans="1:255" x14ac:dyDescent="0.2">
      <c r="A116" s="3">
        <v>52</v>
      </c>
      <c r="B116" s="3">
        <f t="shared" ref="B116:G116" si="103">B123</f>
        <v>1</v>
      </c>
      <c r="C116" s="3">
        <f t="shared" si="103"/>
        <v>4</v>
      </c>
      <c r="D116" s="3">
        <f t="shared" si="103"/>
        <v>114</v>
      </c>
      <c r="E116" s="3">
        <f t="shared" si="103"/>
        <v>0</v>
      </c>
      <c r="F116" s="3" t="str">
        <f t="shared" si="103"/>
        <v/>
      </c>
      <c r="G116" s="3" t="str">
        <f t="shared" si="103"/>
        <v>Рентгенозащита</v>
      </c>
      <c r="H116" s="3"/>
      <c r="I116" s="3"/>
      <c r="J116" s="3"/>
      <c r="K116" s="3"/>
      <c r="L116" s="3"/>
      <c r="M116" s="3"/>
      <c r="N116" s="3"/>
      <c r="O116" s="3">
        <f t="shared" ref="O116:AT116" si="104">O123</f>
        <v>108067.22</v>
      </c>
      <c r="P116" s="3">
        <f t="shared" si="104"/>
        <v>105945.77</v>
      </c>
      <c r="Q116" s="3">
        <f t="shared" si="104"/>
        <v>11.93</v>
      </c>
      <c r="R116" s="3">
        <f t="shared" si="104"/>
        <v>17.62</v>
      </c>
      <c r="S116" s="3">
        <f t="shared" si="104"/>
        <v>2091.9</v>
      </c>
      <c r="T116" s="3">
        <f t="shared" si="104"/>
        <v>0</v>
      </c>
      <c r="U116" s="3">
        <f t="shared" si="104"/>
        <v>2.9269251000000001</v>
      </c>
      <c r="V116" s="3">
        <f t="shared" si="104"/>
        <v>2.3851899999999999E-2</v>
      </c>
      <c r="W116" s="3">
        <f t="shared" si="104"/>
        <v>0</v>
      </c>
      <c r="X116" s="3">
        <f t="shared" si="104"/>
        <v>1961.85</v>
      </c>
      <c r="Y116" s="3">
        <f t="shared" si="104"/>
        <v>1307.9000000000001</v>
      </c>
      <c r="Z116" s="3">
        <f t="shared" si="104"/>
        <v>0</v>
      </c>
      <c r="AA116" s="3">
        <f t="shared" si="104"/>
        <v>0</v>
      </c>
      <c r="AB116" s="3">
        <f t="shared" si="104"/>
        <v>108067.22</v>
      </c>
      <c r="AC116" s="3">
        <f t="shared" si="104"/>
        <v>105945.77</v>
      </c>
      <c r="AD116" s="3">
        <f t="shared" si="104"/>
        <v>11.93</v>
      </c>
      <c r="AE116" s="3">
        <f t="shared" si="104"/>
        <v>17.62</v>
      </c>
      <c r="AF116" s="3">
        <f t="shared" si="104"/>
        <v>2091.9</v>
      </c>
      <c r="AG116" s="3">
        <f t="shared" si="104"/>
        <v>0</v>
      </c>
      <c r="AH116" s="3">
        <f t="shared" si="104"/>
        <v>2.9269251000000001</v>
      </c>
      <c r="AI116" s="3">
        <f t="shared" si="104"/>
        <v>2.3851899999999999E-2</v>
      </c>
      <c r="AJ116" s="3">
        <f t="shared" si="104"/>
        <v>0</v>
      </c>
      <c r="AK116" s="3">
        <f t="shared" si="104"/>
        <v>1961.85</v>
      </c>
      <c r="AL116" s="3">
        <f t="shared" si="104"/>
        <v>1307.9000000000001</v>
      </c>
      <c r="AM116" s="3">
        <f t="shared" si="104"/>
        <v>0</v>
      </c>
      <c r="AN116" s="3">
        <f t="shared" si="104"/>
        <v>0</v>
      </c>
      <c r="AO116" s="3">
        <f t="shared" si="104"/>
        <v>0</v>
      </c>
      <c r="AP116" s="3">
        <f t="shared" si="104"/>
        <v>0</v>
      </c>
      <c r="AQ116" s="3">
        <f t="shared" si="104"/>
        <v>0</v>
      </c>
      <c r="AR116" s="3">
        <f t="shared" si="104"/>
        <v>111336.97</v>
      </c>
      <c r="AS116" s="3">
        <f t="shared" si="104"/>
        <v>111336.97</v>
      </c>
      <c r="AT116" s="3">
        <f t="shared" si="104"/>
        <v>0</v>
      </c>
      <c r="AU116" s="3">
        <f t="shared" ref="AU116:BZ116" si="105">AU123</f>
        <v>0</v>
      </c>
      <c r="AV116" s="3">
        <f t="shared" si="105"/>
        <v>105945.77</v>
      </c>
      <c r="AW116" s="3">
        <f t="shared" si="105"/>
        <v>105945.77</v>
      </c>
      <c r="AX116" s="3">
        <f t="shared" si="105"/>
        <v>0</v>
      </c>
      <c r="AY116" s="3">
        <f t="shared" si="105"/>
        <v>105945.77</v>
      </c>
      <c r="AZ116" s="3">
        <f t="shared" si="105"/>
        <v>0</v>
      </c>
      <c r="BA116" s="3">
        <f t="shared" si="105"/>
        <v>0</v>
      </c>
      <c r="BB116" s="3">
        <f t="shared" si="105"/>
        <v>0</v>
      </c>
      <c r="BC116" s="3">
        <f t="shared" si="105"/>
        <v>0</v>
      </c>
      <c r="BD116" s="3">
        <f t="shared" si="105"/>
        <v>0</v>
      </c>
      <c r="BE116" s="3">
        <f t="shared" si="105"/>
        <v>0</v>
      </c>
      <c r="BF116" s="3">
        <f t="shared" si="105"/>
        <v>0</v>
      </c>
      <c r="BG116" s="3">
        <f t="shared" si="105"/>
        <v>0</v>
      </c>
      <c r="BH116" s="3">
        <f t="shared" si="105"/>
        <v>0</v>
      </c>
      <c r="BI116" s="3">
        <f t="shared" si="105"/>
        <v>0</v>
      </c>
      <c r="BJ116" s="3">
        <f t="shared" si="105"/>
        <v>0</v>
      </c>
      <c r="BK116" s="3">
        <f t="shared" si="105"/>
        <v>0</v>
      </c>
      <c r="BL116" s="3">
        <f t="shared" si="105"/>
        <v>0</v>
      </c>
      <c r="BM116" s="3">
        <f t="shared" si="105"/>
        <v>0</v>
      </c>
      <c r="BN116" s="3">
        <f t="shared" si="105"/>
        <v>0</v>
      </c>
      <c r="BO116" s="3">
        <f t="shared" si="105"/>
        <v>0</v>
      </c>
      <c r="BP116" s="3">
        <f t="shared" si="105"/>
        <v>0</v>
      </c>
      <c r="BQ116" s="3">
        <f t="shared" si="105"/>
        <v>0</v>
      </c>
      <c r="BR116" s="3">
        <f t="shared" si="105"/>
        <v>0</v>
      </c>
      <c r="BS116" s="3">
        <f t="shared" si="105"/>
        <v>0</v>
      </c>
      <c r="BT116" s="3">
        <f t="shared" si="105"/>
        <v>0</v>
      </c>
      <c r="BU116" s="3">
        <f t="shared" si="105"/>
        <v>0</v>
      </c>
      <c r="BV116" s="3">
        <f t="shared" si="105"/>
        <v>0</v>
      </c>
      <c r="BW116" s="3">
        <f t="shared" si="105"/>
        <v>0</v>
      </c>
      <c r="BX116" s="3">
        <f t="shared" si="105"/>
        <v>0</v>
      </c>
      <c r="BY116" s="3">
        <f t="shared" si="105"/>
        <v>0</v>
      </c>
      <c r="BZ116" s="3">
        <f t="shared" si="105"/>
        <v>0</v>
      </c>
      <c r="CA116" s="3">
        <f t="shared" ref="CA116:DF116" si="106">CA123</f>
        <v>111336.97</v>
      </c>
      <c r="CB116" s="3">
        <f t="shared" si="106"/>
        <v>111336.97</v>
      </c>
      <c r="CC116" s="3">
        <f t="shared" si="106"/>
        <v>0</v>
      </c>
      <c r="CD116" s="3">
        <f t="shared" si="106"/>
        <v>0</v>
      </c>
      <c r="CE116" s="3">
        <f t="shared" si="106"/>
        <v>105945.77</v>
      </c>
      <c r="CF116" s="3">
        <f t="shared" si="106"/>
        <v>105945.77</v>
      </c>
      <c r="CG116" s="3">
        <f t="shared" si="106"/>
        <v>0</v>
      </c>
      <c r="CH116" s="3">
        <f t="shared" si="106"/>
        <v>105945.77</v>
      </c>
      <c r="CI116" s="3">
        <f t="shared" si="106"/>
        <v>0</v>
      </c>
      <c r="CJ116" s="3">
        <f t="shared" si="106"/>
        <v>0</v>
      </c>
      <c r="CK116" s="3">
        <f t="shared" si="106"/>
        <v>0</v>
      </c>
      <c r="CL116" s="3">
        <f t="shared" si="106"/>
        <v>0</v>
      </c>
      <c r="CM116" s="3">
        <f t="shared" si="106"/>
        <v>0</v>
      </c>
      <c r="CN116" s="3">
        <f t="shared" si="106"/>
        <v>0</v>
      </c>
      <c r="CO116" s="3">
        <f t="shared" si="106"/>
        <v>0</v>
      </c>
      <c r="CP116" s="3">
        <f t="shared" si="106"/>
        <v>0</v>
      </c>
      <c r="CQ116" s="3">
        <f t="shared" si="106"/>
        <v>0</v>
      </c>
      <c r="CR116" s="3">
        <f t="shared" si="106"/>
        <v>0</v>
      </c>
      <c r="CS116" s="3">
        <f t="shared" si="106"/>
        <v>0</v>
      </c>
      <c r="CT116" s="3">
        <f t="shared" si="106"/>
        <v>0</v>
      </c>
      <c r="CU116" s="3">
        <f t="shared" si="106"/>
        <v>0</v>
      </c>
      <c r="CV116" s="3">
        <f t="shared" si="106"/>
        <v>0</v>
      </c>
      <c r="CW116" s="3">
        <f t="shared" si="106"/>
        <v>0</v>
      </c>
      <c r="CX116" s="3">
        <f t="shared" si="106"/>
        <v>0</v>
      </c>
      <c r="CY116" s="3">
        <f t="shared" si="106"/>
        <v>0</v>
      </c>
      <c r="CZ116" s="3">
        <f t="shared" si="106"/>
        <v>0</v>
      </c>
      <c r="DA116" s="3">
        <f t="shared" si="106"/>
        <v>0</v>
      </c>
      <c r="DB116" s="3">
        <f t="shared" si="106"/>
        <v>0</v>
      </c>
      <c r="DC116" s="3">
        <f t="shared" si="106"/>
        <v>0</v>
      </c>
      <c r="DD116" s="3">
        <f t="shared" si="106"/>
        <v>0</v>
      </c>
      <c r="DE116" s="3">
        <f t="shared" si="106"/>
        <v>0</v>
      </c>
      <c r="DF116" s="3">
        <f t="shared" si="106"/>
        <v>0</v>
      </c>
      <c r="DG116" s="4">
        <f t="shared" ref="DG116:EL116" si="107">DG123</f>
        <v>0</v>
      </c>
      <c r="DH116" s="4">
        <f t="shared" si="107"/>
        <v>0</v>
      </c>
      <c r="DI116" s="4">
        <f t="shared" si="107"/>
        <v>0</v>
      </c>
      <c r="DJ116" s="4">
        <f t="shared" si="107"/>
        <v>0</v>
      </c>
      <c r="DK116" s="4">
        <f t="shared" si="107"/>
        <v>0</v>
      </c>
      <c r="DL116" s="4">
        <f t="shared" si="107"/>
        <v>0</v>
      </c>
      <c r="DM116" s="4">
        <f t="shared" si="107"/>
        <v>0</v>
      </c>
      <c r="DN116" s="4">
        <f t="shared" si="107"/>
        <v>0</v>
      </c>
      <c r="DO116" s="4">
        <f t="shared" si="107"/>
        <v>0</v>
      </c>
      <c r="DP116" s="4">
        <f t="shared" si="107"/>
        <v>0</v>
      </c>
      <c r="DQ116" s="4">
        <f t="shared" si="107"/>
        <v>0</v>
      </c>
      <c r="DR116" s="4">
        <f t="shared" si="107"/>
        <v>0</v>
      </c>
      <c r="DS116" s="4">
        <f t="shared" si="107"/>
        <v>0</v>
      </c>
      <c r="DT116" s="4">
        <f t="shared" si="107"/>
        <v>0</v>
      </c>
      <c r="DU116" s="4">
        <f t="shared" si="107"/>
        <v>0</v>
      </c>
      <c r="DV116" s="4">
        <f t="shared" si="107"/>
        <v>0</v>
      </c>
      <c r="DW116" s="4">
        <f t="shared" si="107"/>
        <v>0</v>
      </c>
      <c r="DX116" s="4">
        <f t="shared" si="107"/>
        <v>0</v>
      </c>
      <c r="DY116" s="4">
        <f t="shared" si="107"/>
        <v>0</v>
      </c>
      <c r="DZ116" s="4">
        <f t="shared" si="107"/>
        <v>0</v>
      </c>
      <c r="EA116" s="4">
        <f t="shared" si="107"/>
        <v>0</v>
      </c>
      <c r="EB116" s="4">
        <f t="shared" si="107"/>
        <v>0</v>
      </c>
      <c r="EC116" s="4">
        <f t="shared" si="107"/>
        <v>0</v>
      </c>
      <c r="ED116" s="4">
        <f t="shared" si="107"/>
        <v>0</v>
      </c>
      <c r="EE116" s="4">
        <f t="shared" si="107"/>
        <v>0</v>
      </c>
      <c r="EF116" s="4">
        <f t="shared" si="107"/>
        <v>0</v>
      </c>
      <c r="EG116" s="4">
        <f t="shared" si="107"/>
        <v>0</v>
      </c>
      <c r="EH116" s="4">
        <f t="shared" si="107"/>
        <v>0</v>
      </c>
      <c r="EI116" s="4">
        <f t="shared" si="107"/>
        <v>0</v>
      </c>
      <c r="EJ116" s="4">
        <f t="shared" si="107"/>
        <v>0</v>
      </c>
      <c r="EK116" s="4">
        <f t="shared" si="107"/>
        <v>0</v>
      </c>
      <c r="EL116" s="4">
        <f t="shared" si="107"/>
        <v>0</v>
      </c>
      <c r="EM116" s="4">
        <f t="shared" ref="EM116:FR116" si="108">EM123</f>
        <v>0</v>
      </c>
      <c r="EN116" s="4">
        <f t="shared" si="108"/>
        <v>0</v>
      </c>
      <c r="EO116" s="4">
        <f t="shared" si="108"/>
        <v>0</v>
      </c>
      <c r="EP116" s="4">
        <f t="shared" si="108"/>
        <v>0</v>
      </c>
      <c r="EQ116" s="4">
        <f t="shared" si="108"/>
        <v>0</v>
      </c>
      <c r="ER116" s="4">
        <f t="shared" si="108"/>
        <v>0</v>
      </c>
      <c r="ES116" s="4">
        <f t="shared" si="108"/>
        <v>0</v>
      </c>
      <c r="ET116" s="4">
        <f t="shared" si="108"/>
        <v>0</v>
      </c>
      <c r="EU116" s="4">
        <f t="shared" si="108"/>
        <v>0</v>
      </c>
      <c r="EV116" s="4">
        <f t="shared" si="108"/>
        <v>0</v>
      </c>
      <c r="EW116" s="4">
        <f t="shared" si="108"/>
        <v>0</v>
      </c>
      <c r="EX116" s="4">
        <f t="shared" si="108"/>
        <v>0</v>
      </c>
      <c r="EY116" s="4">
        <f t="shared" si="108"/>
        <v>0</v>
      </c>
      <c r="EZ116" s="4">
        <f t="shared" si="108"/>
        <v>0</v>
      </c>
      <c r="FA116" s="4">
        <f t="shared" si="108"/>
        <v>0</v>
      </c>
      <c r="FB116" s="4">
        <f t="shared" si="108"/>
        <v>0</v>
      </c>
      <c r="FC116" s="4">
        <f t="shared" si="108"/>
        <v>0</v>
      </c>
      <c r="FD116" s="4">
        <f t="shared" si="108"/>
        <v>0</v>
      </c>
      <c r="FE116" s="4">
        <f t="shared" si="108"/>
        <v>0</v>
      </c>
      <c r="FF116" s="4">
        <f t="shared" si="108"/>
        <v>0</v>
      </c>
      <c r="FG116" s="4">
        <f t="shared" si="108"/>
        <v>0</v>
      </c>
      <c r="FH116" s="4">
        <f t="shared" si="108"/>
        <v>0</v>
      </c>
      <c r="FI116" s="4">
        <f t="shared" si="108"/>
        <v>0</v>
      </c>
      <c r="FJ116" s="4">
        <f t="shared" si="108"/>
        <v>0</v>
      </c>
      <c r="FK116" s="4">
        <f t="shared" si="108"/>
        <v>0</v>
      </c>
      <c r="FL116" s="4">
        <f t="shared" si="108"/>
        <v>0</v>
      </c>
      <c r="FM116" s="4">
        <f t="shared" si="108"/>
        <v>0</v>
      </c>
      <c r="FN116" s="4">
        <f t="shared" si="108"/>
        <v>0</v>
      </c>
      <c r="FO116" s="4">
        <f t="shared" si="108"/>
        <v>0</v>
      </c>
      <c r="FP116" s="4">
        <f t="shared" si="108"/>
        <v>0</v>
      </c>
      <c r="FQ116" s="4">
        <f t="shared" si="108"/>
        <v>0</v>
      </c>
      <c r="FR116" s="4">
        <f t="shared" si="108"/>
        <v>0</v>
      </c>
      <c r="FS116" s="4">
        <f t="shared" ref="FS116:GX116" si="109">FS123</f>
        <v>0</v>
      </c>
      <c r="FT116" s="4">
        <f t="shared" si="109"/>
        <v>0</v>
      </c>
      <c r="FU116" s="4">
        <f t="shared" si="109"/>
        <v>0</v>
      </c>
      <c r="FV116" s="4">
        <f t="shared" si="109"/>
        <v>0</v>
      </c>
      <c r="FW116" s="4">
        <f t="shared" si="109"/>
        <v>0</v>
      </c>
      <c r="FX116" s="4">
        <f t="shared" si="109"/>
        <v>0</v>
      </c>
      <c r="FY116" s="4">
        <f t="shared" si="109"/>
        <v>0</v>
      </c>
      <c r="FZ116" s="4">
        <f t="shared" si="109"/>
        <v>0</v>
      </c>
      <c r="GA116" s="4">
        <f t="shared" si="109"/>
        <v>0</v>
      </c>
      <c r="GB116" s="4">
        <f t="shared" si="109"/>
        <v>0</v>
      </c>
      <c r="GC116" s="4">
        <f t="shared" si="109"/>
        <v>0</v>
      </c>
      <c r="GD116" s="4">
        <f t="shared" si="109"/>
        <v>0</v>
      </c>
      <c r="GE116" s="4">
        <f t="shared" si="109"/>
        <v>0</v>
      </c>
      <c r="GF116" s="4">
        <f t="shared" si="109"/>
        <v>0</v>
      </c>
      <c r="GG116" s="4">
        <f t="shared" si="109"/>
        <v>0</v>
      </c>
      <c r="GH116" s="4">
        <f t="shared" si="109"/>
        <v>0</v>
      </c>
      <c r="GI116" s="4">
        <f t="shared" si="109"/>
        <v>0</v>
      </c>
      <c r="GJ116" s="4">
        <f t="shared" si="109"/>
        <v>0</v>
      </c>
      <c r="GK116" s="4">
        <f t="shared" si="109"/>
        <v>0</v>
      </c>
      <c r="GL116" s="4">
        <f t="shared" si="109"/>
        <v>0</v>
      </c>
      <c r="GM116" s="4">
        <f t="shared" si="109"/>
        <v>0</v>
      </c>
      <c r="GN116" s="4">
        <f t="shared" si="109"/>
        <v>0</v>
      </c>
      <c r="GO116" s="4">
        <f t="shared" si="109"/>
        <v>0</v>
      </c>
      <c r="GP116" s="4">
        <f t="shared" si="109"/>
        <v>0</v>
      </c>
      <c r="GQ116" s="4">
        <f t="shared" si="109"/>
        <v>0</v>
      </c>
      <c r="GR116" s="4">
        <f t="shared" si="109"/>
        <v>0</v>
      </c>
      <c r="GS116" s="4">
        <f t="shared" si="109"/>
        <v>0</v>
      </c>
      <c r="GT116" s="4">
        <f t="shared" si="109"/>
        <v>0</v>
      </c>
      <c r="GU116" s="4">
        <f t="shared" si="109"/>
        <v>0</v>
      </c>
      <c r="GV116" s="4">
        <f t="shared" si="109"/>
        <v>0</v>
      </c>
      <c r="GW116" s="4">
        <f t="shared" si="109"/>
        <v>0</v>
      </c>
      <c r="GX116" s="4">
        <f t="shared" si="109"/>
        <v>0</v>
      </c>
    </row>
    <row r="118" spans="1:255" x14ac:dyDescent="0.2">
      <c r="A118" s="2">
        <v>17</v>
      </c>
      <c r="B118" s="2">
        <v>1</v>
      </c>
      <c r="C118" s="2">
        <f>ROW(SmtRes!A99)</f>
        <v>99</v>
      </c>
      <c r="D118" s="2">
        <f>ROW(EtalonRes!A99)</f>
        <v>99</v>
      </c>
      <c r="E118" s="2" t="s">
        <v>271</v>
      </c>
      <c r="F118" s="2" t="s">
        <v>272</v>
      </c>
      <c r="G118" s="2" t="s">
        <v>273</v>
      </c>
      <c r="H118" s="2" t="s">
        <v>274</v>
      </c>
      <c r="I118" s="2">
        <f>ROUND(2.2085/100,7)</f>
        <v>2.2085E-2</v>
      </c>
      <c r="J118" s="2">
        <v>0</v>
      </c>
      <c r="K118" s="2">
        <f>ROUND(2.2085/100,7)</f>
        <v>2.2085E-2</v>
      </c>
      <c r="L118" s="2"/>
      <c r="M118" s="2"/>
      <c r="N118" s="2"/>
      <c r="O118" s="2">
        <f>ROUND(CP118,2)</f>
        <v>2657.38</v>
      </c>
      <c r="P118" s="2">
        <f>SUMIF(SmtRes!AQ88:'SmtRes'!AQ99,"=1",SmtRes!DF88:'SmtRes'!DF99)</f>
        <v>535.92999999999995</v>
      </c>
      <c r="Q118" s="2">
        <f>SUMIF(SmtRes!AQ88:'SmtRes'!AQ99,"=1",SmtRes!DG88:'SmtRes'!DG99)</f>
        <v>11.93</v>
      </c>
      <c r="R118" s="2">
        <f>SUMIF(SmtRes!AQ88:'SmtRes'!AQ99,"=1",SmtRes!DH88:'SmtRes'!DH99)</f>
        <v>17.619999999999997</v>
      </c>
      <c r="S118" s="2">
        <f>SUMIF(SmtRes!AQ88:'SmtRes'!AQ99,"=1",SmtRes!DI88:'SmtRes'!DI99)</f>
        <v>2091.9</v>
      </c>
      <c r="T118" s="2">
        <f>ROUND(CU118*I118,2)</f>
        <v>0</v>
      </c>
      <c r="U118" s="2">
        <f>SUMIF(SmtRes!AQ88:'SmtRes'!AQ99,"=1",SmtRes!CV88:'SmtRes'!CV99)</f>
        <v>2.9269251000000001</v>
      </c>
      <c r="V118" s="2">
        <f>SUMIF(SmtRes!AQ88:'SmtRes'!AQ99,"=1",SmtRes!CW88:'SmtRes'!CW99)</f>
        <v>2.3851899999999999E-2</v>
      </c>
      <c r="W118" s="2">
        <f>ROUND(CX118*I118,2)</f>
        <v>0</v>
      </c>
      <c r="X118" s="2">
        <f t="shared" ref="X118:Y121" si="110">ROUND(CY118,2)</f>
        <v>1961.85</v>
      </c>
      <c r="Y118" s="2">
        <f t="shared" si="110"/>
        <v>1307.9000000000001</v>
      </c>
      <c r="Z118" s="2"/>
      <c r="AA118" s="2">
        <v>52718353</v>
      </c>
      <c r="AB118" s="2">
        <f>ROUND((AC118+AD118+AF118),6)</f>
        <v>114537.88129600001</v>
      </c>
      <c r="AC118" s="2">
        <f>ROUND((SUM(SmtRes!BQ88:'SmtRes'!BQ99)),6)</f>
        <v>19289.242596</v>
      </c>
      <c r="AD118" s="2">
        <f>ROUND((((SUM(SmtRes!BR88:'SmtRes'!BR99))-(SUM(SmtRes!BS88:'SmtRes'!BS99)))+AE118),6)</f>
        <v>528.12239999999997</v>
      </c>
      <c r="AE118" s="2">
        <f>ROUND((SUM(SmtRes!BS88:'SmtRes'!BS99)),6)</f>
        <v>798.12879999999996</v>
      </c>
      <c r="AF118" s="2">
        <f>ROUND((SUM(SmtRes!BT88:'SmtRes'!BT99)),6)</f>
        <v>94720.516300000003</v>
      </c>
      <c r="AG118" s="2">
        <f>ROUND((AP118),6)</f>
        <v>0</v>
      </c>
      <c r="AH118" s="2">
        <f>(SUM(SmtRes!BU88:'SmtRes'!BU99))</f>
        <v>132.53</v>
      </c>
      <c r="AI118" s="2">
        <f>(SUM(SmtRes!BV88:'SmtRes'!BV99))</f>
        <v>1.0799999999999998</v>
      </c>
      <c r="AJ118" s="2">
        <f>(AS118)</f>
        <v>0</v>
      </c>
      <c r="AK118" s="2">
        <v>115336.01009600001</v>
      </c>
      <c r="AL118" s="2">
        <v>19289.242596</v>
      </c>
      <c r="AM118" s="2">
        <v>528.12239999999997</v>
      </c>
      <c r="AN118" s="2">
        <v>798.12879999999996</v>
      </c>
      <c r="AO118" s="2">
        <v>94720.516300000003</v>
      </c>
      <c r="AP118" s="2">
        <v>0</v>
      </c>
      <c r="AQ118" s="2">
        <v>132.53</v>
      </c>
      <c r="AR118" s="2">
        <v>1.0799999999999998</v>
      </c>
      <c r="AS118" s="2">
        <v>0</v>
      </c>
      <c r="AT118" s="2">
        <v>93</v>
      </c>
      <c r="AU118" s="2">
        <v>62</v>
      </c>
      <c r="AV118" s="2">
        <v>1</v>
      </c>
      <c r="AW118" s="2">
        <v>1</v>
      </c>
      <c r="AX118" s="2"/>
      <c r="AY118" s="2"/>
      <c r="AZ118" s="2">
        <v>1</v>
      </c>
      <c r="BA118" s="2">
        <v>1</v>
      </c>
      <c r="BB118" s="2">
        <v>1</v>
      </c>
      <c r="BC118" s="2">
        <v>1</v>
      </c>
      <c r="BD118" s="2" t="s">
        <v>3</v>
      </c>
      <c r="BE118" s="2" t="s">
        <v>3</v>
      </c>
      <c r="BF118" s="2" t="s">
        <v>3</v>
      </c>
      <c r="BG118" s="2" t="s">
        <v>3</v>
      </c>
      <c r="BH118" s="2">
        <v>0</v>
      </c>
      <c r="BI118" s="2">
        <v>1</v>
      </c>
      <c r="BJ118" s="2" t="s">
        <v>275</v>
      </c>
      <c r="BK118" s="2"/>
      <c r="BL118" s="2"/>
      <c r="BM118" s="2">
        <v>9001</v>
      </c>
      <c r="BN118" s="2">
        <v>0</v>
      </c>
      <c r="BO118" s="2" t="s">
        <v>3</v>
      </c>
      <c r="BP118" s="2">
        <v>0</v>
      </c>
      <c r="BQ118" s="2">
        <v>2</v>
      </c>
      <c r="BR118" s="2">
        <v>0</v>
      </c>
      <c r="BS118" s="2">
        <v>1</v>
      </c>
      <c r="BT118" s="2">
        <v>1</v>
      </c>
      <c r="BU118" s="2">
        <v>1</v>
      </c>
      <c r="BV118" s="2">
        <v>1</v>
      </c>
      <c r="BW118" s="2">
        <v>1</v>
      </c>
      <c r="BX118" s="2">
        <v>1</v>
      </c>
      <c r="BY118" s="2" t="s">
        <v>3</v>
      </c>
      <c r="BZ118" s="2">
        <v>93</v>
      </c>
      <c r="CA118" s="2">
        <v>62</v>
      </c>
      <c r="CB118" s="2" t="s">
        <v>3</v>
      </c>
      <c r="CC118" s="2"/>
      <c r="CD118" s="2"/>
      <c r="CE118" s="2">
        <v>0</v>
      </c>
      <c r="CF118" s="2">
        <v>0</v>
      </c>
      <c r="CG118" s="2">
        <v>0</v>
      </c>
      <c r="CH118" s="2"/>
      <c r="CI118" s="2"/>
      <c r="CJ118" s="2"/>
      <c r="CK118" s="2"/>
      <c r="CL118" s="2"/>
      <c r="CM118" s="2">
        <v>0</v>
      </c>
      <c r="CN118" s="2" t="s">
        <v>3</v>
      </c>
      <c r="CO118" s="2">
        <v>0</v>
      </c>
      <c r="CP118" s="2">
        <f>(P118+Q118+S118+R118)</f>
        <v>2657.38</v>
      </c>
      <c r="CQ118" s="2">
        <f>SUMIF(SmtRes!AQ88:'SmtRes'!AQ99,"=1",SmtRes!AA88:'SmtRes'!AA99)</f>
        <v>780.79</v>
      </c>
      <c r="CR118" s="2">
        <f>SUMIF(SmtRes!AQ88:'SmtRes'!AQ99,"=1",SmtRes!AB88:'SmtRes'!AB99)</f>
        <v>2189.0699999999997</v>
      </c>
      <c r="CS118" s="2">
        <f>SUMIF(SmtRes!AQ88:'SmtRes'!AQ99,"=1",SmtRes!AC88:'SmtRes'!AC99)</f>
        <v>2362.36</v>
      </c>
      <c r="CT118" s="2">
        <f>SUMIF(SmtRes!AQ88:'SmtRes'!AQ99,"=1",SmtRes!AD88:'SmtRes'!AD99)</f>
        <v>714.71</v>
      </c>
      <c r="CU118" s="2">
        <f>AG118</f>
        <v>0</v>
      </c>
      <c r="CV118" s="2">
        <f>SUMIF(SmtRes!AQ88:'SmtRes'!AQ99,"=1",SmtRes!BU88:'SmtRes'!BU99)</f>
        <v>132.53</v>
      </c>
      <c r="CW118" s="2">
        <f>SUMIF(SmtRes!AQ88:'SmtRes'!AQ99,"=1",SmtRes!BV88:'SmtRes'!BV99)</f>
        <v>1.0799999999999998</v>
      </c>
      <c r="CX118" s="2">
        <f>AJ118</f>
        <v>0</v>
      </c>
      <c r="CY118" s="2">
        <f>(((S118+R118)*AT118)/100)</f>
        <v>1961.8535999999999</v>
      </c>
      <c r="CZ118" s="2">
        <f>(((S118+R118)*AU118)/100)</f>
        <v>1307.9023999999999</v>
      </c>
      <c r="DA118" s="2"/>
      <c r="DB118" s="2"/>
      <c r="DC118" s="2" t="s">
        <v>3</v>
      </c>
      <c r="DD118" s="2" t="s">
        <v>3</v>
      </c>
      <c r="DE118" s="2" t="s">
        <v>3</v>
      </c>
      <c r="DF118" s="2" t="s">
        <v>3</v>
      </c>
      <c r="DG118" s="2" t="s">
        <v>3</v>
      </c>
      <c r="DH118" s="2" t="s">
        <v>3</v>
      </c>
      <c r="DI118" s="2" t="s">
        <v>3</v>
      </c>
      <c r="DJ118" s="2" t="s">
        <v>3</v>
      </c>
      <c r="DK118" s="2" t="s">
        <v>3</v>
      </c>
      <c r="DL118" s="2" t="s">
        <v>3</v>
      </c>
      <c r="DM118" s="2" t="s">
        <v>3</v>
      </c>
      <c r="DN118" s="2">
        <v>0</v>
      </c>
      <c r="DO118" s="2">
        <v>0</v>
      </c>
      <c r="DP118" s="2">
        <v>1</v>
      </c>
      <c r="DQ118" s="2">
        <v>1</v>
      </c>
      <c r="DR118" s="2"/>
      <c r="DS118" s="2"/>
      <c r="DT118" s="2"/>
      <c r="DU118" s="2">
        <v>1005</v>
      </c>
      <c r="DV118" s="2" t="s">
        <v>274</v>
      </c>
      <c r="DW118" s="2" t="s">
        <v>274</v>
      </c>
      <c r="DX118" s="2">
        <v>100</v>
      </c>
      <c r="DY118" s="2"/>
      <c r="DZ118" s="2" t="s">
        <v>3</v>
      </c>
      <c r="EA118" s="2" t="s">
        <v>3</v>
      </c>
      <c r="EB118" s="2" t="s">
        <v>3</v>
      </c>
      <c r="EC118" s="2" t="s">
        <v>3</v>
      </c>
      <c r="ED118" s="2"/>
      <c r="EE118" s="2">
        <v>50991842</v>
      </c>
      <c r="EF118" s="2">
        <v>2</v>
      </c>
      <c r="EG118" s="2" t="s">
        <v>276</v>
      </c>
      <c r="EH118" s="2">
        <v>9</v>
      </c>
      <c r="EI118" s="2" t="s">
        <v>277</v>
      </c>
      <c r="EJ118" s="2">
        <v>1</v>
      </c>
      <c r="EK118" s="2">
        <v>9001</v>
      </c>
      <c r="EL118" s="2" t="s">
        <v>277</v>
      </c>
      <c r="EM118" s="2" t="s">
        <v>278</v>
      </c>
      <c r="EN118" s="2"/>
      <c r="EO118" s="2" t="s">
        <v>3</v>
      </c>
      <c r="EP118" s="2"/>
      <c r="EQ118" s="2">
        <v>0</v>
      </c>
      <c r="ER118" s="2">
        <v>0</v>
      </c>
      <c r="ES118" s="2">
        <v>0</v>
      </c>
      <c r="ET118" s="2">
        <v>0</v>
      </c>
      <c r="EU118" s="2">
        <v>0</v>
      </c>
      <c r="EV118" s="2">
        <v>0</v>
      </c>
      <c r="EW118" s="2">
        <v>132.53</v>
      </c>
      <c r="EX118" s="2">
        <v>1.08</v>
      </c>
      <c r="EY118" s="2">
        <v>0</v>
      </c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>
        <v>0</v>
      </c>
      <c r="FR118" s="2">
        <v>0</v>
      </c>
      <c r="FS118" s="2">
        <v>0</v>
      </c>
      <c r="FT118" s="2"/>
      <c r="FU118" s="2"/>
      <c r="FV118" s="2"/>
      <c r="FW118" s="2"/>
      <c r="FX118" s="2">
        <v>93</v>
      </c>
      <c r="FY118" s="2">
        <v>62</v>
      </c>
      <c r="FZ118" s="2"/>
      <c r="GA118" s="2" t="s">
        <v>3</v>
      </c>
      <c r="GB118" s="2"/>
      <c r="GC118" s="2"/>
      <c r="GD118" s="2">
        <v>1</v>
      </c>
      <c r="GE118" s="2"/>
      <c r="GF118" s="2">
        <v>1758771750</v>
      </c>
      <c r="GG118" s="2">
        <v>2</v>
      </c>
      <c r="GH118" s="2">
        <v>1</v>
      </c>
      <c r="GI118" s="2">
        <v>-2</v>
      </c>
      <c r="GJ118" s="2">
        <v>0</v>
      </c>
      <c r="GK118" s="2">
        <v>0</v>
      </c>
      <c r="GL118" s="2">
        <f>ROUND(IF(AND(BH118=3,BI118=3,FS118&lt;&gt;0),P118,0),2)</f>
        <v>0</v>
      </c>
      <c r="GM118" s="2">
        <f>ROUND(O118+X118+Y118,2)+GX118</f>
        <v>5927.13</v>
      </c>
      <c r="GN118" s="2">
        <f>IF(OR(BI118=0,BI118=1),GM118-GX118,0)</f>
        <v>5927.13</v>
      </c>
      <c r="GO118" s="2">
        <f>IF(BI118=2,GM118-GX118,0)</f>
        <v>0</v>
      </c>
      <c r="GP118" s="2">
        <f>IF(BI118=4,GM118-GX118,0)</f>
        <v>0</v>
      </c>
      <c r="GQ118" s="2"/>
      <c r="GR118" s="2">
        <v>0</v>
      </c>
      <c r="GS118" s="2">
        <v>3</v>
      </c>
      <c r="GT118" s="2">
        <v>0</v>
      </c>
      <c r="GU118" s="2" t="s">
        <v>3</v>
      </c>
      <c r="GV118" s="2">
        <f>ROUND((GT118),6)</f>
        <v>0</v>
      </c>
      <c r="GW118" s="2">
        <v>1</v>
      </c>
      <c r="GX118" s="2">
        <f>ROUND(HC118*I118,2)</f>
        <v>0</v>
      </c>
      <c r="GY118" s="2"/>
      <c r="GZ118" s="2"/>
      <c r="HA118" s="2">
        <v>0</v>
      </c>
      <c r="HB118" s="2">
        <v>0</v>
      </c>
      <c r="HC118" s="2">
        <f>GV118*GW118</f>
        <v>0</v>
      </c>
      <c r="HD118" s="2"/>
      <c r="HE118" s="2" t="s">
        <v>3</v>
      </c>
      <c r="HF118" s="2" t="s">
        <v>3</v>
      </c>
      <c r="HG118" s="2"/>
      <c r="HH118" s="2"/>
      <c r="HI118" s="2"/>
      <c r="HJ118" s="2"/>
      <c r="HK118" s="2"/>
      <c r="HL118" s="2"/>
      <c r="HM118" s="2" t="s">
        <v>3</v>
      </c>
      <c r="HN118" s="2" t="s">
        <v>279</v>
      </c>
      <c r="HO118" s="2" t="s">
        <v>280</v>
      </c>
      <c r="HP118" s="2" t="s">
        <v>277</v>
      </c>
      <c r="HQ118" s="2" t="s">
        <v>277</v>
      </c>
      <c r="HR118" s="2"/>
      <c r="HS118" s="2">
        <v>0</v>
      </c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>
        <v>0</v>
      </c>
      <c r="IL118" s="2"/>
      <c r="IM118" s="2"/>
      <c r="IN118" s="2"/>
      <c r="IO118" s="2"/>
      <c r="IP118" s="2"/>
      <c r="IQ118" s="2"/>
      <c r="IR118" s="2"/>
      <c r="IS118" s="2"/>
      <c r="IT118" s="2"/>
      <c r="IU118" s="2"/>
    </row>
    <row r="119" spans="1:255" x14ac:dyDescent="0.2">
      <c r="A119" s="2">
        <v>18</v>
      </c>
      <c r="B119" s="2">
        <v>1</v>
      </c>
      <c r="C119" s="2">
        <v>98</v>
      </c>
      <c r="D119" s="2"/>
      <c r="E119" s="2" t="s">
        <v>281</v>
      </c>
      <c r="F119" s="2" t="s">
        <v>282</v>
      </c>
      <c r="G119" s="2" t="s">
        <v>283</v>
      </c>
      <c r="H119" s="2" t="s">
        <v>108</v>
      </c>
      <c r="I119" s="2">
        <f>I118*J119</f>
        <v>0</v>
      </c>
      <c r="J119" s="2">
        <v>0</v>
      </c>
      <c r="K119" s="2">
        <v>0</v>
      </c>
      <c r="L119" s="2"/>
      <c r="M119" s="2"/>
      <c r="N119" s="2"/>
      <c r="O119" s="2">
        <f>ROUND(CP119,2)</f>
        <v>0</v>
      </c>
      <c r="P119" s="2">
        <f>ROUND(CQ119*I119,2)</f>
        <v>0</v>
      </c>
      <c r="Q119" s="2">
        <f>ROUND(CR119*I119,2)</f>
        <v>0</v>
      </c>
      <c r="R119" s="2">
        <f>ROUND(CS119*I119,2)</f>
        <v>0</v>
      </c>
      <c r="S119" s="2">
        <f>ROUND(CT119*I119,2)</f>
        <v>0</v>
      </c>
      <c r="T119" s="2">
        <f>ROUND(CU119*I119,2)</f>
        <v>0</v>
      </c>
      <c r="U119" s="2">
        <f>ROUND(CV119*I119,7)</f>
        <v>0</v>
      </c>
      <c r="V119" s="2">
        <f>ROUND(CW119*I119,7)</f>
        <v>0</v>
      </c>
      <c r="W119" s="2">
        <f>ROUND(CX119*I119,2)</f>
        <v>0</v>
      </c>
      <c r="X119" s="2">
        <f t="shared" si="110"/>
        <v>0</v>
      </c>
      <c r="Y119" s="2">
        <f t="shared" si="110"/>
        <v>0</v>
      </c>
      <c r="Z119" s="2"/>
      <c r="AA119" s="2">
        <v>52718353</v>
      </c>
      <c r="AB119" s="2">
        <f>ROUND((AC119+AD119+AF119),6)</f>
        <v>0</v>
      </c>
      <c r="AC119" s="2">
        <f>ROUND((ES119),6)</f>
        <v>0</v>
      </c>
      <c r="AD119" s="2">
        <f>ROUND((((ET119)-(EU119))+AE119),6)</f>
        <v>0</v>
      </c>
      <c r="AE119" s="2">
        <f t="shared" ref="AE119:AF121" si="111">ROUND((EU119),6)</f>
        <v>0</v>
      </c>
      <c r="AF119" s="2">
        <f t="shared" si="111"/>
        <v>0</v>
      </c>
      <c r="AG119" s="2">
        <f>ROUND((AP119),6)</f>
        <v>0</v>
      </c>
      <c r="AH119" s="2">
        <f t="shared" ref="AH119:AI121" si="112">(EW119)</f>
        <v>0</v>
      </c>
      <c r="AI119" s="2">
        <f t="shared" si="112"/>
        <v>0</v>
      </c>
      <c r="AJ119" s="2">
        <f>(AS119)</f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93</v>
      </c>
      <c r="AU119" s="2">
        <v>62</v>
      </c>
      <c r="AV119" s="2">
        <v>1</v>
      </c>
      <c r="AW119" s="2">
        <v>1</v>
      </c>
      <c r="AX119" s="2"/>
      <c r="AY119" s="2"/>
      <c r="AZ119" s="2">
        <v>1</v>
      </c>
      <c r="BA119" s="2">
        <v>1</v>
      </c>
      <c r="BB119" s="2">
        <v>1</v>
      </c>
      <c r="BC119" s="2">
        <v>1</v>
      </c>
      <c r="BD119" s="2" t="s">
        <v>3</v>
      </c>
      <c r="BE119" s="2" t="s">
        <v>3</v>
      </c>
      <c r="BF119" s="2" t="s">
        <v>3</v>
      </c>
      <c r="BG119" s="2" t="s">
        <v>3</v>
      </c>
      <c r="BH119" s="2">
        <v>3</v>
      </c>
      <c r="BI119" s="2">
        <v>1</v>
      </c>
      <c r="BJ119" s="2" t="s">
        <v>3</v>
      </c>
      <c r="BK119" s="2"/>
      <c r="BL119" s="2"/>
      <c r="BM119" s="2">
        <v>9001</v>
      </c>
      <c r="BN119" s="2">
        <v>0</v>
      </c>
      <c r="BO119" s="2" t="s">
        <v>3</v>
      </c>
      <c r="BP119" s="2">
        <v>0</v>
      </c>
      <c r="BQ119" s="2">
        <v>2</v>
      </c>
      <c r="BR119" s="2">
        <v>0</v>
      </c>
      <c r="BS119" s="2">
        <v>1</v>
      </c>
      <c r="BT119" s="2">
        <v>1</v>
      </c>
      <c r="BU119" s="2">
        <v>1</v>
      </c>
      <c r="BV119" s="2">
        <v>1</v>
      </c>
      <c r="BW119" s="2">
        <v>1</v>
      </c>
      <c r="BX119" s="2">
        <v>1</v>
      </c>
      <c r="BY119" s="2" t="s">
        <v>3</v>
      </c>
      <c r="BZ119" s="2">
        <v>93</v>
      </c>
      <c r="CA119" s="2">
        <v>62</v>
      </c>
      <c r="CB119" s="2" t="s">
        <v>3</v>
      </c>
      <c r="CC119" s="2"/>
      <c r="CD119" s="2"/>
      <c r="CE119" s="2">
        <v>0</v>
      </c>
      <c r="CF119" s="2">
        <v>0</v>
      </c>
      <c r="CG119" s="2">
        <v>0</v>
      </c>
      <c r="CH119" s="2"/>
      <c r="CI119" s="2"/>
      <c r="CJ119" s="2"/>
      <c r="CK119" s="2"/>
      <c r="CL119" s="2"/>
      <c r="CM119" s="2">
        <v>0</v>
      </c>
      <c r="CN119" s="2" t="s">
        <v>3</v>
      </c>
      <c r="CO119" s="2">
        <v>0</v>
      </c>
      <c r="CP119" s="2">
        <f>(P119+Q119+S119+R119)</f>
        <v>0</v>
      </c>
      <c r="CQ119" s="2">
        <f>ROUND(AL119*BC119,2)</f>
        <v>0</v>
      </c>
      <c r="CR119" s="2">
        <f>ROUND(AM119*BB119,2)</f>
        <v>0</v>
      </c>
      <c r="CS119" s="2">
        <f>ROUND(AN119*BS119,2)</f>
        <v>0</v>
      </c>
      <c r="CT119" s="2">
        <f>ROUND(AO119*BA119,2)</f>
        <v>0</v>
      </c>
      <c r="CU119" s="2">
        <f>AG119</f>
        <v>0</v>
      </c>
      <c r="CV119" s="2">
        <f t="shared" ref="CV119:CW121" si="113">AH119</f>
        <v>0</v>
      </c>
      <c r="CW119" s="2">
        <f t="shared" si="113"/>
        <v>0</v>
      </c>
      <c r="CX119" s="2">
        <f>AJ119</f>
        <v>0</v>
      </c>
      <c r="CY119" s="2">
        <f>(((S119+R119)*AT119)/100)</f>
        <v>0</v>
      </c>
      <c r="CZ119" s="2">
        <f>(((S119+R119)*AU119)/100)</f>
        <v>0</v>
      </c>
      <c r="DA119" s="2"/>
      <c r="DB119" s="2"/>
      <c r="DC119" s="2" t="s">
        <v>3</v>
      </c>
      <c r="DD119" s="2" t="s">
        <v>3</v>
      </c>
      <c r="DE119" s="2" t="s">
        <v>3</v>
      </c>
      <c r="DF119" s="2" t="s">
        <v>3</v>
      </c>
      <c r="DG119" s="2" t="s">
        <v>3</v>
      </c>
      <c r="DH119" s="2" t="s">
        <v>3</v>
      </c>
      <c r="DI119" s="2" t="s">
        <v>3</v>
      </c>
      <c r="DJ119" s="2" t="s">
        <v>3</v>
      </c>
      <c r="DK119" s="2" t="s">
        <v>3</v>
      </c>
      <c r="DL119" s="2" t="s">
        <v>3</v>
      </c>
      <c r="DM119" s="2" t="s">
        <v>3</v>
      </c>
      <c r="DN119" s="2">
        <v>0</v>
      </c>
      <c r="DO119" s="2">
        <v>0</v>
      </c>
      <c r="DP119" s="2">
        <v>1</v>
      </c>
      <c r="DQ119" s="2">
        <v>1</v>
      </c>
      <c r="DR119" s="2"/>
      <c r="DS119" s="2"/>
      <c r="DT119" s="2"/>
      <c r="DU119" s="2">
        <v>1013</v>
      </c>
      <c r="DV119" s="2" t="s">
        <v>108</v>
      </c>
      <c r="DW119" s="2" t="s">
        <v>108</v>
      </c>
      <c r="DX119" s="2">
        <v>1</v>
      </c>
      <c r="DY119" s="2"/>
      <c r="DZ119" s="2" t="s">
        <v>3</v>
      </c>
      <c r="EA119" s="2" t="s">
        <v>3</v>
      </c>
      <c r="EB119" s="2" t="s">
        <v>3</v>
      </c>
      <c r="EC119" s="2" t="s">
        <v>3</v>
      </c>
      <c r="ED119" s="2"/>
      <c r="EE119" s="2">
        <v>50991842</v>
      </c>
      <c r="EF119" s="2">
        <v>2</v>
      </c>
      <c r="EG119" s="2" t="s">
        <v>276</v>
      </c>
      <c r="EH119" s="2">
        <v>9</v>
      </c>
      <c r="EI119" s="2" t="s">
        <v>277</v>
      </c>
      <c r="EJ119" s="2">
        <v>1</v>
      </c>
      <c r="EK119" s="2">
        <v>9001</v>
      </c>
      <c r="EL119" s="2" t="s">
        <v>277</v>
      </c>
      <c r="EM119" s="2" t="s">
        <v>278</v>
      </c>
      <c r="EN119" s="2"/>
      <c r="EO119" s="2" t="s">
        <v>3</v>
      </c>
      <c r="EP119" s="2"/>
      <c r="EQ119" s="2">
        <v>0</v>
      </c>
      <c r="ER119" s="2">
        <v>0</v>
      </c>
      <c r="ES119" s="2">
        <v>0</v>
      </c>
      <c r="ET119" s="2">
        <v>0</v>
      </c>
      <c r="EU119" s="2">
        <v>0</v>
      </c>
      <c r="EV119" s="2">
        <v>0</v>
      </c>
      <c r="EW119" s="2">
        <v>0</v>
      </c>
      <c r="EX119" s="2">
        <v>0</v>
      </c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>
        <v>0</v>
      </c>
      <c r="FR119" s="2">
        <v>0</v>
      </c>
      <c r="FS119" s="2">
        <v>0</v>
      </c>
      <c r="FT119" s="2"/>
      <c r="FU119" s="2"/>
      <c r="FV119" s="2"/>
      <c r="FW119" s="2"/>
      <c r="FX119" s="2">
        <v>93</v>
      </c>
      <c r="FY119" s="2">
        <v>62</v>
      </c>
      <c r="FZ119" s="2"/>
      <c r="GA119" s="2" t="s">
        <v>3</v>
      </c>
      <c r="GB119" s="2"/>
      <c r="GC119" s="2"/>
      <c r="GD119" s="2">
        <v>1</v>
      </c>
      <c r="GE119" s="2"/>
      <c r="GF119" s="2">
        <v>-182895695</v>
      </c>
      <c r="GG119" s="2">
        <v>2</v>
      </c>
      <c r="GH119" s="2">
        <v>1</v>
      </c>
      <c r="GI119" s="2">
        <v>-2</v>
      </c>
      <c r="GJ119" s="2">
        <v>0</v>
      </c>
      <c r="GK119" s="2">
        <v>0</v>
      </c>
      <c r="GL119" s="2">
        <f>ROUND(IF(AND(BH119=3,BI119=3,FS119&lt;&gt;0),P119,0),2)</f>
        <v>0</v>
      </c>
      <c r="GM119" s="2">
        <f>ROUND(O119+X119+Y119,2)+GX119</f>
        <v>0</v>
      </c>
      <c r="GN119" s="2">
        <f>IF(OR(BI119=0,BI119=1),GM119-GX119,0)</f>
        <v>0</v>
      </c>
      <c r="GO119" s="2">
        <f>IF(BI119=2,GM119-GX119,0)</f>
        <v>0</v>
      </c>
      <c r="GP119" s="2">
        <f>IF(BI119=4,GM119-GX119,0)</f>
        <v>0</v>
      </c>
      <c r="GQ119" s="2"/>
      <c r="GR119" s="2">
        <v>0</v>
      </c>
      <c r="GS119" s="2">
        <v>3</v>
      </c>
      <c r="GT119" s="2">
        <v>0</v>
      </c>
      <c r="GU119" s="2" t="s">
        <v>3</v>
      </c>
      <c r="GV119" s="2">
        <f>ROUND((GT119),6)</f>
        <v>0</v>
      </c>
      <c r="GW119" s="2">
        <v>1</v>
      </c>
      <c r="GX119" s="2">
        <f>ROUND(HC119*I119,2)</f>
        <v>0</v>
      </c>
      <c r="GY119" s="2"/>
      <c r="GZ119" s="2"/>
      <c r="HA119" s="2">
        <v>0</v>
      </c>
      <c r="HB119" s="2">
        <v>0</v>
      </c>
      <c r="HC119" s="2">
        <f>GV119*GW119</f>
        <v>0</v>
      </c>
      <c r="HD119" s="2"/>
      <c r="HE119" s="2" t="s">
        <v>3</v>
      </c>
      <c r="HF119" s="2" t="s">
        <v>3</v>
      </c>
      <c r="HG119" s="2"/>
      <c r="HH119" s="2"/>
      <c r="HI119" s="2"/>
      <c r="HJ119" s="2"/>
      <c r="HK119" s="2"/>
      <c r="HL119" s="2"/>
      <c r="HM119" s="2" t="s">
        <v>3</v>
      </c>
      <c r="HN119" s="2" t="s">
        <v>279</v>
      </c>
      <c r="HO119" s="2" t="s">
        <v>280</v>
      </c>
      <c r="HP119" s="2" t="s">
        <v>277</v>
      </c>
      <c r="HQ119" s="2" t="s">
        <v>277</v>
      </c>
      <c r="HR119" s="2"/>
      <c r="HS119" s="2">
        <v>0</v>
      </c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>
        <v>0</v>
      </c>
      <c r="IL119" s="2"/>
      <c r="IM119" s="2"/>
      <c r="IN119" s="2"/>
      <c r="IO119" s="2"/>
      <c r="IP119" s="2"/>
      <c r="IQ119" s="2"/>
      <c r="IR119" s="2"/>
      <c r="IS119" s="2"/>
      <c r="IT119" s="2"/>
      <c r="IU119" s="2"/>
    </row>
    <row r="120" spans="1:255" x14ac:dyDescent="0.2">
      <c r="A120" s="2">
        <v>18</v>
      </c>
      <c r="B120" s="2">
        <v>1</v>
      </c>
      <c r="C120" s="2">
        <v>99</v>
      </c>
      <c r="D120" s="2"/>
      <c r="E120" s="2" t="s">
        <v>284</v>
      </c>
      <c r="F120" s="2" t="s">
        <v>285</v>
      </c>
      <c r="G120" s="2" t="s">
        <v>286</v>
      </c>
      <c r="H120" s="2" t="s">
        <v>287</v>
      </c>
      <c r="I120" s="2">
        <f>I118*J120</f>
        <v>2.2084999999999999</v>
      </c>
      <c r="J120" s="2">
        <v>100</v>
      </c>
      <c r="K120" s="2">
        <v>100</v>
      </c>
      <c r="L120" s="2"/>
      <c r="M120" s="2"/>
      <c r="N120" s="2"/>
      <c r="O120" s="2">
        <f>ROUND(CP120,2)</f>
        <v>0</v>
      </c>
      <c r="P120" s="2">
        <f>ROUND(CQ120*I120,2)</f>
        <v>0</v>
      </c>
      <c r="Q120" s="2">
        <f>ROUND(CR120*I120,2)</f>
        <v>0</v>
      </c>
      <c r="R120" s="2">
        <f>ROUND(CS120*I120,2)</f>
        <v>0</v>
      </c>
      <c r="S120" s="2">
        <f>ROUND(CT120*I120,2)</f>
        <v>0</v>
      </c>
      <c r="T120" s="2">
        <f>ROUND(CU120*I120,2)</f>
        <v>0</v>
      </c>
      <c r="U120" s="2">
        <f>ROUND(CV120*I120,7)</f>
        <v>0</v>
      </c>
      <c r="V120" s="2">
        <f>ROUND(CW120*I120,7)</f>
        <v>0</v>
      </c>
      <c r="W120" s="2">
        <f>ROUND(CX120*I120,2)</f>
        <v>0</v>
      </c>
      <c r="X120" s="2">
        <f t="shared" si="110"/>
        <v>0</v>
      </c>
      <c r="Y120" s="2">
        <f t="shared" si="110"/>
        <v>0</v>
      </c>
      <c r="Z120" s="2"/>
      <c r="AA120" s="2">
        <v>52718353</v>
      </c>
      <c r="AB120" s="2">
        <f>ROUND((AC120+AD120+AF120),6)</f>
        <v>0</v>
      </c>
      <c r="AC120" s="2">
        <f>ROUND((ES120),6)</f>
        <v>0</v>
      </c>
      <c r="AD120" s="2">
        <f>ROUND((((ET120)-(EU120))+AE120),6)</f>
        <v>0</v>
      </c>
      <c r="AE120" s="2">
        <f t="shared" si="111"/>
        <v>0</v>
      </c>
      <c r="AF120" s="2">
        <f t="shared" si="111"/>
        <v>0</v>
      </c>
      <c r="AG120" s="2">
        <f>ROUND((AP120),6)</f>
        <v>0</v>
      </c>
      <c r="AH120" s="2">
        <f t="shared" si="112"/>
        <v>0</v>
      </c>
      <c r="AI120" s="2">
        <f t="shared" si="112"/>
        <v>0</v>
      </c>
      <c r="AJ120" s="2">
        <f>(AS120)</f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93</v>
      </c>
      <c r="AU120" s="2">
        <v>62</v>
      </c>
      <c r="AV120" s="2">
        <v>1</v>
      </c>
      <c r="AW120" s="2">
        <v>1</v>
      </c>
      <c r="AX120" s="2"/>
      <c r="AY120" s="2"/>
      <c r="AZ120" s="2">
        <v>1</v>
      </c>
      <c r="BA120" s="2">
        <v>1</v>
      </c>
      <c r="BB120" s="2">
        <v>1</v>
      </c>
      <c r="BC120" s="2">
        <v>1</v>
      </c>
      <c r="BD120" s="2" t="s">
        <v>3</v>
      </c>
      <c r="BE120" s="2" t="s">
        <v>3</v>
      </c>
      <c r="BF120" s="2" t="s">
        <v>3</v>
      </c>
      <c r="BG120" s="2" t="s">
        <v>3</v>
      </c>
      <c r="BH120" s="2">
        <v>3</v>
      </c>
      <c r="BI120" s="2">
        <v>1</v>
      </c>
      <c r="BJ120" s="2" t="s">
        <v>3</v>
      </c>
      <c r="BK120" s="2"/>
      <c r="BL120" s="2"/>
      <c r="BM120" s="2">
        <v>9001</v>
      </c>
      <c r="BN120" s="2">
        <v>0</v>
      </c>
      <c r="BO120" s="2" t="s">
        <v>3</v>
      </c>
      <c r="BP120" s="2">
        <v>0</v>
      </c>
      <c r="BQ120" s="2">
        <v>2</v>
      </c>
      <c r="BR120" s="2">
        <v>0</v>
      </c>
      <c r="BS120" s="2">
        <v>1</v>
      </c>
      <c r="BT120" s="2">
        <v>1</v>
      </c>
      <c r="BU120" s="2">
        <v>1</v>
      </c>
      <c r="BV120" s="2">
        <v>1</v>
      </c>
      <c r="BW120" s="2">
        <v>1</v>
      </c>
      <c r="BX120" s="2">
        <v>1</v>
      </c>
      <c r="BY120" s="2" t="s">
        <v>3</v>
      </c>
      <c r="BZ120" s="2">
        <v>93</v>
      </c>
      <c r="CA120" s="2">
        <v>62</v>
      </c>
      <c r="CB120" s="2" t="s">
        <v>3</v>
      </c>
      <c r="CC120" s="2"/>
      <c r="CD120" s="2"/>
      <c r="CE120" s="2">
        <v>0</v>
      </c>
      <c r="CF120" s="2">
        <v>0</v>
      </c>
      <c r="CG120" s="2">
        <v>0</v>
      </c>
      <c r="CH120" s="2"/>
      <c r="CI120" s="2"/>
      <c r="CJ120" s="2"/>
      <c r="CK120" s="2"/>
      <c r="CL120" s="2"/>
      <c r="CM120" s="2">
        <v>0</v>
      </c>
      <c r="CN120" s="2" t="s">
        <v>3</v>
      </c>
      <c r="CO120" s="2">
        <v>0</v>
      </c>
      <c r="CP120" s="2">
        <f>(P120+Q120+S120+R120)</f>
        <v>0</v>
      </c>
      <c r="CQ120" s="2">
        <f>ROUND(AL120*BC120,2)</f>
        <v>0</v>
      </c>
      <c r="CR120" s="2">
        <f>ROUND(AM120*BB120,2)</f>
        <v>0</v>
      </c>
      <c r="CS120" s="2">
        <f>ROUND(AN120*BS120,2)</f>
        <v>0</v>
      </c>
      <c r="CT120" s="2">
        <f>ROUND(AO120*BA120,2)</f>
        <v>0</v>
      </c>
      <c r="CU120" s="2">
        <f>AG120</f>
        <v>0</v>
      </c>
      <c r="CV120" s="2">
        <f t="shared" si="113"/>
        <v>0</v>
      </c>
      <c r="CW120" s="2">
        <f t="shared" si="113"/>
        <v>0</v>
      </c>
      <c r="CX120" s="2">
        <f>AJ120</f>
        <v>0</v>
      </c>
      <c r="CY120" s="2">
        <f>(((S120+R120)*AT120)/100)</f>
        <v>0</v>
      </c>
      <c r="CZ120" s="2">
        <f>(((S120+R120)*AU120)/100)</f>
        <v>0</v>
      </c>
      <c r="DA120" s="2"/>
      <c r="DB120" s="2"/>
      <c r="DC120" s="2" t="s">
        <v>3</v>
      </c>
      <c r="DD120" s="2" t="s">
        <v>3</v>
      </c>
      <c r="DE120" s="2" t="s">
        <v>3</v>
      </c>
      <c r="DF120" s="2" t="s">
        <v>3</v>
      </c>
      <c r="DG120" s="2" t="s">
        <v>3</v>
      </c>
      <c r="DH120" s="2" t="s">
        <v>3</v>
      </c>
      <c r="DI120" s="2" t="s">
        <v>3</v>
      </c>
      <c r="DJ120" s="2" t="s">
        <v>3</v>
      </c>
      <c r="DK120" s="2" t="s">
        <v>3</v>
      </c>
      <c r="DL120" s="2" t="s">
        <v>3</v>
      </c>
      <c r="DM120" s="2" t="s">
        <v>3</v>
      </c>
      <c r="DN120" s="2">
        <v>0</v>
      </c>
      <c r="DO120" s="2">
        <v>0</v>
      </c>
      <c r="DP120" s="2">
        <v>1</v>
      </c>
      <c r="DQ120" s="2">
        <v>1</v>
      </c>
      <c r="DR120" s="2"/>
      <c r="DS120" s="2"/>
      <c r="DT120" s="2"/>
      <c r="DU120" s="2">
        <v>1005</v>
      </c>
      <c r="DV120" s="2" t="s">
        <v>287</v>
      </c>
      <c r="DW120" s="2" t="s">
        <v>287</v>
      </c>
      <c r="DX120" s="2">
        <v>1</v>
      </c>
      <c r="DY120" s="2"/>
      <c r="DZ120" s="2" t="s">
        <v>3</v>
      </c>
      <c r="EA120" s="2" t="s">
        <v>3</v>
      </c>
      <c r="EB120" s="2" t="s">
        <v>3</v>
      </c>
      <c r="EC120" s="2" t="s">
        <v>3</v>
      </c>
      <c r="ED120" s="2"/>
      <c r="EE120" s="2">
        <v>50991842</v>
      </c>
      <c r="EF120" s="2">
        <v>2</v>
      </c>
      <c r="EG120" s="2" t="s">
        <v>276</v>
      </c>
      <c r="EH120" s="2">
        <v>9</v>
      </c>
      <c r="EI120" s="2" t="s">
        <v>277</v>
      </c>
      <c r="EJ120" s="2">
        <v>1</v>
      </c>
      <c r="EK120" s="2">
        <v>9001</v>
      </c>
      <c r="EL120" s="2" t="s">
        <v>277</v>
      </c>
      <c r="EM120" s="2" t="s">
        <v>278</v>
      </c>
      <c r="EN120" s="2"/>
      <c r="EO120" s="2" t="s">
        <v>3</v>
      </c>
      <c r="EP120" s="2"/>
      <c r="EQ120" s="2">
        <v>0</v>
      </c>
      <c r="ER120" s="2">
        <v>0</v>
      </c>
      <c r="ES120" s="2">
        <v>0</v>
      </c>
      <c r="ET120" s="2">
        <v>0</v>
      </c>
      <c r="EU120" s="2">
        <v>0</v>
      </c>
      <c r="EV120" s="2">
        <v>0</v>
      </c>
      <c r="EW120" s="2">
        <v>0</v>
      </c>
      <c r="EX120" s="2">
        <v>0</v>
      </c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>
        <v>0</v>
      </c>
      <c r="FR120" s="2">
        <v>0</v>
      </c>
      <c r="FS120" s="2">
        <v>0</v>
      </c>
      <c r="FT120" s="2"/>
      <c r="FU120" s="2"/>
      <c r="FV120" s="2"/>
      <c r="FW120" s="2"/>
      <c r="FX120" s="2">
        <v>93</v>
      </c>
      <c r="FY120" s="2">
        <v>62</v>
      </c>
      <c r="FZ120" s="2"/>
      <c r="GA120" s="2" t="s">
        <v>3</v>
      </c>
      <c r="GB120" s="2"/>
      <c r="GC120" s="2"/>
      <c r="GD120" s="2">
        <v>1</v>
      </c>
      <c r="GE120" s="2"/>
      <c r="GF120" s="2">
        <v>1196245549</v>
      </c>
      <c r="GG120" s="2">
        <v>2</v>
      </c>
      <c r="GH120" s="2">
        <v>1</v>
      </c>
      <c r="GI120" s="2">
        <v>-2</v>
      </c>
      <c r="GJ120" s="2">
        <v>0</v>
      </c>
      <c r="GK120" s="2">
        <v>0</v>
      </c>
      <c r="GL120" s="2">
        <f>ROUND(IF(AND(BH120=3,BI120=3,FS120&lt;&gt;0),P120,0),2)</f>
        <v>0</v>
      </c>
      <c r="GM120" s="2">
        <f>ROUND(O120+X120+Y120,2)+GX120</f>
        <v>0</v>
      </c>
      <c r="GN120" s="2">
        <f>IF(OR(BI120=0,BI120=1),GM120-GX120,0)</f>
        <v>0</v>
      </c>
      <c r="GO120" s="2">
        <f>IF(BI120=2,GM120-GX120,0)</f>
        <v>0</v>
      </c>
      <c r="GP120" s="2">
        <f>IF(BI120=4,GM120-GX120,0)</f>
        <v>0</v>
      </c>
      <c r="GQ120" s="2"/>
      <c r="GR120" s="2">
        <v>0</v>
      </c>
      <c r="GS120" s="2">
        <v>3</v>
      </c>
      <c r="GT120" s="2">
        <v>0</v>
      </c>
      <c r="GU120" s="2" t="s">
        <v>3</v>
      </c>
      <c r="GV120" s="2">
        <f>ROUND((GT120),6)</f>
        <v>0</v>
      </c>
      <c r="GW120" s="2">
        <v>1</v>
      </c>
      <c r="GX120" s="2">
        <f>ROUND(HC120*I120,2)</f>
        <v>0</v>
      </c>
      <c r="GY120" s="2"/>
      <c r="GZ120" s="2"/>
      <c r="HA120" s="2">
        <v>0</v>
      </c>
      <c r="HB120" s="2">
        <v>0</v>
      </c>
      <c r="HC120" s="2">
        <f>GV120*GW120</f>
        <v>0</v>
      </c>
      <c r="HD120" s="2"/>
      <c r="HE120" s="2" t="s">
        <v>3</v>
      </c>
      <c r="HF120" s="2" t="s">
        <v>3</v>
      </c>
      <c r="HG120" s="2"/>
      <c r="HH120" s="2"/>
      <c r="HI120" s="2"/>
      <c r="HJ120" s="2"/>
      <c r="HK120" s="2"/>
      <c r="HL120" s="2"/>
      <c r="HM120" s="2" t="s">
        <v>3</v>
      </c>
      <c r="HN120" s="2" t="s">
        <v>279</v>
      </c>
      <c r="HO120" s="2" t="s">
        <v>280</v>
      </c>
      <c r="HP120" s="2" t="s">
        <v>277</v>
      </c>
      <c r="HQ120" s="2" t="s">
        <v>277</v>
      </c>
      <c r="HR120" s="2"/>
      <c r="HS120" s="2">
        <v>0</v>
      </c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>
        <v>0</v>
      </c>
      <c r="IL120" s="2"/>
      <c r="IM120" s="2"/>
      <c r="IN120" s="2"/>
      <c r="IO120" s="2"/>
      <c r="IP120" s="2"/>
      <c r="IQ120" s="2"/>
      <c r="IR120" s="2"/>
      <c r="IS120" s="2"/>
      <c r="IT120" s="2"/>
      <c r="IU120" s="2"/>
    </row>
    <row r="121" spans="1:255" x14ac:dyDescent="0.2">
      <c r="A121" s="2">
        <v>17</v>
      </c>
      <c r="B121" s="2">
        <v>1</v>
      </c>
      <c r="C121" s="2"/>
      <c r="D121" s="2"/>
      <c r="E121" s="2" t="s">
        <v>288</v>
      </c>
      <c r="F121" s="2" t="s">
        <v>289</v>
      </c>
      <c r="G121" s="2" t="s">
        <v>504</v>
      </c>
      <c r="H121" s="2" t="s">
        <v>108</v>
      </c>
      <c r="I121" s="2">
        <v>1</v>
      </c>
      <c r="J121" s="2">
        <v>0</v>
      </c>
      <c r="K121" s="2">
        <v>1</v>
      </c>
      <c r="L121" s="2"/>
      <c r="M121" s="2"/>
      <c r="N121" s="2"/>
      <c r="O121" s="2">
        <f>ROUND(CP121,2)</f>
        <v>105409.84</v>
      </c>
      <c r="P121" s="2">
        <f>ROUND(CQ121*I121,2)</f>
        <v>105409.84</v>
      </c>
      <c r="Q121" s="2">
        <f>ROUND(CR121*I121,2)</f>
        <v>0</v>
      </c>
      <c r="R121" s="2">
        <f>ROUND(CS121*I121,2)</f>
        <v>0</v>
      </c>
      <c r="S121" s="2">
        <f>ROUND(CT121*I121,2)</f>
        <v>0</v>
      </c>
      <c r="T121" s="2">
        <f>ROUND(CU121*I121,2)</f>
        <v>0</v>
      </c>
      <c r="U121" s="2">
        <f>ROUND(CV121*I121,7)</f>
        <v>0</v>
      </c>
      <c r="V121" s="2">
        <f>ROUND(CW121*I121,7)</f>
        <v>0</v>
      </c>
      <c r="W121" s="2">
        <f>ROUND(CX121*I121,2)</f>
        <v>0</v>
      </c>
      <c r="X121" s="2">
        <f t="shared" si="110"/>
        <v>0</v>
      </c>
      <c r="Y121" s="2">
        <f t="shared" si="110"/>
        <v>0</v>
      </c>
      <c r="Z121" s="2"/>
      <c r="AA121" s="2">
        <v>52718353</v>
      </c>
      <c r="AB121" s="2">
        <f>ROUND((AC121+AD121+AF121),6)</f>
        <v>105409.84</v>
      </c>
      <c r="AC121" s="2">
        <f>ROUND((ES121),6)</f>
        <v>105409.84</v>
      </c>
      <c r="AD121" s="2">
        <f>ROUND((((ET121)-(EU121))+AE121),6)</f>
        <v>0</v>
      </c>
      <c r="AE121" s="2">
        <f t="shared" si="111"/>
        <v>0</v>
      </c>
      <c r="AF121" s="2">
        <f t="shared" si="111"/>
        <v>0</v>
      </c>
      <c r="AG121" s="2">
        <f>ROUND((AP121),6)</f>
        <v>0</v>
      </c>
      <c r="AH121" s="2">
        <f t="shared" si="112"/>
        <v>0</v>
      </c>
      <c r="AI121" s="2">
        <f t="shared" si="112"/>
        <v>0</v>
      </c>
      <c r="AJ121" s="2">
        <f>(AS121)</f>
        <v>0</v>
      </c>
      <c r="AK121" s="2">
        <v>105409.84</v>
      </c>
      <c r="AL121" s="2">
        <v>105409.84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1</v>
      </c>
      <c r="AW121" s="2">
        <v>1</v>
      </c>
      <c r="AX121" s="2"/>
      <c r="AY121" s="2"/>
      <c r="AZ121" s="2">
        <v>1</v>
      </c>
      <c r="BA121" s="2">
        <v>1</v>
      </c>
      <c r="BB121" s="2">
        <v>1</v>
      </c>
      <c r="BC121" s="2">
        <v>1</v>
      </c>
      <c r="BD121" s="2" t="s">
        <v>3</v>
      </c>
      <c r="BE121" s="2" t="s">
        <v>3</v>
      </c>
      <c r="BF121" s="2" t="s">
        <v>3</v>
      </c>
      <c r="BG121" s="2" t="s">
        <v>3</v>
      </c>
      <c r="BH121" s="2">
        <v>3</v>
      </c>
      <c r="BI121" s="2">
        <v>1</v>
      </c>
      <c r="BJ121" s="2" t="s">
        <v>3</v>
      </c>
      <c r="BK121" s="2"/>
      <c r="BL121" s="2"/>
      <c r="BM121" s="2">
        <v>1100</v>
      </c>
      <c r="BN121" s="2">
        <v>0</v>
      </c>
      <c r="BO121" s="2" t="s">
        <v>3</v>
      </c>
      <c r="BP121" s="2">
        <v>0</v>
      </c>
      <c r="BQ121" s="2">
        <v>8</v>
      </c>
      <c r="BR121" s="2">
        <v>0</v>
      </c>
      <c r="BS121" s="2">
        <v>1</v>
      </c>
      <c r="BT121" s="2">
        <v>1</v>
      </c>
      <c r="BU121" s="2">
        <v>1</v>
      </c>
      <c r="BV121" s="2">
        <v>1</v>
      </c>
      <c r="BW121" s="2">
        <v>1</v>
      </c>
      <c r="BX121" s="2">
        <v>1</v>
      </c>
      <c r="BY121" s="2" t="s">
        <v>3</v>
      </c>
      <c r="BZ121" s="2">
        <v>0</v>
      </c>
      <c r="CA121" s="2">
        <v>0</v>
      </c>
      <c r="CB121" s="2" t="s">
        <v>3</v>
      </c>
      <c r="CC121" s="2"/>
      <c r="CD121" s="2"/>
      <c r="CE121" s="2">
        <v>0</v>
      </c>
      <c r="CF121" s="2">
        <v>0</v>
      </c>
      <c r="CG121" s="2">
        <v>0</v>
      </c>
      <c r="CH121" s="2"/>
      <c r="CI121" s="2"/>
      <c r="CJ121" s="2"/>
      <c r="CK121" s="2"/>
      <c r="CL121" s="2"/>
      <c r="CM121" s="2">
        <v>0</v>
      </c>
      <c r="CN121" s="2" t="s">
        <v>3</v>
      </c>
      <c r="CO121" s="2">
        <v>0</v>
      </c>
      <c r="CP121" s="2">
        <f>(P121+Q121+S121+R121)</f>
        <v>105409.84</v>
      </c>
      <c r="CQ121" s="2">
        <f>ROUND(AL121*BC121,2)</f>
        <v>105409.84</v>
      </c>
      <c r="CR121" s="2">
        <f>ROUND(AM121*BB121,2)</f>
        <v>0</v>
      </c>
      <c r="CS121" s="2">
        <f>ROUND(AN121*BS121,2)</f>
        <v>0</v>
      </c>
      <c r="CT121" s="2">
        <f>ROUND(AO121*BA121,2)</f>
        <v>0</v>
      </c>
      <c r="CU121" s="2">
        <f>AG121</f>
        <v>0</v>
      </c>
      <c r="CV121" s="2">
        <f t="shared" si="113"/>
        <v>0</v>
      </c>
      <c r="CW121" s="2">
        <f t="shared" si="113"/>
        <v>0</v>
      </c>
      <c r="CX121" s="2">
        <f>AJ121</f>
        <v>0</v>
      </c>
      <c r="CY121" s="2">
        <f>(((S121+R121)*AT121)/100)</f>
        <v>0</v>
      </c>
      <c r="CZ121" s="2">
        <f>(((S121+R121)*AU121)/100)</f>
        <v>0</v>
      </c>
      <c r="DA121" s="2"/>
      <c r="DB121" s="2"/>
      <c r="DC121" s="2" t="s">
        <v>3</v>
      </c>
      <c r="DD121" s="2" t="s">
        <v>3</v>
      </c>
      <c r="DE121" s="2" t="s">
        <v>3</v>
      </c>
      <c r="DF121" s="2" t="s">
        <v>3</v>
      </c>
      <c r="DG121" s="2" t="s">
        <v>3</v>
      </c>
      <c r="DH121" s="2" t="s">
        <v>3</v>
      </c>
      <c r="DI121" s="2" t="s">
        <v>3</v>
      </c>
      <c r="DJ121" s="2" t="s">
        <v>3</v>
      </c>
      <c r="DK121" s="2" t="s">
        <v>3</v>
      </c>
      <c r="DL121" s="2" t="s">
        <v>3</v>
      </c>
      <c r="DM121" s="2" t="s">
        <v>3</v>
      </c>
      <c r="DN121" s="2">
        <v>0</v>
      </c>
      <c r="DO121" s="2">
        <v>0</v>
      </c>
      <c r="DP121" s="2">
        <v>1</v>
      </c>
      <c r="DQ121" s="2">
        <v>1</v>
      </c>
      <c r="DR121" s="2"/>
      <c r="DS121" s="2"/>
      <c r="DT121" s="2"/>
      <c r="DU121" s="2">
        <v>1013</v>
      </c>
      <c r="DV121" s="2" t="s">
        <v>108</v>
      </c>
      <c r="DW121" s="2" t="s">
        <v>108</v>
      </c>
      <c r="DX121" s="2">
        <v>1</v>
      </c>
      <c r="DY121" s="2"/>
      <c r="DZ121" s="2" t="s">
        <v>3</v>
      </c>
      <c r="EA121" s="2" t="s">
        <v>3</v>
      </c>
      <c r="EB121" s="2" t="s">
        <v>3</v>
      </c>
      <c r="EC121" s="2" t="s">
        <v>3</v>
      </c>
      <c r="ED121" s="2"/>
      <c r="EE121" s="2">
        <v>50992022</v>
      </c>
      <c r="EF121" s="2">
        <v>8</v>
      </c>
      <c r="EG121" s="2" t="s">
        <v>33</v>
      </c>
      <c r="EH121" s="2">
        <v>0</v>
      </c>
      <c r="EI121" s="2" t="s">
        <v>3</v>
      </c>
      <c r="EJ121" s="2">
        <v>1</v>
      </c>
      <c r="EK121" s="2">
        <v>1100</v>
      </c>
      <c r="EL121" s="2" t="s">
        <v>87</v>
      </c>
      <c r="EM121" s="2" t="s">
        <v>88</v>
      </c>
      <c r="EN121" s="2"/>
      <c r="EO121" s="2" t="s">
        <v>3</v>
      </c>
      <c r="EP121" s="2"/>
      <c r="EQ121" s="2">
        <v>0</v>
      </c>
      <c r="ER121" s="2">
        <v>105409.84</v>
      </c>
      <c r="ES121" s="2">
        <v>105409.84</v>
      </c>
      <c r="ET121" s="2">
        <v>0</v>
      </c>
      <c r="EU121" s="2">
        <v>0</v>
      </c>
      <c r="EV121" s="2">
        <v>0</v>
      </c>
      <c r="EW121" s="2">
        <v>0</v>
      </c>
      <c r="EX121" s="2">
        <v>0</v>
      </c>
      <c r="EY121" s="2">
        <v>0</v>
      </c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>
        <v>0</v>
      </c>
      <c r="FR121" s="2">
        <v>0</v>
      </c>
      <c r="FS121" s="2">
        <v>0</v>
      </c>
      <c r="FT121" s="2"/>
      <c r="FU121" s="2"/>
      <c r="FV121" s="2"/>
      <c r="FW121" s="2"/>
      <c r="FX121" s="2">
        <v>0</v>
      </c>
      <c r="FY121" s="2">
        <v>0</v>
      </c>
      <c r="FZ121" s="2"/>
      <c r="GA121" s="2" t="s">
        <v>89</v>
      </c>
      <c r="GB121" s="2"/>
      <c r="GC121" s="2"/>
      <c r="GD121" s="2">
        <v>1</v>
      </c>
      <c r="GE121" s="2"/>
      <c r="GF121" s="2">
        <v>-442371794</v>
      </c>
      <c r="GG121" s="2">
        <v>2</v>
      </c>
      <c r="GH121" s="2">
        <v>0</v>
      </c>
      <c r="GI121" s="2">
        <v>-2</v>
      </c>
      <c r="GJ121" s="2">
        <v>0</v>
      </c>
      <c r="GK121" s="2">
        <v>0</v>
      </c>
      <c r="GL121" s="2">
        <f>ROUND(IF(AND(BH121=3,BI121=3,FS121&lt;&gt;0),P121,0),2)</f>
        <v>0</v>
      </c>
      <c r="GM121" s="2">
        <f>ROUND(O121+X121+Y121,2)+GX121</f>
        <v>105409.84</v>
      </c>
      <c r="GN121" s="2">
        <f>IF(OR(BI121=0,BI121=1),GM121-GX121,0)</f>
        <v>105409.84</v>
      </c>
      <c r="GO121" s="2">
        <f>IF(BI121=2,GM121-GX121,0)</f>
        <v>0</v>
      </c>
      <c r="GP121" s="2">
        <f>IF(BI121=4,GM121-GX121,0)</f>
        <v>0</v>
      </c>
      <c r="GQ121" s="2"/>
      <c r="GR121" s="2">
        <v>0</v>
      </c>
      <c r="GS121" s="2">
        <v>4</v>
      </c>
      <c r="GT121" s="2">
        <v>0</v>
      </c>
      <c r="GU121" s="2" t="s">
        <v>3</v>
      </c>
      <c r="GV121" s="2">
        <f>ROUND((GT121),6)</f>
        <v>0</v>
      </c>
      <c r="GW121" s="2">
        <v>1</v>
      </c>
      <c r="GX121" s="2">
        <f>ROUND(HC121*I121,2)</f>
        <v>0</v>
      </c>
      <c r="GY121" s="2"/>
      <c r="GZ121" s="2"/>
      <c r="HA121" s="2">
        <v>0</v>
      </c>
      <c r="HB121" s="2">
        <v>0</v>
      </c>
      <c r="HC121" s="2">
        <f>GV121*GW121</f>
        <v>0</v>
      </c>
      <c r="HD121" s="2"/>
      <c r="HE121" s="2" t="s">
        <v>3</v>
      </c>
      <c r="HF121" s="2" t="s">
        <v>3</v>
      </c>
      <c r="HG121" s="2"/>
      <c r="HH121" s="2"/>
      <c r="HI121" s="2"/>
      <c r="HJ121" s="2"/>
      <c r="HK121" s="2"/>
      <c r="HL121" s="2"/>
      <c r="HM121" s="2" t="s">
        <v>3</v>
      </c>
      <c r="HN121" s="2" t="s">
        <v>3</v>
      </c>
      <c r="HO121" s="2" t="s">
        <v>3</v>
      </c>
      <c r="HP121" s="2" t="s">
        <v>3</v>
      </c>
      <c r="HQ121" s="2" t="s">
        <v>3</v>
      </c>
      <c r="HR121" s="2"/>
      <c r="HS121" s="2">
        <v>0</v>
      </c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>
        <v>0</v>
      </c>
      <c r="IL121" s="2"/>
      <c r="IM121" s="2"/>
      <c r="IN121" s="2"/>
      <c r="IO121" s="2"/>
      <c r="IP121" s="2"/>
      <c r="IQ121" s="2"/>
      <c r="IR121" s="2"/>
      <c r="IS121" s="2"/>
      <c r="IT121" s="2"/>
      <c r="IU121" s="2"/>
    </row>
    <row r="123" spans="1:255" x14ac:dyDescent="0.2">
      <c r="A123" s="3">
        <v>51</v>
      </c>
      <c r="B123" s="3">
        <f>B114</f>
        <v>1</v>
      </c>
      <c r="C123" s="3">
        <f>A114</f>
        <v>4</v>
      </c>
      <c r="D123" s="3">
        <f>ROW(A114)</f>
        <v>114</v>
      </c>
      <c r="E123" s="3"/>
      <c r="F123" s="3" t="str">
        <f>IF(F114&lt;&gt;"",F114,"")</f>
        <v/>
      </c>
      <c r="G123" s="3" t="str">
        <f>IF(G114&lt;&gt;"",G114,"")</f>
        <v>Рентгенозащита</v>
      </c>
      <c r="H123" s="3">
        <v>0</v>
      </c>
      <c r="I123" s="3"/>
      <c r="J123" s="3"/>
      <c r="K123" s="3"/>
      <c r="L123" s="3"/>
      <c r="M123" s="3"/>
      <c r="N123" s="3"/>
      <c r="O123" s="3">
        <f t="shared" ref="O123:T123" si="114">ROUND(AB123,2)</f>
        <v>108067.22</v>
      </c>
      <c r="P123" s="3">
        <f t="shared" si="114"/>
        <v>105945.77</v>
      </c>
      <c r="Q123" s="3">
        <f t="shared" si="114"/>
        <v>11.93</v>
      </c>
      <c r="R123" s="3">
        <f t="shared" si="114"/>
        <v>17.62</v>
      </c>
      <c r="S123" s="3">
        <f t="shared" si="114"/>
        <v>2091.9</v>
      </c>
      <c r="T123" s="3">
        <f t="shared" si="114"/>
        <v>0</v>
      </c>
      <c r="U123" s="3">
        <f>AH123</f>
        <v>2.9269251000000001</v>
      </c>
      <c r="V123" s="3">
        <f>AI123</f>
        <v>2.3851899999999999E-2</v>
      </c>
      <c r="W123" s="3">
        <f>ROUND(AJ123,2)</f>
        <v>0</v>
      </c>
      <c r="X123" s="3">
        <f>ROUND(AK123,2)</f>
        <v>1961.85</v>
      </c>
      <c r="Y123" s="3">
        <f>ROUND(AL123,2)</f>
        <v>1307.9000000000001</v>
      </c>
      <c r="Z123" s="3"/>
      <c r="AA123" s="3"/>
      <c r="AB123" s="3">
        <f>ROUND(SUMIF(AA118:AA121,"=52718353",O118:O121),2)</f>
        <v>108067.22</v>
      </c>
      <c r="AC123" s="3">
        <f>ROUND(SUMIF(AA118:AA121,"=52718353",P118:P121),2)</f>
        <v>105945.77</v>
      </c>
      <c r="AD123" s="3">
        <f>ROUND(SUMIF(AA118:AA121,"=52718353",Q118:Q121),2)</f>
        <v>11.93</v>
      </c>
      <c r="AE123" s="3">
        <f>ROUND(SUMIF(AA118:AA121,"=52718353",R118:R121),2)</f>
        <v>17.62</v>
      </c>
      <c r="AF123" s="3">
        <f>ROUND(SUMIF(AA118:AA121,"=52718353",S118:S121),2)</f>
        <v>2091.9</v>
      </c>
      <c r="AG123" s="3">
        <f>ROUND(SUMIF(AA118:AA121,"=52718353",T118:T121),2)</f>
        <v>0</v>
      </c>
      <c r="AH123" s="3">
        <f>SUMIF(AA118:AA121,"=52718353",U118:U121)</f>
        <v>2.9269251000000001</v>
      </c>
      <c r="AI123" s="3">
        <f>SUMIF(AA118:AA121,"=52718353",V118:V121)</f>
        <v>2.3851899999999999E-2</v>
      </c>
      <c r="AJ123" s="3">
        <f>ROUND(SUMIF(AA118:AA121,"=52718353",W118:W121),2)</f>
        <v>0</v>
      </c>
      <c r="AK123" s="3">
        <f>ROUND(SUMIF(AA118:AA121,"=52718353",X118:X121),2)</f>
        <v>1961.85</v>
      </c>
      <c r="AL123" s="3">
        <f>ROUND(SUMIF(AA118:AA121,"=52718353",Y118:Y121),2)</f>
        <v>1307.9000000000001</v>
      </c>
      <c r="AM123" s="3"/>
      <c r="AN123" s="3"/>
      <c r="AO123" s="3">
        <f t="shared" ref="AO123:BD123" si="115">ROUND(BX123,2)</f>
        <v>0</v>
      </c>
      <c r="AP123" s="3">
        <f t="shared" si="115"/>
        <v>0</v>
      </c>
      <c r="AQ123" s="3">
        <f t="shared" si="115"/>
        <v>0</v>
      </c>
      <c r="AR123" s="3">
        <f t="shared" si="115"/>
        <v>111336.97</v>
      </c>
      <c r="AS123" s="3">
        <f t="shared" si="115"/>
        <v>111336.97</v>
      </c>
      <c r="AT123" s="3">
        <f t="shared" si="115"/>
        <v>0</v>
      </c>
      <c r="AU123" s="3">
        <f t="shared" si="115"/>
        <v>0</v>
      </c>
      <c r="AV123" s="3">
        <f t="shared" si="115"/>
        <v>105945.77</v>
      </c>
      <c r="AW123" s="3">
        <f t="shared" si="115"/>
        <v>105945.77</v>
      </c>
      <c r="AX123" s="3">
        <f t="shared" si="115"/>
        <v>0</v>
      </c>
      <c r="AY123" s="3">
        <f t="shared" si="115"/>
        <v>105945.77</v>
      </c>
      <c r="AZ123" s="3">
        <f t="shared" si="115"/>
        <v>0</v>
      </c>
      <c r="BA123" s="3">
        <f t="shared" si="115"/>
        <v>0</v>
      </c>
      <c r="BB123" s="3">
        <f t="shared" si="115"/>
        <v>0</v>
      </c>
      <c r="BC123" s="3">
        <f t="shared" si="115"/>
        <v>0</v>
      </c>
      <c r="BD123" s="3">
        <f t="shared" si="115"/>
        <v>0</v>
      </c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>
        <f>ROUND(SUMIF(AA118:AA121,"=52718353",FQ118:FQ121),2)</f>
        <v>0</v>
      </c>
      <c r="BY123" s="3">
        <f>ROUND(SUMIF(AA118:AA121,"=52718353",FR118:FR121),2)</f>
        <v>0</v>
      </c>
      <c r="BZ123" s="3">
        <f>ROUND(SUMIF(AA118:AA121,"=52718353",GL118:GL121),2)</f>
        <v>0</v>
      </c>
      <c r="CA123" s="3">
        <f>ROUND(SUMIF(AA118:AA121,"=52718353",GM118:GM121),2)</f>
        <v>111336.97</v>
      </c>
      <c r="CB123" s="3">
        <f>ROUND(SUMIF(AA118:AA121,"=52718353",GN118:GN121),2)</f>
        <v>111336.97</v>
      </c>
      <c r="CC123" s="3">
        <f>ROUND(SUMIF(AA118:AA121,"=52718353",GO118:GO121),2)</f>
        <v>0</v>
      </c>
      <c r="CD123" s="3">
        <f>ROUND(SUMIF(AA118:AA121,"=52718353",GP118:GP121),2)</f>
        <v>0</v>
      </c>
      <c r="CE123" s="3">
        <f>AC123-BX123</f>
        <v>105945.77</v>
      </c>
      <c r="CF123" s="3">
        <f>AC123-BY123</f>
        <v>105945.77</v>
      </c>
      <c r="CG123" s="3">
        <f>BX123-BZ123</f>
        <v>0</v>
      </c>
      <c r="CH123" s="3">
        <f>AC123-BX123-BY123+BZ123</f>
        <v>105945.77</v>
      </c>
      <c r="CI123" s="3">
        <f>BY123-BZ123</f>
        <v>0</v>
      </c>
      <c r="CJ123" s="3">
        <f>ROUND(SUMIF(AA118:AA121,"=52718353",GX118:GX121),2)</f>
        <v>0</v>
      </c>
      <c r="CK123" s="3">
        <f>ROUND(SUMIF(AA118:AA121,"=52718353",GY118:GY121),2)</f>
        <v>0</v>
      </c>
      <c r="CL123" s="3">
        <f>ROUND(SUMIF(AA118:AA121,"=52718353",GZ118:GZ121),2)</f>
        <v>0</v>
      </c>
      <c r="CM123" s="3">
        <f>ROUND(SUMIF(AA118:AA121,"=52718353",HD118:HD121),2)</f>
        <v>0</v>
      </c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  <c r="GL123" s="4"/>
      <c r="GM123" s="4"/>
      <c r="GN123" s="4"/>
      <c r="GO123" s="4"/>
      <c r="GP123" s="4"/>
      <c r="GQ123" s="4"/>
      <c r="GR123" s="4"/>
      <c r="GS123" s="4"/>
      <c r="GT123" s="4"/>
      <c r="GU123" s="4"/>
      <c r="GV123" s="4"/>
      <c r="GW123" s="4"/>
      <c r="GX123" s="4">
        <v>0</v>
      </c>
    </row>
    <row r="125" spans="1:255" x14ac:dyDescent="0.2">
      <c r="A125" s="5">
        <v>50</v>
      </c>
      <c r="B125" s="5">
        <v>0</v>
      </c>
      <c r="C125" s="5">
        <v>0</v>
      </c>
      <c r="D125" s="5">
        <v>1</v>
      </c>
      <c r="E125" s="5">
        <v>201</v>
      </c>
      <c r="F125" s="5">
        <f>ROUND(Source!O123,O125)</f>
        <v>108067.22</v>
      </c>
      <c r="G125" s="5" t="s">
        <v>216</v>
      </c>
      <c r="H125" s="5" t="s">
        <v>217</v>
      </c>
      <c r="I125" s="5"/>
      <c r="J125" s="5"/>
      <c r="K125" s="5">
        <v>201</v>
      </c>
      <c r="L125" s="5">
        <v>1</v>
      </c>
      <c r="M125" s="5">
        <v>3</v>
      </c>
      <c r="N125" s="5" t="s">
        <v>3</v>
      </c>
      <c r="O125" s="5">
        <v>2</v>
      </c>
      <c r="P125" s="5"/>
      <c r="Q125" s="5"/>
      <c r="R125" s="5"/>
      <c r="S125" s="5"/>
      <c r="T125" s="5"/>
      <c r="U125" s="5"/>
      <c r="V125" s="5"/>
      <c r="W125" s="5">
        <v>108067.22</v>
      </c>
      <c r="X125" s="5">
        <v>1</v>
      </c>
      <c r="Y125" s="5">
        <v>108067.22</v>
      </c>
      <c r="Z125" s="5"/>
      <c r="AA125" s="5"/>
      <c r="AB125" s="5"/>
    </row>
    <row r="126" spans="1:255" x14ac:dyDescent="0.2">
      <c r="A126" s="5">
        <v>50</v>
      </c>
      <c r="B126" s="5">
        <v>0</v>
      </c>
      <c r="C126" s="5">
        <v>0</v>
      </c>
      <c r="D126" s="5">
        <v>1</v>
      </c>
      <c r="E126" s="5">
        <v>202</v>
      </c>
      <c r="F126" s="5">
        <f>ROUND(Source!P123,O126)</f>
        <v>105945.77</v>
      </c>
      <c r="G126" s="5" t="s">
        <v>218</v>
      </c>
      <c r="H126" s="5" t="s">
        <v>219</v>
      </c>
      <c r="I126" s="5"/>
      <c r="J126" s="5"/>
      <c r="K126" s="5">
        <v>202</v>
      </c>
      <c r="L126" s="5">
        <v>2</v>
      </c>
      <c r="M126" s="5">
        <v>3</v>
      </c>
      <c r="N126" s="5" t="s">
        <v>3</v>
      </c>
      <c r="O126" s="5">
        <v>2</v>
      </c>
      <c r="P126" s="5"/>
      <c r="Q126" s="5"/>
      <c r="R126" s="5"/>
      <c r="S126" s="5"/>
      <c r="T126" s="5"/>
      <c r="U126" s="5"/>
      <c r="V126" s="5"/>
      <c r="W126" s="5">
        <v>105945.77</v>
      </c>
      <c r="X126" s="5">
        <v>1</v>
      </c>
      <c r="Y126" s="5">
        <v>105945.77</v>
      </c>
      <c r="Z126" s="5"/>
      <c r="AA126" s="5"/>
      <c r="AB126" s="5"/>
    </row>
    <row r="127" spans="1:255" x14ac:dyDescent="0.2">
      <c r="A127" s="5">
        <v>50</v>
      </c>
      <c r="B127" s="5">
        <v>0</v>
      </c>
      <c r="C127" s="5">
        <v>0</v>
      </c>
      <c r="D127" s="5">
        <v>1</v>
      </c>
      <c r="E127" s="5">
        <v>222</v>
      </c>
      <c r="F127" s="5">
        <f>ROUND(Source!AO123,O127)</f>
        <v>0</v>
      </c>
      <c r="G127" s="5" t="s">
        <v>220</v>
      </c>
      <c r="H127" s="5" t="s">
        <v>221</v>
      </c>
      <c r="I127" s="5"/>
      <c r="J127" s="5"/>
      <c r="K127" s="5">
        <v>222</v>
      </c>
      <c r="L127" s="5">
        <v>3</v>
      </c>
      <c r="M127" s="5">
        <v>3</v>
      </c>
      <c r="N127" s="5" t="s">
        <v>3</v>
      </c>
      <c r="O127" s="5">
        <v>2</v>
      </c>
      <c r="P127" s="5"/>
      <c r="Q127" s="5"/>
      <c r="R127" s="5"/>
      <c r="S127" s="5"/>
      <c r="T127" s="5"/>
      <c r="U127" s="5"/>
      <c r="V127" s="5"/>
      <c r="W127" s="5">
        <v>0</v>
      </c>
      <c r="X127" s="5">
        <v>1</v>
      </c>
      <c r="Y127" s="5">
        <v>0</v>
      </c>
      <c r="Z127" s="5"/>
      <c r="AA127" s="5"/>
      <c r="AB127" s="5"/>
    </row>
    <row r="128" spans="1:255" x14ac:dyDescent="0.2">
      <c r="A128" s="5">
        <v>50</v>
      </c>
      <c r="B128" s="5">
        <v>0</v>
      </c>
      <c r="C128" s="5">
        <v>0</v>
      </c>
      <c r="D128" s="5">
        <v>1</v>
      </c>
      <c r="E128" s="5">
        <v>225</v>
      </c>
      <c r="F128" s="5">
        <f>ROUND(Source!AV123,O128)</f>
        <v>105945.77</v>
      </c>
      <c r="G128" s="5" t="s">
        <v>222</v>
      </c>
      <c r="H128" s="5" t="s">
        <v>223</v>
      </c>
      <c r="I128" s="5"/>
      <c r="J128" s="5"/>
      <c r="K128" s="5">
        <v>225</v>
      </c>
      <c r="L128" s="5">
        <v>4</v>
      </c>
      <c r="M128" s="5">
        <v>3</v>
      </c>
      <c r="N128" s="5" t="s">
        <v>3</v>
      </c>
      <c r="O128" s="5">
        <v>2</v>
      </c>
      <c r="P128" s="5"/>
      <c r="Q128" s="5"/>
      <c r="R128" s="5"/>
      <c r="S128" s="5"/>
      <c r="T128" s="5"/>
      <c r="U128" s="5"/>
      <c r="V128" s="5"/>
      <c r="W128" s="5">
        <v>105945.77</v>
      </c>
      <c r="X128" s="5">
        <v>1</v>
      </c>
      <c r="Y128" s="5">
        <v>105945.77</v>
      </c>
      <c r="Z128" s="5"/>
      <c r="AA128" s="5"/>
      <c r="AB128" s="5"/>
    </row>
    <row r="129" spans="1:28" x14ac:dyDescent="0.2">
      <c r="A129" s="5">
        <v>50</v>
      </c>
      <c r="B129" s="5">
        <v>0</v>
      </c>
      <c r="C129" s="5">
        <v>0</v>
      </c>
      <c r="D129" s="5">
        <v>1</v>
      </c>
      <c r="E129" s="5">
        <v>226</v>
      </c>
      <c r="F129" s="5">
        <f>ROUND(Source!AW123,O129)</f>
        <v>105945.77</v>
      </c>
      <c r="G129" s="5" t="s">
        <v>224</v>
      </c>
      <c r="H129" s="5" t="s">
        <v>225</v>
      </c>
      <c r="I129" s="5"/>
      <c r="J129" s="5"/>
      <c r="K129" s="5">
        <v>226</v>
      </c>
      <c r="L129" s="5">
        <v>5</v>
      </c>
      <c r="M129" s="5">
        <v>3</v>
      </c>
      <c r="N129" s="5" t="s">
        <v>3</v>
      </c>
      <c r="O129" s="5">
        <v>2</v>
      </c>
      <c r="P129" s="5"/>
      <c r="Q129" s="5"/>
      <c r="R129" s="5"/>
      <c r="S129" s="5"/>
      <c r="T129" s="5"/>
      <c r="U129" s="5"/>
      <c r="V129" s="5"/>
      <c r="W129" s="5">
        <v>105945.77</v>
      </c>
      <c r="X129" s="5">
        <v>1</v>
      </c>
      <c r="Y129" s="5">
        <v>105945.77</v>
      </c>
      <c r="Z129" s="5"/>
      <c r="AA129" s="5"/>
      <c r="AB129" s="5"/>
    </row>
    <row r="130" spans="1:28" x14ac:dyDescent="0.2">
      <c r="A130" s="5">
        <v>50</v>
      </c>
      <c r="B130" s="5">
        <v>0</v>
      </c>
      <c r="C130" s="5">
        <v>0</v>
      </c>
      <c r="D130" s="5">
        <v>1</v>
      </c>
      <c r="E130" s="5">
        <v>227</v>
      </c>
      <c r="F130" s="5">
        <f>ROUND(Source!AX123,O130)</f>
        <v>0</v>
      </c>
      <c r="G130" s="5" t="s">
        <v>226</v>
      </c>
      <c r="H130" s="5" t="s">
        <v>227</v>
      </c>
      <c r="I130" s="5"/>
      <c r="J130" s="5"/>
      <c r="K130" s="5">
        <v>227</v>
      </c>
      <c r="L130" s="5">
        <v>6</v>
      </c>
      <c r="M130" s="5">
        <v>3</v>
      </c>
      <c r="N130" s="5" t="s">
        <v>3</v>
      </c>
      <c r="O130" s="5">
        <v>2</v>
      </c>
      <c r="P130" s="5"/>
      <c r="Q130" s="5"/>
      <c r="R130" s="5"/>
      <c r="S130" s="5"/>
      <c r="T130" s="5"/>
      <c r="U130" s="5"/>
      <c r="V130" s="5"/>
      <c r="W130" s="5">
        <v>0</v>
      </c>
      <c r="X130" s="5">
        <v>1</v>
      </c>
      <c r="Y130" s="5">
        <v>0</v>
      </c>
      <c r="Z130" s="5"/>
      <c r="AA130" s="5"/>
      <c r="AB130" s="5"/>
    </row>
    <row r="131" spans="1:28" x14ac:dyDescent="0.2">
      <c r="A131" s="5">
        <v>50</v>
      </c>
      <c r="B131" s="5">
        <v>0</v>
      </c>
      <c r="C131" s="5">
        <v>0</v>
      </c>
      <c r="D131" s="5">
        <v>1</v>
      </c>
      <c r="E131" s="5">
        <v>228</v>
      </c>
      <c r="F131" s="5">
        <f>ROUND(Source!AY123,O131)</f>
        <v>105945.77</v>
      </c>
      <c r="G131" s="5" t="s">
        <v>228</v>
      </c>
      <c r="H131" s="5" t="s">
        <v>229</v>
      </c>
      <c r="I131" s="5"/>
      <c r="J131" s="5"/>
      <c r="K131" s="5">
        <v>228</v>
      </c>
      <c r="L131" s="5">
        <v>7</v>
      </c>
      <c r="M131" s="5">
        <v>3</v>
      </c>
      <c r="N131" s="5" t="s">
        <v>3</v>
      </c>
      <c r="O131" s="5">
        <v>2</v>
      </c>
      <c r="P131" s="5"/>
      <c r="Q131" s="5"/>
      <c r="R131" s="5"/>
      <c r="S131" s="5"/>
      <c r="T131" s="5"/>
      <c r="U131" s="5"/>
      <c r="V131" s="5"/>
      <c r="W131" s="5">
        <v>105945.77</v>
      </c>
      <c r="X131" s="5">
        <v>1</v>
      </c>
      <c r="Y131" s="5">
        <v>105945.77</v>
      </c>
      <c r="Z131" s="5"/>
      <c r="AA131" s="5"/>
      <c r="AB131" s="5"/>
    </row>
    <row r="132" spans="1:28" x14ac:dyDescent="0.2">
      <c r="A132" s="5">
        <v>50</v>
      </c>
      <c r="B132" s="5">
        <v>0</v>
      </c>
      <c r="C132" s="5">
        <v>0</v>
      </c>
      <c r="D132" s="5">
        <v>1</v>
      </c>
      <c r="E132" s="5">
        <v>216</v>
      </c>
      <c r="F132" s="5">
        <f>ROUND(Source!AP123,O132)</f>
        <v>0</v>
      </c>
      <c r="G132" s="5" t="s">
        <v>230</v>
      </c>
      <c r="H132" s="5" t="s">
        <v>231</v>
      </c>
      <c r="I132" s="5"/>
      <c r="J132" s="5"/>
      <c r="K132" s="5">
        <v>216</v>
      </c>
      <c r="L132" s="5">
        <v>8</v>
      </c>
      <c r="M132" s="5">
        <v>3</v>
      </c>
      <c r="N132" s="5" t="s">
        <v>3</v>
      </c>
      <c r="O132" s="5">
        <v>2</v>
      </c>
      <c r="P132" s="5"/>
      <c r="Q132" s="5"/>
      <c r="R132" s="5"/>
      <c r="S132" s="5"/>
      <c r="T132" s="5"/>
      <c r="U132" s="5"/>
      <c r="V132" s="5"/>
      <c r="W132" s="5">
        <v>0</v>
      </c>
      <c r="X132" s="5">
        <v>1</v>
      </c>
      <c r="Y132" s="5">
        <v>0</v>
      </c>
      <c r="Z132" s="5"/>
      <c r="AA132" s="5"/>
      <c r="AB132" s="5"/>
    </row>
    <row r="133" spans="1:28" x14ac:dyDescent="0.2">
      <c r="A133" s="5">
        <v>50</v>
      </c>
      <c r="B133" s="5">
        <v>0</v>
      </c>
      <c r="C133" s="5">
        <v>0</v>
      </c>
      <c r="D133" s="5">
        <v>1</v>
      </c>
      <c r="E133" s="5">
        <v>223</v>
      </c>
      <c r="F133" s="5">
        <f>ROUND(Source!AQ123,O133)</f>
        <v>0</v>
      </c>
      <c r="G133" s="5" t="s">
        <v>232</v>
      </c>
      <c r="H133" s="5" t="s">
        <v>233</v>
      </c>
      <c r="I133" s="5"/>
      <c r="J133" s="5"/>
      <c r="K133" s="5">
        <v>223</v>
      </c>
      <c r="L133" s="5">
        <v>9</v>
      </c>
      <c r="M133" s="5">
        <v>3</v>
      </c>
      <c r="N133" s="5" t="s">
        <v>3</v>
      </c>
      <c r="O133" s="5">
        <v>2</v>
      </c>
      <c r="P133" s="5"/>
      <c r="Q133" s="5"/>
      <c r="R133" s="5"/>
      <c r="S133" s="5"/>
      <c r="T133" s="5"/>
      <c r="U133" s="5"/>
      <c r="V133" s="5"/>
      <c r="W133" s="5">
        <v>0</v>
      </c>
      <c r="X133" s="5">
        <v>1</v>
      </c>
      <c r="Y133" s="5">
        <v>0</v>
      </c>
      <c r="Z133" s="5"/>
      <c r="AA133" s="5"/>
      <c r="AB133" s="5"/>
    </row>
    <row r="134" spans="1:28" x14ac:dyDescent="0.2">
      <c r="A134" s="5">
        <v>50</v>
      </c>
      <c r="B134" s="5">
        <v>0</v>
      </c>
      <c r="C134" s="5">
        <v>0</v>
      </c>
      <c r="D134" s="5">
        <v>1</v>
      </c>
      <c r="E134" s="5">
        <v>229</v>
      </c>
      <c r="F134" s="5">
        <f>ROUND(Source!AZ123,O134)</f>
        <v>0</v>
      </c>
      <c r="G134" s="5" t="s">
        <v>234</v>
      </c>
      <c r="H134" s="5" t="s">
        <v>235</v>
      </c>
      <c r="I134" s="5"/>
      <c r="J134" s="5"/>
      <c r="K134" s="5">
        <v>229</v>
      </c>
      <c r="L134" s="5">
        <v>10</v>
      </c>
      <c r="M134" s="5">
        <v>3</v>
      </c>
      <c r="N134" s="5" t="s">
        <v>3</v>
      </c>
      <c r="O134" s="5">
        <v>2</v>
      </c>
      <c r="P134" s="5"/>
      <c r="Q134" s="5"/>
      <c r="R134" s="5"/>
      <c r="S134" s="5"/>
      <c r="T134" s="5"/>
      <c r="U134" s="5"/>
      <c r="V134" s="5"/>
      <c r="W134" s="5">
        <v>0</v>
      </c>
      <c r="X134" s="5">
        <v>1</v>
      </c>
      <c r="Y134" s="5">
        <v>0</v>
      </c>
      <c r="Z134" s="5"/>
      <c r="AA134" s="5"/>
      <c r="AB134" s="5"/>
    </row>
    <row r="135" spans="1:28" x14ac:dyDescent="0.2">
      <c r="A135" s="5">
        <v>50</v>
      </c>
      <c r="B135" s="5">
        <v>0</v>
      </c>
      <c r="C135" s="5">
        <v>0</v>
      </c>
      <c r="D135" s="5">
        <v>1</v>
      </c>
      <c r="E135" s="5">
        <v>203</v>
      </c>
      <c r="F135" s="5">
        <f>ROUND(Source!Q123,O135)</f>
        <v>11.93</v>
      </c>
      <c r="G135" s="5" t="s">
        <v>236</v>
      </c>
      <c r="H135" s="5" t="s">
        <v>237</v>
      </c>
      <c r="I135" s="5"/>
      <c r="J135" s="5"/>
      <c r="K135" s="5">
        <v>203</v>
      </c>
      <c r="L135" s="5">
        <v>11</v>
      </c>
      <c r="M135" s="5">
        <v>3</v>
      </c>
      <c r="N135" s="5" t="s">
        <v>3</v>
      </c>
      <c r="O135" s="5">
        <v>2</v>
      </c>
      <c r="P135" s="5"/>
      <c r="Q135" s="5"/>
      <c r="R135" s="5"/>
      <c r="S135" s="5"/>
      <c r="T135" s="5"/>
      <c r="U135" s="5"/>
      <c r="V135" s="5"/>
      <c r="W135" s="5">
        <v>11.93</v>
      </c>
      <c r="X135" s="5">
        <v>1</v>
      </c>
      <c r="Y135" s="5">
        <v>11.93</v>
      </c>
      <c r="Z135" s="5"/>
      <c r="AA135" s="5"/>
      <c r="AB135" s="5"/>
    </row>
    <row r="136" spans="1:28" x14ac:dyDescent="0.2">
      <c r="A136" s="5">
        <v>50</v>
      </c>
      <c r="B136" s="5">
        <v>0</v>
      </c>
      <c r="C136" s="5">
        <v>0</v>
      </c>
      <c r="D136" s="5">
        <v>1</v>
      </c>
      <c r="E136" s="5">
        <v>231</v>
      </c>
      <c r="F136" s="5">
        <f>ROUND(Source!BB123,O136)</f>
        <v>0</v>
      </c>
      <c r="G136" s="5" t="s">
        <v>238</v>
      </c>
      <c r="H136" s="5" t="s">
        <v>239</v>
      </c>
      <c r="I136" s="5"/>
      <c r="J136" s="5"/>
      <c r="K136" s="5">
        <v>231</v>
      </c>
      <c r="L136" s="5">
        <v>12</v>
      </c>
      <c r="M136" s="5">
        <v>3</v>
      </c>
      <c r="N136" s="5" t="s">
        <v>3</v>
      </c>
      <c r="O136" s="5">
        <v>2</v>
      </c>
      <c r="P136" s="5"/>
      <c r="Q136" s="5"/>
      <c r="R136" s="5"/>
      <c r="S136" s="5"/>
      <c r="T136" s="5"/>
      <c r="U136" s="5"/>
      <c r="V136" s="5"/>
      <c r="W136" s="5">
        <v>0</v>
      </c>
      <c r="X136" s="5">
        <v>1</v>
      </c>
      <c r="Y136" s="5">
        <v>0</v>
      </c>
      <c r="Z136" s="5"/>
      <c r="AA136" s="5"/>
      <c r="AB136" s="5"/>
    </row>
    <row r="137" spans="1:28" x14ac:dyDescent="0.2">
      <c r="A137" s="5">
        <v>50</v>
      </c>
      <c r="B137" s="5">
        <v>0</v>
      </c>
      <c r="C137" s="5">
        <v>0</v>
      </c>
      <c r="D137" s="5">
        <v>1</v>
      </c>
      <c r="E137" s="5">
        <v>204</v>
      </c>
      <c r="F137" s="5">
        <f>ROUND(Source!R123,O137)</f>
        <v>17.62</v>
      </c>
      <c r="G137" s="5" t="s">
        <v>240</v>
      </c>
      <c r="H137" s="5" t="s">
        <v>241</v>
      </c>
      <c r="I137" s="5"/>
      <c r="J137" s="5"/>
      <c r="K137" s="5">
        <v>204</v>
      </c>
      <c r="L137" s="5">
        <v>13</v>
      </c>
      <c r="M137" s="5">
        <v>3</v>
      </c>
      <c r="N137" s="5" t="s">
        <v>3</v>
      </c>
      <c r="O137" s="5">
        <v>2</v>
      </c>
      <c r="P137" s="5"/>
      <c r="Q137" s="5"/>
      <c r="R137" s="5"/>
      <c r="S137" s="5"/>
      <c r="T137" s="5"/>
      <c r="U137" s="5"/>
      <c r="V137" s="5"/>
      <c r="W137" s="5">
        <v>17.619999999999997</v>
      </c>
      <c r="X137" s="5">
        <v>1</v>
      </c>
      <c r="Y137" s="5">
        <v>17.619999999999997</v>
      </c>
      <c r="Z137" s="5"/>
      <c r="AA137" s="5"/>
      <c r="AB137" s="5"/>
    </row>
    <row r="138" spans="1:28" x14ac:dyDescent="0.2">
      <c r="A138" s="5">
        <v>50</v>
      </c>
      <c r="B138" s="5">
        <v>0</v>
      </c>
      <c r="C138" s="5">
        <v>0</v>
      </c>
      <c r="D138" s="5">
        <v>1</v>
      </c>
      <c r="E138" s="5">
        <v>205</v>
      </c>
      <c r="F138" s="5">
        <f>ROUND(Source!S123,O138)</f>
        <v>2091.9</v>
      </c>
      <c r="G138" s="5" t="s">
        <v>242</v>
      </c>
      <c r="H138" s="5" t="s">
        <v>243</v>
      </c>
      <c r="I138" s="5"/>
      <c r="J138" s="5"/>
      <c r="K138" s="5">
        <v>205</v>
      </c>
      <c r="L138" s="5">
        <v>14</v>
      </c>
      <c r="M138" s="5">
        <v>3</v>
      </c>
      <c r="N138" s="5" t="s">
        <v>3</v>
      </c>
      <c r="O138" s="5">
        <v>2</v>
      </c>
      <c r="P138" s="5"/>
      <c r="Q138" s="5"/>
      <c r="R138" s="5"/>
      <c r="S138" s="5"/>
      <c r="T138" s="5"/>
      <c r="U138" s="5"/>
      <c r="V138" s="5"/>
      <c r="W138" s="5">
        <v>2091.9</v>
      </c>
      <c r="X138" s="5">
        <v>1</v>
      </c>
      <c r="Y138" s="5">
        <v>2091.9</v>
      </c>
      <c r="Z138" s="5"/>
      <c r="AA138" s="5"/>
      <c r="AB138" s="5"/>
    </row>
    <row r="139" spans="1:28" x14ac:dyDescent="0.2">
      <c r="A139" s="5">
        <v>50</v>
      </c>
      <c r="B139" s="5">
        <v>0</v>
      </c>
      <c r="C139" s="5">
        <v>0</v>
      </c>
      <c r="D139" s="5">
        <v>1</v>
      </c>
      <c r="E139" s="5">
        <v>232</v>
      </c>
      <c r="F139" s="5">
        <f>ROUND(Source!BC123,O139)</f>
        <v>0</v>
      </c>
      <c r="G139" s="5" t="s">
        <v>244</v>
      </c>
      <c r="H139" s="5" t="s">
        <v>245</v>
      </c>
      <c r="I139" s="5"/>
      <c r="J139" s="5"/>
      <c r="K139" s="5">
        <v>232</v>
      </c>
      <c r="L139" s="5">
        <v>15</v>
      </c>
      <c r="M139" s="5">
        <v>3</v>
      </c>
      <c r="N139" s="5" t="s">
        <v>3</v>
      </c>
      <c r="O139" s="5">
        <v>2</v>
      </c>
      <c r="P139" s="5"/>
      <c r="Q139" s="5"/>
      <c r="R139" s="5"/>
      <c r="S139" s="5"/>
      <c r="T139" s="5"/>
      <c r="U139" s="5"/>
      <c r="V139" s="5"/>
      <c r="W139" s="5">
        <v>0</v>
      </c>
      <c r="X139" s="5">
        <v>1</v>
      </c>
      <c r="Y139" s="5">
        <v>0</v>
      </c>
      <c r="Z139" s="5"/>
      <c r="AA139" s="5"/>
      <c r="AB139" s="5"/>
    </row>
    <row r="140" spans="1:28" x14ac:dyDescent="0.2">
      <c r="A140" s="5">
        <v>50</v>
      </c>
      <c r="B140" s="5">
        <v>0</v>
      </c>
      <c r="C140" s="5">
        <v>0</v>
      </c>
      <c r="D140" s="5">
        <v>1</v>
      </c>
      <c r="E140" s="5">
        <v>214</v>
      </c>
      <c r="F140" s="5">
        <f>ROUND(Source!AS123,O140)</f>
        <v>111336.97</v>
      </c>
      <c r="G140" s="5" t="s">
        <v>246</v>
      </c>
      <c r="H140" s="5" t="s">
        <v>247</v>
      </c>
      <c r="I140" s="5"/>
      <c r="J140" s="5"/>
      <c r="K140" s="5">
        <v>214</v>
      </c>
      <c r="L140" s="5">
        <v>16</v>
      </c>
      <c r="M140" s="5">
        <v>3</v>
      </c>
      <c r="N140" s="5" t="s">
        <v>3</v>
      </c>
      <c r="O140" s="5">
        <v>2</v>
      </c>
      <c r="P140" s="5"/>
      <c r="Q140" s="5"/>
      <c r="R140" s="5"/>
      <c r="S140" s="5"/>
      <c r="T140" s="5"/>
      <c r="U140" s="5"/>
      <c r="V140" s="5"/>
      <c r="W140" s="5">
        <v>111336.97</v>
      </c>
      <c r="X140" s="5">
        <v>1</v>
      </c>
      <c r="Y140" s="5">
        <v>111336.97</v>
      </c>
      <c r="Z140" s="5"/>
      <c r="AA140" s="5"/>
      <c r="AB140" s="5"/>
    </row>
    <row r="141" spans="1:28" x14ac:dyDescent="0.2">
      <c r="A141" s="5">
        <v>50</v>
      </c>
      <c r="B141" s="5">
        <v>0</v>
      </c>
      <c r="C141" s="5">
        <v>0</v>
      </c>
      <c r="D141" s="5">
        <v>1</v>
      </c>
      <c r="E141" s="5">
        <v>215</v>
      </c>
      <c r="F141" s="5">
        <f>ROUND(Source!AT123,O141)</f>
        <v>0</v>
      </c>
      <c r="G141" s="5" t="s">
        <v>248</v>
      </c>
      <c r="H141" s="5" t="s">
        <v>249</v>
      </c>
      <c r="I141" s="5"/>
      <c r="J141" s="5"/>
      <c r="K141" s="5">
        <v>215</v>
      </c>
      <c r="L141" s="5">
        <v>17</v>
      </c>
      <c r="M141" s="5">
        <v>3</v>
      </c>
      <c r="N141" s="5" t="s">
        <v>3</v>
      </c>
      <c r="O141" s="5">
        <v>2</v>
      </c>
      <c r="P141" s="5"/>
      <c r="Q141" s="5"/>
      <c r="R141" s="5"/>
      <c r="S141" s="5"/>
      <c r="T141" s="5"/>
      <c r="U141" s="5"/>
      <c r="V141" s="5"/>
      <c r="W141" s="5">
        <v>0</v>
      </c>
      <c r="X141" s="5">
        <v>1</v>
      </c>
      <c r="Y141" s="5">
        <v>0</v>
      </c>
      <c r="Z141" s="5"/>
      <c r="AA141" s="5"/>
      <c r="AB141" s="5"/>
    </row>
    <row r="142" spans="1:28" x14ac:dyDescent="0.2">
      <c r="A142" s="5">
        <v>50</v>
      </c>
      <c r="B142" s="5">
        <v>0</v>
      </c>
      <c r="C142" s="5">
        <v>0</v>
      </c>
      <c r="D142" s="5">
        <v>1</v>
      </c>
      <c r="E142" s="5">
        <v>217</v>
      </c>
      <c r="F142" s="5">
        <f>ROUND(Source!AU123,O142)</f>
        <v>0</v>
      </c>
      <c r="G142" s="5" t="s">
        <v>250</v>
      </c>
      <c r="H142" s="5" t="s">
        <v>251</v>
      </c>
      <c r="I142" s="5"/>
      <c r="J142" s="5"/>
      <c r="K142" s="5">
        <v>217</v>
      </c>
      <c r="L142" s="5">
        <v>18</v>
      </c>
      <c r="M142" s="5">
        <v>3</v>
      </c>
      <c r="N142" s="5" t="s">
        <v>3</v>
      </c>
      <c r="O142" s="5">
        <v>2</v>
      </c>
      <c r="P142" s="5"/>
      <c r="Q142" s="5"/>
      <c r="R142" s="5"/>
      <c r="S142" s="5"/>
      <c r="T142" s="5"/>
      <c r="U142" s="5"/>
      <c r="V142" s="5"/>
      <c r="W142" s="5">
        <v>0</v>
      </c>
      <c r="X142" s="5">
        <v>1</v>
      </c>
      <c r="Y142" s="5">
        <v>0</v>
      </c>
      <c r="Z142" s="5"/>
      <c r="AA142" s="5"/>
      <c r="AB142" s="5"/>
    </row>
    <row r="143" spans="1:28" x14ac:dyDescent="0.2">
      <c r="A143" s="5">
        <v>50</v>
      </c>
      <c r="B143" s="5">
        <v>0</v>
      </c>
      <c r="C143" s="5">
        <v>0</v>
      </c>
      <c r="D143" s="5">
        <v>1</v>
      </c>
      <c r="E143" s="5">
        <v>230</v>
      </c>
      <c r="F143" s="5">
        <f>ROUND(Source!BA123,O143)</f>
        <v>0</v>
      </c>
      <c r="G143" s="5" t="s">
        <v>252</v>
      </c>
      <c r="H143" s="5" t="s">
        <v>253</v>
      </c>
      <c r="I143" s="5"/>
      <c r="J143" s="5"/>
      <c r="K143" s="5">
        <v>230</v>
      </c>
      <c r="L143" s="5">
        <v>19</v>
      </c>
      <c r="M143" s="5">
        <v>3</v>
      </c>
      <c r="N143" s="5" t="s">
        <v>3</v>
      </c>
      <c r="O143" s="5">
        <v>2</v>
      </c>
      <c r="P143" s="5"/>
      <c r="Q143" s="5"/>
      <c r="R143" s="5"/>
      <c r="S143" s="5"/>
      <c r="T143" s="5"/>
      <c r="U143" s="5"/>
      <c r="V143" s="5"/>
      <c r="W143" s="5">
        <v>0</v>
      </c>
      <c r="X143" s="5">
        <v>1</v>
      </c>
      <c r="Y143" s="5">
        <v>0</v>
      </c>
      <c r="Z143" s="5"/>
      <c r="AA143" s="5"/>
      <c r="AB143" s="5"/>
    </row>
    <row r="144" spans="1:28" x14ac:dyDescent="0.2">
      <c r="A144" s="5">
        <v>50</v>
      </c>
      <c r="B144" s="5">
        <v>0</v>
      </c>
      <c r="C144" s="5">
        <v>0</v>
      </c>
      <c r="D144" s="5">
        <v>1</v>
      </c>
      <c r="E144" s="5">
        <v>206</v>
      </c>
      <c r="F144" s="5">
        <f>ROUND(Source!T123,O144)</f>
        <v>0</v>
      </c>
      <c r="G144" s="5" t="s">
        <v>254</v>
      </c>
      <c r="H144" s="5" t="s">
        <v>255</v>
      </c>
      <c r="I144" s="5"/>
      <c r="J144" s="5"/>
      <c r="K144" s="5">
        <v>206</v>
      </c>
      <c r="L144" s="5">
        <v>20</v>
      </c>
      <c r="M144" s="5">
        <v>3</v>
      </c>
      <c r="N144" s="5" t="s">
        <v>3</v>
      </c>
      <c r="O144" s="5">
        <v>2</v>
      </c>
      <c r="P144" s="5"/>
      <c r="Q144" s="5"/>
      <c r="R144" s="5"/>
      <c r="S144" s="5"/>
      <c r="T144" s="5"/>
      <c r="U144" s="5"/>
      <c r="V144" s="5"/>
      <c r="W144" s="5">
        <v>0</v>
      </c>
      <c r="X144" s="5">
        <v>1</v>
      </c>
      <c r="Y144" s="5">
        <v>0</v>
      </c>
      <c r="Z144" s="5"/>
      <c r="AA144" s="5"/>
      <c r="AB144" s="5"/>
    </row>
    <row r="145" spans="1:206" x14ac:dyDescent="0.2">
      <c r="A145" s="5">
        <v>50</v>
      </c>
      <c r="B145" s="5">
        <v>0</v>
      </c>
      <c r="C145" s="5">
        <v>0</v>
      </c>
      <c r="D145" s="5">
        <v>1</v>
      </c>
      <c r="E145" s="5">
        <v>207</v>
      </c>
      <c r="F145" s="5">
        <f>ROUND(Source!U123,O145)</f>
        <v>2.9269251000000001</v>
      </c>
      <c r="G145" s="5" t="s">
        <v>256</v>
      </c>
      <c r="H145" s="5" t="s">
        <v>257</v>
      </c>
      <c r="I145" s="5"/>
      <c r="J145" s="5"/>
      <c r="K145" s="5">
        <v>207</v>
      </c>
      <c r="L145" s="5">
        <v>21</v>
      </c>
      <c r="M145" s="5">
        <v>3</v>
      </c>
      <c r="N145" s="5" t="s">
        <v>3</v>
      </c>
      <c r="O145" s="5">
        <v>7</v>
      </c>
      <c r="P145" s="5"/>
      <c r="Q145" s="5"/>
      <c r="R145" s="5"/>
      <c r="S145" s="5"/>
      <c r="T145" s="5"/>
      <c r="U145" s="5"/>
      <c r="V145" s="5"/>
      <c r="W145" s="5">
        <v>2.9269251000000001</v>
      </c>
      <c r="X145" s="5">
        <v>1</v>
      </c>
      <c r="Y145" s="5">
        <v>2.9269251000000001</v>
      </c>
      <c r="Z145" s="5"/>
      <c r="AA145" s="5"/>
      <c r="AB145" s="5"/>
    </row>
    <row r="146" spans="1:206" x14ac:dyDescent="0.2">
      <c r="A146" s="5">
        <v>50</v>
      </c>
      <c r="B146" s="5">
        <v>0</v>
      </c>
      <c r="C146" s="5">
        <v>0</v>
      </c>
      <c r="D146" s="5">
        <v>1</v>
      </c>
      <c r="E146" s="5">
        <v>208</v>
      </c>
      <c r="F146" s="5">
        <f>ROUND(Source!V123,O146)</f>
        <v>2.3851899999999999E-2</v>
      </c>
      <c r="G146" s="5" t="s">
        <v>258</v>
      </c>
      <c r="H146" s="5" t="s">
        <v>259</v>
      </c>
      <c r="I146" s="5"/>
      <c r="J146" s="5"/>
      <c r="K146" s="5">
        <v>208</v>
      </c>
      <c r="L146" s="5">
        <v>22</v>
      </c>
      <c r="M146" s="5">
        <v>3</v>
      </c>
      <c r="N146" s="5" t="s">
        <v>3</v>
      </c>
      <c r="O146" s="5">
        <v>7</v>
      </c>
      <c r="P146" s="5"/>
      <c r="Q146" s="5"/>
      <c r="R146" s="5"/>
      <c r="S146" s="5"/>
      <c r="T146" s="5"/>
      <c r="U146" s="5"/>
      <c r="V146" s="5"/>
      <c r="W146" s="5">
        <v>2.3851899999999999E-2</v>
      </c>
      <c r="X146" s="5">
        <v>1</v>
      </c>
      <c r="Y146" s="5">
        <v>2.3851899999999999E-2</v>
      </c>
      <c r="Z146" s="5"/>
      <c r="AA146" s="5"/>
      <c r="AB146" s="5"/>
    </row>
    <row r="147" spans="1:206" x14ac:dyDescent="0.2">
      <c r="A147" s="5">
        <v>50</v>
      </c>
      <c r="B147" s="5">
        <v>0</v>
      </c>
      <c r="C147" s="5">
        <v>0</v>
      </c>
      <c r="D147" s="5">
        <v>1</v>
      </c>
      <c r="E147" s="5">
        <v>209</v>
      </c>
      <c r="F147" s="5">
        <f>ROUND(Source!W123,O147)</f>
        <v>0</v>
      </c>
      <c r="G147" s="5" t="s">
        <v>260</v>
      </c>
      <c r="H147" s="5" t="s">
        <v>261</v>
      </c>
      <c r="I147" s="5"/>
      <c r="J147" s="5"/>
      <c r="K147" s="5">
        <v>209</v>
      </c>
      <c r="L147" s="5">
        <v>23</v>
      </c>
      <c r="M147" s="5">
        <v>3</v>
      </c>
      <c r="N147" s="5" t="s">
        <v>3</v>
      </c>
      <c r="O147" s="5">
        <v>2</v>
      </c>
      <c r="P147" s="5"/>
      <c r="Q147" s="5"/>
      <c r="R147" s="5"/>
      <c r="S147" s="5"/>
      <c r="T147" s="5"/>
      <c r="U147" s="5"/>
      <c r="V147" s="5"/>
      <c r="W147" s="5">
        <v>0</v>
      </c>
      <c r="X147" s="5">
        <v>1</v>
      </c>
      <c r="Y147" s="5">
        <v>0</v>
      </c>
      <c r="Z147" s="5"/>
      <c r="AA147" s="5"/>
      <c r="AB147" s="5"/>
    </row>
    <row r="148" spans="1:206" x14ac:dyDescent="0.2">
      <c r="A148" s="5">
        <v>50</v>
      </c>
      <c r="B148" s="5">
        <v>0</v>
      </c>
      <c r="C148" s="5">
        <v>0</v>
      </c>
      <c r="D148" s="5">
        <v>1</v>
      </c>
      <c r="E148" s="5">
        <v>233</v>
      </c>
      <c r="F148" s="5">
        <f>ROUND(Source!BD123,O148)</f>
        <v>0</v>
      </c>
      <c r="G148" s="5" t="s">
        <v>262</v>
      </c>
      <c r="H148" s="5" t="s">
        <v>263</v>
      </c>
      <c r="I148" s="5"/>
      <c r="J148" s="5"/>
      <c r="K148" s="5">
        <v>233</v>
      </c>
      <c r="L148" s="5">
        <v>24</v>
      </c>
      <c r="M148" s="5">
        <v>3</v>
      </c>
      <c r="N148" s="5" t="s">
        <v>3</v>
      </c>
      <c r="O148" s="5">
        <v>2</v>
      </c>
      <c r="P148" s="5"/>
      <c r="Q148" s="5"/>
      <c r="R148" s="5"/>
      <c r="S148" s="5"/>
      <c r="T148" s="5"/>
      <c r="U148" s="5"/>
      <c r="V148" s="5"/>
      <c r="W148" s="5">
        <v>0</v>
      </c>
      <c r="X148" s="5">
        <v>1</v>
      </c>
      <c r="Y148" s="5">
        <v>0</v>
      </c>
      <c r="Z148" s="5"/>
      <c r="AA148" s="5"/>
      <c r="AB148" s="5"/>
    </row>
    <row r="149" spans="1:206" x14ac:dyDescent="0.2">
      <c r="A149" s="5">
        <v>50</v>
      </c>
      <c r="B149" s="5">
        <v>0</v>
      </c>
      <c r="C149" s="5">
        <v>0</v>
      </c>
      <c r="D149" s="5">
        <v>1</v>
      </c>
      <c r="E149" s="5">
        <v>210</v>
      </c>
      <c r="F149" s="5">
        <f>ROUND(Source!X123,O149)</f>
        <v>1961.85</v>
      </c>
      <c r="G149" s="5" t="s">
        <v>264</v>
      </c>
      <c r="H149" s="5" t="s">
        <v>265</v>
      </c>
      <c r="I149" s="5"/>
      <c r="J149" s="5"/>
      <c r="K149" s="5">
        <v>210</v>
      </c>
      <c r="L149" s="5">
        <v>25</v>
      </c>
      <c r="M149" s="5">
        <v>3</v>
      </c>
      <c r="N149" s="5" t="s">
        <v>3</v>
      </c>
      <c r="O149" s="5">
        <v>2</v>
      </c>
      <c r="P149" s="5"/>
      <c r="Q149" s="5"/>
      <c r="R149" s="5"/>
      <c r="S149" s="5"/>
      <c r="T149" s="5"/>
      <c r="U149" s="5"/>
      <c r="V149" s="5"/>
      <c r="W149" s="5">
        <v>1961.85</v>
      </c>
      <c r="X149" s="5">
        <v>1</v>
      </c>
      <c r="Y149" s="5">
        <v>1961.85</v>
      </c>
      <c r="Z149" s="5"/>
      <c r="AA149" s="5"/>
      <c r="AB149" s="5"/>
    </row>
    <row r="150" spans="1:206" x14ac:dyDescent="0.2">
      <c r="A150" s="5">
        <v>50</v>
      </c>
      <c r="B150" s="5">
        <v>0</v>
      </c>
      <c r="C150" s="5">
        <v>0</v>
      </c>
      <c r="D150" s="5">
        <v>1</v>
      </c>
      <c r="E150" s="5">
        <v>211</v>
      </c>
      <c r="F150" s="5">
        <f>ROUND(Source!Y123,O150)</f>
        <v>1307.9000000000001</v>
      </c>
      <c r="G150" s="5" t="s">
        <v>266</v>
      </c>
      <c r="H150" s="5" t="s">
        <v>267</v>
      </c>
      <c r="I150" s="5"/>
      <c r="J150" s="5"/>
      <c r="K150" s="5">
        <v>211</v>
      </c>
      <c r="L150" s="5">
        <v>26</v>
      </c>
      <c r="M150" s="5">
        <v>3</v>
      </c>
      <c r="N150" s="5" t="s">
        <v>3</v>
      </c>
      <c r="O150" s="5">
        <v>2</v>
      </c>
      <c r="P150" s="5"/>
      <c r="Q150" s="5"/>
      <c r="R150" s="5"/>
      <c r="S150" s="5"/>
      <c r="T150" s="5"/>
      <c r="U150" s="5"/>
      <c r="V150" s="5"/>
      <c r="W150" s="5">
        <v>1307.9000000000001</v>
      </c>
      <c r="X150" s="5">
        <v>1</v>
      </c>
      <c r="Y150" s="5">
        <v>1307.9000000000001</v>
      </c>
      <c r="Z150" s="5"/>
      <c r="AA150" s="5"/>
      <c r="AB150" s="5"/>
    </row>
    <row r="151" spans="1:206" x14ac:dyDescent="0.2">
      <c r="A151" s="5">
        <v>50</v>
      </c>
      <c r="B151" s="5">
        <v>0</v>
      </c>
      <c r="C151" s="5">
        <v>0</v>
      </c>
      <c r="D151" s="5">
        <v>1</v>
      </c>
      <c r="E151" s="5">
        <v>224</v>
      </c>
      <c r="F151" s="5">
        <f>ROUND(Source!AR123,O151)</f>
        <v>111336.97</v>
      </c>
      <c r="G151" s="5" t="s">
        <v>268</v>
      </c>
      <c r="H151" s="5" t="s">
        <v>269</v>
      </c>
      <c r="I151" s="5"/>
      <c r="J151" s="5"/>
      <c r="K151" s="5">
        <v>224</v>
      </c>
      <c r="L151" s="5">
        <v>27</v>
      </c>
      <c r="M151" s="5">
        <v>3</v>
      </c>
      <c r="N151" s="5" t="s">
        <v>3</v>
      </c>
      <c r="O151" s="5">
        <v>2</v>
      </c>
      <c r="P151" s="5"/>
      <c r="Q151" s="5"/>
      <c r="R151" s="5"/>
      <c r="S151" s="5"/>
      <c r="T151" s="5"/>
      <c r="U151" s="5"/>
      <c r="V151" s="5"/>
      <c r="W151" s="5">
        <v>111336.97</v>
      </c>
      <c r="X151" s="5">
        <v>1</v>
      </c>
      <c r="Y151" s="5">
        <v>111336.97</v>
      </c>
      <c r="Z151" s="5"/>
      <c r="AA151" s="5"/>
      <c r="AB151" s="5"/>
    </row>
    <row r="153" spans="1:206" x14ac:dyDescent="0.2">
      <c r="A153" s="3">
        <v>51</v>
      </c>
      <c r="B153" s="3">
        <f>B20</f>
        <v>1</v>
      </c>
      <c r="C153" s="3">
        <f>A20</f>
        <v>3</v>
      </c>
      <c r="D153" s="3">
        <f>ROW(A20)</f>
        <v>20</v>
      </c>
      <c r="E153" s="3"/>
      <c r="F153" s="3" t="str">
        <f>IF(F20&lt;&gt;"",F20,"")</f>
        <v/>
      </c>
      <c r="G153" s="3" t="str">
        <f>IF(G20&lt;&gt;"",G20,"")</f>
        <v>Электрика КДО</v>
      </c>
      <c r="H153" s="3">
        <v>0</v>
      </c>
      <c r="I153" s="3"/>
      <c r="J153" s="3"/>
      <c r="K153" s="3"/>
      <c r="L153" s="3"/>
      <c r="M153" s="3"/>
      <c r="N153" s="3"/>
      <c r="O153" s="3">
        <f t="shared" ref="O153:T153" si="116">ROUND(O84+O123+AB153,2)</f>
        <v>237587.62</v>
      </c>
      <c r="P153" s="3">
        <f t="shared" si="116"/>
        <v>175900.84</v>
      </c>
      <c r="Q153" s="3">
        <f t="shared" si="116"/>
        <v>306.16000000000003</v>
      </c>
      <c r="R153" s="3">
        <f t="shared" si="116"/>
        <v>210.83</v>
      </c>
      <c r="S153" s="3">
        <f t="shared" si="116"/>
        <v>61169.79</v>
      </c>
      <c r="T153" s="3">
        <f t="shared" si="116"/>
        <v>0</v>
      </c>
      <c r="U153" s="3">
        <f>U84+U123+AH153</f>
        <v>86.816225100000011</v>
      </c>
      <c r="V153" s="3">
        <f>V84+V123+AI153</f>
        <v>0.25155189999999999</v>
      </c>
      <c r="W153" s="3">
        <f>ROUND(W84+W123+AJ153,2)</f>
        <v>0</v>
      </c>
      <c r="X153" s="3">
        <f>ROUND(X84+X123+AK153,2)</f>
        <v>58002.8</v>
      </c>
      <c r="Y153" s="3">
        <f>ROUND(Y84+Y123+AL153,2)</f>
        <v>30316.19</v>
      </c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>
        <f t="shared" ref="AO153:BD153" si="117">ROUND(AO84+AO123+BX153,2)</f>
        <v>0</v>
      </c>
      <c r="AP153" s="3">
        <f t="shared" si="117"/>
        <v>2506.98</v>
      </c>
      <c r="AQ153" s="3">
        <f t="shared" si="117"/>
        <v>0</v>
      </c>
      <c r="AR153" s="3">
        <f t="shared" si="117"/>
        <v>325906.61</v>
      </c>
      <c r="AS153" s="3">
        <f t="shared" si="117"/>
        <v>132592.91</v>
      </c>
      <c r="AT153" s="3">
        <f t="shared" si="117"/>
        <v>190806.72</v>
      </c>
      <c r="AU153" s="3">
        <f t="shared" si="117"/>
        <v>0</v>
      </c>
      <c r="AV153" s="3">
        <f t="shared" si="117"/>
        <v>175900.84</v>
      </c>
      <c r="AW153" s="3">
        <f t="shared" si="117"/>
        <v>173393.86</v>
      </c>
      <c r="AX153" s="3">
        <f t="shared" si="117"/>
        <v>0</v>
      </c>
      <c r="AY153" s="3">
        <f t="shared" si="117"/>
        <v>173393.86</v>
      </c>
      <c r="AZ153" s="3">
        <f t="shared" si="117"/>
        <v>2506.98</v>
      </c>
      <c r="BA153" s="3">
        <f t="shared" si="117"/>
        <v>0</v>
      </c>
      <c r="BB153" s="3">
        <f t="shared" si="117"/>
        <v>0</v>
      </c>
      <c r="BC153" s="3">
        <f t="shared" si="117"/>
        <v>0</v>
      </c>
      <c r="BD153" s="3">
        <f t="shared" si="117"/>
        <v>0</v>
      </c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  <c r="GL153" s="4"/>
      <c r="GM153" s="4"/>
      <c r="GN153" s="4"/>
      <c r="GO153" s="4"/>
      <c r="GP153" s="4"/>
      <c r="GQ153" s="4"/>
      <c r="GR153" s="4"/>
      <c r="GS153" s="4"/>
      <c r="GT153" s="4"/>
      <c r="GU153" s="4"/>
      <c r="GV153" s="4"/>
      <c r="GW153" s="4"/>
      <c r="GX153" s="4">
        <v>0</v>
      </c>
    </row>
    <row r="155" spans="1:206" x14ac:dyDescent="0.2">
      <c r="A155" s="5">
        <v>50</v>
      </c>
      <c r="B155" s="5">
        <v>0</v>
      </c>
      <c r="C155" s="5">
        <v>0</v>
      </c>
      <c r="D155" s="5">
        <v>1</v>
      </c>
      <c r="E155" s="5">
        <v>201</v>
      </c>
      <c r="F155" s="5">
        <f>ROUND(Source!O153,O155)</f>
        <v>237587.62</v>
      </c>
      <c r="G155" s="5" t="s">
        <v>216</v>
      </c>
      <c r="H155" s="5" t="s">
        <v>217</v>
      </c>
      <c r="I155" s="5"/>
      <c r="J155" s="5"/>
      <c r="K155" s="5">
        <v>201</v>
      </c>
      <c r="L155" s="5">
        <v>1</v>
      </c>
      <c r="M155" s="5">
        <v>3</v>
      </c>
      <c r="N155" s="5" t="s">
        <v>3</v>
      </c>
      <c r="O155" s="5">
        <v>2</v>
      </c>
      <c r="P155" s="5"/>
      <c r="Q155" s="5"/>
      <c r="R155" s="5"/>
      <c r="S155" s="5"/>
      <c r="T155" s="5"/>
      <c r="U155" s="5"/>
      <c r="V155" s="5"/>
      <c r="W155" s="5">
        <v>235080.63999999998</v>
      </c>
      <c r="X155" s="5">
        <v>1</v>
      </c>
      <c r="Y155" s="5">
        <v>235080.63999999998</v>
      </c>
      <c r="Z155" s="5"/>
      <c r="AA155" s="5"/>
      <c r="AB155" s="5"/>
    </row>
    <row r="156" spans="1:206" x14ac:dyDescent="0.2">
      <c r="A156" s="5">
        <v>50</v>
      </c>
      <c r="B156" s="5">
        <v>0</v>
      </c>
      <c r="C156" s="5">
        <v>0</v>
      </c>
      <c r="D156" s="5">
        <v>1</v>
      </c>
      <c r="E156" s="5">
        <v>202</v>
      </c>
      <c r="F156" s="5">
        <f>ROUND(Source!P153,O156)</f>
        <v>175900.84</v>
      </c>
      <c r="G156" s="5" t="s">
        <v>218</v>
      </c>
      <c r="H156" s="5" t="s">
        <v>219</v>
      </c>
      <c r="I156" s="5"/>
      <c r="J156" s="5"/>
      <c r="K156" s="5">
        <v>202</v>
      </c>
      <c r="L156" s="5">
        <v>2</v>
      </c>
      <c r="M156" s="5">
        <v>3</v>
      </c>
      <c r="N156" s="5" t="s">
        <v>3</v>
      </c>
      <c r="O156" s="5">
        <v>2</v>
      </c>
      <c r="P156" s="5"/>
      <c r="Q156" s="5"/>
      <c r="R156" s="5"/>
      <c r="S156" s="5"/>
      <c r="T156" s="5"/>
      <c r="U156" s="5"/>
      <c r="V156" s="5"/>
      <c r="W156" s="5">
        <v>175900.84</v>
      </c>
      <c r="X156" s="5">
        <v>1</v>
      </c>
      <c r="Y156" s="5">
        <v>175900.84</v>
      </c>
      <c r="Z156" s="5"/>
      <c r="AA156" s="5"/>
      <c r="AB156" s="5"/>
    </row>
    <row r="157" spans="1:206" x14ac:dyDescent="0.2">
      <c r="A157" s="5">
        <v>50</v>
      </c>
      <c r="B157" s="5">
        <v>0</v>
      </c>
      <c r="C157" s="5">
        <v>0</v>
      </c>
      <c r="D157" s="5">
        <v>1</v>
      </c>
      <c r="E157" s="5">
        <v>222</v>
      </c>
      <c r="F157" s="5">
        <f>ROUND(Source!AO153,O157)</f>
        <v>0</v>
      </c>
      <c r="G157" s="5" t="s">
        <v>220</v>
      </c>
      <c r="H157" s="5" t="s">
        <v>221</v>
      </c>
      <c r="I157" s="5"/>
      <c r="J157" s="5"/>
      <c r="K157" s="5">
        <v>222</v>
      </c>
      <c r="L157" s="5">
        <v>3</v>
      </c>
      <c r="M157" s="5">
        <v>3</v>
      </c>
      <c r="N157" s="5" t="s">
        <v>3</v>
      </c>
      <c r="O157" s="5">
        <v>2</v>
      </c>
      <c r="P157" s="5"/>
      <c r="Q157" s="5"/>
      <c r="R157" s="5"/>
      <c r="S157" s="5"/>
      <c r="T157" s="5"/>
      <c r="U157" s="5"/>
      <c r="V157" s="5"/>
      <c r="W157" s="5">
        <v>0</v>
      </c>
      <c r="X157" s="5">
        <v>1</v>
      </c>
      <c r="Y157" s="5">
        <v>0</v>
      </c>
      <c r="Z157" s="5"/>
      <c r="AA157" s="5"/>
      <c r="AB157" s="5"/>
    </row>
    <row r="158" spans="1:206" x14ac:dyDescent="0.2">
      <c r="A158" s="5">
        <v>50</v>
      </c>
      <c r="B158" s="5">
        <v>0</v>
      </c>
      <c r="C158" s="5">
        <v>0</v>
      </c>
      <c r="D158" s="5">
        <v>1</v>
      </c>
      <c r="E158" s="5">
        <v>225</v>
      </c>
      <c r="F158" s="5">
        <f>ROUND(Source!AV153,O158)</f>
        <v>175900.84</v>
      </c>
      <c r="G158" s="5" t="s">
        <v>222</v>
      </c>
      <c r="H158" s="5" t="s">
        <v>223</v>
      </c>
      <c r="I158" s="5"/>
      <c r="J158" s="5"/>
      <c r="K158" s="5">
        <v>225</v>
      </c>
      <c r="L158" s="5">
        <v>4</v>
      </c>
      <c r="M158" s="5">
        <v>3</v>
      </c>
      <c r="N158" s="5" t="s">
        <v>3</v>
      </c>
      <c r="O158" s="5">
        <v>2</v>
      </c>
      <c r="P158" s="5"/>
      <c r="Q158" s="5"/>
      <c r="R158" s="5"/>
      <c r="S158" s="5"/>
      <c r="T158" s="5"/>
      <c r="U158" s="5"/>
      <c r="V158" s="5"/>
      <c r="W158" s="5">
        <v>175900.84</v>
      </c>
      <c r="X158" s="5">
        <v>1</v>
      </c>
      <c r="Y158" s="5">
        <v>175900.84</v>
      </c>
      <c r="Z158" s="5"/>
      <c r="AA158" s="5"/>
      <c r="AB158" s="5"/>
    </row>
    <row r="159" spans="1:206" x14ac:dyDescent="0.2">
      <c r="A159" s="5">
        <v>50</v>
      </c>
      <c r="B159" s="5">
        <v>0</v>
      </c>
      <c r="C159" s="5">
        <v>0</v>
      </c>
      <c r="D159" s="5">
        <v>1</v>
      </c>
      <c r="E159" s="5">
        <v>226</v>
      </c>
      <c r="F159" s="5">
        <f>ROUND(Source!AW153,O159)</f>
        <v>173393.86</v>
      </c>
      <c r="G159" s="5" t="s">
        <v>224</v>
      </c>
      <c r="H159" s="5" t="s">
        <v>225</v>
      </c>
      <c r="I159" s="5"/>
      <c r="J159" s="5"/>
      <c r="K159" s="5">
        <v>226</v>
      </c>
      <c r="L159" s="5">
        <v>5</v>
      </c>
      <c r="M159" s="5">
        <v>3</v>
      </c>
      <c r="N159" s="5" t="s">
        <v>3</v>
      </c>
      <c r="O159" s="5">
        <v>2</v>
      </c>
      <c r="P159" s="5"/>
      <c r="Q159" s="5"/>
      <c r="R159" s="5"/>
      <c r="S159" s="5"/>
      <c r="T159" s="5"/>
      <c r="U159" s="5"/>
      <c r="V159" s="5"/>
      <c r="W159" s="5">
        <v>173393.86</v>
      </c>
      <c r="X159" s="5">
        <v>1</v>
      </c>
      <c r="Y159" s="5">
        <v>173393.86</v>
      </c>
      <c r="Z159" s="5"/>
      <c r="AA159" s="5"/>
      <c r="AB159" s="5"/>
    </row>
    <row r="160" spans="1:206" x14ac:dyDescent="0.2">
      <c r="A160" s="5">
        <v>50</v>
      </c>
      <c r="B160" s="5">
        <v>0</v>
      </c>
      <c r="C160" s="5">
        <v>0</v>
      </c>
      <c r="D160" s="5">
        <v>1</v>
      </c>
      <c r="E160" s="5">
        <v>227</v>
      </c>
      <c r="F160" s="5">
        <f>ROUND(Source!AX153,O160)</f>
        <v>0</v>
      </c>
      <c r="G160" s="5" t="s">
        <v>226</v>
      </c>
      <c r="H160" s="5" t="s">
        <v>227</v>
      </c>
      <c r="I160" s="5"/>
      <c r="J160" s="5"/>
      <c r="K160" s="5">
        <v>227</v>
      </c>
      <c r="L160" s="5">
        <v>6</v>
      </c>
      <c r="M160" s="5">
        <v>3</v>
      </c>
      <c r="N160" s="5" t="s">
        <v>3</v>
      </c>
      <c r="O160" s="5">
        <v>2</v>
      </c>
      <c r="P160" s="5"/>
      <c r="Q160" s="5"/>
      <c r="R160" s="5"/>
      <c r="S160" s="5"/>
      <c r="T160" s="5"/>
      <c r="U160" s="5"/>
      <c r="V160" s="5"/>
      <c r="W160" s="5">
        <v>0</v>
      </c>
      <c r="X160" s="5">
        <v>1</v>
      </c>
      <c r="Y160" s="5">
        <v>0</v>
      </c>
      <c r="Z160" s="5"/>
      <c r="AA160" s="5"/>
      <c r="AB160" s="5"/>
    </row>
    <row r="161" spans="1:28" x14ac:dyDescent="0.2">
      <c r="A161" s="5">
        <v>50</v>
      </c>
      <c r="B161" s="5">
        <v>0</v>
      </c>
      <c r="C161" s="5">
        <v>0</v>
      </c>
      <c r="D161" s="5">
        <v>1</v>
      </c>
      <c r="E161" s="5">
        <v>228</v>
      </c>
      <c r="F161" s="5">
        <f>ROUND(Source!AY153,O161)</f>
        <v>173393.86</v>
      </c>
      <c r="G161" s="5" t="s">
        <v>228</v>
      </c>
      <c r="H161" s="5" t="s">
        <v>229</v>
      </c>
      <c r="I161" s="5"/>
      <c r="J161" s="5"/>
      <c r="K161" s="5">
        <v>228</v>
      </c>
      <c r="L161" s="5">
        <v>7</v>
      </c>
      <c r="M161" s="5">
        <v>3</v>
      </c>
      <c r="N161" s="5" t="s">
        <v>3</v>
      </c>
      <c r="O161" s="5">
        <v>2</v>
      </c>
      <c r="P161" s="5"/>
      <c r="Q161" s="5"/>
      <c r="R161" s="5"/>
      <c r="S161" s="5"/>
      <c r="T161" s="5"/>
      <c r="U161" s="5"/>
      <c r="V161" s="5"/>
      <c r="W161" s="5">
        <v>173393.86</v>
      </c>
      <c r="X161" s="5">
        <v>1</v>
      </c>
      <c r="Y161" s="5">
        <v>173393.86</v>
      </c>
      <c r="Z161" s="5"/>
      <c r="AA161" s="5"/>
      <c r="AB161" s="5"/>
    </row>
    <row r="162" spans="1:28" x14ac:dyDescent="0.2">
      <c r="A162" s="5">
        <v>50</v>
      </c>
      <c r="B162" s="5">
        <v>0</v>
      </c>
      <c r="C162" s="5">
        <v>0</v>
      </c>
      <c r="D162" s="5">
        <v>1</v>
      </c>
      <c r="E162" s="5">
        <v>216</v>
      </c>
      <c r="F162" s="5">
        <f>ROUND(Source!AP153,O162)</f>
        <v>2506.98</v>
      </c>
      <c r="G162" s="5" t="s">
        <v>230</v>
      </c>
      <c r="H162" s="5" t="s">
        <v>231</v>
      </c>
      <c r="I162" s="5"/>
      <c r="J162" s="5"/>
      <c r="K162" s="5">
        <v>216</v>
      </c>
      <c r="L162" s="5">
        <v>8</v>
      </c>
      <c r="M162" s="5">
        <v>3</v>
      </c>
      <c r="N162" s="5" t="s">
        <v>3</v>
      </c>
      <c r="O162" s="5">
        <v>2</v>
      </c>
      <c r="P162" s="5"/>
      <c r="Q162" s="5"/>
      <c r="R162" s="5"/>
      <c r="S162" s="5"/>
      <c r="T162" s="5"/>
      <c r="U162" s="5"/>
      <c r="V162" s="5"/>
      <c r="W162" s="5">
        <v>2506.98</v>
      </c>
      <c r="X162" s="5">
        <v>1</v>
      </c>
      <c r="Y162" s="5">
        <v>2506.98</v>
      </c>
      <c r="Z162" s="5"/>
      <c r="AA162" s="5"/>
      <c r="AB162" s="5"/>
    </row>
    <row r="163" spans="1:28" x14ac:dyDescent="0.2">
      <c r="A163" s="5">
        <v>50</v>
      </c>
      <c r="B163" s="5">
        <v>0</v>
      </c>
      <c r="C163" s="5">
        <v>0</v>
      </c>
      <c r="D163" s="5">
        <v>1</v>
      </c>
      <c r="E163" s="5">
        <v>223</v>
      </c>
      <c r="F163" s="5">
        <f>ROUND(Source!AQ153,O163)</f>
        <v>0</v>
      </c>
      <c r="G163" s="5" t="s">
        <v>232</v>
      </c>
      <c r="H163" s="5" t="s">
        <v>233</v>
      </c>
      <c r="I163" s="5"/>
      <c r="J163" s="5"/>
      <c r="K163" s="5">
        <v>223</v>
      </c>
      <c r="L163" s="5">
        <v>9</v>
      </c>
      <c r="M163" s="5">
        <v>3</v>
      </c>
      <c r="N163" s="5" t="s">
        <v>3</v>
      </c>
      <c r="O163" s="5">
        <v>2</v>
      </c>
      <c r="P163" s="5"/>
      <c r="Q163" s="5"/>
      <c r="R163" s="5"/>
      <c r="S163" s="5"/>
      <c r="T163" s="5"/>
      <c r="U163" s="5"/>
      <c r="V163" s="5"/>
      <c r="W163" s="5">
        <v>0</v>
      </c>
      <c r="X163" s="5">
        <v>1</v>
      </c>
      <c r="Y163" s="5">
        <v>0</v>
      </c>
      <c r="Z163" s="5"/>
      <c r="AA163" s="5"/>
      <c r="AB163" s="5"/>
    </row>
    <row r="164" spans="1:28" x14ac:dyDescent="0.2">
      <c r="A164" s="5">
        <v>50</v>
      </c>
      <c r="B164" s="5">
        <v>0</v>
      </c>
      <c r="C164" s="5">
        <v>0</v>
      </c>
      <c r="D164" s="5">
        <v>1</v>
      </c>
      <c r="E164" s="5">
        <v>229</v>
      </c>
      <c r="F164" s="5">
        <f>ROUND(Source!AZ153,O164)</f>
        <v>2506.98</v>
      </c>
      <c r="G164" s="5" t="s">
        <v>234</v>
      </c>
      <c r="H164" s="5" t="s">
        <v>235</v>
      </c>
      <c r="I164" s="5"/>
      <c r="J164" s="5"/>
      <c r="K164" s="5">
        <v>229</v>
      </c>
      <c r="L164" s="5">
        <v>10</v>
      </c>
      <c r="M164" s="5">
        <v>3</v>
      </c>
      <c r="N164" s="5" t="s">
        <v>3</v>
      </c>
      <c r="O164" s="5">
        <v>2</v>
      </c>
      <c r="P164" s="5"/>
      <c r="Q164" s="5"/>
      <c r="R164" s="5"/>
      <c r="S164" s="5"/>
      <c r="T164" s="5"/>
      <c r="U164" s="5"/>
      <c r="V164" s="5"/>
      <c r="W164" s="5">
        <v>2506.98</v>
      </c>
      <c r="X164" s="5">
        <v>1</v>
      </c>
      <c r="Y164" s="5">
        <v>2506.98</v>
      </c>
      <c r="Z164" s="5"/>
      <c r="AA164" s="5"/>
      <c r="AB164" s="5"/>
    </row>
    <row r="165" spans="1:28" x14ac:dyDescent="0.2">
      <c r="A165" s="5">
        <v>50</v>
      </c>
      <c r="B165" s="5">
        <v>0</v>
      </c>
      <c r="C165" s="5">
        <v>0</v>
      </c>
      <c r="D165" s="5">
        <v>1</v>
      </c>
      <c r="E165" s="5">
        <v>203</v>
      </c>
      <c r="F165" s="5">
        <f>ROUND(Source!Q153,O165)</f>
        <v>306.16000000000003</v>
      </c>
      <c r="G165" s="5" t="s">
        <v>236</v>
      </c>
      <c r="H165" s="5" t="s">
        <v>237</v>
      </c>
      <c r="I165" s="5"/>
      <c r="J165" s="5"/>
      <c r="K165" s="5">
        <v>203</v>
      </c>
      <c r="L165" s="5">
        <v>11</v>
      </c>
      <c r="M165" s="5">
        <v>3</v>
      </c>
      <c r="N165" s="5" t="s">
        <v>3</v>
      </c>
      <c r="O165" s="5">
        <v>2</v>
      </c>
      <c r="P165" s="5"/>
      <c r="Q165" s="5"/>
      <c r="R165" s="5"/>
      <c r="S165" s="5"/>
      <c r="T165" s="5"/>
      <c r="U165" s="5"/>
      <c r="V165" s="5"/>
      <c r="W165" s="5">
        <v>306.16000000000003</v>
      </c>
      <c r="X165" s="5">
        <v>1</v>
      </c>
      <c r="Y165" s="5">
        <v>306.16000000000003</v>
      </c>
      <c r="Z165" s="5"/>
      <c r="AA165" s="5"/>
      <c r="AB165" s="5"/>
    </row>
    <row r="166" spans="1:28" x14ac:dyDescent="0.2">
      <c r="A166" s="5">
        <v>50</v>
      </c>
      <c r="B166" s="5">
        <v>0</v>
      </c>
      <c r="C166" s="5">
        <v>0</v>
      </c>
      <c r="D166" s="5">
        <v>1</v>
      </c>
      <c r="E166" s="5">
        <v>231</v>
      </c>
      <c r="F166" s="5">
        <f>ROUND(Source!BB153,O166)</f>
        <v>0</v>
      </c>
      <c r="G166" s="5" t="s">
        <v>238</v>
      </c>
      <c r="H166" s="5" t="s">
        <v>239</v>
      </c>
      <c r="I166" s="5"/>
      <c r="J166" s="5"/>
      <c r="K166" s="5">
        <v>231</v>
      </c>
      <c r="L166" s="5">
        <v>12</v>
      </c>
      <c r="M166" s="5">
        <v>3</v>
      </c>
      <c r="N166" s="5" t="s">
        <v>3</v>
      </c>
      <c r="O166" s="5">
        <v>2</v>
      </c>
      <c r="P166" s="5"/>
      <c r="Q166" s="5"/>
      <c r="R166" s="5"/>
      <c r="S166" s="5"/>
      <c r="T166" s="5"/>
      <c r="U166" s="5"/>
      <c r="V166" s="5"/>
      <c r="W166" s="5">
        <v>0</v>
      </c>
      <c r="X166" s="5">
        <v>1</v>
      </c>
      <c r="Y166" s="5">
        <v>0</v>
      </c>
      <c r="Z166" s="5"/>
      <c r="AA166" s="5"/>
      <c r="AB166" s="5"/>
    </row>
    <row r="167" spans="1:28" x14ac:dyDescent="0.2">
      <c r="A167" s="5">
        <v>50</v>
      </c>
      <c r="B167" s="5">
        <v>0</v>
      </c>
      <c r="C167" s="5">
        <v>0</v>
      </c>
      <c r="D167" s="5">
        <v>1</v>
      </c>
      <c r="E167" s="5">
        <v>204</v>
      </c>
      <c r="F167" s="5">
        <f>ROUND(Source!R153,O167)</f>
        <v>210.83</v>
      </c>
      <c r="G167" s="5" t="s">
        <v>240</v>
      </c>
      <c r="H167" s="5" t="s">
        <v>241</v>
      </c>
      <c r="I167" s="5"/>
      <c r="J167" s="5"/>
      <c r="K167" s="5">
        <v>204</v>
      </c>
      <c r="L167" s="5">
        <v>13</v>
      </c>
      <c r="M167" s="5">
        <v>3</v>
      </c>
      <c r="N167" s="5" t="s">
        <v>3</v>
      </c>
      <c r="O167" s="5">
        <v>2</v>
      </c>
      <c r="P167" s="5"/>
      <c r="Q167" s="5"/>
      <c r="R167" s="5"/>
      <c r="S167" s="5"/>
      <c r="T167" s="5"/>
      <c r="U167" s="5"/>
      <c r="V167" s="5"/>
      <c r="W167" s="5">
        <v>210.83</v>
      </c>
      <c r="X167" s="5">
        <v>1</v>
      </c>
      <c r="Y167" s="5">
        <v>210.83</v>
      </c>
      <c r="Z167" s="5"/>
      <c r="AA167" s="5"/>
      <c r="AB167" s="5"/>
    </row>
    <row r="168" spans="1:28" x14ac:dyDescent="0.2">
      <c r="A168" s="5">
        <v>50</v>
      </c>
      <c r="B168" s="5">
        <v>0</v>
      </c>
      <c r="C168" s="5">
        <v>0</v>
      </c>
      <c r="D168" s="5">
        <v>1</v>
      </c>
      <c r="E168" s="5">
        <v>205</v>
      </c>
      <c r="F168" s="5">
        <f>ROUND(Source!S153,O168)</f>
        <v>61169.79</v>
      </c>
      <c r="G168" s="5" t="s">
        <v>242</v>
      </c>
      <c r="H168" s="5" t="s">
        <v>243</v>
      </c>
      <c r="I168" s="5"/>
      <c r="J168" s="5"/>
      <c r="K168" s="5">
        <v>205</v>
      </c>
      <c r="L168" s="5">
        <v>14</v>
      </c>
      <c r="M168" s="5">
        <v>3</v>
      </c>
      <c r="N168" s="5" t="s">
        <v>3</v>
      </c>
      <c r="O168" s="5">
        <v>2</v>
      </c>
      <c r="P168" s="5"/>
      <c r="Q168" s="5"/>
      <c r="R168" s="5"/>
      <c r="S168" s="5"/>
      <c r="T168" s="5"/>
      <c r="U168" s="5"/>
      <c r="V168" s="5"/>
      <c r="W168" s="5">
        <v>61169.79</v>
      </c>
      <c r="X168" s="5">
        <v>1</v>
      </c>
      <c r="Y168" s="5">
        <v>61169.79</v>
      </c>
      <c r="Z168" s="5"/>
      <c r="AA168" s="5"/>
      <c r="AB168" s="5"/>
    </row>
    <row r="169" spans="1:28" x14ac:dyDescent="0.2">
      <c r="A169" s="5">
        <v>50</v>
      </c>
      <c r="B169" s="5">
        <v>0</v>
      </c>
      <c r="C169" s="5">
        <v>0</v>
      </c>
      <c r="D169" s="5">
        <v>1</v>
      </c>
      <c r="E169" s="5">
        <v>232</v>
      </c>
      <c r="F169" s="5">
        <f>ROUND(Source!BC153,O169)</f>
        <v>0</v>
      </c>
      <c r="G169" s="5" t="s">
        <v>244</v>
      </c>
      <c r="H169" s="5" t="s">
        <v>245</v>
      </c>
      <c r="I169" s="5"/>
      <c r="J169" s="5"/>
      <c r="K169" s="5">
        <v>232</v>
      </c>
      <c r="L169" s="5">
        <v>15</v>
      </c>
      <c r="M169" s="5">
        <v>3</v>
      </c>
      <c r="N169" s="5" t="s">
        <v>3</v>
      </c>
      <c r="O169" s="5">
        <v>2</v>
      </c>
      <c r="P169" s="5"/>
      <c r="Q169" s="5"/>
      <c r="R169" s="5"/>
      <c r="S169" s="5"/>
      <c r="T169" s="5"/>
      <c r="U169" s="5"/>
      <c r="V169" s="5"/>
      <c r="W169" s="5">
        <v>0</v>
      </c>
      <c r="X169" s="5">
        <v>1</v>
      </c>
      <c r="Y169" s="5">
        <v>0</v>
      </c>
      <c r="Z169" s="5"/>
      <c r="AA169" s="5"/>
      <c r="AB169" s="5"/>
    </row>
    <row r="170" spans="1:28" x14ac:dyDescent="0.2">
      <c r="A170" s="5">
        <v>50</v>
      </c>
      <c r="B170" s="5">
        <v>0</v>
      </c>
      <c r="C170" s="5">
        <v>0</v>
      </c>
      <c r="D170" s="5">
        <v>1</v>
      </c>
      <c r="E170" s="5">
        <v>214</v>
      </c>
      <c r="F170" s="5">
        <f>ROUND(Source!AS153,O170)</f>
        <v>132592.91</v>
      </c>
      <c r="G170" s="5" t="s">
        <v>246</v>
      </c>
      <c r="H170" s="5" t="s">
        <v>247</v>
      </c>
      <c r="I170" s="5"/>
      <c r="J170" s="5"/>
      <c r="K170" s="5">
        <v>214</v>
      </c>
      <c r="L170" s="5">
        <v>16</v>
      </c>
      <c r="M170" s="5">
        <v>3</v>
      </c>
      <c r="N170" s="5" t="s">
        <v>3</v>
      </c>
      <c r="O170" s="5">
        <v>2</v>
      </c>
      <c r="P170" s="5"/>
      <c r="Q170" s="5"/>
      <c r="R170" s="5"/>
      <c r="S170" s="5"/>
      <c r="T170" s="5"/>
      <c r="U170" s="5"/>
      <c r="V170" s="5"/>
      <c r="W170" s="5">
        <v>132592.91</v>
      </c>
      <c r="X170" s="5">
        <v>1</v>
      </c>
      <c r="Y170" s="5">
        <v>132592.91</v>
      </c>
      <c r="Z170" s="5"/>
      <c r="AA170" s="5"/>
      <c r="AB170" s="5"/>
    </row>
    <row r="171" spans="1:28" x14ac:dyDescent="0.2">
      <c r="A171" s="5">
        <v>50</v>
      </c>
      <c r="B171" s="5">
        <v>0</v>
      </c>
      <c r="C171" s="5">
        <v>0</v>
      </c>
      <c r="D171" s="5">
        <v>1</v>
      </c>
      <c r="E171" s="5">
        <v>215</v>
      </c>
      <c r="F171" s="5">
        <f>ROUND(Source!AT153,O171)</f>
        <v>190806.72</v>
      </c>
      <c r="G171" s="5" t="s">
        <v>248</v>
      </c>
      <c r="H171" s="5" t="s">
        <v>249</v>
      </c>
      <c r="I171" s="5"/>
      <c r="J171" s="5"/>
      <c r="K171" s="5">
        <v>215</v>
      </c>
      <c r="L171" s="5">
        <v>17</v>
      </c>
      <c r="M171" s="5">
        <v>3</v>
      </c>
      <c r="N171" s="5" t="s">
        <v>3</v>
      </c>
      <c r="O171" s="5">
        <v>2</v>
      </c>
      <c r="P171" s="5"/>
      <c r="Q171" s="5"/>
      <c r="R171" s="5"/>
      <c r="S171" s="5"/>
      <c r="T171" s="5"/>
      <c r="U171" s="5"/>
      <c r="V171" s="5"/>
      <c r="W171" s="5">
        <v>190806.72</v>
      </c>
      <c r="X171" s="5">
        <v>1</v>
      </c>
      <c r="Y171" s="5">
        <v>190806.72</v>
      </c>
      <c r="Z171" s="5"/>
      <c r="AA171" s="5"/>
      <c r="AB171" s="5"/>
    </row>
    <row r="172" spans="1:28" x14ac:dyDescent="0.2">
      <c r="A172" s="5">
        <v>50</v>
      </c>
      <c r="B172" s="5">
        <v>0</v>
      </c>
      <c r="C172" s="5">
        <v>0</v>
      </c>
      <c r="D172" s="5">
        <v>1</v>
      </c>
      <c r="E172" s="5">
        <v>217</v>
      </c>
      <c r="F172" s="5">
        <f>ROUND(Source!AU153,O172)</f>
        <v>0</v>
      </c>
      <c r="G172" s="5" t="s">
        <v>250</v>
      </c>
      <c r="H172" s="5" t="s">
        <v>251</v>
      </c>
      <c r="I172" s="5"/>
      <c r="J172" s="5"/>
      <c r="K172" s="5">
        <v>217</v>
      </c>
      <c r="L172" s="5">
        <v>18</v>
      </c>
      <c r="M172" s="5">
        <v>3</v>
      </c>
      <c r="N172" s="5" t="s">
        <v>3</v>
      </c>
      <c r="O172" s="5">
        <v>2</v>
      </c>
      <c r="P172" s="5"/>
      <c r="Q172" s="5"/>
      <c r="R172" s="5"/>
      <c r="S172" s="5"/>
      <c r="T172" s="5"/>
      <c r="U172" s="5"/>
      <c r="V172" s="5"/>
      <c r="W172" s="5">
        <v>0</v>
      </c>
      <c r="X172" s="5">
        <v>1</v>
      </c>
      <c r="Y172" s="5">
        <v>0</v>
      </c>
      <c r="Z172" s="5"/>
      <c r="AA172" s="5"/>
      <c r="AB172" s="5"/>
    </row>
    <row r="173" spans="1:28" x14ac:dyDescent="0.2">
      <c r="A173" s="5">
        <v>50</v>
      </c>
      <c r="B173" s="5">
        <v>0</v>
      </c>
      <c r="C173" s="5">
        <v>0</v>
      </c>
      <c r="D173" s="5">
        <v>1</v>
      </c>
      <c r="E173" s="5">
        <v>230</v>
      </c>
      <c r="F173" s="5">
        <f>ROUND(Source!BA153,O173)</f>
        <v>0</v>
      </c>
      <c r="G173" s="5" t="s">
        <v>252</v>
      </c>
      <c r="H173" s="5" t="s">
        <v>253</v>
      </c>
      <c r="I173" s="5"/>
      <c r="J173" s="5"/>
      <c r="K173" s="5">
        <v>230</v>
      </c>
      <c r="L173" s="5">
        <v>19</v>
      </c>
      <c r="M173" s="5">
        <v>3</v>
      </c>
      <c r="N173" s="5" t="s">
        <v>3</v>
      </c>
      <c r="O173" s="5">
        <v>2</v>
      </c>
      <c r="P173" s="5"/>
      <c r="Q173" s="5"/>
      <c r="R173" s="5"/>
      <c r="S173" s="5"/>
      <c r="T173" s="5"/>
      <c r="U173" s="5"/>
      <c r="V173" s="5"/>
      <c r="W173" s="5">
        <v>0</v>
      </c>
      <c r="X173" s="5">
        <v>1</v>
      </c>
      <c r="Y173" s="5">
        <v>0</v>
      </c>
      <c r="Z173" s="5"/>
      <c r="AA173" s="5"/>
      <c r="AB173" s="5"/>
    </row>
    <row r="174" spans="1:28" x14ac:dyDescent="0.2">
      <c r="A174" s="5">
        <v>50</v>
      </c>
      <c r="B174" s="5">
        <v>0</v>
      </c>
      <c r="C174" s="5">
        <v>0</v>
      </c>
      <c r="D174" s="5">
        <v>1</v>
      </c>
      <c r="E174" s="5">
        <v>206</v>
      </c>
      <c r="F174" s="5">
        <f>ROUND(Source!T153,O174)</f>
        <v>0</v>
      </c>
      <c r="G174" s="5" t="s">
        <v>254</v>
      </c>
      <c r="H174" s="5" t="s">
        <v>255</v>
      </c>
      <c r="I174" s="5"/>
      <c r="J174" s="5"/>
      <c r="K174" s="5">
        <v>206</v>
      </c>
      <c r="L174" s="5">
        <v>20</v>
      </c>
      <c r="M174" s="5">
        <v>3</v>
      </c>
      <c r="N174" s="5" t="s">
        <v>3</v>
      </c>
      <c r="O174" s="5">
        <v>2</v>
      </c>
      <c r="P174" s="5"/>
      <c r="Q174" s="5"/>
      <c r="R174" s="5"/>
      <c r="S174" s="5"/>
      <c r="T174" s="5"/>
      <c r="U174" s="5"/>
      <c r="V174" s="5"/>
      <c r="W174" s="5">
        <v>0</v>
      </c>
      <c r="X174" s="5">
        <v>1</v>
      </c>
      <c r="Y174" s="5">
        <v>0</v>
      </c>
      <c r="Z174" s="5"/>
      <c r="AA174" s="5"/>
      <c r="AB174" s="5"/>
    </row>
    <row r="175" spans="1:28" x14ac:dyDescent="0.2">
      <c r="A175" s="5">
        <v>50</v>
      </c>
      <c r="B175" s="5">
        <v>0</v>
      </c>
      <c r="C175" s="5">
        <v>0</v>
      </c>
      <c r="D175" s="5">
        <v>1</v>
      </c>
      <c r="E175" s="5">
        <v>207</v>
      </c>
      <c r="F175" s="5">
        <f>ROUND(Source!U153,O175)</f>
        <v>86.816225099999997</v>
      </c>
      <c r="G175" s="5" t="s">
        <v>256</v>
      </c>
      <c r="H175" s="5" t="s">
        <v>257</v>
      </c>
      <c r="I175" s="5"/>
      <c r="J175" s="5"/>
      <c r="K175" s="5">
        <v>207</v>
      </c>
      <c r="L175" s="5">
        <v>21</v>
      </c>
      <c r="M175" s="5">
        <v>3</v>
      </c>
      <c r="N175" s="5" t="s">
        <v>3</v>
      </c>
      <c r="O175" s="5">
        <v>7</v>
      </c>
      <c r="P175" s="5"/>
      <c r="Q175" s="5"/>
      <c r="R175" s="5"/>
      <c r="S175" s="5"/>
      <c r="T175" s="5"/>
      <c r="U175" s="5"/>
      <c r="V175" s="5"/>
      <c r="W175" s="5">
        <v>86.816225099999997</v>
      </c>
      <c r="X175" s="5">
        <v>1</v>
      </c>
      <c r="Y175" s="5">
        <v>86.816225099999997</v>
      </c>
      <c r="Z175" s="5"/>
      <c r="AA175" s="5"/>
      <c r="AB175" s="5"/>
    </row>
    <row r="176" spans="1:28" x14ac:dyDescent="0.2">
      <c r="A176" s="5">
        <v>50</v>
      </c>
      <c r="B176" s="5">
        <v>0</v>
      </c>
      <c r="C176" s="5">
        <v>0</v>
      </c>
      <c r="D176" s="5">
        <v>1</v>
      </c>
      <c r="E176" s="5">
        <v>208</v>
      </c>
      <c r="F176" s="5">
        <f>ROUND(Source!V153,O176)</f>
        <v>0.25155189999999999</v>
      </c>
      <c r="G176" s="5" t="s">
        <v>258</v>
      </c>
      <c r="H176" s="5" t="s">
        <v>259</v>
      </c>
      <c r="I176" s="5"/>
      <c r="J176" s="5"/>
      <c r="K176" s="5">
        <v>208</v>
      </c>
      <c r="L176" s="5">
        <v>22</v>
      </c>
      <c r="M176" s="5">
        <v>3</v>
      </c>
      <c r="N176" s="5" t="s">
        <v>3</v>
      </c>
      <c r="O176" s="5">
        <v>7</v>
      </c>
      <c r="P176" s="5"/>
      <c r="Q176" s="5"/>
      <c r="R176" s="5"/>
      <c r="S176" s="5"/>
      <c r="T176" s="5"/>
      <c r="U176" s="5"/>
      <c r="V176" s="5"/>
      <c r="W176" s="5">
        <v>0.25155189999999999</v>
      </c>
      <c r="X176" s="5">
        <v>1</v>
      </c>
      <c r="Y176" s="5">
        <v>0.25155189999999999</v>
      </c>
      <c r="Z176" s="5"/>
      <c r="AA176" s="5"/>
      <c r="AB176" s="5"/>
    </row>
    <row r="177" spans="1:206" x14ac:dyDescent="0.2">
      <c r="A177" s="5">
        <v>50</v>
      </c>
      <c r="B177" s="5">
        <v>0</v>
      </c>
      <c r="C177" s="5">
        <v>0</v>
      </c>
      <c r="D177" s="5">
        <v>1</v>
      </c>
      <c r="E177" s="5">
        <v>209</v>
      </c>
      <c r="F177" s="5">
        <f>ROUND(Source!W153,O177)</f>
        <v>0</v>
      </c>
      <c r="G177" s="5" t="s">
        <v>260</v>
      </c>
      <c r="H177" s="5" t="s">
        <v>261</v>
      </c>
      <c r="I177" s="5"/>
      <c r="J177" s="5"/>
      <c r="K177" s="5">
        <v>209</v>
      </c>
      <c r="L177" s="5">
        <v>23</v>
      </c>
      <c r="M177" s="5">
        <v>3</v>
      </c>
      <c r="N177" s="5" t="s">
        <v>3</v>
      </c>
      <c r="O177" s="5">
        <v>2</v>
      </c>
      <c r="P177" s="5"/>
      <c r="Q177" s="5"/>
      <c r="R177" s="5"/>
      <c r="S177" s="5"/>
      <c r="T177" s="5"/>
      <c r="U177" s="5"/>
      <c r="V177" s="5"/>
      <c r="W177" s="5">
        <v>0</v>
      </c>
      <c r="X177" s="5">
        <v>1</v>
      </c>
      <c r="Y177" s="5">
        <v>0</v>
      </c>
      <c r="Z177" s="5"/>
      <c r="AA177" s="5"/>
      <c r="AB177" s="5"/>
    </row>
    <row r="178" spans="1:206" x14ac:dyDescent="0.2">
      <c r="A178" s="5">
        <v>50</v>
      </c>
      <c r="B178" s="5">
        <v>0</v>
      </c>
      <c r="C178" s="5">
        <v>0</v>
      </c>
      <c r="D178" s="5">
        <v>1</v>
      </c>
      <c r="E178" s="5">
        <v>233</v>
      </c>
      <c r="F178" s="5">
        <f>ROUND(Source!BD153,O178)</f>
        <v>0</v>
      </c>
      <c r="G178" s="5" t="s">
        <v>262</v>
      </c>
      <c r="H178" s="5" t="s">
        <v>263</v>
      </c>
      <c r="I178" s="5"/>
      <c r="J178" s="5"/>
      <c r="K178" s="5">
        <v>233</v>
      </c>
      <c r="L178" s="5">
        <v>24</v>
      </c>
      <c r="M178" s="5">
        <v>3</v>
      </c>
      <c r="N178" s="5" t="s">
        <v>3</v>
      </c>
      <c r="O178" s="5">
        <v>2</v>
      </c>
      <c r="P178" s="5"/>
      <c r="Q178" s="5"/>
      <c r="R178" s="5"/>
      <c r="S178" s="5"/>
      <c r="T178" s="5"/>
      <c r="U178" s="5"/>
      <c r="V178" s="5"/>
      <c r="W178" s="5">
        <v>0</v>
      </c>
      <c r="X178" s="5">
        <v>1</v>
      </c>
      <c r="Y178" s="5">
        <v>0</v>
      </c>
      <c r="Z178" s="5"/>
      <c r="AA178" s="5"/>
      <c r="AB178" s="5"/>
    </row>
    <row r="179" spans="1:206" x14ac:dyDescent="0.2">
      <c r="A179" s="5">
        <v>50</v>
      </c>
      <c r="B179" s="5">
        <v>0</v>
      </c>
      <c r="C179" s="5">
        <v>0</v>
      </c>
      <c r="D179" s="5">
        <v>1</v>
      </c>
      <c r="E179" s="5">
        <v>210</v>
      </c>
      <c r="F179" s="5">
        <f>ROUND(Source!X153,O179)</f>
        <v>58002.8</v>
      </c>
      <c r="G179" s="5" t="s">
        <v>264</v>
      </c>
      <c r="H179" s="5" t="s">
        <v>265</v>
      </c>
      <c r="I179" s="5"/>
      <c r="J179" s="5"/>
      <c r="K179" s="5">
        <v>210</v>
      </c>
      <c r="L179" s="5">
        <v>25</v>
      </c>
      <c r="M179" s="5">
        <v>3</v>
      </c>
      <c r="N179" s="5" t="s">
        <v>3</v>
      </c>
      <c r="O179" s="5">
        <v>2</v>
      </c>
      <c r="P179" s="5"/>
      <c r="Q179" s="5"/>
      <c r="R179" s="5"/>
      <c r="S179" s="5"/>
      <c r="T179" s="5"/>
      <c r="U179" s="5"/>
      <c r="V179" s="5"/>
      <c r="W179" s="5">
        <v>58002.8</v>
      </c>
      <c r="X179" s="5">
        <v>1</v>
      </c>
      <c r="Y179" s="5">
        <v>58002.8</v>
      </c>
      <c r="Z179" s="5"/>
      <c r="AA179" s="5"/>
      <c r="AB179" s="5"/>
    </row>
    <row r="180" spans="1:206" x14ac:dyDescent="0.2">
      <c r="A180" s="5">
        <v>50</v>
      </c>
      <c r="B180" s="5">
        <v>0</v>
      </c>
      <c r="C180" s="5">
        <v>0</v>
      </c>
      <c r="D180" s="5">
        <v>1</v>
      </c>
      <c r="E180" s="5">
        <v>211</v>
      </c>
      <c r="F180" s="5">
        <f>ROUND(Source!Y153,O180)</f>
        <v>30316.19</v>
      </c>
      <c r="G180" s="5" t="s">
        <v>266</v>
      </c>
      <c r="H180" s="5" t="s">
        <v>267</v>
      </c>
      <c r="I180" s="5"/>
      <c r="J180" s="5"/>
      <c r="K180" s="5">
        <v>211</v>
      </c>
      <c r="L180" s="5">
        <v>26</v>
      </c>
      <c r="M180" s="5">
        <v>3</v>
      </c>
      <c r="N180" s="5" t="s">
        <v>3</v>
      </c>
      <c r="O180" s="5">
        <v>2</v>
      </c>
      <c r="P180" s="5"/>
      <c r="Q180" s="5"/>
      <c r="R180" s="5"/>
      <c r="S180" s="5"/>
      <c r="T180" s="5"/>
      <c r="U180" s="5"/>
      <c r="V180" s="5"/>
      <c r="W180" s="5">
        <v>30316.19</v>
      </c>
      <c r="X180" s="5">
        <v>1</v>
      </c>
      <c r="Y180" s="5">
        <v>30316.19</v>
      </c>
      <c r="Z180" s="5"/>
      <c r="AA180" s="5"/>
      <c r="AB180" s="5"/>
    </row>
    <row r="181" spans="1:206" x14ac:dyDescent="0.2">
      <c r="A181" s="5">
        <v>50</v>
      </c>
      <c r="B181" s="5">
        <v>0</v>
      </c>
      <c r="C181" s="5">
        <v>0</v>
      </c>
      <c r="D181" s="5">
        <v>1</v>
      </c>
      <c r="E181" s="5">
        <v>224</v>
      </c>
      <c r="F181" s="5">
        <f>ROUND(Source!AR153,O181)</f>
        <v>325906.61</v>
      </c>
      <c r="G181" s="5" t="s">
        <v>268</v>
      </c>
      <c r="H181" s="5" t="s">
        <v>269</v>
      </c>
      <c r="I181" s="5"/>
      <c r="J181" s="5"/>
      <c r="K181" s="5">
        <v>224</v>
      </c>
      <c r="L181" s="5">
        <v>27</v>
      </c>
      <c r="M181" s="5">
        <v>3</v>
      </c>
      <c r="N181" s="5" t="s">
        <v>3</v>
      </c>
      <c r="O181" s="5">
        <v>2</v>
      </c>
      <c r="P181" s="5"/>
      <c r="Q181" s="5"/>
      <c r="R181" s="5"/>
      <c r="S181" s="5"/>
      <c r="T181" s="5"/>
      <c r="U181" s="5"/>
      <c r="V181" s="5"/>
      <c r="W181" s="5">
        <v>325906.61</v>
      </c>
      <c r="X181" s="5">
        <v>1</v>
      </c>
      <c r="Y181" s="5">
        <v>325906.61</v>
      </c>
      <c r="Z181" s="5"/>
      <c r="AA181" s="5"/>
      <c r="AB181" s="5"/>
    </row>
    <row r="182" spans="1:206" x14ac:dyDescent="0.2">
      <c r="A182" s="5">
        <v>50</v>
      </c>
      <c r="B182" s="5">
        <v>1</v>
      </c>
      <c r="C182" s="5">
        <v>0</v>
      </c>
      <c r="D182" s="5">
        <v>2</v>
      </c>
      <c r="E182" s="5">
        <v>0</v>
      </c>
      <c r="F182" s="5">
        <f>ROUND(F181,O182)</f>
        <v>325906.61</v>
      </c>
      <c r="G182" s="5" t="s">
        <v>290</v>
      </c>
      <c r="H182" s="5" t="s">
        <v>290</v>
      </c>
      <c r="I182" s="5"/>
      <c r="J182" s="5"/>
      <c r="K182" s="5">
        <v>212</v>
      </c>
      <c r="L182" s="5">
        <v>28</v>
      </c>
      <c r="M182" s="5">
        <v>0</v>
      </c>
      <c r="N182" s="5" t="s">
        <v>3</v>
      </c>
      <c r="O182" s="5">
        <v>2</v>
      </c>
      <c r="P182" s="5"/>
      <c r="Q182" s="5"/>
      <c r="R182" s="5"/>
      <c r="S182" s="5"/>
      <c r="T182" s="5"/>
      <c r="U182" s="5"/>
      <c r="V182" s="5"/>
      <c r="W182" s="5">
        <v>325906.61</v>
      </c>
      <c r="X182" s="5">
        <v>1</v>
      </c>
      <c r="Y182" s="5">
        <v>325906.61</v>
      </c>
      <c r="Z182" s="5"/>
      <c r="AA182" s="5"/>
      <c r="AB182" s="5"/>
    </row>
    <row r="183" spans="1:206" x14ac:dyDescent="0.2">
      <c r="A183" s="5">
        <v>50</v>
      </c>
      <c r="B183" s="5">
        <v>1</v>
      </c>
      <c r="C183" s="5">
        <v>0</v>
      </c>
      <c r="D183" s="5">
        <v>2</v>
      </c>
      <c r="E183" s="5">
        <v>0</v>
      </c>
      <c r="F183" s="5">
        <f>ROUND(F182*0.2,O183)</f>
        <v>65181.32</v>
      </c>
      <c r="G183" s="5" t="s">
        <v>291</v>
      </c>
      <c r="H183" s="5" t="s">
        <v>291</v>
      </c>
      <c r="I183" s="5"/>
      <c r="J183" s="5"/>
      <c r="K183" s="5">
        <v>212</v>
      </c>
      <c r="L183" s="5">
        <v>29</v>
      </c>
      <c r="M183" s="5">
        <v>0</v>
      </c>
      <c r="N183" s="5" t="s">
        <v>3</v>
      </c>
      <c r="O183" s="5">
        <v>2</v>
      </c>
      <c r="P183" s="5"/>
      <c r="Q183" s="5"/>
      <c r="R183" s="5"/>
      <c r="S183" s="5"/>
      <c r="T183" s="5"/>
      <c r="U183" s="5"/>
      <c r="V183" s="5"/>
      <c r="W183" s="5">
        <v>65181.32</v>
      </c>
      <c r="X183" s="5">
        <v>1</v>
      </c>
      <c r="Y183" s="5">
        <v>65181.32</v>
      </c>
      <c r="Z183" s="5"/>
      <c r="AA183" s="5"/>
      <c r="AB183" s="5"/>
    </row>
    <row r="184" spans="1:206" x14ac:dyDescent="0.2">
      <c r="A184" s="5">
        <v>50</v>
      </c>
      <c r="B184" s="5">
        <v>1</v>
      </c>
      <c r="C184" s="5">
        <v>0</v>
      </c>
      <c r="D184" s="5">
        <v>2</v>
      </c>
      <c r="E184" s="5">
        <v>213</v>
      </c>
      <c r="F184" s="5">
        <f>ROUND(F182+F183,O184)</f>
        <v>391087.93</v>
      </c>
      <c r="G184" s="5" t="s">
        <v>292</v>
      </c>
      <c r="H184" s="5" t="s">
        <v>292</v>
      </c>
      <c r="I184" s="5"/>
      <c r="J184" s="5"/>
      <c r="K184" s="5">
        <v>212</v>
      </c>
      <c r="L184" s="5">
        <v>30</v>
      </c>
      <c r="M184" s="5">
        <v>0</v>
      </c>
      <c r="N184" s="5" t="s">
        <v>3</v>
      </c>
      <c r="O184" s="5">
        <v>2</v>
      </c>
      <c r="P184" s="5"/>
      <c r="Q184" s="5"/>
      <c r="R184" s="5"/>
      <c r="S184" s="5"/>
      <c r="T184" s="5"/>
      <c r="U184" s="5"/>
      <c r="V184" s="5"/>
      <c r="W184" s="5">
        <v>391087.93</v>
      </c>
      <c r="X184" s="5">
        <v>1</v>
      </c>
      <c r="Y184" s="5">
        <v>391087.93</v>
      </c>
      <c r="Z184" s="5"/>
      <c r="AA184" s="5"/>
      <c r="AB184" s="5"/>
    </row>
    <row r="185" spans="1:206" x14ac:dyDescent="0.2">
      <c r="A185" s="5">
        <v>50</v>
      </c>
      <c r="B185" s="5">
        <v>1</v>
      </c>
      <c r="C185" s="5">
        <v>0</v>
      </c>
      <c r="D185" s="5">
        <v>2</v>
      </c>
      <c r="E185" s="5">
        <v>0</v>
      </c>
      <c r="F185" s="5">
        <f>ROUND((F161+F163+F165+F179*0.1712+F180*0.15)*0.22,O185)</f>
        <v>41399.06</v>
      </c>
      <c r="G185" s="5" t="s">
        <v>293</v>
      </c>
      <c r="H185" s="5" t="s">
        <v>294</v>
      </c>
      <c r="I185" s="5"/>
      <c r="J185" s="5"/>
      <c r="K185" s="5">
        <v>212</v>
      </c>
      <c r="L185" s="5">
        <v>31</v>
      </c>
      <c r="M185" s="5">
        <v>0</v>
      </c>
      <c r="N185" s="5" t="s">
        <v>3</v>
      </c>
      <c r="O185" s="5">
        <v>2</v>
      </c>
      <c r="P185" s="5"/>
      <c r="Q185" s="5"/>
      <c r="R185" s="5"/>
      <c r="S185" s="5"/>
      <c r="T185" s="5"/>
      <c r="U185" s="5"/>
      <c r="V185" s="5"/>
      <c r="W185" s="5">
        <v>41399.06</v>
      </c>
      <c r="X185" s="5">
        <v>1</v>
      </c>
      <c r="Y185" s="5">
        <v>41399.06</v>
      </c>
      <c r="Z185" s="5"/>
      <c r="AA185" s="5"/>
      <c r="AB185" s="5"/>
    </row>
    <row r="187" spans="1:206" x14ac:dyDescent="0.2">
      <c r="A187" s="3">
        <v>51</v>
      </c>
      <c r="B187" s="3">
        <f>B12</f>
        <v>247</v>
      </c>
      <c r="C187" s="3">
        <f>A12</f>
        <v>1</v>
      </c>
      <c r="D187" s="3">
        <f>ROW(A12)</f>
        <v>12</v>
      </c>
      <c r="E187" s="3"/>
      <c r="F187" s="3" t="str">
        <f>IF(F12&lt;&gt;"",F12,"")</f>
        <v/>
      </c>
      <c r="G187" s="3" t="str">
        <f>IF(G12&lt;&gt;"",G12,"")</f>
        <v>Электрика,(КДО каб. 34, 2-ой эт)_(06/07/26)</v>
      </c>
      <c r="H187" s="3">
        <v>0</v>
      </c>
      <c r="I187" s="3"/>
      <c r="J187" s="3"/>
      <c r="K187" s="3"/>
      <c r="L187" s="3"/>
      <c r="M187" s="3"/>
      <c r="N187" s="3"/>
      <c r="O187" s="3">
        <f t="shared" ref="O187:T187" si="118">ROUND(O153,2)</f>
        <v>237587.62</v>
      </c>
      <c r="P187" s="3">
        <f t="shared" si="118"/>
        <v>175900.84</v>
      </c>
      <c r="Q187" s="3">
        <f t="shared" si="118"/>
        <v>306.16000000000003</v>
      </c>
      <c r="R187" s="3">
        <f t="shared" si="118"/>
        <v>210.83</v>
      </c>
      <c r="S187" s="3">
        <f t="shared" si="118"/>
        <v>61169.79</v>
      </c>
      <c r="T187" s="3">
        <f t="shared" si="118"/>
        <v>0</v>
      </c>
      <c r="U187" s="3">
        <f>U153</f>
        <v>86.816225100000011</v>
      </c>
      <c r="V187" s="3">
        <f>V153</f>
        <v>0.25155189999999999</v>
      </c>
      <c r="W187" s="3">
        <f>ROUND(W153,2)</f>
        <v>0</v>
      </c>
      <c r="X187" s="3">
        <f>ROUND(X153,2)</f>
        <v>58002.8</v>
      </c>
      <c r="Y187" s="3">
        <f>ROUND(Y153,2)</f>
        <v>30316.19</v>
      </c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>
        <f t="shared" ref="AO187:BD187" si="119">ROUND(AO153,2)</f>
        <v>0</v>
      </c>
      <c r="AP187" s="3">
        <f t="shared" si="119"/>
        <v>2506.98</v>
      </c>
      <c r="AQ187" s="3">
        <f t="shared" si="119"/>
        <v>0</v>
      </c>
      <c r="AR187" s="3">
        <f t="shared" si="119"/>
        <v>325906.61</v>
      </c>
      <c r="AS187" s="3">
        <f t="shared" si="119"/>
        <v>132592.91</v>
      </c>
      <c r="AT187" s="3">
        <f t="shared" si="119"/>
        <v>190806.72</v>
      </c>
      <c r="AU187" s="3">
        <f t="shared" si="119"/>
        <v>0</v>
      </c>
      <c r="AV187" s="3">
        <f t="shared" si="119"/>
        <v>175900.84</v>
      </c>
      <c r="AW187" s="3">
        <f t="shared" si="119"/>
        <v>173393.86</v>
      </c>
      <c r="AX187" s="3">
        <f t="shared" si="119"/>
        <v>0</v>
      </c>
      <c r="AY187" s="3">
        <f t="shared" si="119"/>
        <v>173393.86</v>
      </c>
      <c r="AZ187" s="3">
        <f t="shared" si="119"/>
        <v>2506.98</v>
      </c>
      <c r="BA187" s="3">
        <f t="shared" si="119"/>
        <v>0</v>
      </c>
      <c r="BB187" s="3">
        <f t="shared" si="119"/>
        <v>0</v>
      </c>
      <c r="BC187" s="3">
        <f t="shared" si="119"/>
        <v>0</v>
      </c>
      <c r="BD187" s="3">
        <f t="shared" si="119"/>
        <v>0</v>
      </c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>
        <v>0</v>
      </c>
    </row>
    <row r="189" spans="1:206" x14ac:dyDescent="0.2">
      <c r="A189" s="5">
        <v>50</v>
      </c>
      <c r="B189" s="5">
        <v>0</v>
      </c>
      <c r="C189" s="5">
        <v>0</v>
      </c>
      <c r="D189" s="5">
        <v>1</v>
      </c>
      <c r="E189" s="5">
        <v>201</v>
      </c>
      <c r="F189" s="5">
        <f>ROUND(Source!O187,O189)</f>
        <v>237587.62</v>
      </c>
      <c r="G189" s="5" t="s">
        <v>216</v>
      </c>
      <c r="H189" s="5" t="s">
        <v>217</v>
      </c>
      <c r="I189" s="5"/>
      <c r="J189" s="5"/>
      <c r="K189" s="5">
        <v>201</v>
      </c>
      <c r="L189" s="5">
        <v>1</v>
      </c>
      <c r="M189" s="5">
        <v>3</v>
      </c>
      <c r="N189" s="5" t="s">
        <v>3</v>
      </c>
      <c r="O189" s="5">
        <v>2</v>
      </c>
      <c r="P189" s="5"/>
      <c r="Q189" s="5"/>
      <c r="R189" s="5"/>
      <c r="S189" s="5"/>
      <c r="T189" s="5"/>
      <c r="U189" s="5"/>
      <c r="V189" s="5"/>
      <c r="W189" s="5">
        <v>235080.63999999998</v>
      </c>
      <c r="X189" s="5">
        <v>1</v>
      </c>
      <c r="Y189" s="5">
        <v>235080.63999999998</v>
      </c>
      <c r="Z189" s="5"/>
      <c r="AA189" s="5"/>
      <c r="AB189" s="5"/>
    </row>
    <row r="190" spans="1:206" x14ac:dyDescent="0.2">
      <c r="A190" s="5">
        <v>50</v>
      </c>
      <c r="B190" s="5">
        <v>0</v>
      </c>
      <c r="C190" s="5">
        <v>0</v>
      </c>
      <c r="D190" s="5">
        <v>1</v>
      </c>
      <c r="E190" s="5">
        <v>202</v>
      </c>
      <c r="F190" s="5">
        <f>ROUND(Source!P187,O190)</f>
        <v>175900.84</v>
      </c>
      <c r="G190" s="5" t="s">
        <v>218</v>
      </c>
      <c r="H190" s="5" t="s">
        <v>219</v>
      </c>
      <c r="I190" s="5"/>
      <c r="J190" s="5"/>
      <c r="K190" s="5">
        <v>202</v>
      </c>
      <c r="L190" s="5">
        <v>2</v>
      </c>
      <c r="M190" s="5">
        <v>3</v>
      </c>
      <c r="N190" s="5" t="s">
        <v>3</v>
      </c>
      <c r="O190" s="5">
        <v>2</v>
      </c>
      <c r="P190" s="5"/>
      <c r="Q190" s="5"/>
      <c r="R190" s="5"/>
      <c r="S190" s="5"/>
      <c r="T190" s="5"/>
      <c r="U190" s="5"/>
      <c r="V190" s="5"/>
      <c r="W190" s="5">
        <v>175900.84</v>
      </c>
      <c r="X190" s="5">
        <v>1</v>
      </c>
      <c r="Y190" s="5">
        <v>175900.84</v>
      </c>
      <c r="Z190" s="5"/>
      <c r="AA190" s="5"/>
      <c r="AB190" s="5"/>
    </row>
    <row r="191" spans="1:206" x14ac:dyDescent="0.2">
      <c r="A191" s="5">
        <v>50</v>
      </c>
      <c r="B191" s="5">
        <v>0</v>
      </c>
      <c r="C191" s="5">
        <v>0</v>
      </c>
      <c r="D191" s="5">
        <v>1</v>
      </c>
      <c r="E191" s="5">
        <v>222</v>
      </c>
      <c r="F191" s="5">
        <f>ROUND(Source!AO187,O191)</f>
        <v>0</v>
      </c>
      <c r="G191" s="5" t="s">
        <v>220</v>
      </c>
      <c r="H191" s="5" t="s">
        <v>221</v>
      </c>
      <c r="I191" s="5"/>
      <c r="J191" s="5"/>
      <c r="K191" s="5">
        <v>222</v>
      </c>
      <c r="L191" s="5">
        <v>3</v>
      </c>
      <c r="M191" s="5">
        <v>3</v>
      </c>
      <c r="N191" s="5" t="s">
        <v>3</v>
      </c>
      <c r="O191" s="5">
        <v>2</v>
      </c>
      <c r="P191" s="5"/>
      <c r="Q191" s="5"/>
      <c r="R191" s="5"/>
      <c r="S191" s="5"/>
      <c r="T191" s="5"/>
      <c r="U191" s="5"/>
      <c r="V191" s="5"/>
      <c r="W191" s="5">
        <v>0</v>
      </c>
      <c r="X191" s="5">
        <v>1</v>
      </c>
      <c r="Y191" s="5">
        <v>0</v>
      </c>
      <c r="Z191" s="5"/>
      <c r="AA191" s="5"/>
      <c r="AB191" s="5"/>
    </row>
    <row r="192" spans="1:206" x14ac:dyDescent="0.2">
      <c r="A192" s="5">
        <v>50</v>
      </c>
      <c r="B192" s="5">
        <v>0</v>
      </c>
      <c r="C192" s="5">
        <v>0</v>
      </c>
      <c r="D192" s="5">
        <v>1</v>
      </c>
      <c r="E192" s="5">
        <v>225</v>
      </c>
      <c r="F192" s="5">
        <f>ROUND(Source!AV187,O192)</f>
        <v>175900.84</v>
      </c>
      <c r="G192" s="5" t="s">
        <v>222</v>
      </c>
      <c r="H192" s="5" t="s">
        <v>223</v>
      </c>
      <c r="I192" s="5"/>
      <c r="J192" s="5"/>
      <c r="K192" s="5">
        <v>225</v>
      </c>
      <c r="L192" s="5">
        <v>4</v>
      </c>
      <c r="M192" s="5">
        <v>3</v>
      </c>
      <c r="N192" s="5" t="s">
        <v>3</v>
      </c>
      <c r="O192" s="5">
        <v>2</v>
      </c>
      <c r="P192" s="5"/>
      <c r="Q192" s="5"/>
      <c r="R192" s="5"/>
      <c r="S192" s="5"/>
      <c r="T192" s="5"/>
      <c r="U192" s="5"/>
      <c r="V192" s="5"/>
      <c r="W192" s="5">
        <v>175900.84</v>
      </c>
      <c r="X192" s="5">
        <v>1</v>
      </c>
      <c r="Y192" s="5">
        <v>175900.84</v>
      </c>
      <c r="Z192" s="5"/>
      <c r="AA192" s="5"/>
      <c r="AB192" s="5"/>
    </row>
    <row r="193" spans="1:28" x14ac:dyDescent="0.2">
      <c r="A193" s="5">
        <v>50</v>
      </c>
      <c r="B193" s="5">
        <v>0</v>
      </c>
      <c r="C193" s="5">
        <v>0</v>
      </c>
      <c r="D193" s="5">
        <v>1</v>
      </c>
      <c r="E193" s="5">
        <v>226</v>
      </c>
      <c r="F193" s="5">
        <f>ROUND(Source!AW187,O193)</f>
        <v>173393.86</v>
      </c>
      <c r="G193" s="5" t="s">
        <v>224</v>
      </c>
      <c r="H193" s="5" t="s">
        <v>225</v>
      </c>
      <c r="I193" s="5"/>
      <c r="J193" s="5"/>
      <c r="K193" s="5">
        <v>226</v>
      </c>
      <c r="L193" s="5">
        <v>5</v>
      </c>
      <c r="M193" s="5">
        <v>3</v>
      </c>
      <c r="N193" s="5" t="s">
        <v>3</v>
      </c>
      <c r="O193" s="5">
        <v>2</v>
      </c>
      <c r="P193" s="5"/>
      <c r="Q193" s="5"/>
      <c r="R193" s="5"/>
      <c r="S193" s="5"/>
      <c r="T193" s="5"/>
      <c r="U193" s="5"/>
      <c r="V193" s="5"/>
      <c r="W193" s="5">
        <v>173393.86</v>
      </c>
      <c r="X193" s="5">
        <v>1</v>
      </c>
      <c r="Y193" s="5">
        <v>173393.86</v>
      </c>
      <c r="Z193" s="5"/>
      <c r="AA193" s="5"/>
      <c r="AB193" s="5"/>
    </row>
    <row r="194" spans="1:28" x14ac:dyDescent="0.2">
      <c r="A194" s="5">
        <v>50</v>
      </c>
      <c r="B194" s="5">
        <v>0</v>
      </c>
      <c r="C194" s="5">
        <v>0</v>
      </c>
      <c r="D194" s="5">
        <v>1</v>
      </c>
      <c r="E194" s="5">
        <v>227</v>
      </c>
      <c r="F194" s="5">
        <f>ROUND(Source!AX187,O194)</f>
        <v>0</v>
      </c>
      <c r="G194" s="5" t="s">
        <v>226</v>
      </c>
      <c r="H194" s="5" t="s">
        <v>227</v>
      </c>
      <c r="I194" s="5"/>
      <c r="J194" s="5"/>
      <c r="K194" s="5">
        <v>227</v>
      </c>
      <c r="L194" s="5">
        <v>6</v>
      </c>
      <c r="M194" s="5">
        <v>3</v>
      </c>
      <c r="N194" s="5" t="s">
        <v>3</v>
      </c>
      <c r="O194" s="5">
        <v>2</v>
      </c>
      <c r="P194" s="5"/>
      <c r="Q194" s="5"/>
      <c r="R194" s="5"/>
      <c r="S194" s="5"/>
      <c r="T194" s="5"/>
      <c r="U194" s="5"/>
      <c r="V194" s="5"/>
      <c r="W194" s="5">
        <v>0</v>
      </c>
      <c r="X194" s="5">
        <v>1</v>
      </c>
      <c r="Y194" s="5">
        <v>0</v>
      </c>
      <c r="Z194" s="5"/>
      <c r="AA194" s="5"/>
      <c r="AB194" s="5"/>
    </row>
    <row r="195" spans="1:28" x14ac:dyDescent="0.2">
      <c r="A195" s="5">
        <v>50</v>
      </c>
      <c r="B195" s="5">
        <v>0</v>
      </c>
      <c r="C195" s="5">
        <v>0</v>
      </c>
      <c r="D195" s="5">
        <v>1</v>
      </c>
      <c r="E195" s="5">
        <v>228</v>
      </c>
      <c r="F195" s="5">
        <f>ROUND(Source!AY187,O195)</f>
        <v>173393.86</v>
      </c>
      <c r="G195" s="5" t="s">
        <v>228</v>
      </c>
      <c r="H195" s="5" t="s">
        <v>229</v>
      </c>
      <c r="I195" s="5"/>
      <c r="J195" s="5"/>
      <c r="K195" s="5">
        <v>228</v>
      </c>
      <c r="L195" s="5">
        <v>7</v>
      </c>
      <c r="M195" s="5">
        <v>3</v>
      </c>
      <c r="N195" s="5" t="s">
        <v>3</v>
      </c>
      <c r="O195" s="5">
        <v>2</v>
      </c>
      <c r="P195" s="5"/>
      <c r="Q195" s="5"/>
      <c r="R195" s="5"/>
      <c r="S195" s="5"/>
      <c r="T195" s="5"/>
      <c r="U195" s="5"/>
      <c r="V195" s="5"/>
      <c r="W195" s="5">
        <v>173393.86</v>
      </c>
      <c r="X195" s="5">
        <v>1</v>
      </c>
      <c r="Y195" s="5">
        <v>173393.86</v>
      </c>
      <c r="Z195" s="5"/>
      <c r="AA195" s="5"/>
      <c r="AB195" s="5"/>
    </row>
    <row r="196" spans="1:28" x14ac:dyDescent="0.2">
      <c r="A196" s="5">
        <v>50</v>
      </c>
      <c r="B196" s="5">
        <v>0</v>
      </c>
      <c r="C196" s="5">
        <v>0</v>
      </c>
      <c r="D196" s="5">
        <v>1</v>
      </c>
      <c r="E196" s="5">
        <v>216</v>
      </c>
      <c r="F196" s="5">
        <f>ROUND(Source!AP187,O196)</f>
        <v>2506.98</v>
      </c>
      <c r="G196" s="5" t="s">
        <v>230</v>
      </c>
      <c r="H196" s="5" t="s">
        <v>231</v>
      </c>
      <c r="I196" s="5"/>
      <c r="J196" s="5"/>
      <c r="K196" s="5">
        <v>216</v>
      </c>
      <c r="L196" s="5">
        <v>8</v>
      </c>
      <c r="M196" s="5">
        <v>3</v>
      </c>
      <c r="N196" s="5" t="s">
        <v>3</v>
      </c>
      <c r="O196" s="5">
        <v>2</v>
      </c>
      <c r="P196" s="5"/>
      <c r="Q196" s="5"/>
      <c r="R196" s="5"/>
      <c r="S196" s="5"/>
      <c r="T196" s="5"/>
      <c r="U196" s="5"/>
      <c r="V196" s="5"/>
      <c r="W196" s="5">
        <v>2506.98</v>
      </c>
      <c r="X196" s="5">
        <v>1</v>
      </c>
      <c r="Y196" s="5">
        <v>2506.98</v>
      </c>
      <c r="Z196" s="5"/>
      <c r="AA196" s="5"/>
      <c r="AB196" s="5"/>
    </row>
    <row r="197" spans="1:28" x14ac:dyDescent="0.2">
      <c r="A197" s="5">
        <v>50</v>
      </c>
      <c r="B197" s="5">
        <v>0</v>
      </c>
      <c r="C197" s="5">
        <v>0</v>
      </c>
      <c r="D197" s="5">
        <v>1</v>
      </c>
      <c r="E197" s="5">
        <v>223</v>
      </c>
      <c r="F197" s="5">
        <f>ROUND(Source!AQ187,O197)</f>
        <v>0</v>
      </c>
      <c r="G197" s="5" t="s">
        <v>232</v>
      </c>
      <c r="H197" s="5" t="s">
        <v>233</v>
      </c>
      <c r="I197" s="5"/>
      <c r="J197" s="5"/>
      <c r="K197" s="5">
        <v>223</v>
      </c>
      <c r="L197" s="5">
        <v>9</v>
      </c>
      <c r="M197" s="5">
        <v>3</v>
      </c>
      <c r="N197" s="5" t="s">
        <v>3</v>
      </c>
      <c r="O197" s="5">
        <v>2</v>
      </c>
      <c r="P197" s="5"/>
      <c r="Q197" s="5"/>
      <c r="R197" s="5"/>
      <c r="S197" s="5"/>
      <c r="T197" s="5"/>
      <c r="U197" s="5"/>
      <c r="V197" s="5"/>
      <c r="W197" s="5">
        <v>0</v>
      </c>
      <c r="X197" s="5">
        <v>1</v>
      </c>
      <c r="Y197" s="5">
        <v>0</v>
      </c>
      <c r="Z197" s="5"/>
      <c r="AA197" s="5"/>
      <c r="AB197" s="5"/>
    </row>
    <row r="198" spans="1:28" x14ac:dyDescent="0.2">
      <c r="A198" s="5">
        <v>50</v>
      </c>
      <c r="B198" s="5">
        <v>0</v>
      </c>
      <c r="C198" s="5">
        <v>0</v>
      </c>
      <c r="D198" s="5">
        <v>1</v>
      </c>
      <c r="E198" s="5">
        <v>229</v>
      </c>
      <c r="F198" s="5">
        <f>ROUND(Source!AZ187,O198)</f>
        <v>2506.98</v>
      </c>
      <c r="G198" s="5" t="s">
        <v>234</v>
      </c>
      <c r="H198" s="5" t="s">
        <v>235</v>
      </c>
      <c r="I198" s="5"/>
      <c r="J198" s="5"/>
      <c r="K198" s="5">
        <v>229</v>
      </c>
      <c r="L198" s="5">
        <v>10</v>
      </c>
      <c r="M198" s="5">
        <v>3</v>
      </c>
      <c r="N198" s="5" t="s">
        <v>3</v>
      </c>
      <c r="O198" s="5">
        <v>2</v>
      </c>
      <c r="P198" s="5"/>
      <c r="Q198" s="5"/>
      <c r="R198" s="5"/>
      <c r="S198" s="5"/>
      <c r="T198" s="5"/>
      <c r="U198" s="5"/>
      <c r="V198" s="5"/>
      <c r="W198" s="5">
        <v>2506.98</v>
      </c>
      <c r="X198" s="5">
        <v>1</v>
      </c>
      <c r="Y198" s="5">
        <v>2506.98</v>
      </c>
      <c r="Z198" s="5"/>
      <c r="AA198" s="5"/>
      <c r="AB198" s="5"/>
    </row>
    <row r="199" spans="1:28" x14ac:dyDescent="0.2">
      <c r="A199" s="5">
        <v>50</v>
      </c>
      <c r="B199" s="5">
        <v>0</v>
      </c>
      <c r="C199" s="5">
        <v>0</v>
      </c>
      <c r="D199" s="5">
        <v>1</v>
      </c>
      <c r="E199" s="5">
        <v>203</v>
      </c>
      <c r="F199" s="5">
        <f>ROUND(Source!Q187,O199)</f>
        <v>306.16000000000003</v>
      </c>
      <c r="G199" s="5" t="s">
        <v>236</v>
      </c>
      <c r="H199" s="5" t="s">
        <v>237</v>
      </c>
      <c r="I199" s="5"/>
      <c r="J199" s="5"/>
      <c r="K199" s="5">
        <v>203</v>
      </c>
      <c r="L199" s="5">
        <v>11</v>
      </c>
      <c r="M199" s="5">
        <v>3</v>
      </c>
      <c r="N199" s="5" t="s">
        <v>3</v>
      </c>
      <c r="O199" s="5">
        <v>2</v>
      </c>
      <c r="P199" s="5"/>
      <c r="Q199" s="5"/>
      <c r="R199" s="5"/>
      <c r="S199" s="5"/>
      <c r="T199" s="5"/>
      <c r="U199" s="5"/>
      <c r="V199" s="5"/>
      <c r="W199" s="5">
        <v>306.16000000000003</v>
      </c>
      <c r="X199" s="5">
        <v>1</v>
      </c>
      <c r="Y199" s="5">
        <v>306.16000000000003</v>
      </c>
      <c r="Z199" s="5"/>
      <c r="AA199" s="5"/>
      <c r="AB199" s="5"/>
    </row>
    <row r="200" spans="1:28" x14ac:dyDescent="0.2">
      <c r="A200" s="5">
        <v>50</v>
      </c>
      <c r="B200" s="5">
        <v>0</v>
      </c>
      <c r="C200" s="5">
        <v>0</v>
      </c>
      <c r="D200" s="5">
        <v>1</v>
      </c>
      <c r="E200" s="5">
        <v>231</v>
      </c>
      <c r="F200" s="5">
        <f>ROUND(Source!BB187,O200)</f>
        <v>0</v>
      </c>
      <c r="G200" s="5" t="s">
        <v>238</v>
      </c>
      <c r="H200" s="5" t="s">
        <v>239</v>
      </c>
      <c r="I200" s="5"/>
      <c r="J200" s="5"/>
      <c r="K200" s="5">
        <v>231</v>
      </c>
      <c r="L200" s="5">
        <v>12</v>
      </c>
      <c r="M200" s="5">
        <v>3</v>
      </c>
      <c r="N200" s="5" t="s">
        <v>3</v>
      </c>
      <c r="O200" s="5">
        <v>2</v>
      </c>
      <c r="P200" s="5"/>
      <c r="Q200" s="5"/>
      <c r="R200" s="5"/>
      <c r="S200" s="5"/>
      <c r="T200" s="5"/>
      <c r="U200" s="5"/>
      <c r="V200" s="5"/>
      <c r="W200" s="5">
        <v>0</v>
      </c>
      <c r="X200" s="5">
        <v>1</v>
      </c>
      <c r="Y200" s="5">
        <v>0</v>
      </c>
      <c r="Z200" s="5"/>
      <c r="AA200" s="5"/>
      <c r="AB200" s="5"/>
    </row>
    <row r="201" spans="1:28" x14ac:dyDescent="0.2">
      <c r="A201" s="5">
        <v>50</v>
      </c>
      <c r="B201" s="5">
        <v>0</v>
      </c>
      <c r="C201" s="5">
        <v>0</v>
      </c>
      <c r="D201" s="5">
        <v>1</v>
      </c>
      <c r="E201" s="5">
        <v>204</v>
      </c>
      <c r="F201" s="5">
        <f>ROUND(Source!R187,O201)</f>
        <v>210.83</v>
      </c>
      <c r="G201" s="5" t="s">
        <v>240</v>
      </c>
      <c r="H201" s="5" t="s">
        <v>241</v>
      </c>
      <c r="I201" s="5"/>
      <c r="J201" s="5"/>
      <c r="K201" s="5">
        <v>204</v>
      </c>
      <c r="L201" s="5">
        <v>13</v>
      </c>
      <c r="M201" s="5">
        <v>3</v>
      </c>
      <c r="N201" s="5" t="s">
        <v>3</v>
      </c>
      <c r="O201" s="5">
        <v>2</v>
      </c>
      <c r="P201" s="5"/>
      <c r="Q201" s="5"/>
      <c r="R201" s="5"/>
      <c r="S201" s="5"/>
      <c r="T201" s="5"/>
      <c r="U201" s="5"/>
      <c r="V201" s="5"/>
      <c r="W201" s="5">
        <v>210.83</v>
      </c>
      <c r="X201" s="5">
        <v>1</v>
      </c>
      <c r="Y201" s="5">
        <v>210.83</v>
      </c>
      <c r="Z201" s="5"/>
      <c r="AA201" s="5"/>
      <c r="AB201" s="5"/>
    </row>
    <row r="202" spans="1:28" x14ac:dyDescent="0.2">
      <c r="A202" s="5">
        <v>50</v>
      </c>
      <c r="B202" s="5">
        <v>0</v>
      </c>
      <c r="C202" s="5">
        <v>0</v>
      </c>
      <c r="D202" s="5">
        <v>1</v>
      </c>
      <c r="E202" s="5">
        <v>205</v>
      </c>
      <c r="F202" s="5">
        <f>ROUND(Source!S187,O202)</f>
        <v>61169.79</v>
      </c>
      <c r="G202" s="5" t="s">
        <v>242</v>
      </c>
      <c r="H202" s="5" t="s">
        <v>243</v>
      </c>
      <c r="I202" s="5"/>
      <c r="J202" s="5"/>
      <c r="K202" s="5">
        <v>205</v>
      </c>
      <c r="L202" s="5">
        <v>14</v>
      </c>
      <c r="M202" s="5">
        <v>3</v>
      </c>
      <c r="N202" s="5" t="s">
        <v>3</v>
      </c>
      <c r="O202" s="5">
        <v>2</v>
      </c>
      <c r="P202" s="5"/>
      <c r="Q202" s="5"/>
      <c r="R202" s="5"/>
      <c r="S202" s="5"/>
      <c r="T202" s="5"/>
      <c r="U202" s="5"/>
      <c r="V202" s="5"/>
      <c r="W202" s="5">
        <v>61169.79</v>
      </c>
      <c r="X202" s="5">
        <v>1</v>
      </c>
      <c r="Y202" s="5">
        <v>61169.79</v>
      </c>
      <c r="Z202" s="5"/>
      <c r="AA202" s="5"/>
      <c r="AB202" s="5"/>
    </row>
    <row r="203" spans="1:28" x14ac:dyDescent="0.2">
      <c r="A203" s="5">
        <v>50</v>
      </c>
      <c r="B203" s="5">
        <v>0</v>
      </c>
      <c r="C203" s="5">
        <v>0</v>
      </c>
      <c r="D203" s="5">
        <v>1</v>
      </c>
      <c r="E203" s="5">
        <v>232</v>
      </c>
      <c r="F203" s="5">
        <f>ROUND(Source!BC187,O203)</f>
        <v>0</v>
      </c>
      <c r="G203" s="5" t="s">
        <v>244</v>
      </c>
      <c r="H203" s="5" t="s">
        <v>245</v>
      </c>
      <c r="I203" s="5"/>
      <c r="J203" s="5"/>
      <c r="K203" s="5">
        <v>232</v>
      </c>
      <c r="L203" s="5">
        <v>15</v>
      </c>
      <c r="M203" s="5">
        <v>3</v>
      </c>
      <c r="N203" s="5" t="s">
        <v>3</v>
      </c>
      <c r="O203" s="5">
        <v>2</v>
      </c>
      <c r="P203" s="5"/>
      <c r="Q203" s="5"/>
      <c r="R203" s="5"/>
      <c r="S203" s="5"/>
      <c r="T203" s="5"/>
      <c r="U203" s="5"/>
      <c r="V203" s="5"/>
      <c r="W203" s="5">
        <v>0</v>
      </c>
      <c r="X203" s="5">
        <v>1</v>
      </c>
      <c r="Y203" s="5">
        <v>0</v>
      </c>
      <c r="Z203" s="5"/>
      <c r="AA203" s="5"/>
      <c r="AB203" s="5"/>
    </row>
    <row r="204" spans="1:28" x14ac:dyDescent="0.2">
      <c r="A204" s="5">
        <v>50</v>
      </c>
      <c r="B204" s="5">
        <v>0</v>
      </c>
      <c r="C204" s="5">
        <v>0</v>
      </c>
      <c r="D204" s="5">
        <v>1</v>
      </c>
      <c r="E204" s="5">
        <v>214</v>
      </c>
      <c r="F204" s="5">
        <f>ROUND(Source!AS187,O204)</f>
        <v>132592.91</v>
      </c>
      <c r="G204" s="5" t="s">
        <v>246</v>
      </c>
      <c r="H204" s="5" t="s">
        <v>247</v>
      </c>
      <c r="I204" s="5"/>
      <c r="J204" s="5"/>
      <c r="K204" s="5">
        <v>214</v>
      </c>
      <c r="L204" s="5">
        <v>16</v>
      </c>
      <c r="M204" s="5">
        <v>3</v>
      </c>
      <c r="N204" s="5" t="s">
        <v>3</v>
      </c>
      <c r="O204" s="5">
        <v>2</v>
      </c>
      <c r="P204" s="5"/>
      <c r="Q204" s="5"/>
      <c r="R204" s="5"/>
      <c r="S204" s="5"/>
      <c r="T204" s="5"/>
      <c r="U204" s="5"/>
      <c r="V204" s="5"/>
      <c r="W204" s="5">
        <v>132592.91</v>
      </c>
      <c r="X204" s="5">
        <v>1</v>
      </c>
      <c r="Y204" s="5">
        <v>132592.91</v>
      </c>
      <c r="Z204" s="5"/>
      <c r="AA204" s="5"/>
      <c r="AB204" s="5"/>
    </row>
    <row r="205" spans="1:28" x14ac:dyDescent="0.2">
      <c r="A205" s="5">
        <v>50</v>
      </c>
      <c r="B205" s="5">
        <v>0</v>
      </c>
      <c r="C205" s="5">
        <v>0</v>
      </c>
      <c r="D205" s="5">
        <v>1</v>
      </c>
      <c r="E205" s="5">
        <v>215</v>
      </c>
      <c r="F205" s="5">
        <f>ROUND(Source!AT187,O205)</f>
        <v>190806.72</v>
      </c>
      <c r="G205" s="5" t="s">
        <v>248</v>
      </c>
      <c r="H205" s="5" t="s">
        <v>249</v>
      </c>
      <c r="I205" s="5"/>
      <c r="J205" s="5"/>
      <c r="K205" s="5">
        <v>215</v>
      </c>
      <c r="L205" s="5">
        <v>17</v>
      </c>
      <c r="M205" s="5">
        <v>3</v>
      </c>
      <c r="N205" s="5" t="s">
        <v>3</v>
      </c>
      <c r="O205" s="5">
        <v>2</v>
      </c>
      <c r="P205" s="5"/>
      <c r="Q205" s="5"/>
      <c r="R205" s="5"/>
      <c r="S205" s="5"/>
      <c r="T205" s="5"/>
      <c r="U205" s="5"/>
      <c r="V205" s="5"/>
      <c r="W205" s="5">
        <v>190806.72</v>
      </c>
      <c r="X205" s="5">
        <v>1</v>
      </c>
      <c r="Y205" s="5">
        <v>190806.72</v>
      </c>
      <c r="Z205" s="5"/>
      <c r="AA205" s="5"/>
      <c r="AB205" s="5"/>
    </row>
    <row r="206" spans="1:28" x14ac:dyDescent="0.2">
      <c r="A206" s="5">
        <v>50</v>
      </c>
      <c r="B206" s="5">
        <v>0</v>
      </c>
      <c r="C206" s="5">
        <v>0</v>
      </c>
      <c r="D206" s="5">
        <v>1</v>
      </c>
      <c r="E206" s="5">
        <v>217</v>
      </c>
      <c r="F206" s="5">
        <f>ROUND(Source!AU187,O206)</f>
        <v>0</v>
      </c>
      <c r="G206" s="5" t="s">
        <v>250</v>
      </c>
      <c r="H206" s="5" t="s">
        <v>251</v>
      </c>
      <c r="I206" s="5"/>
      <c r="J206" s="5"/>
      <c r="K206" s="5">
        <v>217</v>
      </c>
      <c r="L206" s="5">
        <v>18</v>
      </c>
      <c r="M206" s="5">
        <v>3</v>
      </c>
      <c r="N206" s="5" t="s">
        <v>3</v>
      </c>
      <c r="O206" s="5">
        <v>2</v>
      </c>
      <c r="P206" s="5"/>
      <c r="Q206" s="5"/>
      <c r="R206" s="5"/>
      <c r="S206" s="5"/>
      <c r="T206" s="5"/>
      <c r="U206" s="5"/>
      <c r="V206" s="5"/>
      <c r="W206" s="5">
        <v>0</v>
      </c>
      <c r="X206" s="5">
        <v>1</v>
      </c>
      <c r="Y206" s="5">
        <v>0</v>
      </c>
      <c r="Z206" s="5"/>
      <c r="AA206" s="5"/>
      <c r="AB206" s="5"/>
    </row>
    <row r="207" spans="1:28" x14ac:dyDescent="0.2">
      <c r="A207" s="5">
        <v>50</v>
      </c>
      <c r="B207" s="5">
        <v>0</v>
      </c>
      <c r="C207" s="5">
        <v>0</v>
      </c>
      <c r="D207" s="5">
        <v>1</v>
      </c>
      <c r="E207" s="5">
        <v>230</v>
      </c>
      <c r="F207" s="5">
        <f>ROUND(Source!BA187,O207)</f>
        <v>0</v>
      </c>
      <c r="G207" s="5" t="s">
        <v>252</v>
      </c>
      <c r="H207" s="5" t="s">
        <v>253</v>
      </c>
      <c r="I207" s="5"/>
      <c r="J207" s="5"/>
      <c r="K207" s="5">
        <v>230</v>
      </c>
      <c r="L207" s="5">
        <v>19</v>
      </c>
      <c r="M207" s="5">
        <v>3</v>
      </c>
      <c r="N207" s="5" t="s">
        <v>3</v>
      </c>
      <c r="O207" s="5">
        <v>2</v>
      </c>
      <c r="P207" s="5"/>
      <c r="Q207" s="5"/>
      <c r="R207" s="5"/>
      <c r="S207" s="5"/>
      <c r="T207" s="5"/>
      <c r="U207" s="5"/>
      <c r="V207" s="5"/>
      <c r="W207" s="5">
        <v>0</v>
      </c>
      <c r="X207" s="5">
        <v>1</v>
      </c>
      <c r="Y207" s="5">
        <v>0</v>
      </c>
      <c r="Z207" s="5"/>
      <c r="AA207" s="5"/>
      <c r="AB207" s="5"/>
    </row>
    <row r="208" spans="1:28" x14ac:dyDescent="0.2">
      <c r="A208" s="5">
        <v>50</v>
      </c>
      <c r="B208" s="5">
        <v>0</v>
      </c>
      <c r="C208" s="5">
        <v>0</v>
      </c>
      <c r="D208" s="5">
        <v>1</v>
      </c>
      <c r="E208" s="5">
        <v>206</v>
      </c>
      <c r="F208" s="5">
        <f>ROUND(Source!T187,O208)</f>
        <v>0</v>
      </c>
      <c r="G208" s="5" t="s">
        <v>254</v>
      </c>
      <c r="H208" s="5" t="s">
        <v>255</v>
      </c>
      <c r="I208" s="5"/>
      <c r="J208" s="5"/>
      <c r="K208" s="5">
        <v>206</v>
      </c>
      <c r="L208" s="5">
        <v>20</v>
      </c>
      <c r="M208" s="5">
        <v>3</v>
      </c>
      <c r="N208" s="5" t="s">
        <v>3</v>
      </c>
      <c r="O208" s="5">
        <v>2</v>
      </c>
      <c r="P208" s="5"/>
      <c r="Q208" s="5"/>
      <c r="R208" s="5"/>
      <c r="S208" s="5"/>
      <c r="T208" s="5"/>
      <c r="U208" s="5"/>
      <c r="V208" s="5"/>
      <c r="W208" s="5">
        <v>0</v>
      </c>
      <c r="X208" s="5">
        <v>1</v>
      </c>
      <c r="Y208" s="5">
        <v>0</v>
      </c>
      <c r="Z208" s="5"/>
      <c r="AA208" s="5"/>
      <c r="AB208" s="5"/>
    </row>
    <row r="209" spans="1:28" x14ac:dyDescent="0.2">
      <c r="A209" s="5">
        <v>50</v>
      </c>
      <c r="B209" s="5">
        <v>0</v>
      </c>
      <c r="C209" s="5">
        <v>0</v>
      </c>
      <c r="D209" s="5">
        <v>1</v>
      </c>
      <c r="E209" s="5">
        <v>207</v>
      </c>
      <c r="F209" s="5">
        <f>ROUND(Source!U187,O209)</f>
        <v>86.816225099999997</v>
      </c>
      <c r="G209" s="5" t="s">
        <v>256</v>
      </c>
      <c r="H209" s="5" t="s">
        <v>257</v>
      </c>
      <c r="I209" s="5"/>
      <c r="J209" s="5"/>
      <c r="K209" s="5">
        <v>207</v>
      </c>
      <c r="L209" s="5">
        <v>21</v>
      </c>
      <c r="M209" s="5">
        <v>3</v>
      </c>
      <c r="N209" s="5" t="s">
        <v>3</v>
      </c>
      <c r="O209" s="5">
        <v>7</v>
      </c>
      <c r="P209" s="5"/>
      <c r="Q209" s="5"/>
      <c r="R209" s="5"/>
      <c r="S209" s="5"/>
      <c r="T209" s="5"/>
      <c r="U209" s="5"/>
      <c r="V209" s="5"/>
      <c r="W209" s="5">
        <v>86.816225099999997</v>
      </c>
      <c r="X209" s="5">
        <v>1</v>
      </c>
      <c r="Y209" s="5">
        <v>86.816225099999997</v>
      </c>
      <c r="Z209" s="5"/>
      <c r="AA209" s="5"/>
      <c r="AB209" s="5"/>
    </row>
    <row r="210" spans="1:28" x14ac:dyDescent="0.2">
      <c r="A210" s="5">
        <v>50</v>
      </c>
      <c r="B210" s="5">
        <v>0</v>
      </c>
      <c r="C210" s="5">
        <v>0</v>
      </c>
      <c r="D210" s="5">
        <v>1</v>
      </c>
      <c r="E210" s="5">
        <v>208</v>
      </c>
      <c r="F210" s="5">
        <f>ROUND(Source!V187,O210)</f>
        <v>0.25155189999999999</v>
      </c>
      <c r="G210" s="5" t="s">
        <v>258</v>
      </c>
      <c r="H210" s="5" t="s">
        <v>259</v>
      </c>
      <c r="I210" s="5"/>
      <c r="J210" s="5"/>
      <c r="K210" s="5">
        <v>208</v>
      </c>
      <c r="L210" s="5">
        <v>22</v>
      </c>
      <c r="M210" s="5">
        <v>3</v>
      </c>
      <c r="N210" s="5" t="s">
        <v>3</v>
      </c>
      <c r="O210" s="5">
        <v>7</v>
      </c>
      <c r="P210" s="5"/>
      <c r="Q210" s="5"/>
      <c r="R210" s="5"/>
      <c r="S210" s="5"/>
      <c r="T210" s="5"/>
      <c r="U210" s="5"/>
      <c r="V210" s="5"/>
      <c r="W210" s="5">
        <v>0.25155189999999999</v>
      </c>
      <c r="X210" s="5">
        <v>1</v>
      </c>
      <c r="Y210" s="5">
        <v>0.25155189999999999</v>
      </c>
      <c r="Z210" s="5"/>
      <c r="AA210" s="5"/>
      <c r="AB210" s="5"/>
    </row>
    <row r="211" spans="1:28" x14ac:dyDescent="0.2">
      <c r="A211" s="5">
        <v>50</v>
      </c>
      <c r="B211" s="5">
        <v>0</v>
      </c>
      <c r="C211" s="5">
        <v>0</v>
      </c>
      <c r="D211" s="5">
        <v>1</v>
      </c>
      <c r="E211" s="5">
        <v>209</v>
      </c>
      <c r="F211" s="5">
        <f>ROUND(Source!W187,O211)</f>
        <v>0</v>
      </c>
      <c r="G211" s="5" t="s">
        <v>260</v>
      </c>
      <c r="H211" s="5" t="s">
        <v>261</v>
      </c>
      <c r="I211" s="5"/>
      <c r="J211" s="5"/>
      <c r="K211" s="5">
        <v>209</v>
      </c>
      <c r="L211" s="5">
        <v>23</v>
      </c>
      <c r="M211" s="5">
        <v>3</v>
      </c>
      <c r="N211" s="5" t="s">
        <v>3</v>
      </c>
      <c r="O211" s="5">
        <v>2</v>
      </c>
      <c r="P211" s="5"/>
      <c r="Q211" s="5"/>
      <c r="R211" s="5"/>
      <c r="S211" s="5"/>
      <c r="T211" s="5"/>
      <c r="U211" s="5"/>
      <c r="V211" s="5"/>
      <c r="W211" s="5">
        <v>0</v>
      </c>
      <c r="X211" s="5">
        <v>1</v>
      </c>
      <c r="Y211" s="5">
        <v>0</v>
      </c>
      <c r="Z211" s="5"/>
      <c r="AA211" s="5"/>
      <c r="AB211" s="5"/>
    </row>
    <row r="212" spans="1:28" x14ac:dyDescent="0.2">
      <c r="A212" s="5">
        <v>50</v>
      </c>
      <c r="B212" s="5">
        <v>0</v>
      </c>
      <c r="C212" s="5">
        <v>0</v>
      </c>
      <c r="D212" s="5">
        <v>1</v>
      </c>
      <c r="E212" s="5">
        <v>233</v>
      </c>
      <c r="F212" s="5">
        <f>ROUND(Source!BD187,O212)</f>
        <v>0</v>
      </c>
      <c r="G212" s="5" t="s">
        <v>262</v>
      </c>
      <c r="H212" s="5" t="s">
        <v>263</v>
      </c>
      <c r="I212" s="5"/>
      <c r="J212" s="5"/>
      <c r="K212" s="5">
        <v>233</v>
      </c>
      <c r="L212" s="5">
        <v>24</v>
      </c>
      <c r="M212" s="5">
        <v>3</v>
      </c>
      <c r="N212" s="5" t="s">
        <v>3</v>
      </c>
      <c r="O212" s="5">
        <v>2</v>
      </c>
      <c r="P212" s="5"/>
      <c r="Q212" s="5"/>
      <c r="R212" s="5"/>
      <c r="S212" s="5"/>
      <c r="T212" s="5"/>
      <c r="U212" s="5"/>
      <c r="V212" s="5"/>
      <c r="W212" s="5">
        <v>0</v>
      </c>
      <c r="X212" s="5">
        <v>1</v>
      </c>
      <c r="Y212" s="5">
        <v>0</v>
      </c>
      <c r="Z212" s="5"/>
      <c r="AA212" s="5"/>
      <c r="AB212" s="5"/>
    </row>
    <row r="213" spans="1:28" x14ac:dyDescent="0.2">
      <c r="A213" s="5">
        <v>50</v>
      </c>
      <c r="B213" s="5">
        <v>0</v>
      </c>
      <c r="C213" s="5">
        <v>0</v>
      </c>
      <c r="D213" s="5">
        <v>1</v>
      </c>
      <c r="E213" s="5">
        <v>210</v>
      </c>
      <c r="F213" s="5">
        <f>ROUND(Source!X187,O213)</f>
        <v>58002.8</v>
      </c>
      <c r="G213" s="5" t="s">
        <v>264</v>
      </c>
      <c r="H213" s="5" t="s">
        <v>265</v>
      </c>
      <c r="I213" s="5"/>
      <c r="J213" s="5"/>
      <c r="K213" s="5">
        <v>210</v>
      </c>
      <c r="L213" s="5">
        <v>25</v>
      </c>
      <c r="M213" s="5">
        <v>3</v>
      </c>
      <c r="N213" s="5" t="s">
        <v>3</v>
      </c>
      <c r="O213" s="5">
        <v>2</v>
      </c>
      <c r="P213" s="5"/>
      <c r="Q213" s="5"/>
      <c r="R213" s="5"/>
      <c r="S213" s="5"/>
      <c r="T213" s="5"/>
      <c r="U213" s="5"/>
      <c r="V213" s="5"/>
      <c r="W213" s="5">
        <v>58002.8</v>
      </c>
      <c r="X213" s="5">
        <v>1</v>
      </c>
      <c r="Y213" s="5">
        <v>58002.8</v>
      </c>
      <c r="Z213" s="5"/>
      <c r="AA213" s="5"/>
      <c r="AB213" s="5"/>
    </row>
    <row r="214" spans="1:28" x14ac:dyDescent="0.2">
      <c r="A214" s="5">
        <v>50</v>
      </c>
      <c r="B214" s="5">
        <v>0</v>
      </c>
      <c r="C214" s="5">
        <v>0</v>
      </c>
      <c r="D214" s="5">
        <v>1</v>
      </c>
      <c r="E214" s="5">
        <v>211</v>
      </c>
      <c r="F214" s="5">
        <f>ROUND(Source!Y187,O214)</f>
        <v>30316.19</v>
      </c>
      <c r="G214" s="5" t="s">
        <v>266</v>
      </c>
      <c r="H214" s="5" t="s">
        <v>267</v>
      </c>
      <c r="I214" s="5"/>
      <c r="J214" s="5"/>
      <c r="K214" s="5">
        <v>211</v>
      </c>
      <c r="L214" s="5">
        <v>26</v>
      </c>
      <c r="M214" s="5">
        <v>3</v>
      </c>
      <c r="N214" s="5" t="s">
        <v>3</v>
      </c>
      <c r="O214" s="5">
        <v>2</v>
      </c>
      <c r="P214" s="5"/>
      <c r="Q214" s="5"/>
      <c r="R214" s="5"/>
      <c r="S214" s="5"/>
      <c r="T214" s="5"/>
      <c r="U214" s="5"/>
      <c r="V214" s="5"/>
      <c r="W214" s="5">
        <v>30316.19</v>
      </c>
      <c r="X214" s="5">
        <v>1</v>
      </c>
      <c r="Y214" s="5">
        <v>30316.19</v>
      </c>
      <c r="Z214" s="5"/>
      <c r="AA214" s="5"/>
      <c r="AB214" s="5"/>
    </row>
    <row r="215" spans="1:28" x14ac:dyDescent="0.2">
      <c r="A215" s="5">
        <v>50</v>
      </c>
      <c r="B215" s="5">
        <v>0</v>
      </c>
      <c r="C215" s="5">
        <v>0</v>
      </c>
      <c r="D215" s="5">
        <v>1</v>
      </c>
      <c r="E215" s="5">
        <v>224</v>
      </c>
      <c r="F215" s="5">
        <f>ROUND(Source!AR187,O215)</f>
        <v>325906.61</v>
      </c>
      <c r="G215" s="5" t="s">
        <v>268</v>
      </c>
      <c r="H215" s="5" t="s">
        <v>269</v>
      </c>
      <c r="I215" s="5"/>
      <c r="J215" s="5"/>
      <c r="K215" s="5">
        <v>224</v>
      </c>
      <c r="L215" s="5">
        <v>27</v>
      </c>
      <c r="M215" s="5">
        <v>3</v>
      </c>
      <c r="N215" s="5" t="s">
        <v>3</v>
      </c>
      <c r="O215" s="5">
        <v>2</v>
      </c>
      <c r="P215" s="5"/>
      <c r="Q215" s="5"/>
      <c r="R215" s="5"/>
      <c r="S215" s="5"/>
      <c r="T215" s="5"/>
      <c r="U215" s="5"/>
      <c r="V215" s="5"/>
      <c r="W215" s="5">
        <v>325906.61</v>
      </c>
      <c r="X215" s="5">
        <v>1</v>
      </c>
      <c r="Y215" s="5">
        <v>325906.61</v>
      </c>
      <c r="Z215" s="5"/>
      <c r="AA215" s="5"/>
      <c r="AB215" s="5"/>
    </row>
    <row r="216" spans="1:28" x14ac:dyDescent="0.2">
      <c r="A216" s="5">
        <v>50</v>
      </c>
      <c r="B216" s="5">
        <v>1</v>
      </c>
      <c r="C216" s="5">
        <v>0</v>
      </c>
      <c r="D216" s="5">
        <v>2</v>
      </c>
      <c r="E216" s="5">
        <v>0</v>
      </c>
      <c r="F216" s="5">
        <f>ROUND(F215,O216)</f>
        <v>325906.61</v>
      </c>
      <c r="G216" s="5" t="s">
        <v>290</v>
      </c>
      <c r="H216" s="5" t="s">
        <v>290</v>
      </c>
      <c r="I216" s="5"/>
      <c r="J216" s="5"/>
      <c r="K216" s="5">
        <v>212</v>
      </c>
      <c r="L216" s="5">
        <v>28</v>
      </c>
      <c r="M216" s="5">
        <v>0</v>
      </c>
      <c r="N216" s="5" t="s">
        <v>3</v>
      </c>
      <c r="O216" s="5">
        <v>2</v>
      </c>
      <c r="P216" s="5"/>
      <c r="Q216" s="5"/>
      <c r="R216" s="5"/>
      <c r="S216" s="5"/>
      <c r="T216" s="5"/>
      <c r="U216" s="5"/>
      <c r="V216" s="5"/>
      <c r="W216" s="5">
        <v>325906.61</v>
      </c>
      <c r="X216" s="5">
        <v>1</v>
      </c>
      <c r="Y216" s="5">
        <v>325906.61</v>
      </c>
      <c r="Z216" s="5"/>
      <c r="AA216" s="5"/>
      <c r="AB216" s="5"/>
    </row>
    <row r="217" spans="1:28" x14ac:dyDescent="0.2">
      <c r="A217" s="5">
        <v>50</v>
      </c>
      <c r="B217" s="5">
        <v>1</v>
      </c>
      <c r="C217" s="5">
        <v>0</v>
      </c>
      <c r="D217" s="5">
        <v>2</v>
      </c>
      <c r="E217" s="5">
        <v>0</v>
      </c>
      <c r="F217" s="5">
        <f>ROUND(F216*0.22,O217)</f>
        <v>71699.45</v>
      </c>
      <c r="G217" s="5" t="s">
        <v>295</v>
      </c>
      <c r="H217" s="5" t="s">
        <v>296</v>
      </c>
      <c r="I217" s="5"/>
      <c r="J217" s="5"/>
      <c r="K217" s="5">
        <v>212</v>
      </c>
      <c r="L217" s="5">
        <v>29</v>
      </c>
      <c r="M217" s="5">
        <v>0</v>
      </c>
      <c r="N217" s="5" t="s">
        <v>3</v>
      </c>
      <c r="O217" s="5">
        <v>2</v>
      </c>
      <c r="P217" s="5"/>
      <c r="Q217" s="5"/>
      <c r="R217" s="5"/>
      <c r="S217" s="5"/>
      <c r="T217" s="5"/>
      <c r="U217" s="5"/>
      <c r="V217" s="5"/>
      <c r="W217" s="5">
        <v>71699.45</v>
      </c>
      <c r="X217" s="5">
        <v>1</v>
      </c>
      <c r="Y217" s="5">
        <v>71699.45</v>
      </c>
      <c r="Z217" s="5"/>
      <c r="AA217" s="5"/>
      <c r="AB217" s="5"/>
    </row>
    <row r="218" spans="1:28" x14ac:dyDescent="0.2">
      <c r="A218" s="5">
        <v>50</v>
      </c>
      <c r="B218" s="5">
        <v>1</v>
      </c>
      <c r="C218" s="5">
        <v>0</v>
      </c>
      <c r="D218" s="5">
        <v>2</v>
      </c>
      <c r="E218" s="5">
        <v>213</v>
      </c>
      <c r="F218" s="5">
        <f>ROUND(F216+F217,O218)</f>
        <v>397606.06</v>
      </c>
      <c r="G218" s="5" t="s">
        <v>292</v>
      </c>
      <c r="H218" s="5" t="s">
        <v>292</v>
      </c>
      <c r="I218" s="5"/>
      <c r="J218" s="5"/>
      <c r="K218" s="5">
        <v>212</v>
      </c>
      <c r="L218" s="5">
        <v>30</v>
      </c>
      <c r="M218" s="5">
        <v>0</v>
      </c>
      <c r="N218" s="5" t="s">
        <v>3</v>
      </c>
      <c r="O218" s="5">
        <v>2</v>
      </c>
      <c r="P218" s="5"/>
      <c r="Q218" s="5"/>
      <c r="R218" s="5"/>
      <c r="S218" s="5"/>
      <c r="T218" s="5"/>
      <c r="U218" s="5"/>
      <c r="V218" s="5"/>
      <c r="W218" s="5">
        <v>397606.06</v>
      </c>
      <c r="X218" s="5">
        <v>1</v>
      </c>
      <c r="Y218" s="5">
        <v>397606.06</v>
      </c>
      <c r="Z218" s="5"/>
      <c r="AA218" s="5"/>
      <c r="AB218" s="5"/>
    </row>
    <row r="221" spans="1:28" x14ac:dyDescent="0.2">
      <c r="A221">
        <v>70</v>
      </c>
      <c r="B221">
        <v>1</v>
      </c>
      <c r="D221">
        <v>1</v>
      </c>
      <c r="E221" t="s">
        <v>297</v>
      </c>
      <c r="F221" t="s">
        <v>298</v>
      </c>
      <c r="G221">
        <v>0</v>
      </c>
      <c r="H221">
        <v>0</v>
      </c>
      <c r="I221" t="s">
        <v>3</v>
      </c>
      <c r="J221">
        <v>1</v>
      </c>
      <c r="K221">
        <v>0</v>
      </c>
      <c r="L221" t="s">
        <v>3</v>
      </c>
      <c r="M221" t="s">
        <v>3</v>
      </c>
      <c r="N221">
        <v>0</v>
      </c>
      <c r="P221" t="s">
        <v>299</v>
      </c>
    </row>
    <row r="222" spans="1:28" x14ac:dyDescent="0.2">
      <c r="A222">
        <v>70</v>
      </c>
      <c r="B222">
        <v>1</v>
      </c>
      <c r="D222">
        <v>2</v>
      </c>
      <c r="E222" t="s">
        <v>300</v>
      </c>
      <c r="F222" t="s">
        <v>301</v>
      </c>
      <c r="G222">
        <v>1</v>
      </c>
      <c r="H222">
        <v>0</v>
      </c>
      <c r="I222" t="s">
        <v>3</v>
      </c>
      <c r="J222">
        <v>1</v>
      </c>
      <c r="K222">
        <v>0</v>
      </c>
      <c r="L222" t="s">
        <v>3</v>
      </c>
      <c r="M222" t="s">
        <v>3</v>
      </c>
      <c r="N222">
        <v>0</v>
      </c>
      <c r="P222" t="s">
        <v>302</v>
      </c>
    </row>
    <row r="223" spans="1:28" x14ac:dyDescent="0.2">
      <c r="A223">
        <v>70</v>
      </c>
      <c r="B223">
        <v>1</v>
      </c>
      <c r="D223">
        <v>3</v>
      </c>
      <c r="E223" t="s">
        <v>303</v>
      </c>
      <c r="F223" t="s">
        <v>304</v>
      </c>
      <c r="G223">
        <v>0</v>
      </c>
      <c r="H223">
        <v>0</v>
      </c>
      <c r="I223" t="s">
        <v>3</v>
      </c>
      <c r="J223">
        <v>1</v>
      </c>
      <c r="K223">
        <v>0</v>
      </c>
      <c r="L223" t="s">
        <v>3</v>
      </c>
      <c r="M223" t="s">
        <v>3</v>
      </c>
      <c r="N223">
        <v>0</v>
      </c>
      <c r="P223" t="s">
        <v>305</v>
      </c>
    </row>
    <row r="224" spans="1:28" x14ac:dyDescent="0.2">
      <c r="A224">
        <v>70</v>
      </c>
      <c r="B224">
        <v>1</v>
      </c>
      <c r="D224">
        <v>4</v>
      </c>
      <c r="E224" t="s">
        <v>306</v>
      </c>
      <c r="F224" t="s">
        <v>307</v>
      </c>
      <c r="G224">
        <v>1</v>
      </c>
      <c r="H224">
        <v>0</v>
      </c>
      <c r="I224" t="s">
        <v>3</v>
      </c>
      <c r="J224">
        <v>2</v>
      </c>
      <c r="K224">
        <v>0</v>
      </c>
      <c r="L224" t="s">
        <v>3</v>
      </c>
      <c r="M224" t="s">
        <v>3</v>
      </c>
      <c r="N224">
        <v>0</v>
      </c>
      <c r="P224" t="s">
        <v>3</v>
      </c>
    </row>
    <row r="225" spans="1:16" x14ac:dyDescent="0.2">
      <c r="A225">
        <v>70</v>
      </c>
      <c r="B225">
        <v>1</v>
      </c>
      <c r="D225">
        <v>5</v>
      </c>
      <c r="E225" t="s">
        <v>308</v>
      </c>
      <c r="F225" t="s">
        <v>309</v>
      </c>
      <c r="G225">
        <v>0</v>
      </c>
      <c r="H225">
        <v>0</v>
      </c>
      <c r="I225" t="s">
        <v>3</v>
      </c>
      <c r="J225">
        <v>2</v>
      </c>
      <c r="K225">
        <v>0</v>
      </c>
      <c r="L225" t="s">
        <v>3</v>
      </c>
      <c r="M225" t="s">
        <v>3</v>
      </c>
      <c r="N225">
        <v>0</v>
      </c>
      <c r="P225" t="s">
        <v>3</v>
      </c>
    </row>
    <row r="226" spans="1:16" x14ac:dyDescent="0.2">
      <c r="A226">
        <v>70</v>
      </c>
      <c r="B226">
        <v>1</v>
      </c>
      <c r="D226">
        <v>6</v>
      </c>
      <c r="E226" t="s">
        <v>310</v>
      </c>
      <c r="F226" t="s">
        <v>311</v>
      </c>
      <c r="G226">
        <v>0</v>
      </c>
      <c r="H226">
        <v>0</v>
      </c>
      <c r="I226" t="s">
        <v>3</v>
      </c>
      <c r="J226">
        <v>2</v>
      </c>
      <c r="K226">
        <v>0</v>
      </c>
      <c r="L226" t="s">
        <v>3</v>
      </c>
      <c r="M226" t="s">
        <v>3</v>
      </c>
      <c r="N226">
        <v>0</v>
      </c>
      <c r="P226" t="s">
        <v>3</v>
      </c>
    </row>
    <row r="227" spans="1:16" x14ac:dyDescent="0.2">
      <c r="A227">
        <v>70</v>
      </c>
      <c r="B227">
        <v>1</v>
      </c>
      <c r="D227">
        <v>7</v>
      </c>
      <c r="E227" t="s">
        <v>312</v>
      </c>
      <c r="F227" t="s">
        <v>313</v>
      </c>
      <c r="G227">
        <v>0</v>
      </c>
      <c r="H227">
        <v>0</v>
      </c>
      <c r="I227" t="s">
        <v>314</v>
      </c>
      <c r="J227">
        <v>0</v>
      </c>
      <c r="K227">
        <v>0</v>
      </c>
      <c r="L227" t="s">
        <v>3</v>
      </c>
      <c r="M227" t="s">
        <v>3</v>
      </c>
      <c r="N227">
        <v>0</v>
      </c>
      <c r="P227" t="s">
        <v>315</v>
      </c>
    </row>
    <row r="228" spans="1:16" x14ac:dyDescent="0.2">
      <c r="A228">
        <v>70</v>
      </c>
      <c r="B228">
        <v>1</v>
      </c>
      <c r="D228">
        <v>8</v>
      </c>
      <c r="E228" t="s">
        <v>316</v>
      </c>
      <c r="F228" t="s">
        <v>317</v>
      </c>
      <c r="G228">
        <v>1</v>
      </c>
      <c r="H228">
        <v>0</v>
      </c>
      <c r="I228" t="s">
        <v>3</v>
      </c>
      <c r="J228">
        <v>5</v>
      </c>
      <c r="K228">
        <v>0</v>
      </c>
      <c r="L228" t="s">
        <v>3</v>
      </c>
      <c r="M228" t="s">
        <v>3</v>
      </c>
      <c r="N228">
        <v>0</v>
      </c>
      <c r="P228" t="s">
        <v>3</v>
      </c>
    </row>
    <row r="229" spans="1:16" x14ac:dyDescent="0.2">
      <c r="A229">
        <v>70</v>
      </c>
      <c r="B229">
        <v>1</v>
      </c>
      <c r="D229">
        <v>9</v>
      </c>
      <c r="E229" t="s">
        <v>318</v>
      </c>
      <c r="F229" t="s">
        <v>319</v>
      </c>
      <c r="G229">
        <v>0</v>
      </c>
      <c r="H229">
        <v>0</v>
      </c>
      <c r="I229" t="s">
        <v>3</v>
      </c>
      <c r="J229">
        <v>5</v>
      </c>
      <c r="K229">
        <v>0</v>
      </c>
      <c r="L229" t="s">
        <v>3</v>
      </c>
      <c r="M229" t="s">
        <v>3</v>
      </c>
      <c r="N229">
        <v>0</v>
      </c>
      <c r="P229" t="s">
        <v>320</v>
      </c>
    </row>
    <row r="230" spans="1:16" x14ac:dyDescent="0.2">
      <c r="A230">
        <v>70</v>
      </c>
      <c r="B230">
        <v>1</v>
      </c>
      <c r="D230">
        <v>10</v>
      </c>
      <c r="E230" t="s">
        <v>321</v>
      </c>
      <c r="F230" t="s">
        <v>322</v>
      </c>
      <c r="G230">
        <v>0</v>
      </c>
      <c r="H230">
        <v>0</v>
      </c>
      <c r="I230" t="s">
        <v>323</v>
      </c>
      <c r="J230">
        <v>5</v>
      </c>
      <c r="K230">
        <v>0</v>
      </c>
      <c r="L230" t="s">
        <v>3</v>
      </c>
      <c r="M230" t="s">
        <v>3</v>
      </c>
      <c r="N230">
        <v>0</v>
      </c>
      <c r="P230" t="s">
        <v>324</v>
      </c>
    </row>
    <row r="231" spans="1:16" x14ac:dyDescent="0.2">
      <c r="A231">
        <v>70</v>
      </c>
      <c r="B231">
        <v>1</v>
      </c>
      <c r="D231">
        <v>11</v>
      </c>
      <c r="E231" t="s">
        <v>325</v>
      </c>
      <c r="F231" t="s">
        <v>326</v>
      </c>
      <c r="G231">
        <v>0</v>
      </c>
      <c r="H231">
        <v>0</v>
      </c>
      <c r="I231" t="s">
        <v>327</v>
      </c>
      <c r="J231">
        <v>0</v>
      </c>
      <c r="K231">
        <v>0</v>
      </c>
      <c r="L231" t="s">
        <v>3</v>
      </c>
      <c r="M231" t="s">
        <v>3</v>
      </c>
      <c r="N231">
        <v>0</v>
      </c>
      <c r="P231" t="s">
        <v>328</v>
      </c>
    </row>
    <row r="232" spans="1:16" x14ac:dyDescent="0.2">
      <c r="A232">
        <v>70</v>
      </c>
      <c r="B232">
        <v>1</v>
      </c>
      <c r="D232">
        <v>12</v>
      </c>
      <c r="E232" t="s">
        <v>329</v>
      </c>
      <c r="F232" t="s">
        <v>330</v>
      </c>
      <c r="G232">
        <v>0</v>
      </c>
      <c r="H232">
        <v>0</v>
      </c>
      <c r="I232" t="s">
        <v>331</v>
      </c>
      <c r="J232">
        <v>0</v>
      </c>
      <c r="K232">
        <v>0</v>
      </c>
      <c r="L232" t="s">
        <v>3</v>
      </c>
      <c r="M232" t="s">
        <v>3</v>
      </c>
      <c r="N232">
        <v>0</v>
      </c>
      <c r="P232" t="s">
        <v>332</v>
      </c>
    </row>
    <row r="233" spans="1:16" x14ac:dyDescent="0.2">
      <c r="A233">
        <v>70</v>
      </c>
      <c r="B233">
        <v>1</v>
      </c>
      <c r="D233">
        <v>13</v>
      </c>
      <c r="E233" t="s">
        <v>333</v>
      </c>
      <c r="F233" t="s">
        <v>334</v>
      </c>
      <c r="G233">
        <v>0</v>
      </c>
      <c r="H233">
        <v>0</v>
      </c>
      <c r="I233" t="s">
        <v>335</v>
      </c>
      <c r="J233">
        <v>0</v>
      </c>
      <c r="K233">
        <v>0</v>
      </c>
      <c r="L233" t="s">
        <v>3</v>
      </c>
      <c r="M233" t="s">
        <v>3</v>
      </c>
      <c r="N233">
        <v>0</v>
      </c>
      <c r="P233" t="s">
        <v>336</v>
      </c>
    </row>
    <row r="234" spans="1:16" x14ac:dyDescent="0.2">
      <c r="A234">
        <v>70</v>
      </c>
      <c r="B234">
        <v>1</v>
      </c>
      <c r="D234">
        <v>14</v>
      </c>
      <c r="E234" t="s">
        <v>337</v>
      </c>
      <c r="F234" t="s">
        <v>338</v>
      </c>
      <c r="G234">
        <v>0</v>
      </c>
      <c r="H234">
        <v>0</v>
      </c>
      <c r="I234" t="s">
        <v>3</v>
      </c>
      <c r="J234">
        <v>0</v>
      </c>
      <c r="K234">
        <v>0</v>
      </c>
      <c r="L234" t="s">
        <v>3</v>
      </c>
      <c r="M234" t="s">
        <v>3</v>
      </c>
      <c r="N234">
        <v>0</v>
      </c>
      <c r="P234" t="s">
        <v>3</v>
      </c>
    </row>
    <row r="235" spans="1:16" x14ac:dyDescent="0.2">
      <c r="A235">
        <v>70</v>
      </c>
      <c r="B235">
        <v>1</v>
      </c>
      <c r="D235">
        <v>15</v>
      </c>
      <c r="E235" t="s">
        <v>339</v>
      </c>
      <c r="F235" t="s">
        <v>340</v>
      </c>
      <c r="G235">
        <v>0</v>
      </c>
      <c r="H235">
        <v>0</v>
      </c>
      <c r="I235" t="s">
        <v>3</v>
      </c>
      <c r="J235">
        <v>0</v>
      </c>
      <c r="K235">
        <v>0</v>
      </c>
      <c r="L235" t="s">
        <v>3</v>
      </c>
      <c r="M235" t="s">
        <v>3</v>
      </c>
      <c r="N235">
        <v>0</v>
      </c>
      <c r="P235" t="s">
        <v>341</v>
      </c>
    </row>
    <row r="236" spans="1:16" x14ac:dyDescent="0.2">
      <c r="A236">
        <v>70</v>
      </c>
      <c r="B236">
        <v>1</v>
      </c>
      <c r="D236">
        <v>16</v>
      </c>
      <c r="E236" t="s">
        <v>342</v>
      </c>
      <c r="F236" t="s">
        <v>343</v>
      </c>
      <c r="G236">
        <v>0</v>
      </c>
      <c r="H236">
        <v>0</v>
      </c>
      <c r="I236" t="s">
        <v>3</v>
      </c>
      <c r="J236">
        <v>3</v>
      </c>
      <c r="K236">
        <v>0</v>
      </c>
      <c r="L236" t="s">
        <v>3</v>
      </c>
      <c r="M236" t="s">
        <v>3</v>
      </c>
      <c r="N236">
        <v>0</v>
      </c>
      <c r="P236" t="s">
        <v>3</v>
      </c>
    </row>
    <row r="237" spans="1:16" x14ac:dyDescent="0.2">
      <c r="A237">
        <v>70</v>
      </c>
      <c r="B237">
        <v>1</v>
      </c>
      <c r="D237">
        <v>17</v>
      </c>
      <c r="E237" t="s">
        <v>344</v>
      </c>
      <c r="F237" t="s">
        <v>345</v>
      </c>
      <c r="G237">
        <v>1</v>
      </c>
      <c r="H237">
        <v>0</v>
      </c>
      <c r="I237" t="s">
        <v>3</v>
      </c>
      <c r="J237">
        <v>3</v>
      </c>
      <c r="K237">
        <v>0</v>
      </c>
      <c r="L237" t="s">
        <v>3</v>
      </c>
      <c r="M237" t="s">
        <v>3</v>
      </c>
      <c r="N237">
        <v>0</v>
      </c>
      <c r="P237" t="s">
        <v>3</v>
      </c>
    </row>
    <row r="238" spans="1:16" x14ac:dyDescent="0.2">
      <c r="A238">
        <v>70</v>
      </c>
      <c r="B238">
        <v>1</v>
      </c>
      <c r="D238">
        <v>1</v>
      </c>
      <c r="E238" t="s">
        <v>346</v>
      </c>
      <c r="F238" t="s">
        <v>347</v>
      </c>
      <c r="G238">
        <v>0.9</v>
      </c>
      <c r="H238">
        <v>1</v>
      </c>
      <c r="I238" t="s">
        <v>348</v>
      </c>
      <c r="J238">
        <v>0</v>
      </c>
      <c r="K238">
        <v>0</v>
      </c>
      <c r="L238" t="s">
        <v>3</v>
      </c>
      <c r="M238" t="s">
        <v>3</v>
      </c>
      <c r="N238">
        <v>0</v>
      </c>
      <c r="P238" t="s">
        <v>349</v>
      </c>
    </row>
    <row r="239" spans="1:16" x14ac:dyDescent="0.2">
      <c r="A239">
        <v>70</v>
      </c>
      <c r="B239">
        <v>1</v>
      </c>
      <c r="D239">
        <v>2</v>
      </c>
      <c r="E239" t="s">
        <v>350</v>
      </c>
      <c r="F239" t="s">
        <v>351</v>
      </c>
      <c r="G239">
        <v>0.85</v>
      </c>
      <c r="H239">
        <v>1</v>
      </c>
      <c r="I239" t="s">
        <v>352</v>
      </c>
      <c r="J239">
        <v>0</v>
      </c>
      <c r="K239">
        <v>0</v>
      </c>
      <c r="L239" t="s">
        <v>3</v>
      </c>
      <c r="M239" t="s">
        <v>3</v>
      </c>
      <c r="N239">
        <v>0</v>
      </c>
      <c r="P239" t="s">
        <v>353</v>
      </c>
    </row>
    <row r="240" spans="1:16" x14ac:dyDescent="0.2">
      <c r="A240">
        <v>70</v>
      </c>
      <c r="B240">
        <v>1</v>
      </c>
      <c r="D240">
        <v>3</v>
      </c>
      <c r="E240" t="s">
        <v>354</v>
      </c>
      <c r="F240" t="s">
        <v>355</v>
      </c>
      <c r="G240">
        <v>1.03</v>
      </c>
      <c r="H240">
        <v>0</v>
      </c>
      <c r="I240" t="s">
        <v>3</v>
      </c>
      <c r="J240">
        <v>0</v>
      </c>
      <c r="K240">
        <v>0</v>
      </c>
      <c r="L240" t="s">
        <v>3</v>
      </c>
      <c r="M240" t="s">
        <v>3</v>
      </c>
      <c r="N240">
        <v>0</v>
      </c>
      <c r="P240" t="s">
        <v>356</v>
      </c>
    </row>
    <row r="241" spans="1:50" x14ac:dyDescent="0.2">
      <c r="A241">
        <v>70</v>
      </c>
      <c r="B241">
        <v>1</v>
      </c>
      <c r="D241">
        <v>4</v>
      </c>
      <c r="E241" t="s">
        <v>357</v>
      </c>
      <c r="F241" t="s">
        <v>358</v>
      </c>
      <c r="G241">
        <v>1.1499999999999999</v>
      </c>
      <c r="H241">
        <v>0</v>
      </c>
      <c r="I241" t="s">
        <v>3</v>
      </c>
      <c r="J241">
        <v>0</v>
      </c>
      <c r="K241">
        <v>0</v>
      </c>
      <c r="L241" t="s">
        <v>3</v>
      </c>
      <c r="M241" t="s">
        <v>3</v>
      </c>
      <c r="N241">
        <v>0</v>
      </c>
      <c r="P241" t="s">
        <v>359</v>
      </c>
    </row>
    <row r="242" spans="1:50" x14ac:dyDescent="0.2">
      <c r="A242">
        <v>70</v>
      </c>
      <c r="B242">
        <v>1</v>
      </c>
      <c r="D242">
        <v>5</v>
      </c>
      <c r="E242" t="s">
        <v>360</v>
      </c>
      <c r="F242" t="s">
        <v>361</v>
      </c>
      <c r="G242">
        <v>7</v>
      </c>
      <c r="H242">
        <v>0</v>
      </c>
      <c r="I242" t="s">
        <v>3</v>
      </c>
      <c r="J242">
        <v>0</v>
      </c>
      <c r="K242">
        <v>0</v>
      </c>
      <c r="L242" t="s">
        <v>3</v>
      </c>
      <c r="M242" t="s">
        <v>3</v>
      </c>
      <c r="N242">
        <v>0</v>
      </c>
      <c r="P242" t="s">
        <v>3</v>
      </c>
    </row>
    <row r="243" spans="1:50" x14ac:dyDescent="0.2">
      <c r="A243">
        <v>70</v>
      </c>
      <c r="B243">
        <v>1</v>
      </c>
      <c r="D243">
        <v>6</v>
      </c>
      <c r="E243" t="s">
        <v>362</v>
      </c>
      <c r="F243" t="s">
        <v>3</v>
      </c>
      <c r="G243">
        <v>2</v>
      </c>
      <c r="H243">
        <v>0</v>
      </c>
      <c r="I243" t="s">
        <v>3</v>
      </c>
      <c r="J243">
        <v>0</v>
      </c>
      <c r="K243">
        <v>0</v>
      </c>
      <c r="L243" t="s">
        <v>3</v>
      </c>
      <c r="M243" t="s">
        <v>3</v>
      </c>
      <c r="N243">
        <v>0</v>
      </c>
      <c r="P243" t="s">
        <v>3</v>
      </c>
    </row>
    <row r="245" spans="1:50" x14ac:dyDescent="0.2">
      <c r="A245">
        <v>-1</v>
      </c>
    </row>
    <row r="247" spans="1:50" x14ac:dyDescent="0.2">
      <c r="A247" s="4">
        <v>75</v>
      </c>
      <c r="B247" s="4" t="s">
        <v>363</v>
      </c>
      <c r="C247" s="4">
        <v>2026</v>
      </c>
      <c r="D247" s="4">
        <v>0</v>
      </c>
      <c r="E247" s="4">
        <v>6</v>
      </c>
      <c r="F247" s="4">
        <v>1</v>
      </c>
      <c r="G247" s="4">
        <v>0</v>
      </c>
      <c r="H247" s="4">
        <v>1</v>
      </c>
      <c r="I247" s="4">
        <v>0</v>
      </c>
      <c r="J247" s="4">
        <v>1</v>
      </c>
      <c r="K247" s="4">
        <v>0</v>
      </c>
      <c r="L247" s="4">
        <v>0</v>
      </c>
      <c r="M247" s="4">
        <v>0</v>
      </c>
      <c r="N247" s="4">
        <v>52718353</v>
      </c>
      <c r="O247" s="4">
        <v>1</v>
      </c>
    </row>
    <row r="248" spans="1:50" x14ac:dyDescent="0.2">
      <c r="A248" s="6">
        <v>2</v>
      </c>
      <c r="B248" s="6" t="s">
        <v>364</v>
      </c>
      <c r="C248" s="6" t="s">
        <v>365</v>
      </c>
      <c r="D248" s="6">
        <v>0</v>
      </c>
      <c r="E248" s="6">
        <v>0</v>
      </c>
      <c r="F248" s="6">
        <v>0</v>
      </c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>
        <v>52718354</v>
      </c>
    </row>
    <row r="249" spans="1:50" x14ac:dyDescent="0.2">
      <c r="A249" s="6">
        <v>1</v>
      </c>
      <c r="B249" s="6" t="s">
        <v>366</v>
      </c>
      <c r="C249" s="6" t="s">
        <v>367</v>
      </c>
      <c r="D249" s="6">
        <v>2026</v>
      </c>
      <c r="E249" s="6">
        <v>6</v>
      </c>
      <c r="F249" s="6">
        <v>1</v>
      </c>
      <c r="G249" s="6">
        <v>1</v>
      </c>
      <c r="H249" s="6">
        <v>0</v>
      </c>
      <c r="I249" s="6">
        <v>2</v>
      </c>
      <c r="J249" s="6">
        <v>1</v>
      </c>
      <c r="K249" s="6">
        <v>1</v>
      </c>
      <c r="L249" s="6">
        <v>1</v>
      </c>
      <c r="M249" s="6">
        <v>1</v>
      </c>
      <c r="N249" s="6">
        <v>1</v>
      </c>
      <c r="O249" s="6">
        <v>1</v>
      </c>
      <c r="P249" s="6">
        <v>1</v>
      </c>
      <c r="Q249" s="6">
        <v>1</v>
      </c>
      <c r="R249" s="6" t="s">
        <v>3</v>
      </c>
      <c r="S249" s="6" t="s">
        <v>3</v>
      </c>
      <c r="T249" s="6" t="s">
        <v>3</v>
      </c>
      <c r="U249" s="6" t="s">
        <v>3</v>
      </c>
      <c r="V249" s="6" t="s">
        <v>3</v>
      </c>
      <c r="W249" s="6" t="s">
        <v>3</v>
      </c>
      <c r="X249" s="6" t="s">
        <v>3</v>
      </c>
      <c r="Y249" s="6" t="s">
        <v>3</v>
      </c>
      <c r="Z249" s="6" t="s">
        <v>3</v>
      </c>
      <c r="AA249" s="6" t="s">
        <v>3</v>
      </c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>
        <v>52718355</v>
      </c>
      <c r="AO249" s="6" t="s">
        <v>368</v>
      </c>
      <c r="AP249" s="6" t="s">
        <v>369</v>
      </c>
      <c r="AQ249" s="6">
        <v>46164</v>
      </c>
      <c r="AR249" s="6">
        <v>417</v>
      </c>
      <c r="AS249" s="6" t="s">
        <v>370</v>
      </c>
      <c r="AT249" s="6" t="s">
        <v>3</v>
      </c>
      <c r="AU249" s="6" t="s">
        <v>369</v>
      </c>
      <c r="AV249" s="6">
        <v>45957</v>
      </c>
      <c r="AW249" s="6">
        <v>23615</v>
      </c>
      <c r="AX249" s="6" t="s">
        <v>371</v>
      </c>
    </row>
    <row r="253" spans="1:50" x14ac:dyDescent="0.2">
      <c r="A253">
        <v>65</v>
      </c>
      <c r="C253">
        <v>1</v>
      </c>
      <c r="D253">
        <v>0</v>
      </c>
      <c r="E253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C56"/>
  <sheetViews>
    <sheetView workbookViewId="0"/>
  </sheetViews>
  <sheetFormatPr defaultColWidth="9.140625" defaultRowHeight="12.75" x14ac:dyDescent="0.2"/>
  <cols>
    <col min="1" max="256" width="9.140625" style="2" customWidth="1"/>
    <col min="257" max="16384" width="9.140625" style="2"/>
  </cols>
  <sheetData>
    <row r="1" spans="1:133" x14ac:dyDescent="0.2">
      <c r="A1" s="2">
        <v>0</v>
      </c>
      <c r="B1" s="2" t="s">
        <v>0</v>
      </c>
      <c r="D1" s="2" t="s">
        <v>372</v>
      </c>
      <c r="F1" s="2">
        <v>0</v>
      </c>
      <c r="G1" s="2">
        <v>0</v>
      </c>
      <c r="H1" s="2">
        <v>0</v>
      </c>
      <c r="I1" s="2" t="s">
        <v>2</v>
      </c>
      <c r="J1" s="2" t="s">
        <v>3</v>
      </c>
      <c r="K1" s="2">
        <v>1</v>
      </c>
      <c r="L1" s="2">
        <v>75564</v>
      </c>
      <c r="M1" s="2">
        <v>10</v>
      </c>
      <c r="N1" s="2">
        <v>12</v>
      </c>
      <c r="O1" s="2">
        <v>1</v>
      </c>
      <c r="P1" s="2">
        <v>0</v>
      </c>
      <c r="Q1" s="2">
        <v>4</v>
      </c>
    </row>
    <row r="12" spans="1:133" x14ac:dyDescent="0.2">
      <c r="A12" s="7">
        <v>1</v>
      </c>
      <c r="B12" s="7">
        <v>54</v>
      </c>
      <c r="C12" s="7">
        <v>0</v>
      </c>
      <c r="D12" s="7"/>
      <c r="E12" s="7">
        <v>0</v>
      </c>
      <c r="F12" s="7" t="s">
        <v>3</v>
      </c>
      <c r="G12" s="7" t="s">
        <v>4</v>
      </c>
      <c r="H12" s="7" t="s">
        <v>3</v>
      </c>
      <c r="I12" s="7">
        <v>0</v>
      </c>
      <c r="J12" s="7" t="s">
        <v>3</v>
      </c>
      <c r="K12" s="7">
        <v>0</v>
      </c>
      <c r="L12" s="7">
        <v>0</v>
      </c>
      <c r="M12" s="7">
        <v>523</v>
      </c>
      <c r="N12" s="7"/>
      <c r="O12" s="7">
        <v>0</v>
      </c>
      <c r="P12" s="7">
        <v>0</v>
      </c>
      <c r="Q12" s="7">
        <v>7</v>
      </c>
      <c r="R12" s="7">
        <v>0</v>
      </c>
      <c r="S12" s="7"/>
      <c r="T12" s="7">
        <v>4</v>
      </c>
      <c r="U12" s="7" t="s">
        <v>3</v>
      </c>
      <c r="V12" s="7">
        <v>0</v>
      </c>
      <c r="W12" s="7" t="s">
        <v>3</v>
      </c>
      <c r="X12" s="7" t="s">
        <v>3</v>
      </c>
      <c r="Y12" s="7" t="s">
        <v>3</v>
      </c>
      <c r="Z12" s="7" t="s">
        <v>3</v>
      </c>
      <c r="AA12" s="7" t="s">
        <v>3</v>
      </c>
      <c r="AB12" s="7" t="s">
        <v>3</v>
      </c>
      <c r="AC12" s="7" t="s">
        <v>3</v>
      </c>
      <c r="AD12" s="7" t="s">
        <v>3</v>
      </c>
      <c r="AE12" s="7" t="s">
        <v>3</v>
      </c>
      <c r="AF12" s="7" t="s">
        <v>3</v>
      </c>
      <c r="AG12" s="7" t="s">
        <v>3</v>
      </c>
      <c r="AH12" s="7" t="s">
        <v>3</v>
      </c>
      <c r="AI12" s="7" t="s">
        <v>3</v>
      </c>
      <c r="AJ12" s="7" t="s">
        <v>3</v>
      </c>
      <c r="AK12" s="7"/>
      <c r="AL12" s="7" t="s">
        <v>3</v>
      </c>
      <c r="AM12" s="7" t="s">
        <v>3</v>
      </c>
      <c r="AN12" s="7" t="s">
        <v>3</v>
      </c>
      <c r="AO12" s="7"/>
      <c r="AP12" s="7" t="s">
        <v>3</v>
      </c>
      <c r="AQ12" s="7" t="s">
        <v>3</v>
      </c>
      <c r="AR12" s="7" t="s">
        <v>3</v>
      </c>
      <c r="AS12" s="7"/>
      <c r="AT12" s="7"/>
      <c r="AU12" s="7"/>
      <c r="AV12" s="7"/>
      <c r="AW12" s="7"/>
      <c r="AX12" s="7" t="s">
        <v>3</v>
      </c>
      <c r="AY12" s="7" t="s">
        <v>3</v>
      </c>
      <c r="AZ12" s="7" t="s">
        <v>3</v>
      </c>
      <c r="BA12" s="7"/>
      <c r="BB12" s="7">
        <v>0</v>
      </c>
      <c r="BC12" s="7"/>
      <c r="BD12" s="7"/>
      <c r="BE12" s="7"/>
      <c r="BF12" s="7"/>
      <c r="BG12" s="7"/>
      <c r="BH12" s="7" t="s">
        <v>5</v>
      </c>
      <c r="BI12" s="7" t="s">
        <v>6</v>
      </c>
      <c r="BJ12" s="7">
        <v>1</v>
      </c>
      <c r="BK12" s="7">
        <v>1</v>
      </c>
      <c r="BL12" s="7">
        <v>0</v>
      </c>
      <c r="BM12" s="7">
        <v>0</v>
      </c>
      <c r="BN12" s="7">
        <v>1</v>
      </c>
      <c r="BO12" s="7">
        <v>0</v>
      </c>
      <c r="BP12" s="7">
        <v>6</v>
      </c>
      <c r="BQ12" s="7">
        <v>2</v>
      </c>
      <c r="BR12" s="7">
        <v>1</v>
      </c>
      <c r="BS12" s="7">
        <v>1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 t="s">
        <v>7</v>
      </c>
      <c r="BZ12" s="7" t="s">
        <v>8</v>
      </c>
      <c r="CA12" s="7" t="s">
        <v>9</v>
      </c>
      <c r="CB12" s="7" t="s">
        <v>9</v>
      </c>
      <c r="CC12" s="7" t="s">
        <v>9</v>
      </c>
      <c r="CD12" s="7" t="s">
        <v>9</v>
      </c>
      <c r="CE12" s="7" t="s">
        <v>10</v>
      </c>
      <c r="CF12" s="7">
        <v>0</v>
      </c>
      <c r="CG12" s="7">
        <v>0</v>
      </c>
      <c r="CH12" s="7">
        <v>487096328</v>
      </c>
      <c r="CI12" s="7" t="s">
        <v>3</v>
      </c>
      <c r="CJ12" s="7" t="s">
        <v>3</v>
      </c>
      <c r="CK12" s="7">
        <v>18</v>
      </c>
      <c r="CL12" s="7"/>
      <c r="CM12" s="7"/>
      <c r="CN12" s="7"/>
      <c r="CO12" s="7"/>
      <c r="CP12" s="7"/>
      <c r="CQ12" s="7" t="s">
        <v>11</v>
      </c>
      <c r="CR12" s="7" t="s">
        <v>12</v>
      </c>
      <c r="CS12" s="7">
        <v>46161</v>
      </c>
      <c r="CT12" s="7">
        <v>567</v>
      </c>
      <c r="CU12" s="7">
        <v>18</v>
      </c>
      <c r="CV12" s="7" t="s">
        <v>503</v>
      </c>
      <c r="CW12" s="7"/>
      <c r="CX12" s="7"/>
      <c r="CY12" s="7">
        <v>0</v>
      </c>
      <c r="CZ12" s="7" t="s">
        <v>3</v>
      </c>
      <c r="DA12" s="7" t="s">
        <v>3</v>
      </c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>
        <v>0</v>
      </c>
    </row>
    <row r="14" spans="1:133" x14ac:dyDescent="0.2">
      <c r="A14" s="7">
        <v>22</v>
      </c>
      <c r="B14" s="7">
        <v>1</v>
      </c>
      <c r="C14" s="7">
        <v>0</v>
      </c>
      <c r="D14" s="7">
        <v>52718353</v>
      </c>
      <c r="E14" s="7">
        <v>0</v>
      </c>
      <c r="F14" s="7">
        <v>2</v>
      </c>
      <c r="G14" s="7">
        <v>1</v>
      </c>
      <c r="H14" s="7"/>
      <c r="I14" s="7"/>
      <c r="J14" s="7"/>
      <c r="K14" s="7"/>
      <c r="L14" s="7"/>
      <c r="M14" s="7"/>
      <c r="N14" s="7"/>
      <c r="O14" s="7"/>
    </row>
    <row r="16" spans="1:133" x14ac:dyDescent="0.2">
      <c r="A16" s="8">
        <v>3</v>
      </c>
      <c r="B16" s="8">
        <v>1</v>
      </c>
      <c r="C16" s="8" t="s">
        <v>3</v>
      </c>
      <c r="D16" s="8" t="s">
        <v>13</v>
      </c>
      <c r="E16" s="9">
        <f>ROUND((Source!F170)/1000,2)</f>
        <v>132.59</v>
      </c>
      <c r="F16" s="9">
        <f>ROUND((Source!F171)/1000,2)</f>
        <v>190.81</v>
      </c>
      <c r="G16" s="9">
        <f>ROUND((Source!F162)/1000,2)</f>
        <v>2.5099999999999998</v>
      </c>
      <c r="H16" s="9">
        <f>ROUND((Source!F172)/1000+(Source!F173)/1000,2)</f>
        <v>0</v>
      </c>
      <c r="I16" s="9">
        <f>E16+F16+G16+H16</f>
        <v>325.90999999999997</v>
      </c>
      <c r="J16" s="9">
        <f>ROUND((Source!F168+Source!F167)/1000,2)</f>
        <v>61.38</v>
      </c>
      <c r="K16" s="9">
        <v>413.49</v>
      </c>
      <c r="L16" s="9">
        <v>0</v>
      </c>
      <c r="M16" s="9">
        <v>0</v>
      </c>
      <c r="N16" s="9">
        <f>I16+L16+M16</f>
        <v>325.90999999999997</v>
      </c>
      <c r="AI16" s="8">
        <v>0</v>
      </c>
      <c r="AJ16" s="8">
        <v>-1</v>
      </c>
      <c r="AK16" s="8" t="s">
        <v>3</v>
      </c>
      <c r="AL16" s="8" t="s">
        <v>3</v>
      </c>
      <c r="AM16" s="8" t="s">
        <v>3</v>
      </c>
      <c r="AN16" s="8">
        <v>0</v>
      </c>
      <c r="AO16" s="8" t="s">
        <v>3</v>
      </c>
      <c r="AP16" s="8" t="s">
        <v>3</v>
      </c>
      <c r="AT16" s="9">
        <v>235080.63999999998</v>
      </c>
      <c r="AU16" s="9">
        <v>175900.84</v>
      </c>
      <c r="AV16" s="9">
        <v>0</v>
      </c>
      <c r="AW16" s="9">
        <v>2506.98</v>
      </c>
      <c r="AX16" s="9">
        <v>0</v>
      </c>
      <c r="AY16" s="9">
        <v>306.16000000000003</v>
      </c>
      <c r="AZ16" s="9">
        <v>210.83</v>
      </c>
      <c r="BA16" s="9">
        <v>61169.79</v>
      </c>
      <c r="BB16" s="9">
        <v>132592.91</v>
      </c>
      <c r="BC16" s="9">
        <v>190806.72</v>
      </c>
      <c r="BD16" s="9">
        <v>0</v>
      </c>
      <c r="BE16" s="9">
        <v>0</v>
      </c>
      <c r="BF16" s="9">
        <v>86.816225099999997</v>
      </c>
      <c r="BG16" s="9">
        <v>0.25155189999999999</v>
      </c>
      <c r="BH16" s="9">
        <v>0</v>
      </c>
      <c r="BI16" s="9">
        <v>58002.8</v>
      </c>
      <c r="BJ16" s="9">
        <v>30316.19</v>
      </c>
      <c r="BK16" s="9">
        <v>325906.61</v>
      </c>
    </row>
    <row r="18" spans="1:16" x14ac:dyDescent="0.2">
      <c r="A18" s="2">
        <v>51</v>
      </c>
      <c r="E18" s="2">
        <v>132.59</v>
      </c>
      <c r="F18" s="2">
        <v>190.81</v>
      </c>
      <c r="G18" s="2">
        <v>2.5099999999999998</v>
      </c>
      <c r="H18" s="2">
        <v>0</v>
      </c>
      <c r="I18" s="2">
        <v>325.91000000000003</v>
      </c>
      <c r="J18" s="2">
        <v>61.38</v>
      </c>
      <c r="K18" s="2">
        <v>413.49</v>
      </c>
      <c r="L18" s="2">
        <v>0</v>
      </c>
      <c r="M18" s="2">
        <v>0</v>
      </c>
      <c r="N18" s="2">
        <v>325.91000000000003</v>
      </c>
    </row>
    <row r="20" spans="1:16" x14ac:dyDescent="0.2">
      <c r="A20" s="10">
        <v>50</v>
      </c>
      <c r="B20" s="10">
        <v>0</v>
      </c>
      <c r="C20" s="10">
        <v>0</v>
      </c>
      <c r="D20" s="10">
        <v>1</v>
      </c>
      <c r="E20" s="10">
        <v>201</v>
      </c>
      <c r="F20" s="10">
        <v>235080.63999999998</v>
      </c>
      <c r="G20" s="10" t="s">
        <v>216</v>
      </c>
      <c r="H20" s="10" t="s">
        <v>217</v>
      </c>
      <c r="I20" s="10"/>
      <c r="J20" s="10"/>
      <c r="K20" s="10">
        <v>201</v>
      </c>
      <c r="L20" s="10">
        <v>1</v>
      </c>
      <c r="M20" s="10">
        <v>3</v>
      </c>
      <c r="N20" s="10" t="s">
        <v>3</v>
      </c>
      <c r="O20" s="10">
        <v>2</v>
      </c>
      <c r="P20" s="10"/>
    </row>
    <row r="21" spans="1:16" x14ac:dyDescent="0.2">
      <c r="A21" s="10">
        <v>50</v>
      </c>
      <c r="B21" s="10">
        <v>0</v>
      </c>
      <c r="C21" s="10">
        <v>0</v>
      </c>
      <c r="D21" s="10">
        <v>1</v>
      </c>
      <c r="E21" s="10">
        <v>202</v>
      </c>
      <c r="F21" s="10">
        <v>175900.84</v>
      </c>
      <c r="G21" s="10" t="s">
        <v>218</v>
      </c>
      <c r="H21" s="10" t="s">
        <v>219</v>
      </c>
      <c r="I21" s="10"/>
      <c r="J21" s="10"/>
      <c r="K21" s="10">
        <v>202</v>
      </c>
      <c r="L21" s="10">
        <v>2</v>
      </c>
      <c r="M21" s="10">
        <v>3</v>
      </c>
      <c r="N21" s="10" t="s">
        <v>3</v>
      </c>
      <c r="O21" s="10">
        <v>2</v>
      </c>
      <c r="P21" s="10"/>
    </row>
    <row r="22" spans="1:16" x14ac:dyDescent="0.2">
      <c r="A22" s="10">
        <v>50</v>
      </c>
      <c r="B22" s="10">
        <v>0</v>
      </c>
      <c r="C22" s="10">
        <v>0</v>
      </c>
      <c r="D22" s="10">
        <v>1</v>
      </c>
      <c r="E22" s="10">
        <v>222</v>
      </c>
      <c r="F22" s="10">
        <v>0</v>
      </c>
      <c r="G22" s="10" t="s">
        <v>220</v>
      </c>
      <c r="H22" s="10" t="s">
        <v>221</v>
      </c>
      <c r="I22" s="10"/>
      <c r="J22" s="10"/>
      <c r="K22" s="10">
        <v>222</v>
      </c>
      <c r="L22" s="10">
        <v>3</v>
      </c>
      <c r="M22" s="10">
        <v>3</v>
      </c>
      <c r="N22" s="10" t="s">
        <v>3</v>
      </c>
      <c r="O22" s="10">
        <v>2</v>
      </c>
      <c r="P22" s="10"/>
    </row>
    <row r="23" spans="1:16" x14ac:dyDescent="0.2">
      <c r="A23" s="10">
        <v>50</v>
      </c>
      <c r="B23" s="10">
        <v>0</v>
      </c>
      <c r="C23" s="10">
        <v>0</v>
      </c>
      <c r="D23" s="10">
        <v>1</v>
      </c>
      <c r="E23" s="10">
        <v>225</v>
      </c>
      <c r="F23" s="10">
        <v>175900.84</v>
      </c>
      <c r="G23" s="10" t="s">
        <v>222</v>
      </c>
      <c r="H23" s="10" t="s">
        <v>223</v>
      </c>
      <c r="I23" s="10"/>
      <c r="J23" s="10"/>
      <c r="K23" s="10">
        <v>225</v>
      </c>
      <c r="L23" s="10">
        <v>4</v>
      </c>
      <c r="M23" s="10">
        <v>3</v>
      </c>
      <c r="N23" s="10" t="s">
        <v>3</v>
      </c>
      <c r="O23" s="10">
        <v>2</v>
      </c>
      <c r="P23" s="10"/>
    </row>
    <row r="24" spans="1:16" x14ac:dyDescent="0.2">
      <c r="A24" s="10">
        <v>50</v>
      </c>
      <c r="B24" s="10">
        <v>0</v>
      </c>
      <c r="C24" s="10">
        <v>0</v>
      </c>
      <c r="D24" s="10">
        <v>1</v>
      </c>
      <c r="E24" s="10">
        <v>226</v>
      </c>
      <c r="F24" s="10">
        <v>173393.86</v>
      </c>
      <c r="G24" s="10" t="s">
        <v>224</v>
      </c>
      <c r="H24" s="10" t="s">
        <v>225</v>
      </c>
      <c r="I24" s="10"/>
      <c r="J24" s="10"/>
      <c r="K24" s="10">
        <v>226</v>
      </c>
      <c r="L24" s="10">
        <v>5</v>
      </c>
      <c r="M24" s="10">
        <v>3</v>
      </c>
      <c r="N24" s="10" t="s">
        <v>3</v>
      </c>
      <c r="O24" s="10">
        <v>2</v>
      </c>
      <c r="P24" s="10"/>
    </row>
    <row r="25" spans="1:16" x14ac:dyDescent="0.2">
      <c r="A25" s="10">
        <v>50</v>
      </c>
      <c r="B25" s="10">
        <v>0</v>
      </c>
      <c r="C25" s="10">
        <v>0</v>
      </c>
      <c r="D25" s="10">
        <v>1</v>
      </c>
      <c r="E25" s="10">
        <v>227</v>
      </c>
      <c r="F25" s="10">
        <v>0</v>
      </c>
      <c r="G25" s="10" t="s">
        <v>226</v>
      </c>
      <c r="H25" s="10" t="s">
        <v>227</v>
      </c>
      <c r="I25" s="10"/>
      <c r="J25" s="10"/>
      <c r="K25" s="10">
        <v>227</v>
      </c>
      <c r="L25" s="10">
        <v>6</v>
      </c>
      <c r="M25" s="10">
        <v>3</v>
      </c>
      <c r="N25" s="10" t="s">
        <v>3</v>
      </c>
      <c r="O25" s="10">
        <v>2</v>
      </c>
      <c r="P25" s="10"/>
    </row>
    <row r="26" spans="1:16" x14ac:dyDescent="0.2">
      <c r="A26" s="10">
        <v>50</v>
      </c>
      <c r="B26" s="10">
        <v>0</v>
      </c>
      <c r="C26" s="10">
        <v>0</v>
      </c>
      <c r="D26" s="10">
        <v>1</v>
      </c>
      <c r="E26" s="10">
        <v>228</v>
      </c>
      <c r="F26" s="10">
        <v>173393.86</v>
      </c>
      <c r="G26" s="10" t="s">
        <v>228</v>
      </c>
      <c r="H26" s="10" t="s">
        <v>229</v>
      </c>
      <c r="I26" s="10"/>
      <c r="J26" s="10"/>
      <c r="K26" s="10">
        <v>228</v>
      </c>
      <c r="L26" s="10">
        <v>7</v>
      </c>
      <c r="M26" s="10">
        <v>3</v>
      </c>
      <c r="N26" s="10" t="s">
        <v>3</v>
      </c>
      <c r="O26" s="10">
        <v>2</v>
      </c>
      <c r="P26" s="10"/>
    </row>
    <row r="27" spans="1:16" x14ac:dyDescent="0.2">
      <c r="A27" s="10">
        <v>50</v>
      </c>
      <c r="B27" s="10">
        <v>0</v>
      </c>
      <c r="C27" s="10">
        <v>0</v>
      </c>
      <c r="D27" s="10">
        <v>1</v>
      </c>
      <c r="E27" s="10">
        <v>216</v>
      </c>
      <c r="F27" s="10">
        <v>2506.98</v>
      </c>
      <c r="G27" s="10" t="s">
        <v>230</v>
      </c>
      <c r="H27" s="10" t="s">
        <v>231</v>
      </c>
      <c r="I27" s="10"/>
      <c r="J27" s="10"/>
      <c r="K27" s="10">
        <v>216</v>
      </c>
      <c r="L27" s="10">
        <v>8</v>
      </c>
      <c r="M27" s="10">
        <v>3</v>
      </c>
      <c r="N27" s="10" t="s">
        <v>3</v>
      </c>
      <c r="O27" s="10">
        <v>2</v>
      </c>
      <c r="P27" s="10"/>
    </row>
    <row r="28" spans="1:16" x14ac:dyDescent="0.2">
      <c r="A28" s="10">
        <v>50</v>
      </c>
      <c r="B28" s="10">
        <v>0</v>
      </c>
      <c r="C28" s="10">
        <v>0</v>
      </c>
      <c r="D28" s="10">
        <v>1</v>
      </c>
      <c r="E28" s="10">
        <v>223</v>
      </c>
      <c r="F28" s="10">
        <v>0</v>
      </c>
      <c r="G28" s="10" t="s">
        <v>232</v>
      </c>
      <c r="H28" s="10" t="s">
        <v>233</v>
      </c>
      <c r="I28" s="10"/>
      <c r="J28" s="10"/>
      <c r="K28" s="10">
        <v>223</v>
      </c>
      <c r="L28" s="10">
        <v>9</v>
      </c>
      <c r="M28" s="10">
        <v>3</v>
      </c>
      <c r="N28" s="10" t="s">
        <v>3</v>
      </c>
      <c r="O28" s="10">
        <v>2</v>
      </c>
      <c r="P28" s="10"/>
    </row>
    <row r="29" spans="1:16" x14ac:dyDescent="0.2">
      <c r="A29" s="10">
        <v>50</v>
      </c>
      <c r="B29" s="10">
        <v>0</v>
      </c>
      <c r="C29" s="10">
        <v>0</v>
      </c>
      <c r="D29" s="10">
        <v>1</v>
      </c>
      <c r="E29" s="10">
        <v>229</v>
      </c>
      <c r="F29" s="10">
        <v>2506.98</v>
      </c>
      <c r="G29" s="10" t="s">
        <v>234</v>
      </c>
      <c r="H29" s="10" t="s">
        <v>235</v>
      </c>
      <c r="I29" s="10"/>
      <c r="J29" s="10"/>
      <c r="K29" s="10">
        <v>229</v>
      </c>
      <c r="L29" s="10">
        <v>10</v>
      </c>
      <c r="M29" s="10">
        <v>3</v>
      </c>
      <c r="N29" s="10" t="s">
        <v>3</v>
      </c>
      <c r="O29" s="10">
        <v>2</v>
      </c>
      <c r="P29" s="10"/>
    </row>
    <row r="30" spans="1:16" x14ac:dyDescent="0.2">
      <c r="A30" s="10">
        <v>50</v>
      </c>
      <c r="B30" s="10">
        <v>0</v>
      </c>
      <c r="C30" s="10">
        <v>0</v>
      </c>
      <c r="D30" s="10">
        <v>1</v>
      </c>
      <c r="E30" s="10">
        <v>203</v>
      </c>
      <c r="F30" s="10">
        <v>306.16000000000003</v>
      </c>
      <c r="G30" s="10" t="s">
        <v>236</v>
      </c>
      <c r="H30" s="10" t="s">
        <v>237</v>
      </c>
      <c r="I30" s="10"/>
      <c r="J30" s="10"/>
      <c r="K30" s="10">
        <v>203</v>
      </c>
      <c r="L30" s="10">
        <v>11</v>
      </c>
      <c r="M30" s="10">
        <v>3</v>
      </c>
      <c r="N30" s="10" t="s">
        <v>3</v>
      </c>
      <c r="O30" s="10">
        <v>2</v>
      </c>
      <c r="P30" s="10"/>
    </row>
    <row r="31" spans="1:16" x14ac:dyDescent="0.2">
      <c r="A31" s="10">
        <v>50</v>
      </c>
      <c r="B31" s="10">
        <v>0</v>
      </c>
      <c r="C31" s="10">
        <v>0</v>
      </c>
      <c r="D31" s="10">
        <v>1</v>
      </c>
      <c r="E31" s="10">
        <v>231</v>
      </c>
      <c r="F31" s="10">
        <v>0</v>
      </c>
      <c r="G31" s="10" t="s">
        <v>238</v>
      </c>
      <c r="H31" s="10" t="s">
        <v>239</v>
      </c>
      <c r="I31" s="10"/>
      <c r="J31" s="10"/>
      <c r="K31" s="10">
        <v>231</v>
      </c>
      <c r="L31" s="10">
        <v>12</v>
      </c>
      <c r="M31" s="10">
        <v>3</v>
      </c>
      <c r="N31" s="10" t="s">
        <v>3</v>
      </c>
      <c r="O31" s="10">
        <v>2</v>
      </c>
      <c r="P31" s="10"/>
    </row>
    <row r="32" spans="1:16" x14ac:dyDescent="0.2">
      <c r="A32" s="10">
        <v>50</v>
      </c>
      <c r="B32" s="10">
        <v>0</v>
      </c>
      <c r="C32" s="10">
        <v>0</v>
      </c>
      <c r="D32" s="10">
        <v>1</v>
      </c>
      <c r="E32" s="10">
        <v>204</v>
      </c>
      <c r="F32" s="10">
        <v>210.83</v>
      </c>
      <c r="G32" s="10" t="s">
        <v>240</v>
      </c>
      <c r="H32" s="10" t="s">
        <v>241</v>
      </c>
      <c r="I32" s="10"/>
      <c r="J32" s="10"/>
      <c r="K32" s="10">
        <v>204</v>
      </c>
      <c r="L32" s="10">
        <v>13</v>
      </c>
      <c r="M32" s="10">
        <v>3</v>
      </c>
      <c r="N32" s="10" t="s">
        <v>3</v>
      </c>
      <c r="O32" s="10">
        <v>2</v>
      </c>
      <c r="P32" s="10"/>
    </row>
    <row r="33" spans="1:16" x14ac:dyDescent="0.2">
      <c r="A33" s="10">
        <v>50</v>
      </c>
      <c r="B33" s="10">
        <v>0</v>
      </c>
      <c r="C33" s="10">
        <v>0</v>
      </c>
      <c r="D33" s="10">
        <v>1</v>
      </c>
      <c r="E33" s="10">
        <v>205</v>
      </c>
      <c r="F33" s="10">
        <v>61169.79</v>
      </c>
      <c r="G33" s="10" t="s">
        <v>242</v>
      </c>
      <c r="H33" s="10" t="s">
        <v>243</v>
      </c>
      <c r="I33" s="10"/>
      <c r="J33" s="10"/>
      <c r="K33" s="10">
        <v>205</v>
      </c>
      <c r="L33" s="10">
        <v>14</v>
      </c>
      <c r="M33" s="10">
        <v>3</v>
      </c>
      <c r="N33" s="10" t="s">
        <v>3</v>
      </c>
      <c r="O33" s="10">
        <v>2</v>
      </c>
      <c r="P33" s="10"/>
    </row>
    <row r="34" spans="1:16" x14ac:dyDescent="0.2">
      <c r="A34" s="10">
        <v>50</v>
      </c>
      <c r="B34" s="10">
        <v>0</v>
      </c>
      <c r="C34" s="10">
        <v>0</v>
      </c>
      <c r="D34" s="10">
        <v>1</v>
      </c>
      <c r="E34" s="10">
        <v>232</v>
      </c>
      <c r="F34" s="10">
        <v>0</v>
      </c>
      <c r="G34" s="10" t="s">
        <v>244</v>
      </c>
      <c r="H34" s="10" t="s">
        <v>245</v>
      </c>
      <c r="I34" s="10"/>
      <c r="J34" s="10"/>
      <c r="K34" s="10">
        <v>232</v>
      </c>
      <c r="L34" s="10">
        <v>15</v>
      </c>
      <c r="M34" s="10">
        <v>3</v>
      </c>
      <c r="N34" s="10" t="s">
        <v>3</v>
      </c>
      <c r="O34" s="10">
        <v>2</v>
      </c>
      <c r="P34" s="10"/>
    </row>
    <row r="35" spans="1:16" x14ac:dyDescent="0.2">
      <c r="A35" s="10">
        <v>50</v>
      </c>
      <c r="B35" s="10">
        <v>0</v>
      </c>
      <c r="C35" s="10">
        <v>0</v>
      </c>
      <c r="D35" s="10">
        <v>1</v>
      </c>
      <c r="E35" s="10">
        <v>214</v>
      </c>
      <c r="F35" s="10">
        <v>132592.91</v>
      </c>
      <c r="G35" s="10" t="s">
        <v>246</v>
      </c>
      <c r="H35" s="10" t="s">
        <v>247</v>
      </c>
      <c r="I35" s="10"/>
      <c r="J35" s="10"/>
      <c r="K35" s="10">
        <v>214</v>
      </c>
      <c r="L35" s="10">
        <v>16</v>
      </c>
      <c r="M35" s="10">
        <v>3</v>
      </c>
      <c r="N35" s="10" t="s">
        <v>3</v>
      </c>
      <c r="O35" s="10">
        <v>2</v>
      </c>
      <c r="P35" s="10"/>
    </row>
    <row r="36" spans="1:16" x14ac:dyDescent="0.2">
      <c r="A36" s="10">
        <v>50</v>
      </c>
      <c r="B36" s="10">
        <v>0</v>
      </c>
      <c r="C36" s="10">
        <v>0</v>
      </c>
      <c r="D36" s="10">
        <v>1</v>
      </c>
      <c r="E36" s="10">
        <v>215</v>
      </c>
      <c r="F36" s="10">
        <v>190806.72</v>
      </c>
      <c r="G36" s="10" t="s">
        <v>248</v>
      </c>
      <c r="H36" s="10" t="s">
        <v>249</v>
      </c>
      <c r="I36" s="10"/>
      <c r="J36" s="10"/>
      <c r="K36" s="10">
        <v>215</v>
      </c>
      <c r="L36" s="10">
        <v>17</v>
      </c>
      <c r="M36" s="10">
        <v>3</v>
      </c>
      <c r="N36" s="10" t="s">
        <v>3</v>
      </c>
      <c r="O36" s="10">
        <v>2</v>
      </c>
      <c r="P36" s="10"/>
    </row>
    <row r="37" spans="1:16" x14ac:dyDescent="0.2">
      <c r="A37" s="10">
        <v>50</v>
      </c>
      <c r="B37" s="10">
        <v>0</v>
      </c>
      <c r="C37" s="10">
        <v>0</v>
      </c>
      <c r="D37" s="10">
        <v>1</v>
      </c>
      <c r="E37" s="10">
        <v>217</v>
      </c>
      <c r="F37" s="10">
        <v>0</v>
      </c>
      <c r="G37" s="10" t="s">
        <v>250</v>
      </c>
      <c r="H37" s="10" t="s">
        <v>251</v>
      </c>
      <c r="I37" s="10"/>
      <c r="J37" s="10"/>
      <c r="K37" s="10">
        <v>217</v>
      </c>
      <c r="L37" s="10">
        <v>18</v>
      </c>
      <c r="M37" s="10">
        <v>3</v>
      </c>
      <c r="N37" s="10" t="s">
        <v>3</v>
      </c>
      <c r="O37" s="10">
        <v>2</v>
      </c>
      <c r="P37" s="10"/>
    </row>
    <row r="38" spans="1:16" x14ac:dyDescent="0.2">
      <c r="A38" s="10">
        <v>50</v>
      </c>
      <c r="B38" s="10">
        <v>0</v>
      </c>
      <c r="C38" s="10">
        <v>0</v>
      </c>
      <c r="D38" s="10">
        <v>1</v>
      </c>
      <c r="E38" s="10">
        <v>230</v>
      </c>
      <c r="F38" s="10">
        <v>0</v>
      </c>
      <c r="G38" s="10" t="s">
        <v>252</v>
      </c>
      <c r="H38" s="10" t="s">
        <v>253</v>
      </c>
      <c r="I38" s="10"/>
      <c r="J38" s="10"/>
      <c r="K38" s="10">
        <v>230</v>
      </c>
      <c r="L38" s="10">
        <v>19</v>
      </c>
      <c r="M38" s="10">
        <v>3</v>
      </c>
      <c r="N38" s="10" t="s">
        <v>3</v>
      </c>
      <c r="O38" s="10">
        <v>2</v>
      </c>
      <c r="P38" s="10"/>
    </row>
    <row r="39" spans="1:16" x14ac:dyDescent="0.2">
      <c r="A39" s="10">
        <v>50</v>
      </c>
      <c r="B39" s="10">
        <v>0</v>
      </c>
      <c r="C39" s="10">
        <v>0</v>
      </c>
      <c r="D39" s="10">
        <v>1</v>
      </c>
      <c r="E39" s="10">
        <v>206</v>
      </c>
      <c r="F39" s="10">
        <v>0</v>
      </c>
      <c r="G39" s="10" t="s">
        <v>254</v>
      </c>
      <c r="H39" s="10" t="s">
        <v>255</v>
      </c>
      <c r="I39" s="10"/>
      <c r="J39" s="10"/>
      <c r="K39" s="10">
        <v>206</v>
      </c>
      <c r="L39" s="10">
        <v>20</v>
      </c>
      <c r="M39" s="10">
        <v>3</v>
      </c>
      <c r="N39" s="10" t="s">
        <v>3</v>
      </c>
      <c r="O39" s="10">
        <v>2</v>
      </c>
      <c r="P39" s="10"/>
    </row>
    <row r="40" spans="1:16" x14ac:dyDescent="0.2">
      <c r="A40" s="10">
        <v>50</v>
      </c>
      <c r="B40" s="10">
        <v>0</v>
      </c>
      <c r="C40" s="10">
        <v>0</v>
      </c>
      <c r="D40" s="10">
        <v>1</v>
      </c>
      <c r="E40" s="10">
        <v>207</v>
      </c>
      <c r="F40" s="10">
        <v>86.816225099999997</v>
      </c>
      <c r="G40" s="10" t="s">
        <v>256</v>
      </c>
      <c r="H40" s="10" t="s">
        <v>257</v>
      </c>
      <c r="I40" s="10"/>
      <c r="J40" s="10"/>
      <c r="K40" s="10">
        <v>207</v>
      </c>
      <c r="L40" s="10">
        <v>21</v>
      </c>
      <c r="M40" s="10">
        <v>3</v>
      </c>
      <c r="N40" s="10" t="s">
        <v>3</v>
      </c>
      <c r="O40" s="10">
        <v>-1</v>
      </c>
      <c r="P40" s="10"/>
    </row>
    <row r="41" spans="1:16" x14ac:dyDescent="0.2">
      <c r="A41" s="10">
        <v>50</v>
      </c>
      <c r="B41" s="10">
        <v>0</v>
      </c>
      <c r="C41" s="10">
        <v>0</v>
      </c>
      <c r="D41" s="10">
        <v>1</v>
      </c>
      <c r="E41" s="10">
        <v>208</v>
      </c>
      <c r="F41" s="10">
        <v>0.25155189999999999</v>
      </c>
      <c r="G41" s="10" t="s">
        <v>258</v>
      </c>
      <c r="H41" s="10" t="s">
        <v>259</v>
      </c>
      <c r="I41" s="10"/>
      <c r="J41" s="10"/>
      <c r="K41" s="10">
        <v>208</v>
      </c>
      <c r="L41" s="10">
        <v>22</v>
      </c>
      <c r="M41" s="10">
        <v>3</v>
      </c>
      <c r="N41" s="10" t="s">
        <v>3</v>
      </c>
      <c r="O41" s="10">
        <v>-1</v>
      </c>
      <c r="P41" s="10"/>
    </row>
    <row r="42" spans="1:16" x14ac:dyDescent="0.2">
      <c r="A42" s="10">
        <v>50</v>
      </c>
      <c r="B42" s="10">
        <v>0</v>
      </c>
      <c r="C42" s="10">
        <v>0</v>
      </c>
      <c r="D42" s="10">
        <v>1</v>
      </c>
      <c r="E42" s="10">
        <v>209</v>
      </c>
      <c r="F42" s="10">
        <v>0</v>
      </c>
      <c r="G42" s="10" t="s">
        <v>260</v>
      </c>
      <c r="H42" s="10" t="s">
        <v>261</v>
      </c>
      <c r="I42" s="10"/>
      <c r="J42" s="10"/>
      <c r="K42" s="10">
        <v>209</v>
      </c>
      <c r="L42" s="10">
        <v>23</v>
      </c>
      <c r="M42" s="10">
        <v>3</v>
      </c>
      <c r="N42" s="10" t="s">
        <v>3</v>
      </c>
      <c r="O42" s="10">
        <v>2</v>
      </c>
      <c r="P42" s="10"/>
    </row>
    <row r="43" spans="1:16" x14ac:dyDescent="0.2">
      <c r="A43" s="10">
        <v>50</v>
      </c>
      <c r="B43" s="10">
        <v>0</v>
      </c>
      <c r="C43" s="10">
        <v>0</v>
      </c>
      <c r="D43" s="10">
        <v>1</v>
      </c>
      <c r="E43" s="10">
        <v>233</v>
      </c>
      <c r="F43" s="10">
        <v>0</v>
      </c>
      <c r="G43" s="10" t="s">
        <v>262</v>
      </c>
      <c r="H43" s="10" t="s">
        <v>263</v>
      </c>
      <c r="I43" s="10"/>
      <c r="J43" s="10"/>
      <c r="K43" s="10">
        <v>233</v>
      </c>
      <c r="L43" s="10">
        <v>24</v>
      </c>
      <c r="M43" s="10">
        <v>3</v>
      </c>
      <c r="N43" s="10" t="s">
        <v>3</v>
      </c>
      <c r="O43" s="10">
        <v>2</v>
      </c>
      <c r="P43" s="10"/>
    </row>
    <row r="44" spans="1:16" x14ac:dyDescent="0.2">
      <c r="A44" s="10">
        <v>50</v>
      </c>
      <c r="B44" s="10">
        <v>0</v>
      </c>
      <c r="C44" s="10">
        <v>0</v>
      </c>
      <c r="D44" s="10">
        <v>1</v>
      </c>
      <c r="E44" s="10">
        <v>210</v>
      </c>
      <c r="F44" s="10">
        <v>58002.8</v>
      </c>
      <c r="G44" s="10" t="s">
        <v>264</v>
      </c>
      <c r="H44" s="10" t="s">
        <v>265</v>
      </c>
      <c r="I44" s="10"/>
      <c r="J44" s="10"/>
      <c r="K44" s="10">
        <v>210</v>
      </c>
      <c r="L44" s="10">
        <v>25</v>
      </c>
      <c r="M44" s="10">
        <v>3</v>
      </c>
      <c r="N44" s="10" t="s">
        <v>3</v>
      </c>
      <c r="O44" s="10">
        <v>2</v>
      </c>
      <c r="P44" s="10"/>
    </row>
    <row r="45" spans="1:16" x14ac:dyDescent="0.2">
      <c r="A45" s="10">
        <v>50</v>
      </c>
      <c r="B45" s="10">
        <v>0</v>
      </c>
      <c r="C45" s="10">
        <v>0</v>
      </c>
      <c r="D45" s="10">
        <v>1</v>
      </c>
      <c r="E45" s="10">
        <v>211</v>
      </c>
      <c r="F45" s="10">
        <v>30316.19</v>
      </c>
      <c r="G45" s="10" t="s">
        <v>266</v>
      </c>
      <c r="H45" s="10" t="s">
        <v>267</v>
      </c>
      <c r="I45" s="10"/>
      <c r="J45" s="10"/>
      <c r="K45" s="10">
        <v>211</v>
      </c>
      <c r="L45" s="10">
        <v>26</v>
      </c>
      <c r="M45" s="10">
        <v>3</v>
      </c>
      <c r="N45" s="10" t="s">
        <v>3</v>
      </c>
      <c r="O45" s="10">
        <v>2</v>
      </c>
      <c r="P45" s="10"/>
    </row>
    <row r="46" spans="1:16" x14ac:dyDescent="0.2">
      <c r="A46" s="10">
        <v>50</v>
      </c>
      <c r="B46" s="10">
        <v>0</v>
      </c>
      <c r="C46" s="10">
        <v>0</v>
      </c>
      <c r="D46" s="10">
        <v>1</v>
      </c>
      <c r="E46" s="10">
        <v>224</v>
      </c>
      <c r="F46" s="10">
        <v>325906.61</v>
      </c>
      <c r="G46" s="10" t="s">
        <v>268</v>
      </c>
      <c r="H46" s="10" t="s">
        <v>269</v>
      </c>
      <c r="I46" s="10"/>
      <c r="J46" s="10"/>
      <c r="K46" s="10">
        <v>224</v>
      </c>
      <c r="L46" s="10">
        <v>27</v>
      </c>
      <c r="M46" s="10">
        <v>3</v>
      </c>
      <c r="N46" s="10" t="s">
        <v>3</v>
      </c>
      <c r="O46" s="10">
        <v>2</v>
      </c>
      <c r="P46" s="10"/>
    </row>
    <row r="47" spans="1:16" x14ac:dyDescent="0.2">
      <c r="A47" s="10">
        <v>50</v>
      </c>
      <c r="B47" s="10">
        <v>1</v>
      </c>
      <c r="C47" s="10">
        <v>0</v>
      </c>
      <c r="D47" s="10">
        <v>2</v>
      </c>
      <c r="E47" s="10">
        <v>0</v>
      </c>
      <c r="F47" s="10">
        <v>325906.61</v>
      </c>
      <c r="G47" s="10" t="s">
        <v>290</v>
      </c>
      <c r="H47" s="10" t="s">
        <v>290</v>
      </c>
      <c r="I47" s="10"/>
      <c r="J47" s="10"/>
      <c r="K47" s="10">
        <v>212</v>
      </c>
      <c r="L47" s="10">
        <v>28</v>
      </c>
      <c r="M47" s="10">
        <v>0</v>
      </c>
      <c r="N47" s="10" t="s">
        <v>3</v>
      </c>
      <c r="O47" s="10">
        <v>2</v>
      </c>
      <c r="P47" s="10"/>
    </row>
    <row r="48" spans="1:16" x14ac:dyDescent="0.2">
      <c r="A48" s="10">
        <v>50</v>
      </c>
      <c r="B48" s="10">
        <v>1</v>
      </c>
      <c r="C48" s="10">
        <v>0</v>
      </c>
      <c r="D48" s="10">
        <v>2</v>
      </c>
      <c r="E48" s="10">
        <v>0</v>
      </c>
      <c r="F48" s="10">
        <v>71699.45</v>
      </c>
      <c r="G48" s="10" t="s">
        <v>295</v>
      </c>
      <c r="H48" s="10" t="s">
        <v>296</v>
      </c>
      <c r="I48" s="10"/>
      <c r="J48" s="10"/>
      <c r="K48" s="10">
        <v>212</v>
      </c>
      <c r="L48" s="10">
        <v>29</v>
      </c>
      <c r="M48" s="10">
        <v>0</v>
      </c>
      <c r="N48" s="10" t="s">
        <v>3</v>
      </c>
      <c r="O48" s="10">
        <v>2</v>
      </c>
      <c r="P48" s="10"/>
    </row>
    <row r="49" spans="1:50" x14ac:dyDescent="0.2">
      <c r="A49" s="10">
        <v>50</v>
      </c>
      <c r="B49" s="10">
        <v>1</v>
      </c>
      <c r="C49" s="10">
        <v>0</v>
      </c>
      <c r="D49" s="10">
        <v>2</v>
      </c>
      <c r="E49" s="10">
        <v>213</v>
      </c>
      <c r="F49" s="10">
        <v>397606.06</v>
      </c>
      <c r="G49" s="10" t="s">
        <v>292</v>
      </c>
      <c r="H49" s="10" t="s">
        <v>292</v>
      </c>
      <c r="I49" s="10"/>
      <c r="J49" s="10"/>
      <c r="K49" s="10">
        <v>212</v>
      </c>
      <c r="L49" s="10">
        <v>30</v>
      </c>
      <c r="M49" s="10">
        <v>0</v>
      </c>
      <c r="N49" s="10" t="s">
        <v>3</v>
      </c>
      <c r="O49" s="10">
        <v>2</v>
      </c>
      <c r="P49" s="10"/>
    </row>
    <row r="51" spans="1:50" x14ac:dyDescent="0.2">
      <c r="A51" s="2">
        <v>-1</v>
      </c>
    </row>
    <row r="54" spans="1:50" x14ac:dyDescent="0.2">
      <c r="A54" s="11">
        <v>75</v>
      </c>
      <c r="B54" s="11" t="s">
        <v>363</v>
      </c>
      <c r="C54" s="11">
        <v>2026</v>
      </c>
      <c r="D54" s="11">
        <v>0</v>
      </c>
      <c r="E54" s="11">
        <v>6</v>
      </c>
      <c r="F54" s="11">
        <v>1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52718353</v>
      </c>
      <c r="O54" s="11">
        <v>1</v>
      </c>
    </row>
    <row r="55" spans="1:50" x14ac:dyDescent="0.2">
      <c r="A55" s="12">
        <v>2</v>
      </c>
      <c r="B55" s="12" t="s">
        <v>364</v>
      </c>
      <c r="C55" s="12" t="s">
        <v>365</v>
      </c>
      <c r="D55" s="12">
        <v>0</v>
      </c>
      <c r="E55" s="12">
        <v>0</v>
      </c>
      <c r="F55" s="12">
        <v>0</v>
      </c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>
        <v>52718354</v>
      </c>
    </row>
    <row r="56" spans="1:50" x14ac:dyDescent="0.2">
      <c r="A56" s="12">
        <v>1</v>
      </c>
      <c r="B56" s="12" t="s">
        <v>366</v>
      </c>
      <c r="C56" s="12" t="s">
        <v>367</v>
      </c>
      <c r="D56" s="12">
        <v>2026</v>
      </c>
      <c r="E56" s="12">
        <v>6</v>
      </c>
      <c r="F56" s="12">
        <v>1</v>
      </c>
      <c r="G56" s="12">
        <v>1</v>
      </c>
      <c r="H56" s="12">
        <v>0</v>
      </c>
      <c r="I56" s="12">
        <v>2</v>
      </c>
      <c r="J56" s="12">
        <v>1</v>
      </c>
      <c r="K56" s="12">
        <v>1</v>
      </c>
      <c r="L56" s="12">
        <v>1</v>
      </c>
      <c r="M56" s="12">
        <v>1</v>
      </c>
      <c r="N56" s="12">
        <v>1</v>
      </c>
      <c r="O56" s="12">
        <v>1</v>
      </c>
      <c r="P56" s="12">
        <v>1</v>
      </c>
      <c r="Q56" s="12">
        <v>1</v>
      </c>
      <c r="R56" s="12" t="s">
        <v>3</v>
      </c>
      <c r="S56" s="12" t="s">
        <v>3</v>
      </c>
      <c r="T56" s="12" t="s">
        <v>3</v>
      </c>
      <c r="U56" s="12" t="s">
        <v>3</v>
      </c>
      <c r="V56" s="12" t="s">
        <v>3</v>
      </c>
      <c r="W56" s="12" t="s">
        <v>3</v>
      </c>
      <c r="X56" s="12" t="s">
        <v>3</v>
      </c>
      <c r="Y56" s="12" t="s">
        <v>3</v>
      </c>
      <c r="Z56" s="12" t="s">
        <v>3</v>
      </c>
      <c r="AA56" s="12" t="s">
        <v>3</v>
      </c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>
        <v>52718355</v>
      </c>
      <c r="AO56" s="12" t="s">
        <v>368</v>
      </c>
      <c r="AP56" s="12" t="s">
        <v>369</v>
      </c>
      <c r="AQ56" s="12">
        <v>46164</v>
      </c>
      <c r="AR56" s="12">
        <v>417</v>
      </c>
      <c r="AS56" s="12" t="s">
        <v>370</v>
      </c>
      <c r="AT56" s="12" t="s">
        <v>3</v>
      </c>
      <c r="AU56" s="12" t="s">
        <v>369</v>
      </c>
      <c r="AV56" s="12">
        <v>45957</v>
      </c>
      <c r="AW56" s="12">
        <v>23615</v>
      </c>
      <c r="AX56" s="12" t="s">
        <v>371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O99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ROW(Source!A28)</f>
        <v>28</v>
      </c>
      <c r="B1">
        <v>52718353</v>
      </c>
      <c r="C1">
        <v>52718534</v>
      </c>
      <c r="D1">
        <v>51170064</v>
      </c>
      <c r="E1">
        <v>118</v>
      </c>
      <c r="F1">
        <v>1</v>
      </c>
      <c r="G1">
        <v>1</v>
      </c>
      <c r="H1">
        <v>1</v>
      </c>
      <c r="I1" t="s">
        <v>373</v>
      </c>
      <c r="J1" t="s">
        <v>3</v>
      </c>
      <c r="K1" t="s">
        <v>374</v>
      </c>
      <c r="L1">
        <v>1369</v>
      </c>
      <c r="N1">
        <v>1013</v>
      </c>
      <c r="O1" t="s">
        <v>375</v>
      </c>
      <c r="P1" t="s">
        <v>375</v>
      </c>
      <c r="Q1">
        <v>1</v>
      </c>
      <c r="W1">
        <v>0</v>
      </c>
      <c r="X1">
        <v>-236928766</v>
      </c>
      <c r="Y1">
        <f t="shared" ref="Y1:Y32" si="0">AT1</f>
        <v>0.02</v>
      </c>
      <c r="AA1">
        <v>0</v>
      </c>
      <c r="AB1">
        <v>0</v>
      </c>
      <c r="AC1">
        <v>0</v>
      </c>
      <c r="AD1">
        <v>594.67999999999995</v>
      </c>
      <c r="AE1">
        <v>0</v>
      </c>
      <c r="AF1">
        <v>0</v>
      </c>
      <c r="AG1">
        <v>0</v>
      </c>
      <c r="AH1">
        <v>594.67999999999995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1</v>
      </c>
      <c r="AQ1">
        <v>1</v>
      </c>
      <c r="AR1">
        <v>0</v>
      </c>
      <c r="AS1" t="s">
        <v>3</v>
      </c>
      <c r="AT1">
        <v>0.02</v>
      </c>
      <c r="AU1" t="s">
        <v>3</v>
      </c>
      <c r="AV1">
        <v>1</v>
      </c>
      <c r="AW1">
        <v>2</v>
      </c>
      <c r="AX1">
        <v>52718543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11.893599999999999</v>
      </c>
      <c r="BN1">
        <v>0.02</v>
      </c>
      <c r="BO1">
        <v>0</v>
      </c>
      <c r="BP1">
        <v>1</v>
      </c>
      <c r="BQ1">
        <v>0</v>
      </c>
      <c r="BR1">
        <v>0</v>
      </c>
      <c r="BS1">
        <v>0</v>
      </c>
      <c r="BT1">
        <v>11.893599999999999</v>
      </c>
      <c r="BU1">
        <v>0.02</v>
      </c>
      <c r="BV1">
        <v>0</v>
      </c>
      <c r="BW1">
        <v>1</v>
      </c>
      <c r="CU1">
        <f>ROUND(AT1*Source!I28*AH1*AL1,2)</f>
        <v>17.84</v>
      </c>
      <c r="CV1">
        <f>ROUND(Y1*Source!I28,7)</f>
        <v>0.03</v>
      </c>
      <c r="CW1">
        <v>0</v>
      </c>
      <c r="CX1">
        <f>ROUND(Y1*Source!I28,7)</f>
        <v>0.03</v>
      </c>
      <c r="CY1">
        <f>AD1</f>
        <v>594.67999999999995</v>
      </c>
      <c r="CZ1">
        <f>AH1</f>
        <v>594.67999999999995</v>
      </c>
      <c r="DA1">
        <f>AL1</f>
        <v>1</v>
      </c>
      <c r="DB1">
        <f t="shared" ref="DB1:DB32" si="1">ROUND(ROUND(AT1*CZ1,2),6)</f>
        <v>11.89</v>
      </c>
      <c r="DC1">
        <f t="shared" ref="DC1:DC32" si="2">ROUND(ROUND(AT1*AG1,2),6)</f>
        <v>0</v>
      </c>
      <c r="DD1" t="s">
        <v>3</v>
      </c>
      <c r="DE1" t="s">
        <v>3</v>
      </c>
      <c r="DF1">
        <f t="shared" ref="DF1:DF6" si="3">ROUND(ROUND(AE1,2)*CX1,2)</f>
        <v>0</v>
      </c>
      <c r="DG1">
        <f t="shared" ref="DG1:DG10" si="4">ROUND(ROUND(AF1,2)*CX1,2)</f>
        <v>0</v>
      </c>
      <c r="DH1">
        <f t="shared" ref="DH1:DH32" si="5">ROUND(ROUND(AG1,2)*CX1,2)</f>
        <v>0</v>
      </c>
      <c r="DI1">
        <f t="shared" ref="DI1:DI32" si="6">ROUND(ROUND(AH1,2)*CX1,2)</f>
        <v>17.84</v>
      </c>
      <c r="DJ1">
        <f>DI1</f>
        <v>17.84</v>
      </c>
      <c r="DK1">
        <v>1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ROW(Source!A28)</f>
        <v>28</v>
      </c>
      <c r="B2">
        <v>52718353</v>
      </c>
      <c r="C2">
        <v>52718534</v>
      </c>
      <c r="D2">
        <v>51170066</v>
      </c>
      <c r="E2">
        <v>118</v>
      </c>
      <c r="F2">
        <v>1</v>
      </c>
      <c r="G2">
        <v>1</v>
      </c>
      <c r="H2">
        <v>1</v>
      </c>
      <c r="I2" t="s">
        <v>376</v>
      </c>
      <c r="J2" t="s">
        <v>3</v>
      </c>
      <c r="K2" t="s">
        <v>377</v>
      </c>
      <c r="L2">
        <v>1369</v>
      </c>
      <c r="N2">
        <v>1013</v>
      </c>
      <c r="O2" t="s">
        <v>375</v>
      </c>
      <c r="P2" t="s">
        <v>375</v>
      </c>
      <c r="Q2">
        <v>1</v>
      </c>
      <c r="W2">
        <v>0</v>
      </c>
      <c r="X2">
        <v>-587036825</v>
      </c>
      <c r="Y2">
        <f t="shared" si="0"/>
        <v>10.75</v>
      </c>
      <c r="AA2">
        <v>0</v>
      </c>
      <c r="AB2">
        <v>0</v>
      </c>
      <c r="AC2">
        <v>0</v>
      </c>
      <c r="AD2">
        <v>649.24</v>
      </c>
      <c r="AE2">
        <v>0</v>
      </c>
      <c r="AF2">
        <v>0</v>
      </c>
      <c r="AG2">
        <v>0</v>
      </c>
      <c r="AH2">
        <v>649.24</v>
      </c>
      <c r="AI2">
        <v>1</v>
      </c>
      <c r="AJ2">
        <v>1</v>
      </c>
      <c r="AK2">
        <v>1</v>
      </c>
      <c r="AL2">
        <v>1</v>
      </c>
      <c r="AM2">
        <v>-2</v>
      </c>
      <c r="AN2">
        <v>0</v>
      </c>
      <c r="AO2">
        <v>0</v>
      </c>
      <c r="AP2">
        <v>1</v>
      </c>
      <c r="AQ2">
        <v>1</v>
      </c>
      <c r="AR2">
        <v>0</v>
      </c>
      <c r="AS2" t="s">
        <v>3</v>
      </c>
      <c r="AT2">
        <v>10.75</v>
      </c>
      <c r="AU2" t="s">
        <v>3</v>
      </c>
      <c r="AV2">
        <v>1</v>
      </c>
      <c r="AW2">
        <v>2</v>
      </c>
      <c r="AX2">
        <v>52718544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6979.33</v>
      </c>
      <c r="BN2">
        <v>10.75</v>
      </c>
      <c r="BO2">
        <v>0</v>
      </c>
      <c r="BP2">
        <v>1</v>
      </c>
      <c r="BQ2">
        <v>0</v>
      </c>
      <c r="BR2">
        <v>0</v>
      </c>
      <c r="BS2">
        <v>0</v>
      </c>
      <c r="BT2">
        <v>6979.33</v>
      </c>
      <c r="BU2">
        <v>10.75</v>
      </c>
      <c r="BV2">
        <v>0</v>
      </c>
      <c r="BW2">
        <v>1</v>
      </c>
      <c r="CU2">
        <f>ROUND(AT2*Source!I28*AH2*AL2,2)</f>
        <v>10469</v>
      </c>
      <c r="CV2">
        <f>ROUND(Y2*Source!I28,7)</f>
        <v>16.125</v>
      </c>
      <c r="CW2">
        <v>0</v>
      </c>
      <c r="CX2">
        <f>ROUND(Y2*Source!I28,7)</f>
        <v>16.125</v>
      </c>
      <c r="CY2">
        <f>AD2</f>
        <v>649.24</v>
      </c>
      <c r="CZ2">
        <f>AH2</f>
        <v>649.24</v>
      </c>
      <c r="DA2">
        <f>AL2</f>
        <v>1</v>
      </c>
      <c r="DB2">
        <f t="shared" si="1"/>
        <v>6979.33</v>
      </c>
      <c r="DC2">
        <f t="shared" si="2"/>
        <v>0</v>
      </c>
      <c r="DD2" t="s">
        <v>3</v>
      </c>
      <c r="DE2" t="s">
        <v>3</v>
      </c>
      <c r="DF2">
        <f t="shared" si="3"/>
        <v>0</v>
      </c>
      <c r="DG2">
        <f t="shared" si="4"/>
        <v>0</v>
      </c>
      <c r="DH2">
        <f t="shared" si="5"/>
        <v>0</v>
      </c>
      <c r="DI2">
        <f t="shared" si="6"/>
        <v>10469</v>
      </c>
      <c r="DJ2">
        <f>DI2</f>
        <v>10469</v>
      </c>
      <c r="DK2">
        <v>1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ROW(Source!A28)</f>
        <v>28</v>
      </c>
      <c r="B3">
        <v>52718353</v>
      </c>
      <c r="C3">
        <v>52718534</v>
      </c>
      <c r="D3">
        <v>51170068</v>
      </c>
      <c r="E3">
        <v>118</v>
      </c>
      <c r="F3">
        <v>1</v>
      </c>
      <c r="G3">
        <v>1</v>
      </c>
      <c r="H3">
        <v>1</v>
      </c>
      <c r="I3" t="s">
        <v>378</v>
      </c>
      <c r="J3" t="s">
        <v>3</v>
      </c>
      <c r="K3" t="s">
        <v>379</v>
      </c>
      <c r="L3">
        <v>1369</v>
      </c>
      <c r="N3">
        <v>1013</v>
      </c>
      <c r="O3" t="s">
        <v>375</v>
      </c>
      <c r="P3" t="s">
        <v>375</v>
      </c>
      <c r="Q3">
        <v>1</v>
      </c>
      <c r="W3">
        <v>0</v>
      </c>
      <c r="X3">
        <v>-512803540</v>
      </c>
      <c r="Y3">
        <f t="shared" si="0"/>
        <v>4.83</v>
      </c>
      <c r="AA3">
        <v>0</v>
      </c>
      <c r="AB3">
        <v>0</v>
      </c>
      <c r="AC3">
        <v>0</v>
      </c>
      <c r="AD3">
        <v>731.08</v>
      </c>
      <c r="AE3">
        <v>0</v>
      </c>
      <c r="AF3">
        <v>0</v>
      </c>
      <c r="AG3">
        <v>0</v>
      </c>
      <c r="AH3">
        <v>731.08</v>
      </c>
      <c r="AI3">
        <v>1</v>
      </c>
      <c r="AJ3">
        <v>1</v>
      </c>
      <c r="AK3">
        <v>1</v>
      </c>
      <c r="AL3">
        <v>1</v>
      </c>
      <c r="AM3">
        <v>-2</v>
      </c>
      <c r="AN3">
        <v>0</v>
      </c>
      <c r="AO3">
        <v>0</v>
      </c>
      <c r="AP3">
        <v>1</v>
      </c>
      <c r="AQ3">
        <v>1</v>
      </c>
      <c r="AR3">
        <v>0</v>
      </c>
      <c r="AS3" t="s">
        <v>3</v>
      </c>
      <c r="AT3">
        <v>4.83</v>
      </c>
      <c r="AU3" t="s">
        <v>3</v>
      </c>
      <c r="AV3">
        <v>1</v>
      </c>
      <c r="AW3">
        <v>2</v>
      </c>
      <c r="AX3">
        <v>52718545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3531.1164000000003</v>
      </c>
      <c r="BN3">
        <v>4.83</v>
      </c>
      <c r="BO3">
        <v>0</v>
      </c>
      <c r="BP3">
        <v>1</v>
      </c>
      <c r="BQ3">
        <v>0</v>
      </c>
      <c r="BR3">
        <v>0</v>
      </c>
      <c r="BS3">
        <v>0</v>
      </c>
      <c r="BT3">
        <v>3531.1164000000003</v>
      </c>
      <c r="BU3">
        <v>4.83</v>
      </c>
      <c r="BV3">
        <v>0</v>
      </c>
      <c r="BW3">
        <v>1</v>
      </c>
      <c r="CU3">
        <f>ROUND(AT3*Source!I28*AH3*AL3,2)</f>
        <v>5296.67</v>
      </c>
      <c r="CV3">
        <f>ROUND(Y3*Source!I28,7)</f>
        <v>7.2450000000000001</v>
      </c>
      <c r="CW3">
        <v>0</v>
      </c>
      <c r="CX3">
        <f>ROUND(Y3*Source!I28,7)</f>
        <v>7.2450000000000001</v>
      </c>
      <c r="CY3">
        <f>AD3</f>
        <v>731.08</v>
      </c>
      <c r="CZ3">
        <f>AH3</f>
        <v>731.08</v>
      </c>
      <c r="DA3">
        <f>AL3</f>
        <v>1</v>
      </c>
      <c r="DB3">
        <f t="shared" si="1"/>
        <v>3531.12</v>
      </c>
      <c r="DC3">
        <f t="shared" si="2"/>
        <v>0</v>
      </c>
      <c r="DD3" t="s">
        <v>3</v>
      </c>
      <c r="DE3" t="s">
        <v>3</v>
      </c>
      <c r="DF3">
        <f t="shared" si="3"/>
        <v>0</v>
      </c>
      <c r="DG3">
        <f t="shared" si="4"/>
        <v>0</v>
      </c>
      <c r="DH3">
        <f t="shared" si="5"/>
        <v>0</v>
      </c>
      <c r="DI3">
        <f t="shared" si="6"/>
        <v>5296.67</v>
      </c>
      <c r="DJ3">
        <f>DI3</f>
        <v>5296.67</v>
      </c>
      <c r="DK3">
        <v>1</v>
      </c>
      <c r="DL3" t="s">
        <v>3</v>
      </c>
      <c r="DM3">
        <v>0</v>
      </c>
      <c r="DN3" t="s">
        <v>3</v>
      </c>
      <c r="DO3">
        <v>0</v>
      </c>
    </row>
    <row r="4" spans="1:119" x14ac:dyDescent="0.2">
      <c r="A4">
        <f>ROW(Source!A28)</f>
        <v>28</v>
      </c>
      <c r="B4">
        <v>52718353</v>
      </c>
      <c r="C4">
        <v>52718534</v>
      </c>
      <c r="D4">
        <v>51170109</v>
      </c>
      <c r="E4">
        <v>118</v>
      </c>
      <c r="F4">
        <v>1</v>
      </c>
      <c r="G4">
        <v>1</v>
      </c>
      <c r="H4">
        <v>1</v>
      </c>
      <c r="I4" t="s">
        <v>380</v>
      </c>
      <c r="J4" t="s">
        <v>3</v>
      </c>
      <c r="K4" t="s">
        <v>381</v>
      </c>
      <c r="L4">
        <v>1191</v>
      </c>
      <c r="N4">
        <v>1013</v>
      </c>
      <c r="O4" t="s">
        <v>382</v>
      </c>
      <c r="P4" t="s">
        <v>382</v>
      </c>
      <c r="Q4">
        <v>1</v>
      </c>
      <c r="W4">
        <v>0</v>
      </c>
      <c r="X4">
        <v>-1417349443</v>
      </c>
      <c r="Y4">
        <f t="shared" si="0"/>
        <v>0.01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1</v>
      </c>
      <c r="AJ4">
        <v>1</v>
      </c>
      <c r="AK4">
        <v>1</v>
      </c>
      <c r="AL4">
        <v>1</v>
      </c>
      <c r="AM4">
        <v>-2</v>
      </c>
      <c r="AN4">
        <v>0</v>
      </c>
      <c r="AO4">
        <v>0</v>
      </c>
      <c r="AP4">
        <v>1</v>
      </c>
      <c r="AQ4">
        <v>1</v>
      </c>
      <c r="AR4">
        <v>0</v>
      </c>
      <c r="AS4" t="s">
        <v>3</v>
      </c>
      <c r="AT4">
        <v>0.01</v>
      </c>
      <c r="AU4" t="s">
        <v>3</v>
      </c>
      <c r="AV4">
        <v>2</v>
      </c>
      <c r="AW4">
        <v>2</v>
      </c>
      <c r="AX4">
        <v>52718546</v>
      </c>
      <c r="AY4">
        <v>1</v>
      </c>
      <c r="AZ4">
        <v>0</v>
      </c>
      <c r="BA4">
        <v>4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CV4">
        <v>0</v>
      </c>
      <c r="CW4">
        <v>0</v>
      </c>
      <c r="CX4">
        <f>ROUND(Y4*Source!I28,7)</f>
        <v>1.4999999999999999E-2</v>
      </c>
      <c r="CY4">
        <f>AD4</f>
        <v>0</v>
      </c>
      <c r="CZ4">
        <f>AH4</f>
        <v>0</v>
      </c>
      <c r="DA4">
        <f>AL4</f>
        <v>1</v>
      </c>
      <c r="DB4">
        <f t="shared" si="1"/>
        <v>0</v>
      </c>
      <c r="DC4">
        <f t="shared" si="2"/>
        <v>0</v>
      </c>
      <c r="DD4" t="s">
        <v>3</v>
      </c>
      <c r="DE4" t="s">
        <v>3</v>
      </c>
      <c r="DF4">
        <f t="shared" si="3"/>
        <v>0</v>
      </c>
      <c r="DG4">
        <f t="shared" si="4"/>
        <v>0</v>
      </c>
      <c r="DH4">
        <f t="shared" si="5"/>
        <v>0</v>
      </c>
      <c r="DI4">
        <f t="shared" si="6"/>
        <v>0</v>
      </c>
      <c r="DJ4">
        <f>DI4</f>
        <v>0</v>
      </c>
      <c r="DK4">
        <v>0</v>
      </c>
      <c r="DL4" t="s">
        <v>3</v>
      </c>
      <c r="DM4">
        <v>0</v>
      </c>
      <c r="DN4" t="s">
        <v>3</v>
      </c>
      <c r="DO4">
        <v>0</v>
      </c>
    </row>
    <row r="5" spans="1:119" x14ac:dyDescent="0.2">
      <c r="A5">
        <f>ROW(Source!A28)</f>
        <v>28</v>
      </c>
      <c r="B5">
        <v>52718353</v>
      </c>
      <c r="C5">
        <v>52718534</v>
      </c>
      <c r="D5">
        <v>51297468</v>
      </c>
      <c r="E5">
        <v>1</v>
      </c>
      <c r="F5">
        <v>1</v>
      </c>
      <c r="G5">
        <v>1</v>
      </c>
      <c r="H5">
        <v>2</v>
      </c>
      <c r="I5" t="s">
        <v>383</v>
      </c>
      <c r="J5" t="s">
        <v>384</v>
      </c>
      <c r="K5" t="s">
        <v>385</v>
      </c>
      <c r="L5">
        <v>1368</v>
      </c>
      <c r="N5">
        <v>1011</v>
      </c>
      <c r="O5" t="s">
        <v>386</v>
      </c>
      <c r="P5" t="s">
        <v>386</v>
      </c>
      <c r="Q5">
        <v>1</v>
      </c>
      <c r="W5">
        <v>0</v>
      </c>
      <c r="X5">
        <v>-312038840</v>
      </c>
      <c r="Y5">
        <f t="shared" si="0"/>
        <v>0.01</v>
      </c>
      <c r="AA5">
        <v>0</v>
      </c>
      <c r="AB5">
        <v>544.91999999999996</v>
      </c>
      <c r="AC5">
        <v>731.08</v>
      </c>
      <c r="AD5">
        <v>0</v>
      </c>
      <c r="AE5">
        <v>0</v>
      </c>
      <c r="AF5">
        <v>544.91999999999996</v>
      </c>
      <c r="AG5">
        <v>731.08</v>
      </c>
      <c r="AH5">
        <v>0</v>
      </c>
      <c r="AI5">
        <v>1</v>
      </c>
      <c r="AJ5">
        <v>1</v>
      </c>
      <c r="AK5">
        <v>1</v>
      </c>
      <c r="AL5">
        <v>1</v>
      </c>
      <c r="AM5">
        <v>-2</v>
      </c>
      <c r="AN5">
        <v>0</v>
      </c>
      <c r="AO5">
        <v>0</v>
      </c>
      <c r="AP5">
        <v>1</v>
      </c>
      <c r="AQ5">
        <v>1</v>
      </c>
      <c r="AR5">
        <v>0</v>
      </c>
      <c r="AS5" t="s">
        <v>3</v>
      </c>
      <c r="AT5">
        <v>0.01</v>
      </c>
      <c r="AU5" t="s">
        <v>3</v>
      </c>
      <c r="AV5">
        <v>1</v>
      </c>
      <c r="AW5">
        <v>2</v>
      </c>
      <c r="AX5">
        <v>52718547</v>
      </c>
      <c r="AY5">
        <v>1</v>
      </c>
      <c r="AZ5">
        <v>0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5.4491999999999994</v>
      </c>
      <c r="BL5">
        <v>7.3108000000000004</v>
      </c>
      <c r="BM5">
        <v>0</v>
      </c>
      <c r="BN5">
        <v>0</v>
      </c>
      <c r="BO5">
        <v>0.01</v>
      </c>
      <c r="BP5">
        <v>1</v>
      </c>
      <c r="BQ5">
        <v>0</v>
      </c>
      <c r="BR5">
        <v>5.4491999999999994</v>
      </c>
      <c r="BS5">
        <v>7.3108000000000004</v>
      </c>
      <c r="BT5">
        <v>0</v>
      </c>
      <c r="BU5">
        <v>0</v>
      </c>
      <c r="BV5">
        <v>0.01</v>
      </c>
      <c r="BW5">
        <v>1</v>
      </c>
      <c r="CV5">
        <v>0</v>
      </c>
      <c r="CW5">
        <f>ROUND(Y5*Source!I28*DO5,7)</f>
        <v>1.4999999999999999E-2</v>
      </c>
      <c r="CX5">
        <f>ROUND(Y5*Source!I28,7)</f>
        <v>1.4999999999999999E-2</v>
      </c>
      <c r="CY5">
        <f>AB5</f>
        <v>544.91999999999996</v>
      </c>
      <c r="CZ5">
        <f>AF5</f>
        <v>544.91999999999996</v>
      </c>
      <c r="DA5">
        <f>AJ5</f>
        <v>1</v>
      </c>
      <c r="DB5">
        <f t="shared" si="1"/>
        <v>5.45</v>
      </c>
      <c r="DC5">
        <f t="shared" si="2"/>
        <v>7.31</v>
      </c>
      <c r="DD5" t="s">
        <v>3</v>
      </c>
      <c r="DE5" t="s">
        <v>3</v>
      </c>
      <c r="DF5">
        <f t="shared" si="3"/>
        <v>0</v>
      </c>
      <c r="DG5">
        <f t="shared" si="4"/>
        <v>8.17</v>
      </c>
      <c r="DH5">
        <f t="shared" si="5"/>
        <v>10.97</v>
      </c>
      <c r="DI5">
        <f t="shared" si="6"/>
        <v>0</v>
      </c>
      <c r="DJ5">
        <f>DG5+DH5</f>
        <v>19.14</v>
      </c>
      <c r="DK5">
        <v>1</v>
      </c>
      <c r="DL5" t="s">
        <v>387</v>
      </c>
      <c r="DM5">
        <v>4</v>
      </c>
      <c r="DN5" t="s">
        <v>382</v>
      </c>
      <c r="DO5">
        <v>1</v>
      </c>
    </row>
    <row r="6" spans="1:119" x14ac:dyDescent="0.2">
      <c r="A6">
        <f>ROW(Source!A28)</f>
        <v>28</v>
      </c>
      <c r="B6">
        <v>52718353</v>
      </c>
      <c r="C6">
        <v>52718534</v>
      </c>
      <c r="D6">
        <v>51246685</v>
      </c>
      <c r="E6">
        <v>1</v>
      </c>
      <c r="F6">
        <v>1</v>
      </c>
      <c r="G6">
        <v>1</v>
      </c>
      <c r="H6">
        <v>3</v>
      </c>
      <c r="I6" t="s">
        <v>388</v>
      </c>
      <c r="J6" t="s">
        <v>389</v>
      </c>
      <c r="K6" t="s">
        <v>390</v>
      </c>
      <c r="L6">
        <v>1383</v>
      </c>
      <c r="N6">
        <v>1013</v>
      </c>
      <c r="O6" t="s">
        <v>391</v>
      </c>
      <c r="P6" t="s">
        <v>391</v>
      </c>
      <c r="Q6">
        <v>1</v>
      </c>
      <c r="W6">
        <v>0</v>
      </c>
      <c r="X6">
        <v>-182421198</v>
      </c>
      <c r="Y6">
        <f t="shared" si="0"/>
        <v>4.42</v>
      </c>
      <c r="AA6">
        <v>6.92</v>
      </c>
      <c r="AB6">
        <v>0</v>
      </c>
      <c r="AC6">
        <v>0</v>
      </c>
      <c r="AD6">
        <v>0</v>
      </c>
      <c r="AE6">
        <v>6.92</v>
      </c>
      <c r="AF6">
        <v>0</v>
      </c>
      <c r="AG6">
        <v>0</v>
      </c>
      <c r="AH6">
        <v>0</v>
      </c>
      <c r="AI6">
        <v>1</v>
      </c>
      <c r="AJ6">
        <v>1</v>
      </c>
      <c r="AK6">
        <v>1</v>
      </c>
      <c r="AL6">
        <v>1</v>
      </c>
      <c r="AM6">
        <v>-2</v>
      </c>
      <c r="AN6">
        <v>0</v>
      </c>
      <c r="AO6">
        <v>0</v>
      </c>
      <c r="AP6">
        <v>1</v>
      </c>
      <c r="AQ6">
        <v>1</v>
      </c>
      <c r="AR6">
        <v>0</v>
      </c>
      <c r="AS6" t="s">
        <v>3</v>
      </c>
      <c r="AT6">
        <v>4.42</v>
      </c>
      <c r="AU6" t="s">
        <v>3</v>
      </c>
      <c r="AV6">
        <v>0</v>
      </c>
      <c r="AW6">
        <v>2</v>
      </c>
      <c r="AX6">
        <v>52718548</v>
      </c>
      <c r="AY6">
        <v>1</v>
      </c>
      <c r="AZ6">
        <v>0</v>
      </c>
      <c r="BA6">
        <v>6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30.586399999999998</v>
      </c>
      <c r="BK6">
        <v>0</v>
      </c>
      <c r="BL6">
        <v>0</v>
      </c>
      <c r="BM6">
        <v>0</v>
      </c>
      <c r="BN6">
        <v>0</v>
      </c>
      <c r="BO6">
        <v>0</v>
      </c>
      <c r="BP6">
        <v>1</v>
      </c>
      <c r="BQ6">
        <v>30.586399999999998</v>
      </c>
      <c r="BR6">
        <v>0</v>
      </c>
      <c r="BS6">
        <v>0</v>
      </c>
      <c r="BT6">
        <v>0</v>
      </c>
      <c r="BU6">
        <v>0</v>
      </c>
      <c r="BV6">
        <v>0</v>
      </c>
      <c r="BW6">
        <v>1</v>
      </c>
      <c r="CV6">
        <v>0</v>
      </c>
      <c r="CW6">
        <v>0</v>
      </c>
      <c r="CX6">
        <f>ROUND(Y6*Source!I28,7)</f>
        <v>6.63</v>
      </c>
      <c r="CY6">
        <f>AA6</f>
        <v>6.92</v>
      </c>
      <c r="CZ6">
        <f>AE6</f>
        <v>6.92</v>
      </c>
      <c r="DA6">
        <f>AI6</f>
        <v>1</v>
      </c>
      <c r="DB6">
        <f t="shared" si="1"/>
        <v>30.59</v>
      </c>
      <c r="DC6">
        <f t="shared" si="2"/>
        <v>0</v>
      </c>
      <c r="DD6" t="s">
        <v>3</v>
      </c>
      <c r="DE6" t="s">
        <v>3</v>
      </c>
      <c r="DF6">
        <f t="shared" si="3"/>
        <v>45.88</v>
      </c>
      <c r="DG6">
        <f t="shared" si="4"/>
        <v>0</v>
      </c>
      <c r="DH6">
        <f t="shared" si="5"/>
        <v>0</v>
      </c>
      <c r="DI6">
        <f t="shared" si="6"/>
        <v>0</v>
      </c>
      <c r="DJ6">
        <f>DF6</f>
        <v>45.88</v>
      </c>
      <c r="DK6">
        <v>1</v>
      </c>
      <c r="DL6" t="s">
        <v>3</v>
      </c>
      <c r="DM6">
        <v>0</v>
      </c>
      <c r="DN6" t="s">
        <v>3</v>
      </c>
      <c r="DO6">
        <v>0</v>
      </c>
    </row>
    <row r="7" spans="1:119" x14ac:dyDescent="0.2">
      <c r="A7">
        <f>ROW(Source!A28)</f>
        <v>28</v>
      </c>
      <c r="B7">
        <v>52718353</v>
      </c>
      <c r="C7">
        <v>52718534</v>
      </c>
      <c r="D7">
        <v>51248281</v>
      </c>
      <c r="E7">
        <v>1</v>
      </c>
      <c r="F7">
        <v>1</v>
      </c>
      <c r="G7">
        <v>1</v>
      </c>
      <c r="H7">
        <v>3</v>
      </c>
      <c r="I7" t="s">
        <v>392</v>
      </c>
      <c r="J7" t="s">
        <v>393</v>
      </c>
      <c r="K7" t="s">
        <v>394</v>
      </c>
      <c r="L7">
        <v>1425</v>
      </c>
      <c r="N7">
        <v>1013</v>
      </c>
      <c r="O7" t="s">
        <v>56</v>
      </c>
      <c r="P7" t="s">
        <v>56</v>
      </c>
      <c r="Q7">
        <v>1</v>
      </c>
      <c r="W7">
        <v>0</v>
      </c>
      <c r="X7">
        <v>-854173200</v>
      </c>
      <c r="Y7">
        <f t="shared" si="0"/>
        <v>2.09</v>
      </c>
      <c r="AA7">
        <v>65.430000000000007</v>
      </c>
      <c r="AB7">
        <v>0</v>
      </c>
      <c r="AC7">
        <v>0</v>
      </c>
      <c r="AD7">
        <v>0</v>
      </c>
      <c r="AE7">
        <v>52.34</v>
      </c>
      <c r="AF7">
        <v>0</v>
      </c>
      <c r="AG7">
        <v>0</v>
      </c>
      <c r="AH7">
        <v>0</v>
      </c>
      <c r="AI7">
        <v>1.25</v>
      </c>
      <c r="AJ7">
        <v>1</v>
      </c>
      <c r="AK7">
        <v>1</v>
      </c>
      <c r="AL7">
        <v>1</v>
      </c>
      <c r="AM7">
        <v>2</v>
      </c>
      <c r="AN7">
        <v>0</v>
      </c>
      <c r="AO7">
        <v>0</v>
      </c>
      <c r="AP7">
        <v>1</v>
      </c>
      <c r="AQ7">
        <v>1</v>
      </c>
      <c r="AR7">
        <v>0</v>
      </c>
      <c r="AS7" t="s">
        <v>3</v>
      </c>
      <c r="AT7">
        <v>2.09</v>
      </c>
      <c r="AU7" t="s">
        <v>3</v>
      </c>
      <c r="AV7">
        <v>0</v>
      </c>
      <c r="AW7">
        <v>2</v>
      </c>
      <c r="AX7">
        <v>52718549</v>
      </c>
      <c r="AY7">
        <v>1</v>
      </c>
      <c r="AZ7">
        <v>0</v>
      </c>
      <c r="BA7">
        <v>7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109.39060000000001</v>
      </c>
      <c r="BK7">
        <v>0</v>
      </c>
      <c r="BL7">
        <v>0</v>
      </c>
      <c r="BM7">
        <v>0</v>
      </c>
      <c r="BN7">
        <v>0</v>
      </c>
      <c r="BO7">
        <v>0</v>
      </c>
      <c r="BP7">
        <v>1</v>
      </c>
      <c r="BQ7">
        <v>109.39060000000001</v>
      </c>
      <c r="BR7">
        <v>0</v>
      </c>
      <c r="BS7">
        <v>0</v>
      </c>
      <c r="BT7">
        <v>0</v>
      </c>
      <c r="BU7">
        <v>0</v>
      </c>
      <c r="BV7">
        <v>0</v>
      </c>
      <c r="BW7">
        <v>1</v>
      </c>
      <c r="CV7">
        <v>0</v>
      </c>
      <c r="CW7">
        <v>0</v>
      </c>
      <c r="CX7">
        <f>ROUND(Y7*Source!I28,7)</f>
        <v>3.1349999999999998</v>
      </c>
      <c r="CY7">
        <f>AA7</f>
        <v>65.430000000000007</v>
      </c>
      <c r="CZ7">
        <f>AE7</f>
        <v>52.34</v>
      </c>
      <c r="DA7">
        <f>AI7</f>
        <v>1.25</v>
      </c>
      <c r="DB7">
        <f t="shared" si="1"/>
        <v>109.39</v>
      </c>
      <c r="DC7">
        <f t="shared" si="2"/>
        <v>0</v>
      </c>
      <c r="DD7" t="s">
        <v>3</v>
      </c>
      <c r="DE7" t="s">
        <v>3</v>
      </c>
      <c r="DF7">
        <f>ROUND(ROUND(AE7*AI7,2)*CX7,2)</f>
        <v>205.12</v>
      </c>
      <c r="DG7">
        <f t="shared" si="4"/>
        <v>0</v>
      </c>
      <c r="DH7">
        <f t="shared" si="5"/>
        <v>0</v>
      </c>
      <c r="DI7">
        <f t="shared" si="6"/>
        <v>0</v>
      </c>
      <c r="DJ7">
        <f>DF7</f>
        <v>205.12</v>
      </c>
      <c r="DK7">
        <v>0</v>
      </c>
      <c r="DL7" t="s">
        <v>3</v>
      </c>
      <c r="DM7">
        <v>0</v>
      </c>
      <c r="DN7" t="s">
        <v>3</v>
      </c>
      <c r="DO7">
        <v>0</v>
      </c>
    </row>
    <row r="8" spans="1:119" x14ac:dyDescent="0.2">
      <c r="A8">
        <f>ROW(Source!A28)</f>
        <v>28</v>
      </c>
      <c r="B8">
        <v>52718353</v>
      </c>
      <c r="C8">
        <v>52718534</v>
      </c>
      <c r="D8">
        <v>51176163</v>
      </c>
      <c r="E8">
        <v>118</v>
      </c>
      <c r="F8">
        <v>1</v>
      </c>
      <c r="G8">
        <v>1</v>
      </c>
      <c r="H8">
        <v>3</v>
      </c>
      <c r="I8" t="s">
        <v>25</v>
      </c>
      <c r="J8" t="s">
        <v>3</v>
      </c>
      <c r="K8" t="s">
        <v>26</v>
      </c>
      <c r="L8">
        <v>3277935</v>
      </c>
      <c r="N8">
        <v>1013</v>
      </c>
      <c r="O8" t="s">
        <v>27</v>
      </c>
      <c r="P8" t="s">
        <v>27</v>
      </c>
      <c r="Q8">
        <v>1</v>
      </c>
      <c r="W8">
        <v>0</v>
      </c>
      <c r="X8">
        <v>274903907</v>
      </c>
      <c r="Y8">
        <f t="shared" si="0"/>
        <v>2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</v>
      </c>
      <c r="AJ8">
        <v>1</v>
      </c>
      <c r="AK8">
        <v>1</v>
      </c>
      <c r="AL8">
        <v>1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 t="s">
        <v>3</v>
      </c>
      <c r="AT8">
        <v>2</v>
      </c>
      <c r="AU8" t="s">
        <v>3</v>
      </c>
      <c r="AV8">
        <v>0</v>
      </c>
      <c r="AW8">
        <v>2</v>
      </c>
      <c r="AX8">
        <v>52718550</v>
      </c>
      <c r="AY8">
        <v>1</v>
      </c>
      <c r="AZ8">
        <v>0</v>
      </c>
      <c r="BA8">
        <v>8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CV8">
        <v>0</v>
      </c>
      <c r="CW8">
        <v>0</v>
      </c>
      <c r="CX8">
        <f>ROUND(Y8*Source!I28,7)</f>
        <v>3</v>
      </c>
      <c r="CY8">
        <f>AA8</f>
        <v>0</v>
      </c>
      <c r="CZ8">
        <f>AE8</f>
        <v>0</v>
      </c>
      <c r="DA8">
        <f>AI8</f>
        <v>1</v>
      </c>
      <c r="DB8">
        <f t="shared" si="1"/>
        <v>0</v>
      </c>
      <c r="DC8">
        <f t="shared" si="2"/>
        <v>0</v>
      </c>
      <c r="DD8" t="s">
        <v>3</v>
      </c>
      <c r="DE8" t="s">
        <v>3</v>
      </c>
      <c r="DF8">
        <f>ROUND(ROUND(AE8,2)*CX8,2)</f>
        <v>0</v>
      </c>
      <c r="DG8">
        <f t="shared" si="4"/>
        <v>0</v>
      </c>
      <c r="DH8">
        <f t="shared" si="5"/>
        <v>0</v>
      </c>
      <c r="DI8">
        <f t="shared" si="6"/>
        <v>0</v>
      </c>
      <c r="DJ8">
        <f>DF8</f>
        <v>0</v>
      </c>
      <c r="DK8">
        <v>0</v>
      </c>
      <c r="DL8" t="s">
        <v>3</v>
      </c>
      <c r="DM8">
        <v>0</v>
      </c>
      <c r="DN8" t="s">
        <v>3</v>
      </c>
      <c r="DO8">
        <v>0</v>
      </c>
    </row>
    <row r="9" spans="1:119" x14ac:dyDescent="0.2">
      <c r="A9">
        <f>ROW(Source!A32)</f>
        <v>32</v>
      </c>
      <c r="B9">
        <v>52718353</v>
      </c>
      <c r="C9">
        <v>52718554</v>
      </c>
      <c r="D9">
        <v>51169928</v>
      </c>
      <c r="E9">
        <v>118</v>
      </c>
      <c r="F9">
        <v>1</v>
      </c>
      <c r="G9">
        <v>1</v>
      </c>
      <c r="H9">
        <v>1</v>
      </c>
      <c r="I9" t="s">
        <v>395</v>
      </c>
      <c r="J9" t="s">
        <v>3</v>
      </c>
      <c r="K9" t="s">
        <v>396</v>
      </c>
      <c r="L9">
        <v>1191</v>
      </c>
      <c r="N9">
        <v>1013</v>
      </c>
      <c r="O9" t="s">
        <v>382</v>
      </c>
      <c r="P9" t="s">
        <v>382</v>
      </c>
      <c r="Q9">
        <v>1</v>
      </c>
      <c r="W9">
        <v>0</v>
      </c>
      <c r="X9">
        <v>-1088579471</v>
      </c>
      <c r="Y9">
        <f t="shared" si="0"/>
        <v>20.329999999999998</v>
      </c>
      <c r="AA9">
        <v>0</v>
      </c>
      <c r="AB9">
        <v>0</v>
      </c>
      <c r="AC9">
        <v>0</v>
      </c>
      <c r="AD9">
        <v>722.89</v>
      </c>
      <c r="AE9">
        <v>0</v>
      </c>
      <c r="AF9">
        <v>0</v>
      </c>
      <c r="AG9">
        <v>0</v>
      </c>
      <c r="AH9">
        <v>722.89</v>
      </c>
      <c r="AI9">
        <v>1</v>
      </c>
      <c r="AJ9">
        <v>1</v>
      </c>
      <c r="AK9">
        <v>1</v>
      </c>
      <c r="AL9">
        <v>1</v>
      </c>
      <c r="AM9">
        <v>-2</v>
      </c>
      <c r="AN9">
        <v>0</v>
      </c>
      <c r="AO9">
        <v>0</v>
      </c>
      <c r="AP9">
        <v>0</v>
      </c>
      <c r="AQ9">
        <v>1</v>
      </c>
      <c r="AR9">
        <v>0</v>
      </c>
      <c r="AS9" t="s">
        <v>3</v>
      </c>
      <c r="AT9">
        <v>20.329999999999998</v>
      </c>
      <c r="AU9" t="s">
        <v>3</v>
      </c>
      <c r="AV9">
        <v>1</v>
      </c>
      <c r="AW9">
        <v>2</v>
      </c>
      <c r="AX9">
        <v>52718562</v>
      </c>
      <c r="AY9">
        <v>1</v>
      </c>
      <c r="AZ9">
        <v>0</v>
      </c>
      <c r="BA9">
        <v>9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14696.353699999998</v>
      </c>
      <c r="BN9">
        <v>20.329999999999998</v>
      </c>
      <c r="BO9">
        <v>0</v>
      </c>
      <c r="BP9">
        <v>1</v>
      </c>
      <c r="BQ9">
        <v>0</v>
      </c>
      <c r="BR9">
        <v>0</v>
      </c>
      <c r="BS9">
        <v>0</v>
      </c>
      <c r="BT9">
        <v>14696.353699999998</v>
      </c>
      <c r="BU9">
        <v>20.329999999999998</v>
      </c>
      <c r="BV9">
        <v>0</v>
      </c>
      <c r="BW9">
        <v>1</v>
      </c>
      <c r="CU9">
        <f>ROUND(AT9*Source!I32*AH9*AL9,2)</f>
        <v>1763.56</v>
      </c>
      <c r="CV9">
        <f>ROUND(Y9*Source!I32,7)</f>
        <v>2.4396</v>
      </c>
      <c r="CW9">
        <v>0</v>
      </c>
      <c r="CX9">
        <f>ROUND(Y9*Source!I32,7)</f>
        <v>2.4396</v>
      </c>
      <c r="CY9">
        <f>AD9</f>
        <v>722.89</v>
      </c>
      <c r="CZ9">
        <f>AH9</f>
        <v>722.89</v>
      </c>
      <c r="DA9">
        <f>AL9</f>
        <v>1</v>
      </c>
      <c r="DB9">
        <f t="shared" si="1"/>
        <v>14696.35</v>
      </c>
      <c r="DC9">
        <f t="shared" si="2"/>
        <v>0</v>
      </c>
      <c r="DD9" t="s">
        <v>3</v>
      </c>
      <c r="DE9" t="s">
        <v>3</v>
      </c>
      <c r="DF9">
        <f>ROUND(ROUND(AE9,2)*CX9,2)</f>
        <v>0</v>
      </c>
      <c r="DG9">
        <f t="shared" si="4"/>
        <v>0</v>
      </c>
      <c r="DH9">
        <f t="shared" si="5"/>
        <v>0</v>
      </c>
      <c r="DI9">
        <f t="shared" si="6"/>
        <v>1763.56</v>
      </c>
      <c r="DJ9">
        <f>DI9</f>
        <v>1763.56</v>
      </c>
      <c r="DK9">
        <v>1</v>
      </c>
      <c r="DL9" t="s">
        <v>3</v>
      </c>
      <c r="DM9">
        <v>0</v>
      </c>
      <c r="DN9" t="s">
        <v>3</v>
      </c>
      <c r="DO9">
        <v>0</v>
      </c>
    </row>
    <row r="10" spans="1:119" x14ac:dyDescent="0.2">
      <c r="A10">
        <f>ROW(Source!A32)</f>
        <v>32</v>
      </c>
      <c r="B10">
        <v>52718353</v>
      </c>
      <c r="C10">
        <v>52718554</v>
      </c>
      <c r="D10">
        <v>51170109</v>
      </c>
      <c r="E10">
        <v>118</v>
      </c>
      <c r="F10">
        <v>1</v>
      </c>
      <c r="G10">
        <v>1</v>
      </c>
      <c r="H10">
        <v>1</v>
      </c>
      <c r="I10" t="s">
        <v>380</v>
      </c>
      <c r="J10" t="s">
        <v>3</v>
      </c>
      <c r="K10" t="s">
        <v>381</v>
      </c>
      <c r="L10">
        <v>1191</v>
      </c>
      <c r="N10">
        <v>1013</v>
      </c>
      <c r="O10" t="s">
        <v>382</v>
      </c>
      <c r="P10" t="s">
        <v>382</v>
      </c>
      <c r="Q10">
        <v>1</v>
      </c>
      <c r="W10">
        <v>0</v>
      </c>
      <c r="X10">
        <v>-1417349443</v>
      </c>
      <c r="Y10">
        <f t="shared" si="0"/>
        <v>0.01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M10">
        <v>-2</v>
      </c>
      <c r="AN10">
        <v>0</v>
      </c>
      <c r="AO10">
        <v>0</v>
      </c>
      <c r="AP10">
        <v>0</v>
      </c>
      <c r="AQ10">
        <v>1</v>
      </c>
      <c r="AR10">
        <v>0</v>
      </c>
      <c r="AS10" t="s">
        <v>3</v>
      </c>
      <c r="AT10">
        <v>0.01</v>
      </c>
      <c r="AU10" t="s">
        <v>3</v>
      </c>
      <c r="AV10">
        <v>2</v>
      </c>
      <c r="AW10">
        <v>2</v>
      </c>
      <c r="AX10">
        <v>52718563</v>
      </c>
      <c r="AY10">
        <v>1</v>
      </c>
      <c r="AZ10">
        <v>0</v>
      </c>
      <c r="BA10">
        <v>10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CV10">
        <v>0</v>
      </c>
      <c r="CW10">
        <v>0</v>
      </c>
      <c r="CX10">
        <f>ROUND(Y10*Source!I32,7)</f>
        <v>1.1999999999999999E-3</v>
      </c>
      <c r="CY10">
        <f>AD10</f>
        <v>0</v>
      </c>
      <c r="CZ10">
        <f>AH10</f>
        <v>0</v>
      </c>
      <c r="DA10">
        <f>AL10</f>
        <v>1</v>
      </c>
      <c r="DB10">
        <f t="shared" si="1"/>
        <v>0</v>
      </c>
      <c r="DC10">
        <f t="shared" si="2"/>
        <v>0</v>
      </c>
      <c r="DD10" t="s">
        <v>3</v>
      </c>
      <c r="DE10" t="s">
        <v>3</v>
      </c>
      <c r="DF10">
        <f>ROUND(ROUND(AE10,2)*CX10,2)</f>
        <v>0</v>
      </c>
      <c r="DG10">
        <f t="shared" si="4"/>
        <v>0</v>
      </c>
      <c r="DH10">
        <f t="shared" si="5"/>
        <v>0</v>
      </c>
      <c r="DI10">
        <f t="shared" si="6"/>
        <v>0</v>
      </c>
      <c r="DJ10">
        <f>DI10</f>
        <v>0</v>
      </c>
      <c r="DK10">
        <v>0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ROW(Source!A32)</f>
        <v>32</v>
      </c>
      <c r="B11">
        <v>52718353</v>
      </c>
      <c r="C11">
        <v>52718554</v>
      </c>
      <c r="D11">
        <v>51296753</v>
      </c>
      <c r="E11">
        <v>1</v>
      </c>
      <c r="F11">
        <v>1</v>
      </c>
      <c r="G11">
        <v>1</v>
      </c>
      <c r="H11">
        <v>2</v>
      </c>
      <c r="I11" t="s">
        <v>397</v>
      </c>
      <c r="J11" t="s">
        <v>398</v>
      </c>
      <c r="K11" t="s">
        <v>399</v>
      </c>
      <c r="L11">
        <v>1368</v>
      </c>
      <c r="N11">
        <v>1011</v>
      </c>
      <c r="O11" t="s">
        <v>386</v>
      </c>
      <c r="P11" t="s">
        <v>386</v>
      </c>
      <c r="Q11">
        <v>1</v>
      </c>
      <c r="W11">
        <v>0</v>
      </c>
      <c r="X11">
        <v>-566469117</v>
      </c>
      <c r="Y11">
        <f t="shared" si="0"/>
        <v>0.01</v>
      </c>
      <c r="AA11">
        <v>0</v>
      </c>
      <c r="AB11">
        <v>58.59</v>
      </c>
      <c r="AC11">
        <v>649.24</v>
      </c>
      <c r="AD11">
        <v>0</v>
      </c>
      <c r="AE11">
        <v>0</v>
      </c>
      <c r="AF11">
        <v>37.32</v>
      </c>
      <c r="AG11">
        <v>649.24</v>
      </c>
      <c r="AH11">
        <v>0</v>
      </c>
      <c r="AI11">
        <v>1</v>
      </c>
      <c r="AJ11">
        <v>1.57</v>
      </c>
      <c r="AK11">
        <v>1</v>
      </c>
      <c r="AL11">
        <v>1</v>
      </c>
      <c r="AM11">
        <v>2</v>
      </c>
      <c r="AN11">
        <v>0</v>
      </c>
      <c r="AO11">
        <v>0</v>
      </c>
      <c r="AP11">
        <v>0</v>
      </c>
      <c r="AQ11">
        <v>1</v>
      </c>
      <c r="AR11">
        <v>0</v>
      </c>
      <c r="AS11" t="s">
        <v>3</v>
      </c>
      <c r="AT11">
        <v>0.01</v>
      </c>
      <c r="AU11" t="s">
        <v>3</v>
      </c>
      <c r="AV11">
        <v>1</v>
      </c>
      <c r="AW11">
        <v>2</v>
      </c>
      <c r="AX11">
        <v>52718564</v>
      </c>
      <c r="AY11">
        <v>1</v>
      </c>
      <c r="AZ11">
        <v>0</v>
      </c>
      <c r="BA11">
        <v>11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0.37320000000000003</v>
      </c>
      <c r="BL11">
        <v>6.4923999999999999</v>
      </c>
      <c r="BM11">
        <v>0</v>
      </c>
      <c r="BN11">
        <v>0</v>
      </c>
      <c r="BO11">
        <v>0.01</v>
      </c>
      <c r="BP11">
        <v>1</v>
      </c>
      <c r="BQ11">
        <v>0</v>
      </c>
      <c r="BR11">
        <v>0.37320000000000003</v>
      </c>
      <c r="BS11">
        <v>6.4923999999999999</v>
      </c>
      <c r="BT11">
        <v>0</v>
      </c>
      <c r="BU11">
        <v>0</v>
      </c>
      <c r="BV11">
        <v>0.01</v>
      </c>
      <c r="BW11">
        <v>1</v>
      </c>
      <c r="CV11">
        <v>0</v>
      </c>
      <c r="CW11">
        <f>ROUND(Y11*Source!I32*DO11,7)</f>
        <v>1.1999999999999999E-3</v>
      </c>
      <c r="CX11">
        <f>ROUND(Y11*Source!I32,7)</f>
        <v>1.1999999999999999E-3</v>
      </c>
      <c r="CY11">
        <f>AB11</f>
        <v>58.59</v>
      </c>
      <c r="CZ11">
        <f>AF11</f>
        <v>37.32</v>
      </c>
      <c r="DA11">
        <f>AJ11</f>
        <v>1.57</v>
      </c>
      <c r="DB11">
        <f t="shared" si="1"/>
        <v>0.37</v>
      </c>
      <c r="DC11">
        <f t="shared" si="2"/>
        <v>6.49</v>
      </c>
      <c r="DD11" t="s">
        <v>3</v>
      </c>
      <c r="DE11" t="s">
        <v>3</v>
      </c>
      <c r="DF11">
        <f>ROUND(ROUND(AE11,2)*CX11,2)</f>
        <v>0</v>
      </c>
      <c r="DG11">
        <f>ROUND(ROUND(AF11*AJ11,2)*CX11,2)</f>
        <v>7.0000000000000007E-2</v>
      </c>
      <c r="DH11">
        <f t="shared" si="5"/>
        <v>0.78</v>
      </c>
      <c r="DI11">
        <f t="shared" si="6"/>
        <v>0</v>
      </c>
      <c r="DJ11">
        <f>DG11+DH11</f>
        <v>0.85000000000000009</v>
      </c>
      <c r="DK11">
        <v>0</v>
      </c>
      <c r="DL11" t="s">
        <v>400</v>
      </c>
      <c r="DM11">
        <v>3</v>
      </c>
      <c r="DN11" t="s">
        <v>382</v>
      </c>
      <c r="DO11">
        <v>1</v>
      </c>
    </row>
    <row r="12" spans="1:119" x14ac:dyDescent="0.2">
      <c r="A12">
        <f>ROW(Source!A32)</f>
        <v>32</v>
      </c>
      <c r="B12">
        <v>52718353</v>
      </c>
      <c r="C12">
        <v>52718554</v>
      </c>
      <c r="D12">
        <v>51246685</v>
      </c>
      <c r="E12">
        <v>1</v>
      </c>
      <c r="F12">
        <v>1</v>
      </c>
      <c r="G12">
        <v>1</v>
      </c>
      <c r="H12">
        <v>3</v>
      </c>
      <c r="I12" t="s">
        <v>388</v>
      </c>
      <c r="J12" t="s">
        <v>389</v>
      </c>
      <c r="K12" t="s">
        <v>390</v>
      </c>
      <c r="L12">
        <v>1383</v>
      </c>
      <c r="N12">
        <v>1013</v>
      </c>
      <c r="O12" t="s">
        <v>391</v>
      </c>
      <c r="P12" t="s">
        <v>391</v>
      </c>
      <c r="Q12">
        <v>1</v>
      </c>
      <c r="W12">
        <v>0</v>
      </c>
      <c r="X12">
        <v>-182421198</v>
      </c>
      <c r="Y12">
        <f t="shared" si="0"/>
        <v>8.2403999999999993</v>
      </c>
      <c r="AA12">
        <v>6.92</v>
      </c>
      <c r="AB12">
        <v>0</v>
      </c>
      <c r="AC12">
        <v>0</v>
      </c>
      <c r="AD12">
        <v>0</v>
      </c>
      <c r="AE12">
        <v>6.92</v>
      </c>
      <c r="AF12">
        <v>0</v>
      </c>
      <c r="AG12">
        <v>0</v>
      </c>
      <c r="AH12">
        <v>0</v>
      </c>
      <c r="AI12">
        <v>1</v>
      </c>
      <c r="AJ12">
        <v>1</v>
      </c>
      <c r="AK12">
        <v>1</v>
      </c>
      <c r="AL12">
        <v>1</v>
      </c>
      <c r="AM12">
        <v>-2</v>
      </c>
      <c r="AN12">
        <v>0</v>
      </c>
      <c r="AO12">
        <v>0</v>
      </c>
      <c r="AP12">
        <v>0</v>
      </c>
      <c r="AQ12">
        <v>1</v>
      </c>
      <c r="AR12">
        <v>0</v>
      </c>
      <c r="AS12" t="s">
        <v>3</v>
      </c>
      <c r="AT12">
        <v>8.2403999999999993</v>
      </c>
      <c r="AU12" t="s">
        <v>3</v>
      </c>
      <c r="AV12">
        <v>0</v>
      </c>
      <c r="AW12">
        <v>2</v>
      </c>
      <c r="AX12">
        <v>52718565</v>
      </c>
      <c r="AY12">
        <v>1</v>
      </c>
      <c r="AZ12">
        <v>0</v>
      </c>
      <c r="BA12">
        <v>12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57.023567999999997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57.023567999999997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1</v>
      </c>
      <c r="CV12">
        <v>0</v>
      </c>
      <c r="CW12">
        <v>0</v>
      </c>
      <c r="CX12">
        <f>ROUND(Y12*Source!I32,7)</f>
        <v>0.98884799999999995</v>
      </c>
      <c r="CY12">
        <f>AA12</f>
        <v>6.92</v>
      </c>
      <c r="CZ12">
        <f>AE12</f>
        <v>6.92</v>
      </c>
      <c r="DA12">
        <f>AI12</f>
        <v>1</v>
      </c>
      <c r="DB12">
        <f t="shared" si="1"/>
        <v>57.02</v>
      </c>
      <c r="DC12">
        <f t="shared" si="2"/>
        <v>0</v>
      </c>
      <c r="DD12" t="s">
        <v>3</v>
      </c>
      <c r="DE12" t="s">
        <v>3</v>
      </c>
      <c r="DF12">
        <f>ROUND(ROUND(AE12,2)*CX12,2)</f>
        <v>6.84</v>
      </c>
      <c r="DG12">
        <f t="shared" ref="DG12:DG43" si="7">ROUND(ROUND(AF12,2)*CX12,2)</f>
        <v>0</v>
      </c>
      <c r="DH12">
        <f t="shared" si="5"/>
        <v>0</v>
      </c>
      <c r="DI12">
        <f t="shared" si="6"/>
        <v>0</v>
      </c>
      <c r="DJ12">
        <f>DF12</f>
        <v>6.84</v>
      </c>
      <c r="DK12">
        <v>1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ROW(Source!A32)</f>
        <v>32</v>
      </c>
      <c r="B13">
        <v>52718353</v>
      </c>
      <c r="C13">
        <v>52718554</v>
      </c>
      <c r="D13">
        <v>51248248</v>
      </c>
      <c r="E13">
        <v>1</v>
      </c>
      <c r="F13">
        <v>1</v>
      </c>
      <c r="G13">
        <v>1</v>
      </c>
      <c r="H13">
        <v>3</v>
      </c>
      <c r="I13" t="s">
        <v>401</v>
      </c>
      <c r="J13" t="s">
        <v>402</v>
      </c>
      <c r="K13" t="s">
        <v>403</v>
      </c>
      <c r="L13">
        <v>1407</v>
      </c>
      <c r="N13">
        <v>1013</v>
      </c>
      <c r="O13" t="s">
        <v>404</v>
      </c>
      <c r="P13" t="s">
        <v>404</v>
      </c>
      <c r="Q13">
        <v>1</v>
      </c>
      <c r="W13">
        <v>0</v>
      </c>
      <c r="X13">
        <v>-1342858191</v>
      </c>
      <c r="Y13">
        <f t="shared" si="0"/>
        <v>0.4</v>
      </c>
      <c r="AA13">
        <v>342.03</v>
      </c>
      <c r="AB13">
        <v>0</v>
      </c>
      <c r="AC13">
        <v>0</v>
      </c>
      <c r="AD13">
        <v>0</v>
      </c>
      <c r="AE13">
        <v>261.08999999999997</v>
      </c>
      <c r="AF13">
        <v>0</v>
      </c>
      <c r="AG13">
        <v>0</v>
      </c>
      <c r="AH13">
        <v>0</v>
      </c>
      <c r="AI13">
        <v>1.31</v>
      </c>
      <c r="AJ13">
        <v>1</v>
      </c>
      <c r="AK13">
        <v>1</v>
      </c>
      <c r="AL13">
        <v>1</v>
      </c>
      <c r="AM13">
        <v>2</v>
      </c>
      <c r="AN13">
        <v>0</v>
      </c>
      <c r="AO13">
        <v>0</v>
      </c>
      <c r="AP13">
        <v>0</v>
      </c>
      <c r="AQ13">
        <v>1</v>
      </c>
      <c r="AR13">
        <v>0</v>
      </c>
      <c r="AS13" t="s">
        <v>3</v>
      </c>
      <c r="AT13">
        <v>0.4</v>
      </c>
      <c r="AU13" t="s">
        <v>3</v>
      </c>
      <c r="AV13">
        <v>0</v>
      </c>
      <c r="AW13">
        <v>2</v>
      </c>
      <c r="AX13">
        <v>52718566</v>
      </c>
      <c r="AY13">
        <v>1</v>
      </c>
      <c r="AZ13">
        <v>0</v>
      </c>
      <c r="BA13">
        <v>13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104.43599999999999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1</v>
      </c>
      <c r="BQ13">
        <v>104.43599999999999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1</v>
      </c>
      <c r="CV13">
        <v>0</v>
      </c>
      <c r="CW13">
        <v>0</v>
      </c>
      <c r="CX13">
        <f>ROUND(Y13*Source!I32,7)</f>
        <v>4.8000000000000001E-2</v>
      </c>
      <c r="CY13">
        <f>AA13</f>
        <v>342.03</v>
      </c>
      <c r="CZ13">
        <f>AE13</f>
        <v>261.08999999999997</v>
      </c>
      <c r="DA13">
        <f>AI13</f>
        <v>1.31</v>
      </c>
      <c r="DB13">
        <f t="shared" si="1"/>
        <v>104.44</v>
      </c>
      <c r="DC13">
        <f t="shared" si="2"/>
        <v>0</v>
      </c>
      <c r="DD13" t="s">
        <v>3</v>
      </c>
      <c r="DE13" t="s">
        <v>3</v>
      </c>
      <c r="DF13">
        <f>ROUND(ROUND(AE13*AI13,2)*CX13,2)</f>
        <v>16.420000000000002</v>
      </c>
      <c r="DG13">
        <f t="shared" si="7"/>
        <v>0</v>
      </c>
      <c r="DH13">
        <f t="shared" si="5"/>
        <v>0</v>
      </c>
      <c r="DI13">
        <f t="shared" si="6"/>
        <v>0</v>
      </c>
      <c r="DJ13">
        <f>DF13</f>
        <v>16.420000000000002</v>
      </c>
      <c r="DK13">
        <v>0</v>
      </c>
      <c r="DL13" t="s">
        <v>3</v>
      </c>
      <c r="DM13">
        <v>0</v>
      </c>
      <c r="DN13" t="s">
        <v>3</v>
      </c>
      <c r="DO13">
        <v>0</v>
      </c>
    </row>
    <row r="14" spans="1:119" x14ac:dyDescent="0.2">
      <c r="A14">
        <f>ROW(Source!A32)</f>
        <v>32</v>
      </c>
      <c r="B14">
        <v>52718353</v>
      </c>
      <c r="C14">
        <v>52718554</v>
      </c>
      <c r="D14">
        <v>51248525</v>
      </c>
      <c r="E14">
        <v>1</v>
      </c>
      <c r="F14">
        <v>1</v>
      </c>
      <c r="G14">
        <v>1</v>
      </c>
      <c r="H14">
        <v>3</v>
      </c>
      <c r="I14" t="s">
        <v>405</v>
      </c>
      <c r="J14" t="s">
        <v>406</v>
      </c>
      <c r="K14" t="s">
        <v>407</v>
      </c>
      <c r="L14">
        <v>1348</v>
      </c>
      <c r="N14">
        <v>1009</v>
      </c>
      <c r="O14" t="s">
        <v>126</v>
      </c>
      <c r="P14" t="s">
        <v>126</v>
      </c>
      <c r="Q14">
        <v>1000</v>
      </c>
      <c r="W14">
        <v>0</v>
      </c>
      <c r="X14">
        <v>1553760940</v>
      </c>
      <c r="Y14">
        <f t="shared" si="0"/>
        <v>1.4E-3</v>
      </c>
      <c r="AA14">
        <v>129940.16</v>
      </c>
      <c r="AB14">
        <v>0</v>
      </c>
      <c r="AC14">
        <v>0</v>
      </c>
      <c r="AD14">
        <v>0</v>
      </c>
      <c r="AE14">
        <v>99190.96</v>
      </c>
      <c r="AF14">
        <v>0</v>
      </c>
      <c r="AG14">
        <v>0</v>
      </c>
      <c r="AH14">
        <v>0</v>
      </c>
      <c r="AI14">
        <v>1.31</v>
      </c>
      <c r="AJ14">
        <v>1</v>
      </c>
      <c r="AK14">
        <v>1</v>
      </c>
      <c r="AL14">
        <v>1</v>
      </c>
      <c r="AM14">
        <v>2</v>
      </c>
      <c r="AN14">
        <v>0</v>
      </c>
      <c r="AO14">
        <v>0</v>
      </c>
      <c r="AP14">
        <v>0</v>
      </c>
      <c r="AQ14">
        <v>1</v>
      </c>
      <c r="AR14">
        <v>0</v>
      </c>
      <c r="AS14" t="s">
        <v>3</v>
      </c>
      <c r="AT14">
        <v>1.4E-3</v>
      </c>
      <c r="AU14" t="s">
        <v>3</v>
      </c>
      <c r="AV14">
        <v>0</v>
      </c>
      <c r="AW14">
        <v>2</v>
      </c>
      <c r="AX14">
        <v>52718567</v>
      </c>
      <c r="AY14">
        <v>1</v>
      </c>
      <c r="AZ14">
        <v>0</v>
      </c>
      <c r="BA14">
        <v>14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138.867344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1</v>
      </c>
      <c r="BQ14">
        <v>138.867344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1</v>
      </c>
      <c r="CV14">
        <v>0</v>
      </c>
      <c r="CW14">
        <v>0</v>
      </c>
      <c r="CX14">
        <f>ROUND(Y14*Source!I32,7)</f>
        <v>1.6799999999999999E-4</v>
      </c>
      <c r="CY14">
        <f>AA14</f>
        <v>129940.16</v>
      </c>
      <c r="CZ14">
        <f>AE14</f>
        <v>99190.96</v>
      </c>
      <c r="DA14">
        <f>AI14</f>
        <v>1.31</v>
      </c>
      <c r="DB14">
        <f t="shared" si="1"/>
        <v>138.87</v>
      </c>
      <c r="DC14">
        <f t="shared" si="2"/>
        <v>0</v>
      </c>
      <c r="DD14" t="s">
        <v>3</v>
      </c>
      <c r="DE14" t="s">
        <v>3</v>
      </c>
      <c r="DF14">
        <f>ROUND(ROUND(AE14*AI14,2)*CX14,2)</f>
        <v>21.83</v>
      </c>
      <c r="DG14">
        <f t="shared" si="7"/>
        <v>0</v>
      </c>
      <c r="DH14">
        <f t="shared" si="5"/>
        <v>0</v>
      </c>
      <c r="DI14">
        <f t="shared" si="6"/>
        <v>0</v>
      </c>
      <c r="DJ14">
        <f>DF14</f>
        <v>21.83</v>
      </c>
      <c r="DK14">
        <v>0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ROW(Source!A32)</f>
        <v>32</v>
      </c>
      <c r="B15">
        <v>52718353</v>
      </c>
      <c r="C15">
        <v>52718554</v>
      </c>
      <c r="D15">
        <v>51176163</v>
      </c>
      <c r="E15">
        <v>118</v>
      </c>
      <c r="F15">
        <v>1</v>
      </c>
      <c r="G15">
        <v>1</v>
      </c>
      <c r="H15">
        <v>3</v>
      </c>
      <c r="I15" t="s">
        <v>25</v>
      </c>
      <c r="J15" t="s">
        <v>3</v>
      </c>
      <c r="K15" t="s">
        <v>26</v>
      </c>
      <c r="L15">
        <v>3277935</v>
      </c>
      <c r="N15">
        <v>1013</v>
      </c>
      <c r="O15" t="s">
        <v>27</v>
      </c>
      <c r="P15" t="s">
        <v>27</v>
      </c>
      <c r="Q15">
        <v>1</v>
      </c>
      <c r="W15">
        <v>0</v>
      </c>
      <c r="X15">
        <v>274903907</v>
      </c>
      <c r="Y15">
        <f t="shared" si="0"/>
        <v>2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1</v>
      </c>
      <c r="AK15">
        <v>1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 t="s">
        <v>3</v>
      </c>
      <c r="AT15">
        <v>2</v>
      </c>
      <c r="AU15" t="s">
        <v>3</v>
      </c>
      <c r="AV15">
        <v>0</v>
      </c>
      <c r="AW15">
        <v>2</v>
      </c>
      <c r="AX15">
        <v>52718568</v>
      </c>
      <c r="AY15">
        <v>1</v>
      </c>
      <c r="AZ15">
        <v>0</v>
      </c>
      <c r="BA15">
        <v>15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CV15">
        <v>0</v>
      </c>
      <c r="CW15">
        <v>0</v>
      </c>
      <c r="CX15">
        <f>ROUND(Y15*Source!I32,7)</f>
        <v>0.24</v>
      </c>
      <c r="CY15">
        <f>AA15</f>
        <v>0</v>
      </c>
      <c r="CZ15">
        <f>AE15</f>
        <v>0</v>
      </c>
      <c r="DA15">
        <f>AI15</f>
        <v>1</v>
      </c>
      <c r="DB15">
        <f t="shared" si="1"/>
        <v>0</v>
      </c>
      <c r="DC15">
        <f t="shared" si="2"/>
        <v>0</v>
      </c>
      <c r="DD15" t="s">
        <v>3</v>
      </c>
      <c r="DE15" t="s">
        <v>3</v>
      </c>
      <c r="DF15">
        <f>ROUND(ROUND(AE15,2)*CX15,2)</f>
        <v>0</v>
      </c>
      <c r="DG15">
        <f t="shared" si="7"/>
        <v>0</v>
      </c>
      <c r="DH15">
        <f t="shared" si="5"/>
        <v>0</v>
      </c>
      <c r="DI15">
        <f t="shared" si="6"/>
        <v>0</v>
      </c>
      <c r="DJ15">
        <f>DF15</f>
        <v>0</v>
      </c>
      <c r="DK15">
        <v>0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ROW(Source!A40)</f>
        <v>40</v>
      </c>
      <c r="B16">
        <v>52718353</v>
      </c>
      <c r="C16">
        <v>52718576</v>
      </c>
      <c r="D16">
        <v>51169926</v>
      </c>
      <c r="E16">
        <v>118</v>
      </c>
      <c r="F16">
        <v>1</v>
      </c>
      <c r="G16">
        <v>1</v>
      </c>
      <c r="H16">
        <v>1</v>
      </c>
      <c r="I16" t="s">
        <v>408</v>
      </c>
      <c r="J16" t="s">
        <v>3</v>
      </c>
      <c r="K16" t="s">
        <v>409</v>
      </c>
      <c r="L16">
        <v>1191</v>
      </c>
      <c r="N16">
        <v>1013</v>
      </c>
      <c r="O16" t="s">
        <v>382</v>
      </c>
      <c r="P16" t="s">
        <v>382</v>
      </c>
      <c r="Q16">
        <v>1</v>
      </c>
      <c r="W16">
        <v>0</v>
      </c>
      <c r="X16">
        <v>44848675</v>
      </c>
      <c r="Y16">
        <f t="shared" si="0"/>
        <v>2.82</v>
      </c>
      <c r="AA16">
        <v>0</v>
      </c>
      <c r="AB16">
        <v>0</v>
      </c>
      <c r="AC16">
        <v>0</v>
      </c>
      <c r="AD16">
        <v>714.71</v>
      </c>
      <c r="AE16">
        <v>0</v>
      </c>
      <c r="AF16">
        <v>0</v>
      </c>
      <c r="AG16">
        <v>0</v>
      </c>
      <c r="AH16">
        <v>714.71</v>
      </c>
      <c r="AI16">
        <v>1</v>
      </c>
      <c r="AJ16">
        <v>1</v>
      </c>
      <c r="AK16">
        <v>1</v>
      </c>
      <c r="AL16">
        <v>1</v>
      </c>
      <c r="AM16">
        <v>-2</v>
      </c>
      <c r="AN16">
        <v>0</v>
      </c>
      <c r="AO16">
        <v>0</v>
      </c>
      <c r="AP16">
        <v>1</v>
      </c>
      <c r="AQ16">
        <v>1</v>
      </c>
      <c r="AR16">
        <v>0</v>
      </c>
      <c r="AS16" t="s">
        <v>3</v>
      </c>
      <c r="AT16">
        <v>2.82</v>
      </c>
      <c r="AU16" t="s">
        <v>3</v>
      </c>
      <c r="AV16">
        <v>1</v>
      </c>
      <c r="AW16">
        <v>2</v>
      </c>
      <c r="AX16">
        <v>52718585</v>
      </c>
      <c r="AY16">
        <v>1</v>
      </c>
      <c r="AZ16">
        <v>0</v>
      </c>
      <c r="BA16">
        <v>16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2015.4821999999999</v>
      </c>
      <c r="BN16">
        <v>2.82</v>
      </c>
      <c r="BO16">
        <v>0</v>
      </c>
      <c r="BP16">
        <v>1</v>
      </c>
      <c r="BQ16">
        <v>0</v>
      </c>
      <c r="BR16">
        <v>0</v>
      </c>
      <c r="BS16">
        <v>0</v>
      </c>
      <c r="BT16">
        <v>2015.4821999999999</v>
      </c>
      <c r="BU16">
        <v>2.82</v>
      </c>
      <c r="BV16">
        <v>0</v>
      </c>
      <c r="BW16">
        <v>1</v>
      </c>
      <c r="CU16">
        <f>ROUND(AT16*Source!I40*AH16*AL16,2)</f>
        <v>0</v>
      </c>
      <c r="CV16">
        <f>ROUND(Y16*Source!I40,7)</f>
        <v>0</v>
      </c>
      <c r="CW16">
        <v>0</v>
      </c>
      <c r="CX16">
        <f>ROUND(Y16*Source!I40,7)</f>
        <v>0</v>
      </c>
      <c r="CY16">
        <f>AD16</f>
        <v>714.71</v>
      </c>
      <c r="CZ16">
        <f>AH16</f>
        <v>714.71</v>
      </c>
      <c r="DA16">
        <f>AL16</f>
        <v>1</v>
      </c>
      <c r="DB16">
        <f t="shared" si="1"/>
        <v>2015.48</v>
      </c>
      <c r="DC16">
        <f t="shared" si="2"/>
        <v>0</v>
      </c>
      <c r="DD16" t="s">
        <v>3</v>
      </c>
      <c r="DE16" t="s">
        <v>3</v>
      </c>
      <c r="DF16">
        <f>ROUND(ROUND(AE16,2)*CX16,2)</f>
        <v>0</v>
      </c>
      <c r="DG16">
        <f t="shared" si="7"/>
        <v>0</v>
      </c>
      <c r="DH16">
        <f t="shared" si="5"/>
        <v>0</v>
      </c>
      <c r="DI16">
        <f t="shared" si="6"/>
        <v>0</v>
      </c>
      <c r="DJ16">
        <f>DI16</f>
        <v>0</v>
      </c>
      <c r="DK16">
        <v>1</v>
      </c>
      <c r="DL16" t="s">
        <v>3</v>
      </c>
      <c r="DM16">
        <v>0</v>
      </c>
      <c r="DN16" t="s">
        <v>3</v>
      </c>
      <c r="DO16">
        <v>0</v>
      </c>
    </row>
    <row r="17" spans="1:119" x14ac:dyDescent="0.2">
      <c r="A17">
        <f>ROW(Source!A40)</f>
        <v>40</v>
      </c>
      <c r="B17">
        <v>52718353</v>
      </c>
      <c r="C17">
        <v>52718576</v>
      </c>
      <c r="D17">
        <v>51170109</v>
      </c>
      <c r="E17">
        <v>118</v>
      </c>
      <c r="F17">
        <v>1</v>
      </c>
      <c r="G17">
        <v>1</v>
      </c>
      <c r="H17">
        <v>1</v>
      </c>
      <c r="I17" t="s">
        <v>380</v>
      </c>
      <c r="J17" t="s">
        <v>3</v>
      </c>
      <c r="K17" t="s">
        <v>381</v>
      </c>
      <c r="L17">
        <v>1191</v>
      </c>
      <c r="N17">
        <v>1013</v>
      </c>
      <c r="O17" t="s">
        <v>382</v>
      </c>
      <c r="P17" t="s">
        <v>382</v>
      </c>
      <c r="Q17">
        <v>1</v>
      </c>
      <c r="W17">
        <v>0</v>
      </c>
      <c r="X17">
        <v>-1417349443</v>
      </c>
      <c r="Y17">
        <f t="shared" si="0"/>
        <v>0.02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</v>
      </c>
      <c r="AJ17">
        <v>1</v>
      </c>
      <c r="AK17">
        <v>1</v>
      </c>
      <c r="AL17">
        <v>1</v>
      </c>
      <c r="AM17">
        <v>-2</v>
      </c>
      <c r="AN17">
        <v>0</v>
      </c>
      <c r="AO17">
        <v>0</v>
      </c>
      <c r="AP17">
        <v>1</v>
      </c>
      <c r="AQ17">
        <v>1</v>
      </c>
      <c r="AR17">
        <v>0</v>
      </c>
      <c r="AS17" t="s">
        <v>3</v>
      </c>
      <c r="AT17">
        <v>0.02</v>
      </c>
      <c r="AU17" t="s">
        <v>3</v>
      </c>
      <c r="AV17">
        <v>2</v>
      </c>
      <c r="AW17">
        <v>2</v>
      </c>
      <c r="AX17">
        <v>52718586</v>
      </c>
      <c r="AY17">
        <v>1</v>
      </c>
      <c r="AZ17">
        <v>0</v>
      </c>
      <c r="BA17">
        <v>17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CV17">
        <v>0</v>
      </c>
      <c r="CW17">
        <v>0</v>
      </c>
      <c r="CX17">
        <f>ROUND(Y17*Source!I40,7)</f>
        <v>0</v>
      </c>
      <c r="CY17">
        <f>AD17</f>
        <v>0</v>
      </c>
      <c r="CZ17">
        <f>AH17</f>
        <v>0</v>
      </c>
      <c r="DA17">
        <f>AL17</f>
        <v>1</v>
      </c>
      <c r="DB17">
        <f t="shared" si="1"/>
        <v>0</v>
      </c>
      <c r="DC17">
        <f t="shared" si="2"/>
        <v>0</v>
      </c>
      <c r="DD17" t="s">
        <v>3</v>
      </c>
      <c r="DE17" t="s">
        <v>3</v>
      </c>
      <c r="DF17">
        <f>ROUND(ROUND(AE17,2)*CX17,2)</f>
        <v>0</v>
      </c>
      <c r="DG17">
        <f t="shared" si="7"/>
        <v>0</v>
      </c>
      <c r="DH17">
        <f t="shared" si="5"/>
        <v>0</v>
      </c>
      <c r="DI17">
        <f t="shared" si="6"/>
        <v>0</v>
      </c>
      <c r="DJ17">
        <f>DI17</f>
        <v>0</v>
      </c>
      <c r="DK17">
        <v>0</v>
      </c>
      <c r="DL17" t="s">
        <v>3</v>
      </c>
      <c r="DM17">
        <v>0</v>
      </c>
      <c r="DN17" t="s">
        <v>3</v>
      </c>
      <c r="DO17">
        <v>0</v>
      </c>
    </row>
    <row r="18" spans="1:119" x14ac:dyDescent="0.2">
      <c r="A18">
        <f>ROW(Source!A40)</f>
        <v>40</v>
      </c>
      <c r="B18">
        <v>52718353</v>
      </c>
      <c r="C18">
        <v>52718576</v>
      </c>
      <c r="D18">
        <v>51296566</v>
      </c>
      <c r="E18">
        <v>1</v>
      </c>
      <c r="F18">
        <v>1</v>
      </c>
      <c r="G18">
        <v>1</v>
      </c>
      <c r="H18">
        <v>2</v>
      </c>
      <c r="I18" t="s">
        <v>410</v>
      </c>
      <c r="J18" t="s">
        <v>411</v>
      </c>
      <c r="K18" t="s">
        <v>412</v>
      </c>
      <c r="L18">
        <v>1368</v>
      </c>
      <c r="N18">
        <v>1011</v>
      </c>
      <c r="O18" t="s">
        <v>386</v>
      </c>
      <c r="P18" t="s">
        <v>386</v>
      </c>
      <c r="Q18">
        <v>1</v>
      </c>
      <c r="W18">
        <v>0</v>
      </c>
      <c r="X18">
        <v>-1068589559</v>
      </c>
      <c r="Y18">
        <f t="shared" si="0"/>
        <v>0.01</v>
      </c>
      <c r="AA18">
        <v>0</v>
      </c>
      <c r="AB18">
        <v>1585.56</v>
      </c>
      <c r="AC18">
        <v>982.04</v>
      </c>
      <c r="AD18">
        <v>0</v>
      </c>
      <c r="AE18">
        <v>0</v>
      </c>
      <c r="AF18">
        <v>1585.56</v>
      </c>
      <c r="AG18">
        <v>982.04</v>
      </c>
      <c r="AH18">
        <v>0</v>
      </c>
      <c r="AI18">
        <v>1</v>
      </c>
      <c r="AJ18">
        <v>1</v>
      </c>
      <c r="AK18">
        <v>1</v>
      </c>
      <c r="AL18">
        <v>1</v>
      </c>
      <c r="AM18">
        <v>-2</v>
      </c>
      <c r="AN18">
        <v>0</v>
      </c>
      <c r="AO18">
        <v>0</v>
      </c>
      <c r="AP18">
        <v>1</v>
      </c>
      <c r="AQ18">
        <v>1</v>
      </c>
      <c r="AR18">
        <v>0</v>
      </c>
      <c r="AS18" t="s">
        <v>3</v>
      </c>
      <c r="AT18">
        <v>0.01</v>
      </c>
      <c r="AU18" t="s">
        <v>3</v>
      </c>
      <c r="AV18">
        <v>1</v>
      </c>
      <c r="AW18">
        <v>2</v>
      </c>
      <c r="AX18">
        <v>52718587</v>
      </c>
      <c r="AY18">
        <v>1</v>
      </c>
      <c r="AZ18">
        <v>0</v>
      </c>
      <c r="BA18">
        <v>18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15.855599999999999</v>
      </c>
      <c r="BL18">
        <v>9.8203999999999994</v>
      </c>
      <c r="BM18">
        <v>0</v>
      </c>
      <c r="BN18">
        <v>0</v>
      </c>
      <c r="BO18">
        <v>0.01</v>
      </c>
      <c r="BP18">
        <v>1</v>
      </c>
      <c r="BQ18">
        <v>0</v>
      </c>
      <c r="BR18">
        <v>15.855599999999999</v>
      </c>
      <c r="BS18">
        <v>9.8203999999999994</v>
      </c>
      <c r="BT18">
        <v>0</v>
      </c>
      <c r="BU18">
        <v>0</v>
      </c>
      <c r="BV18">
        <v>0.01</v>
      </c>
      <c r="BW18">
        <v>1</v>
      </c>
      <c r="CV18">
        <v>0</v>
      </c>
      <c r="CW18">
        <f>ROUND(Y18*Source!I40*DO18,7)</f>
        <v>0</v>
      </c>
      <c r="CX18">
        <f>ROUND(Y18*Source!I40,7)</f>
        <v>0</v>
      </c>
      <c r="CY18">
        <f>AB18</f>
        <v>1585.56</v>
      </c>
      <c r="CZ18">
        <f>AF18</f>
        <v>1585.56</v>
      </c>
      <c r="DA18">
        <f>AJ18</f>
        <v>1</v>
      </c>
      <c r="DB18">
        <f t="shared" si="1"/>
        <v>15.86</v>
      </c>
      <c r="DC18">
        <f t="shared" si="2"/>
        <v>9.82</v>
      </c>
      <c r="DD18" t="s">
        <v>3</v>
      </c>
      <c r="DE18" t="s">
        <v>3</v>
      </c>
      <c r="DF18">
        <f>ROUND(ROUND(AE18,2)*CX18,2)</f>
        <v>0</v>
      </c>
      <c r="DG18">
        <f t="shared" si="7"/>
        <v>0</v>
      </c>
      <c r="DH18">
        <f t="shared" si="5"/>
        <v>0</v>
      </c>
      <c r="DI18">
        <f t="shared" si="6"/>
        <v>0</v>
      </c>
      <c r="DJ18">
        <f>DG18+DH18</f>
        <v>0</v>
      </c>
      <c r="DK18">
        <v>1</v>
      </c>
      <c r="DL18" t="s">
        <v>413</v>
      </c>
      <c r="DM18">
        <v>6</v>
      </c>
      <c r="DN18" t="s">
        <v>382</v>
      </c>
      <c r="DO18">
        <v>1</v>
      </c>
    </row>
    <row r="19" spans="1:119" x14ac:dyDescent="0.2">
      <c r="A19">
        <f>ROW(Source!A40)</f>
        <v>40</v>
      </c>
      <c r="B19">
        <v>52718353</v>
      </c>
      <c r="C19">
        <v>52718576</v>
      </c>
      <c r="D19">
        <v>51297468</v>
      </c>
      <c r="E19">
        <v>1</v>
      </c>
      <c r="F19">
        <v>1</v>
      </c>
      <c r="G19">
        <v>1</v>
      </c>
      <c r="H19">
        <v>2</v>
      </c>
      <c r="I19" t="s">
        <v>383</v>
      </c>
      <c r="J19" t="s">
        <v>384</v>
      </c>
      <c r="K19" t="s">
        <v>385</v>
      </c>
      <c r="L19">
        <v>1368</v>
      </c>
      <c r="N19">
        <v>1011</v>
      </c>
      <c r="O19" t="s">
        <v>386</v>
      </c>
      <c r="P19" t="s">
        <v>386</v>
      </c>
      <c r="Q19">
        <v>1</v>
      </c>
      <c r="W19">
        <v>0</v>
      </c>
      <c r="X19">
        <v>-312038840</v>
      </c>
      <c r="Y19">
        <f t="shared" si="0"/>
        <v>0.01</v>
      </c>
      <c r="AA19">
        <v>0</v>
      </c>
      <c r="AB19">
        <v>544.91999999999996</v>
      </c>
      <c r="AC19">
        <v>731.08</v>
      </c>
      <c r="AD19">
        <v>0</v>
      </c>
      <c r="AE19">
        <v>0</v>
      </c>
      <c r="AF19">
        <v>544.91999999999996</v>
      </c>
      <c r="AG19">
        <v>731.08</v>
      </c>
      <c r="AH19">
        <v>0</v>
      </c>
      <c r="AI19">
        <v>1</v>
      </c>
      <c r="AJ19">
        <v>1</v>
      </c>
      <c r="AK19">
        <v>1</v>
      </c>
      <c r="AL19">
        <v>1</v>
      </c>
      <c r="AM19">
        <v>-2</v>
      </c>
      <c r="AN19">
        <v>0</v>
      </c>
      <c r="AO19">
        <v>0</v>
      </c>
      <c r="AP19">
        <v>1</v>
      </c>
      <c r="AQ19">
        <v>1</v>
      </c>
      <c r="AR19">
        <v>0</v>
      </c>
      <c r="AS19" t="s">
        <v>3</v>
      </c>
      <c r="AT19">
        <v>0.01</v>
      </c>
      <c r="AU19" t="s">
        <v>3</v>
      </c>
      <c r="AV19">
        <v>1</v>
      </c>
      <c r="AW19">
        <v>2</v>
      </c>
      <c r="AX19">
        <v>52718588</v>
      </c>
      <c r="AY19">
        <v>1</v>
      </c>
      <c r="AZ19">
        <v>0</v>
      </c>
      <c r="BA19">
        <v>19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5.4491999999999994</v>
      </c>
      <c r="BL19">
        <v>7.3108000000000004</v>
      </c>
      <c r="BM19">
        <v>0</v>
      </c>
      <c r="BN19">
        <v>0</v>
      </c>
      <c r="BO19">
        <v>0.01</v>
      </c>
      <c r="BP19">
        <v>1</v>
      </c>
      <c r="BQ19">
        <v>0</v>
      </c>
      <c r="BR19">
        <v>5.4491999999999994</v>
      </c>
      <c r="BS19">
        <v>7.3108000000000004</v>
      </c>
      <c r="BT19">
        <v>0</v>
      </c>
      <c r="BU19">
        <v>0</v>
      </c>
      <c r="BV19">
        <v>0.01</v>
      </c>
      <c r="BW19">
        <v>1</v>
      </c>
      <c r="CV19">
        <v>0</v>
      </c>
      <c r="CW19">
        <f>ROUND(Y19*Source!I40*DO19,7)</f>
        <v>0</v>
      </c>
      <c r="CX19">
        <f>ROUND(Y19*Source!I40,7)</f>
        <v>0</v>
      </c>
      <c r="CY19">
        <f>AB19</f>
        <v>544.91999999999996</v>
      </c>
      <c r="CZ19">
        <f>AF19</f>
        <v>544.91999999999996</v>
      </c>
      <c r="DA19">
        <f>AJ19</f>
        <v>1</v>
      </c>
      <c r="DB19">
        <f t="shared" si="1"/>
        <v>5.45</v>
      </c>
      <c r="DC19">
        <f t="shared" si="2"/>
        <v>7.31</v>
      </c>
      <c r="DD19" t="s">
        <v>3</v>
      </c>
      <c r="DE19" t="s">
        <v>3</v>
      </c>
      <c r="DF19">
        <f>ROUND(ROUND(AE19,2)*CX19,2)</f>
        <v>0</v>
      </c>
      <c r="DG19">
        <f t="shared" si="7"/>
        <v>0</v>
      </c>
      <c r="DH19">
        <f t="shared" si="5"/>
        <v>0</v>
      </c>
      <c r="DI19">
        <f t="shared" si="6"/>
        <v>0</v>
      </c>
      <c r="DJ19">
        <f>DG19+DH19</f>
        <v>0</v>
      </c>
      <c r="DK19">
        <v>1</v>
      </c>
      <c r="DL19" t="s">
        <v>387</v>
      </c>
      <c r="DM19">
        <v>4</v>
      </c>
      <c r="DN19" t="s">
        <v>382</v>
      </c>
      <c r="DO19">
        <v>1</v>
      </c>
    </row>
    <row r="20" spans="1:119" x14ac:dyDescent="0.2">
      <c r="A20">
        <f>ROW(Source!A40)</f>
        <v>40</v>
      </c>
      <c r="B20">
        <v>52718353</v>
      </c>
      <c r="C20">
        <v>52718576</v>
      </c>
      <c r="D20">
        <v>51246841</v>
      </c>
      <c r="E20">
        <v>1</v>
      </c>
      <c r="F20">
        <v>1</v>
      </c>
      <c r="G20">
        <v>1</v>
      </c>
      <c r="H20">
        <v>3</v>
      </c>
      <c r="I20" t="s">
        <v>414</v>
      </c>
      <c r="J20" t="s">
        <v>415</v>
      </c>
      <c r="K20" t="s">
        <v>416</v>
      </c>
      <c r="L20">
        <v>1301</v>
      </c>
      <c r="N20">
        <v>1003</v>
      </c>
      <c r="O20" t="s">
        <v>31</v>
      </c>
      <c r="P20" t="s">
        <v>31</v>
      </c>
      <c r="Q20">
        <v>1</v>
      </c>
      <c r="W20">
        <v>0</v>
      </c>
      <c r="X20">
        <v>1043352333</v>
      </c>
      <c r="Y20">
        <f t="shared" si="0"/>
        <v>13.33</v>
      </c>
      <c r="AA20">
        <v>5.1100000000000003</v>
      </c>
      <c r="AB20">
        <v>0</v>
      </c>
      <c r="AC20">
        <v>0</v>
      </c>
      <c r="AD20">
        <v>0</v>
      </c>
      <c r="AE20">
        <v>5.87</v>
      </c>
      <c r="AF20">
        <v>0</v>
      </c>
      <c r="AG20">
        <v>0</v>
      </c>
      <c r="AH20">
        <v>0</v>
      </c>
      <c r="AI20">
        <v>0.87</v>
      </c>
      <c r="AJ20">
        <v>1</v>
      </c>
      <c r="AK20">
        <v>1</v>
      </c>
      <c r="AL20">
        <v>1</v>
      </c>
      <c r="AM20">
        <v>2</v>
      </c>
      <c r="AN20">
        <v>0</v>
      </c>
      <c r="AO20">
        <v>0</v>
      </c>
      <c r="AP20">
        <v>1</v>
      </c>
      <c r="AQ20">
        <v>1</v>
      </c>
      <c r="AR20">
        <v>0</v>
      </c>
      <c r="AS20" t="s">
        <v>3</v>
      </c>
      <c r="AT20">
        <v>13.33</v>
      </c>
      <c r="AU20" t="s">
        <v>3</v>
      </c>
      <c r="AV20">
        <v>0</v>
      </c>
      <c r="AW20">
        <v>2</v>
      </c>
      <c r="AX20">
        <v>52718589</v>
      </c>
      <c r="AY20">
        <v>1</v>
      </c>
      <c r="AZ20">
        <v>0</v>
      </c>
      <c r="BA20">
        <v>20</v>
      </c>
      <c r="BB20">
        <v>1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78.247100000000003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1</v>
      </c>
      <c r="BQ20">
        <v>78.247100000000003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1</v>
      </c>
      <c r="CV20">
        <v>0</v>
      </c>
      <c r="CW20">
        <v>0</v>
      </c>
      <c r="CX20">
        <f>ROUND(Y20*Source!I40,7)</f>
        <v>0</v>
      </c>
      <c r="CY20">
        <f>AA20</f>
        <v>5.1100000000000003</v>
      </c>
      <c r="CZ20">
        <f>AE20</f>
        <v>5.87</v>
      </c>
      <c r="DA20">
        <f>AI20</f>
        <v>0.87</v>
      </c>
      <c r="DB20">
        <f t="shared" si="1"/>
        <v>78.25</v>
      </c>
      <c r="DC20">
        <f t="shared" si="2"/>
        <v>0</v>
      </c>
      <c r="DD20" t="s">
        <v>3</v>
      </c>
      <c r="DE20" t="s">
        <v>3</v>
      </c>
      <c r="DF20">
        <f>ROUND(ROUND(AE20*AI20,2)*CX20,2)</f>
        <v>0</v>
      </c>
      <c r="DG20">
        <f t="shared" si="7"/>
        <v>0</v>
      </c>
      <c r="DH20">
        <f t="shared" si="5"/>
        <v>0</v>
      </c>
      <c r="DI20">
        <f t="shared" si="6"/>
        <v>0</v>
      </c>
      <c r="DJ20">
        <f>DF20</f>
        <v>0</v>
      </c>
      <c r="DK20">
        <v>0</v>
      </c>
      <c r="DL20" t="s">
        <v>3</v>
      </c>
      <c r="DM20">
        <v>0</v>
      </c>
      <c r="DN20" t="s">
        <v>3</v>
      </c>
      <c r="DO20">
        <v>0</v>
      </c>
    </row>
    <row r="21" spans="1:119" x14ac:dyDescent="0.2">
      <c r="A21">
        <f>ROW(Source!A40)</f>
        <v>40</v>
      </c>
      <c r="B21">
        <v>52718353</v>
      </c>
      <c r="C21">
        <v>52718576</v>
      </c>
      <c r="D21">
        <v>51246855</v>
      </c>
      <c r="E21">
        <v>1</v>
      </c>
      <c r="F21">
        <v>1</v>
      </c>
      <c r="G21">
        <v>1</v>
      </c>
      <c r="H21">
        <v>3</v>
      </c>
      <c r="I21" t="s">
        <v>417</v>
      </c>
      <c r="J21" t="s">
        <v>418</v>
      </c>
      <c r="K21" t="s">
        <v>419</v>
      </c>
      <c r="L21">
        <v>1302</v>
      </c>
      <c r="N21">
        <v>1003</v>
      </c>
      <c r="O21" t="s">
        <v>420</v>
      </c>
      <c r="P21" t="s">
        <v>420</v>
      </c>
      <c r="Q21">
        <v>10</v>
      </c>
      <c r="W21">
        <v>0</v>
      </c>
      <c r="X21">
        <v>-2026727604</v>
      </c>
      <c r="Y21">
        <f t="shared" si="0"/>
        <v>0.5</v>
      </c>
      <c r="AA21">
        <v>58.07</v>
      </c>
      <c r="AB21">
        <v>0</v>
      </c>
      <c r="AC21">
        <v>0</v>
      </c>
      <c r="AD21">
        <v>0</v>
      </c>
      <c r="AE21">
        <v>37.71</v>
      </c>
      <c r="AF21">
        <v>0</v>
      </c>
      <c r="AG21">
        <v>0</v>
      </c>
      <c r="AH21">
        <v>0</v>
      </c>
      <c r="AI21">
        <v>1.54</v>
      </c>
      <c r="AJ21">
        <v>1</v>
      </c>
      <c r="AK21">
        <v>1</v>
      </c>
      <c r="AL21">
        <v>1</v>
      </c>
      <c r="AM21">
        <v>2</v>
      </c>
      <c r="AN21">
        <v>0</v>
      </c>
      <c r="AO21">
        <v>0</v>
      </c>
      <c r="AP21">
        <v>1</v>
      </c>
      <c r="AQ21">
        <v>1</v>
      </c>
      <c r="AR21">
        <v>0</v>
      </c>
      <c r="AS21" t="s">
        <v>3</v>
      </c>
      <c r="AT21">
        <v>0.5</v>
      </c>
      <c r="AU21" t="s">
        <v>3</v>
      </c>
      <c r="AV21">
        <v>0</v>
      </c>
      <c r="AW21">
        <v>2</v>
      </c>
      <c r="AX21">
        <v>52718590</v>
      </c>
      <c r="AY21">
        <v>1</v>
      </c>
      <c r="AZ21">
        <v>0</v>
      </c>
      <c r="BA21">
        <v>21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18.855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1</v>
      </c>
      <c r="BQ21">
        <v>18.855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1</v>
      </c>
      <c r="CV21">
        <v>0</v>
      </c>
      <c r="CW21">
        <v>0</v>
      </c>
      <c r="CX21">
        <f>ROUND(Y21*Source!I40,7)</f>
        <v>0</v>
      </c>
      <c r="CY21">
        <f>AA21</f>
        <v>58.07</v>
      </c>
      <c r="CZ21">
        <f>AE21</f>
        <v>37.71</v>
      </c>
      <c r="DA21">
        <f>AI21</f>
        <v>1.54</v>
      </c>
      <c r="DB21">
        <f t="shared" si="1"/>
        <v>18.86</v>
      </c>
      <c r="DC21">
        <f t="shared" si="2"/>
        <v>0</v>
      </c>
      <c r="DD21" t="s">
        <v>3</v>
      </c>
      <c r="DE21" t="s">
        <v>3</v>
      </c>
      <c r="DF21">
        <f>ROUND(ROUND(AE21*AI21,2)*CX21,2)</f>
        <v>0</v>
      </c>
      <c r="DG21">
        <f t="shared" si="7"/>
        <v>0</v>
      </c>
      <c r="DH21">
        <f t="shared" si="5"/>
        <v>0</v>
      </c>
      <c r="DI21">
        <f t="shared" si="6"/>
        <v>0</v>
      </c>
      <c r="DJ21">
        <f>DF21</f>
        <v>0</v>
      </c>
      <c r="DK21">
        <v>0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ROW(Source!A40)</f>
        <v>40</v>
      </c>
      <c r="B22">
        <v>52718353</v>
      </c>
      <c r="C22">
        <v>52718576</v>
      </c>
      <c r="D22">
        <v>51265692</v>
      </c>
      <c r="E22">
        <v>1</v>
      </c>
      <c r="F22">
        <v>1</v>
      </c>
      <c r="G22">
        <v>1</v>
      </c>
      <c r="H22">
        <v>3</v>
      </c>
      <c r="I22" t="s">
        <v>421</v>
      </c>
      <c r="J22" t="s">
        <v>422</v>
      </c>
      <c r="K22" t="s">
        <v>423</v>
      </c>
      <c r="L22">
        <v>1346</v>
      </c>
      <c r="N22">
        <v>1009</v>
      </c>
      <c r="O22" t="s">
        <v>424</v>
      </c>
      <c r="P22" t="s">
        <v>424</v>
      </c>
      <c r="Q22">
        <v>1</v>
      </c>
      <c r="W22">
        <v>0</v>
      </c>
      <c r="X22">
        <v>2025193363</v>
      </c>
      <c r="Y22">
        <f t="shared" si="0"/>
        <v>0.05</v>
      </c>
      <c r="AA22">
        <v>110.23</v>
      </c>
      <c r="AB22">
        <v>0</v>
      </c>
      <c r="AC22">
        <v>0</v>
      </c>
      <c r="AD22">
        <v>0</v>
      </c>
      <c r="AE22">
        <v>79.88</v>
      </c>
      <c r="AF22">
        <v>0</v>
      </c>
      <c r="AG22">
        <v>0</v>
      </c>
      <c r="AH22">
        <v>0</v>
      </c>
      <c r="AI22">
        <v>1.38</v>
      </c>
      <c r="AJ22">
        <v>1</v>
      </c>
      <c r="AK22">
        <v>1</v>
      </c>
      <c r="AL22">
        <v>1</v>
      </c>
      <c r="AM22">
        <v>2</v>
      </c>
      <c r="AN22">
        <v>0</v>
      </c>
      <c r="AO22">
        <v>0</v>
      </c>
      <c r="AP22">
        <v>1</v>
      </c>
      <c r="AQ22">
        <v>1</v>
      </c>
      <c r="AR22">
        <v>0</v>
      </c>
      <c r="AS22" t="s">
        <v>3</v>
      </c>
      <c r="AT22">
        <v>0.05</v>
      </c>
      <c r="AU22" t="s">
        <v>3</v>
      </c>
      <c r="AV22">
        <v>0</v>
      </c>
      <c r="AW22">
        <v>2</v>
      </c>
      <c r="AX22">
        <v>52718591</v>
      </c>
      <c r="AY22">
        <v>1</v>
      </c>
      <c r="AZ22">
        <v>0</v>
      </c>
      <c r="BA22">
        <v>22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3.9939999999999998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</v>
      </c>
      <c r="BQ22">
        <v>3.9939999999999998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1</v>
      </c>
      <c r="CV22">
        <v>0</v>
      </c>
      <c r="CW22">
        <v>0</v>
      </c>
      <c r="CX22">
        <f>ROUND(Y22*Source!I40,7)</f>
        <v>0</v>
      </c>
      <c r="CY22">
        <f>AA22</f>
        <v>110.23</v>
      </c>
      <c r="CZ22">
        <f>AE22</f>
        <v>79.88</v>
      </c>
      <c r="DA22">
        <f>AI22</f>
        <v>1.38</v>
      </c>
      <c r="DB22">
        <f t="shared" si="1"/>
        <v>3.99</v>
      </c>
      <c r="DC22">
        <f t="shared" si="2"/>
        <v>0</v>
      </c>
      <c r="DD22" t="s">
        <v>3</v>
      </c>
      <c r="DE22" t="s">
        <v>3</v>
      </c>
      <c r="DF22">
        <f>ROUND(ROUND(AE22*AI22,2)*CX22,2)</f>
        <v>0</v>
      </c>
      <c r="DG22">
        <f t="shared" si="7"/>
        <v>0</v>
      </c>
      <c r="DH22">
        <f t="shared" si="5"/>
        <v>0</v>
      </c>
      <c r="DI22">
        <f t="shared" si="6"/>
        <v>0</v>
      </c>
      <c r="DJ22">
        <f>DF22</f>
        <v>0</v>
      </c>
      <c r="DK22">
        <v>0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ROW(Source!A40)</f>
        <v>40</v>
      </c>
      <c r="B23">
        <v>52718353</v>
      </c>
      <c r="C23">
        <v>52718576</v>
      </c>
      <c r="D23">
        <v>51176163</v>
      </c>
      <c r="E23">
        <v>118</v>
      </c>
      <c r="F23">
        <v>1</v>
      </c>
      <c r="G23">
        <v>1</v>
      </c>
      <c r="H23">
        <v>3</v>
      </c>
      <c r="I23" t="s">
        <v>25</v>
      </c>
      <c r="J23" t="s">
        <v>3</v>
      </c>
      <c r="K23" t="s">
        <v>26</v>
      </c>
      <c r="L23">
        <v>3277935</v>
      </c>
      <c r="N23">
        <v>1013</v>
      </c>
      <c r="O23" t="s">
        <v>27</v>
      </c>
      <c r="P23" t="s">
        <v>27</v>
      </c>
      <c r="Q23">
        <v>1</v>
      </c>
      <c r="W23">
        <v>0</v>
      </c>
      <c r="X23">
        <v>274903907</v>
      </c>
      <c r="Y23">
        <f t="shared" si="0"/>
        <v>2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</v>
      </c>
      <c r="AJ23">
        <v>1</v>
      </c>
      <c r="AK23">
        <v>1</v>
      </c>
      <c r="AL23">
        <v>1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 t="s">
        <v>3</v>
      </c>
      <c r="AT23">
        <v>2</v>
      </c>
      <c r="AU23" t="s">
        <v>3</v>
      </c>
      <c r="AV23">
        <v>0</v>
      </c>
      <c r="AW23">
        <v>2</v>
      </c>
      <c r="AX23">
        <v>52718592</v>
      </c>
      <c r="AY23">
        <v>1</v>
      </c>
      <c r="AZ23">
        <v>0</v>
      </c>
      <c r="BA23">
        <v>23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V23">
        <v>0</v>
      </c>
      <c r="CW23">
        <v>0</v>
      </c>
      <c r="CX23">
        <f>ROUND(Y23*Source!I40,7)</f>
        <v>0</v>
      </c>
      <c r="CY23">
        <f>AA23</f>
        <v>0</v>
      </c>
      <c r="CZ23">
        <f>AE23</f>
        <v>0</v>
      </c>
      <c r="DA23">
        <f>AI23</f>
        <v>1</v>
      </c>
      <c r="DB23">
        <f t="shared" si="1"/>
        <v>0</v>
      </c>
      <c r="DC23">
        <f t="shared" si="2"/>
        <v>0</v>
      </c>
      <c r="DD23" t="s">
        <v>3</v>
      </c>
      <c r="DE23" t="s">
        <v>3</v>
      </c>
      <c r="DF23">
        <f>ROUND(ROUND(AE23,2)*CX23,2)</f>
        <v>0</v>
      </c>
      <c r="DG23">
        <f t="shared" si="7"/>
        <v>0</v>
      </c>
      <c r="DH23">
        <f t="shared" si="5"/>
        <v>0</v>
      </c>
      <c r="DI23">
        <f t="shared" si="6"/>
        <v>0</v>
      </c>
      <c r="DJ23">
        <f>DF23</f>
        <v>0</v>
      </c>
      <c r="DK23">
        <v>0</v>
      </c>
      <c r="DL23" t="s">
        <v>3</v>
      </c>
      <c r="DM23">
        <v>0</v>
      </c>
      <c r="DN23" t="s">
        <v>3</v>
      </c>
      <c r="DO23">
        <v>0</v>
      </c>
    </row>
    <row r="24" spans="1:119" x14ac:dyDescent="0.2">
      <c r="A24">
        <f>ROW(Source!A42)</f>
        <v>42</v>
      </c>
      <c r="B24">
        <v>52718353</v>
      </c>
      <c r="C24">
        <v>52718594</v>
      </c>
      <c r="D24">
        <v>51169926</v>
      </c>
      <c r="E24">
        <v>118</v>
      </c>
      <c r="F24">
        <v>1</v>
      </c>
      <c r="G24">
        <v>1</v>
      </c>
      <c r="H24">
        <v>1</v>
      </c>
      <c r="I24" t="s">
        <v>408</v>
      </c>
      <c r="J24" t="s">
        <v>3</v>
      </c>
      <c r="K24" t="s">
        <v>409</v>
      </c>
      <c r="L24">
        <v>1191</v>
      </c>
      <c r="N24">
        <v>1013</v>
      </c>
      <c r="O24" t="s">
        <v>382</v>
      </c>
      <c r="P24" t="s">
        <v>382</v>
      </c>
      <c r="Q24">
        <v>1</v>
      </c>
      <c r="W24">
        <v>0</v>
      </c>
      <c r="X24">
        <v>44848675</v>
      </c>
      <c r="Y24">
        <f t="shared" si="0"/>
        <v>4.49</v>
      </c>
      <c r="AA24">
        <v>0</v>
      </c>
      <c r="AB24">
        <v>0</v>
      </c>
      <c r="AC24">
        <v>0</v>
      </c>
      <c r="AD24">
        <v>714.71</v>
      </c>
      <c r="AE24">
        <v>0</v>
      </c>
      <c r="AF24">
        <v>0</v>
      </c>
      <c r="AG24">
        <v>0</v>
      </c>
      <c r="AH24">
        <v>714.71</v>
      </c>
      <c r="AI24">
        <v>1</v>
      </c>
      <c r="AJ24">
        <v>1</v>
      </c>
      <c r="AK24">
        <v>1</v>
      </c>
      <c r="AL24">
        <v>1</v>
      </c>
      <c r="AM24">
        <v>-2</v>
      </c>
      <c r="AN24">
        <v>0</v>
      </c>
      <c r="AO24">
        <v>0</v>
      </c>
      <c r="AP24">
        <v>0</v>
      </c>
      <c r="AQ24">
        <v>1</v>
      </c>
      <c r="AR24">
        <v>0</v>
      </c>
      <c r="AS24" t="s">
        <v>3</v>
      </c>
      <c r="AT24">
        <v>4.49</v>
      </c>
      <c r="AU24" t="s">
        <v>3</v>
      </c>
      <c r="AV24">
        <v>1</v>
      </c>
      <c r="AW24">
        <v>2</v>
      </c>
      <c r="AX24">
        <v>52718605</v>
      </c>
      <c r="AY24">
        <v>1</v>
      </c>
      <c r="AZ24">
        <v>0</v>
      </c>
      <c r="BA24">
        <v>24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3209.0479000000005</v>
      </c>
      <c r="BN24">
        <v>4.49</v>
      </c>
      <c r="BO24">
        <v>0</v>
      </c>
      <c r="BP24">
        <v>1</v>
      </c>
      <c r="BQ24">
        <v>0</v>
      </c>
      <c r="BR24">
        <v>0</v>
      </c>
      <c r="BS24">
        <v>0</v>
      </c>
      <c r="BT24">
        <v>3209.0479000000005</v>
      </c>
      <c r="BU24">
        <v>4.49</v>
      </c>
      <c r="BV24">
        <v>0</v>
      </c>
      <c r="BW24">
        <v>1</v>
      </c>
      <c r="CU24">
        <f>ROUND(AT24*Source!I42*AH24*AL24,2)</f>
        <v>5615.83</v>
      </c>
      <c r="CV24">
        <f>ROUND(Y24*Source!I42,7)</f>
        <v>7.8574999999999999</v>
      </c>
      <c r="CW24">
        <v>0</v>
      </c>
      <c r="CX24">
        <f>ROUND(Y24*Source!I42,7)</f>
        <v>7.8574999999999999</v>
      </c>
      <c r="CY24">
        <f>AD24</f>
        <v>714.71</v>
      </c>
      <c r="CZ24">
        <f>AH24</f>
        <v>714.71</v>
      </c>
      <c r="DA24">
        <f>AL24</f>
        <v>1</v>
      </c>
      <c r="DB24">
        <f t="shared" si="1"/>
        <v>3209.05</v>
      </c>
      <c r="DC24">
        <f t="shared" si="2"/>
        <v>0</v>
      </c>
      <c r="DD24" t="s">
        <v>3</v>
      </c>
      <c r="DE24" t="s">
        <v>3</v>
      </c>
      <c r="DF24">
        <f>ROUND(ROUND(AE24,2)*CX24,2)</f>
        <v>0</v>
      </c>
      <c r="DG24">
        <f t="shared" si="7"/>
        <v>0</v>
      </c>
      <c r="DH24">
        <f t="shared" si="5"/>
        <v>0</v>
      </c>
      <c r="DI24">
        <f t="shared" si="6"/>
        <v>5615.83</v>
      </c>
      <c r="DJ24">
        <f>DI24</f>
        <v>5615.83</v>
      </c>
      <c r="DK24">
        <v>1</v>
      </c>
      <c r="DL24" t="s">
        <v>3</v>
      </c>
      <c r="DM24">
        <v>0</v>
      </c>
      <c r="DN24" t="s">
        <v>3</v>
      </c>
      <c r="DO24">
        <v>0</v>
      </c>
    </row>
    <row r="25" spans="1:119" x14ac:dyDescent="0.2">
      <c r="A25">
        <f>ROW(Source!A42)</f>
        <v>42</v>
      </c>
      <c r="B25">
        <v>52718353</v>
      </c>
      <c r="C25">
        <v>52718594</v>
      </c>
      <c r="D25">
        <v>51170109</v>
      </c>
      <c r="E25">
        <v>118</v>
      </c>
      <c r="F25">
        <v>1</v>
      </c>
      <c r="G25">
        <v>1</v>
      </c>
      <c r="H25">
        <v>1</v>
      </c>
      <c r="I25" t="s">
        <v>380</v>
      </c>
      <c r="J25" t="s">
        <v>3</v>
      </c>
      <c r="K25" t="s">
        <v>381</v>
      </c>
      <c r="L25">
        <v>1191</v>
      </c>
      <c r="N25">
        <v>1013</v>
      </c>
      <c r="O25" t="s">
        <v>382</v>
      </c>
      <c r="P25" t="s">
        <v>382</v>
      </c>
      <c r="Q25">
        <v>1</v>
      </c>
      <c r="W25">
        <v>0</v>
      </c>
      <c r="X25">
        <v>-1417349443</v>
      </c>
      <c r="Y25">
        <f t="shared" si="0"/>
        <v>0.02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1</v>
      </c>
      <c r="AK25">
        <v>1</v>
      </c>
      <c r="AL25">
        <v>1</v>
      </c>
      <c r="AM25">
        <v>-2</v>
      </c>
      <c r="AN25">
        <v>0</v>
      </c>
      <c r="AO25">
        <v>0</v>
      </c>
      <c r="AP25">
        <v>0</v>
      </c>
      <c r="AQ25">
        <v>1</v>
      </c>
      <c r="AR25">
        <v>0</v>
      </c>
      <c r="AS25" t="s">
        <v>3</v>
      </c>
      <c r="AT25">
        <v>0.02</v>
      </c>
      <c r="AU25" t="s">
        <v>3</v>
      </c>
      <c r="AV25">
        <v>2</v>
      </c>
      <c r="AW25">
        <v>2</v>
      </c>
      <c r="AX25">
        <v>52718606</v>
      </c>
      <c r="AY25">
        <v>1</v>
      </c>
      <c r="AZ25">
        <v>0</v>
      </c>
      <c r="BA25">
        <v>25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CV25">
        <v>0</v>
      </c>
      <c r="CW25">
        <v>0</v>
      </c>
      <c r="CX25">
        <f>ROUND(Y25*Source!I42,7)</f>
        <v>3.5000000000000003E-2</v>
      </c>
      <c r="CY25">
        <f>AD25</f>
        <v>0</v>
      </c>
      <c r="CZ25">
        <f>AH25</f>
        <v>0</v>
      </c>
      <c r="DA25">
        <f>AL25</f>
        <v>1</v>
      </c>
      <c r="DB25">
        <f t="shared" si="1"/>
        <v>0</v>
      </c>
      <c r="DC25">
        <f t="shared" si="2"/>
        <v>0</v>
      </c>
      <c r="DD25" t="s">
        <v>3</v>
      </c>
      <c r="DE25" t="s">
        <v>3</v>
      </c>
      <c r="DF25">
        <f>ROUND(ROUND(AE25,2)*CX25,2)</f>
        <v>0</v>
      </c>
      <c r="DG25">
        <f t="shared" si="7"/>
        <v>0</v>
      </c>
      <c r="DH25">
        <f t="shared" si="5"/>
        <v>0</v>
      </c>
      <c r="DI25">
        <f t="shared" si="6"/>
        <v>0</v>
      </c>
      <c r="DJ25">
        <f>DI25</f>
        <v>0</v>
      </c>
      <c r="DK25">
        <v>0</v>
      </c>
      <c r="DL25" t="s">
        <v>3</v>
      </c>
      <c r="DM25">
        <v>0</v>
      </c>
      <c r="DN25" t="s">
        <v>3</v>
      </c>
      <c r="DO25">
        <v>0</v>
      </c>
    </row>
    <row r="26" spans="1:119" x14ac:dyDescent="0.2">
      <c r="A26">
        <f>ROW(Source!A42)</f>
        <v>42</v>
      </c>
      <c r="B26">
        <v>52718353</v>
      </c>
      <c r="C26">
        <v>52718594</v>
      </c>
      <c r="D26">
        <v>51296566</v>
      </c>
      <c r="E26">
        <v>1</v>
      </c>
      <c r="F26">
        <v>1</v>
      </c>
      <c r="G26">
        <v>1</v>
      </c>
      <c r="H26">
        <v>2</v>
      </c>
      <c r="I26" t="s">
        <v>410</v>
      </c>
      <c r="J26" t="s">
        <v>411</v>
      </c>
      <c r="K26" t="s">
        <v>412</v>
      </c>
      <c r="L26">
        <v>1368</v>
      </c>
      <c r="N26">
        <v>1011</v>
      </c>
      <c r="O26" t="s">
        <v>386</v>
      </c>
      <c r="P26" t="s">
        <v>386</v>
      </c>
      <c r="Q26">
        <v>1</v>
      </c>
      <c r="W26">
        <v>0</v>
      </c>
      <c r="X26">
        <v>-1068589559</v>
      </c>
      <c r="Y26">
        <f t="shared" si="0"/>
        <v>0.01</v>
      </c>
      <c r="AA26">
        <v>0</v>
      </c>
      <c r="AB26">
        <v>1585.56</v>
      </c>
      <c r="AC26">
        <v>982.04</v>
      </c>
      <c r="AD26">
        <v>0</v>
      </c>
      <c r="AE26">
        <v>0</v>
      </c>
      <c r="AF26">
        <v>1585.56</v>
      </c>
      <c r="AG26">
        <v>982.04</v>
      </c>
      <c r="AH26">
        <v>0</v>
      </c>
      <c r="AI26">
        <v>1</v>
      </c>
      <c r="AJ26">
        <v>1</v>
      </c>
      <c r="AK26">
        <v>1</v>
      </c>
      <c r="AL26">
        <v>1</v>
      </c>
      <c r="AM26">
        <v>-2</v>
      </c>
      <c r="AN26">
        <v>0</v>
      </c>
      <c r="AO26">
        <v>0</v>
      </c>
      <c r="AP26">
        <v>0</v>
      </c>
      <c r="AQ26">
        <v>1</v>
      </c>
      <c r="AR26">
        <v>0</v>
      </c>
      <c r="AS26" t="s">
        <v>3</v>
      </c>
      <c r="AT26">
        <v>0.01</v>
      </c>
      <c r="AU26" t="s">
        <v>3</v>
      </c>
      <c r="AV26">
        <v>1</v>
      </c>
      <c r="AW26">
        <v>2</v>
      </c>
      <c r="AX26">
        <v>52718607</v>
      </c>
      <c r="AY26">
        <v>1</v>
      </c>
      <c r="AZ26">
        <v>0</v>
      </c>
      <c r="BA26">
        <v>26</v>
      </c>
      <c r="BB26">
        <v>1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15.855599999999999</v>
      </c>
      <c r="BL26">
        <v>9.8203999999999994</v>
      </c>
      <c r="BM26">
        <v>0</v>
      </c>
      <c r="BN26">
        <v>0</v>
      </c>
      <c r="BO26">
        <v>0.01</v>
      </c>
      <c r="BP26">
        <v>1</v>
      </c>
      <c r="BQ26">
        <v>0</v>
      </c>
      <c r="BR26">
        <v>15.855599999999999</v>
      </c>
      <c r="BS26">
        <v>9.8203999999999994</v>
      </c>
      <c r="BT26">
        <v>0</v>
      </c>
      <c r="BU26">
        <v>0</v>
      </c>
      <c r="BV26">
        <v>0.01</v>
      </c>
      <c r="BW26">
        <v>1</v>
      </c>
      <c r="CV26">
        <v>0</v>
      </c>
      <c r="CW26">
        <f>ROUND(Y26*Source!I42*DO26,7)</f>
        <v>1.7500000000000002E-2</v>
      </c>
      <c r="CX26">
        <f>ROUND(Y26*Source!I42,7)</f>
        <v>1.7500000000000002E-2</v>
      </c>
      <c r="CY26">
        <f>AB26</f>
        <v>1585.56</v>
      </c>
      <c r="CZ26">
        <f>AF26</f>
        <v>1585.56</v>
      </c>
      <c r="DA26">
        <f>AJ26</f>
        <v>1</v>
      </c>
      <c r="DB26">
        <f t="shared" si="1"/>
        <v>15.86</v>
      </c>
      <c r="DC26">
        <f t="shared" si="2"/>
        <v>9.82</v>
      </c>
      <c r="DD26" t="s">
        <v>3</v>
      </c>
      <c r="DE26" t="s">
        <v>3</v>
      </c>
      <c r="DF26">
        <f>ROUND(ROUND(AE26,2)*CX26,2)</f>
        <v>0</v>
      </c>
      <c r="DG26">
        <f t="shared" si="7"/>
        <v>27.75</v>
      </c>
      <c r="DH26">
        <f t="shared" si="5"/>
        <v>17.190000000000001</v>
      </c>
      <c r="DI26">
        <f t="shared" si="6"/>
        <v>0</v>
      </c>
      <c r="DJ26">
        <f>DG26+DH26</f>
        <v>44.94</v>
      </c>
      <c r="DK26">
        <v>1</v>
      </c>
      <c r="DL26" t="s">
        <v>413</v>
      </c>
      <c r="DM26">
        <v>6</v>
      </c>
      <c r="DN26" t="s">
        <v>382</v>
      </c>
      <c r="DO26">
        <v>1</v>
      </c>
    </row>
    <row r="27" spans="1:119" x14ac:dyDescent="0.2">
      <c r="A27">
        <f>ROW(Source!A42)</f>
        <v>42</v>
      </c>
      <c r="B27">
        <v>52718353</v>
      </c>
      <c r="C27">
        <v>52718594</v>
      </c>
      <c r="D27">
        <v>51297468</v>
      </c>
      <c r="E27">
        <v>1</v>
      </c>
      <c r="F27">
        <v>1</v>
      </c>
      <c r="G27">
        <v>1</v>
      </c>
      <c r="H27">
        <v>2</v>
      </c>
      <c r="I27" t="s">
        <v>383</v>
      </c>
      <c r="J27" t="s">
        <v>384</v>
      </c>
      <c r="K27" t="s">
        <v>385</v>
      </c>
      <c r="L27">
        <v>1368</v>
      </c>
      <c r="N27">
        <v>1011</v>
      </c>
      <c r="O27" t="s">
        <v>386</v>
      </c>
      <c r="P27" t="s">
        <v>386</v>
      </c>
      <c r="Q27">
        <v>1</v>
      </c>
      <c r="W27">
        <v>0</v>
      </c>
      <c r="X27">
        <v>-312038840</v>
      </c>
      <c r="Y27">
        <f t="shared" si="0"/>
        <v>0.01</v>
      </c>
      <c r="AA27">
        <v>0</v>
      </c>
      <c r="AB27">
        <v>544.91999999999996</v>
      </c>
      <c r="AC27">
        <v>731.08</v>
      </c>
      <c r="AD27">
        <v>0</v>
      </c>
      <c r="AE27">
        <v>0</v>
      </c>
      <c r="AF27">
        <v>544.91999999999996</v>
      </c>
      <c r="AG27">
        <v>731.08</v>
      </c>
      <c r="AH27">
        <v>0</v>
      </c>
      <c r="AI27">
        <v>1</v>
      </c>
      <c r="AJ27">
        <v>1</v>
      </c>
      <c r="AK27">
        <v>1</v>
      </c>
      <c r="AL27">
        <v>1</v>
      </c>
      <c r="AM27">
        <v>-2</v>
      </c>
      <c r="AN27">
        <v>0</v>
      </c>
      <c r="AO27">
        <v>0</v>
      </c>
      <c r="AP27">
        <v>0</v>
      </c>
      <c r="AQ27">
        <v>1</v>
      </c>
      <c r="AR27">
        <v>0</v>
      </c>
      <c r="AS27" t="s">
        <v>3</v>
      </c>
      <c r="AT27">
        <v>0.01</v>
      </c>
      <c r="AU27" t="s">
        <v>3</v>
      </c>
      <c r="AV27">
        <v>1</v>
      </c>
      <c r="AW27">
        <v>2</v>
      </c>
      <c r="AX27">
        <v>52718608</v>
      </c>
      <c r="AY27">
        <v>1</v>
      </c>
      <c r="AZ27">
        <v>0</v>
      </c>
      <c r="BA27">
        <v>27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5.4491999999999994</v>
      </c>
      <c r="BL27">
        <v>7.3108000000000004</v>
      </c>
      <c r="BM27">
        <v>0</v>
      </c>
      <c r="BN27">
        <v>0</v>
      </c>
      <c r="BO27">
        <v>0.01</v>
      </c>
      <c r="BP27">
        <v>1</v>
      </c>
      <c r="BQ27">
        <v>0</v>
      </c>
      <c r="BR27">
        <v>5.4491999999999994</v>
      </c>
      <c r="BS27">
        <v>7.3108000000000004</v>
      </c>
      <c r="BT27">
        <v>0</v>
      </c>
      <c r="BU27">
        <v>0</v>
      </c>
      <c r="BV27">
        <v>0.01</v>
      </c>
      <c r="BW27">
        <v>1</v>
      </c>
      <c r="CV27">
        <v>0</v>
      </c>
      <c r="CW27">
        <f>ROUND(Y27*Source!I42*DO27,7)</f>
        <v>1.7500000000000002E-2</v>
      </c>
      <c r="CX27">
        <f>ROUND(Y27*Source!I42,7)</f>
        <v>1.7500000000000002E-2</v>
      </c>
      <c r="CY27">
        <f>AB27</f>
        <v>544.91999999999996</v>
      </c>
      <c r="CZ27">
        <f>AF27</f>
        <v>544.91999999999996</v>
      </c>
      <c r="DA27">
        <f>AJ27</f>
        <v>1</v>
      </c>
      <c r="DB27">
        <f t="shared" si="1"/>
        <v>5.45</v>
      </c>
      <c r="DC27">
        <f t="shared" si="2"/>
        <v>7.31</v>
      </c>
      <c r="DD27" t="s">
        <v>3</v>
      </c>
      <c r="DE27" t="s">
        <v>3</v>
      </c>
      <c r="DF27">
        <f>ROUND(ROUND(AE27,2)*CX27,2)</f>
        <v>0</v>
      </c>
      <c r="DG27">
        <f t="shared" si="7"/>
        <v>9.5399999999999991</v>
      </c>
      <c r="DH27">
        <f t="shared" si="5"/>
        <v>12.79</v>
      </c>
      <c r="DI27">
        <f t="shared" si="6"/>
        <v>0</v>
      </c>
      <c r="DJ27">
        <f>DG27+DH27</f>
        <v>22.33</v>
      </c>
      <c r="DK27">
        <v>1</v>
      </c>
      <c r="DL27" t="s">
        <v>387</v>
      </c>
      <c r="DM27">
        <v>4</v>
      </c>
      <c r="DN27" t="s">
        <v>382</v>
      </c>
      <c r="DO27">
        <v>1</v>
      </c>
    </row>
    <row r="28" spans="1:119" x14ac:dyDescent="0.2">
      <c r="A28">
        <f>ROW(Source!A42)</f>
        <v>42</v>
      </c>
      <c r="B28">
        <v>52718353</v>
      </c>
      <c r="C28">
        <v>52718594</v>
      </c>
      <c r="D28">
        <v>51246841</v>
      </c>
      <c r="E28">
        <v>1</v>
      </c>
      <c r="F28">
        <v>1</v>
      </c>
      <c r="G28">
        <v>1</v>
      </c>
      <c r="H28">
        <v>3</v>
      </c>
      <c r="I28" t="s">
        <v>414</v>
      </c>
      <c r="J28" t="s">
        <v>415</v>
      </c>
      <c r="K28" t="s">
        <v>416</v>
      </c>
      <c r="L28">
        <v>1301</v>
      </c>
      <c r="N28">
        <v>1003</v>
      </c>
      <c r="O28" t="s">
        <v>31</v>
      </c>
      <c r="P28" t="s">
        <v>31</v>
      </c>
      <c r="Q28">
        <v>1</v>
      </c>
      <c r="W28">
        <v>0</v>
      </c>
      <c r="X28">
        <v>1043352333</v>
      </c>
      <c r="Y28">
        <f t="shared" si="0"/>
        <v>13.33</v>
      </c>
      <c r="AA28">
        <v>5.1100000000000003</v>
      </c>
      <c r="AB28">
        <v>0</v>
      </c>
      <c r="AC28">
        <v>0</v>
      </c>
      <c r="AD28">
        <v>0</v>
      </c>
      <c r="AE28">
        <v>5.87</v>
      </c>
      <c r="AF28">
        <v>0</v>
      </c>
      <c r="AG28">
        <v>0</v>
      </c>
      <c r="AH28">
        <v>0</v>
      </c>
      <c r="AI28">
        <v>0.87</v>
      </c>
      <c r="AJ28">
        <v>1</v>
      </c>
      <c r="AK28">
        <v>1</v>
      </c>
      <c r="AL28">
        <v>1</v>
      </c>
      <c r="AM28">
        <v>2</v>
      </c>
      <c r="AN28">
        <v>0</v>
      </c>
      <c r="AO28">
        <v>0</v>
      </c>
      <c r="AP28">
        <v>0</v>
      </c>
      <c r="AQ28">
        <v>1</v>
      </c>
      <c r="AR28">
        <v>0</v>
      </c>
      <c r="AS28" t="s">
        <v>3</v>
      </c>
      <c r="AT28">
        <v>13.33</v>
      </c>
      <c r="AU28" t="s">
        <v>3</v>
      </c>
      <c r="AV28">
        <v>0</v>
      </c>
      <c r="AW28">
        <v>2</v>
      </c>
      <c r="AX28">
        <v>52718609</v>
      </c>
      <c r="AY28">
        <v>1</v>
      </c>
      <c r="AZ28">
        <v>0</v>
      </c>
      <c r="BA28">
        <v>28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78.247100000000003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1</v>
      </c>
      <c r="BQ28">
        <v>78.247100000000003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1</v>
      </c>
      <c r="CV28">
        <v>0</v>
      </c>
      <c r="CW28">
        <v>0</v>
      </c>
      <c r="CX28">
        <f>ROUND(Y28*Source!I42,7)</f>
        <v>23.327500000000001</v>
      </c>
      <c r="CY28">
        <f t="shared" ref="CY28:CY33" si="8">AA28</f>
        <v>5.1100000000000003</v>
      </c>
      <c r="CZ28">
        <f t="shared" ref="CZ28:CZ33" si="9">AE28</f>
        <v>5.87</v>
      </c>
      <c r="DA28">
        <f t="shared" ref="DA28:DA33" si="10">AI28</f>
        <v>0.87</v>
      </c>
      <c r="DB28">
        <f t="shared" si="1"/>
        <v>78.25</v>
      </c>
      <c r="DC28">
        <f t="shared" si="2"/>
        <v>0</v>
      </c>
      <c r="DD28" t="s">
        <v>3</v>
      </c>
      <c r="DE28" t="s">
        <v>3</v>
      </c>
      <c r="DF28">
        <f>ROUND(ROUND(AE28*AI28,2)*CX28,2)</f>
        <v>119.2</v>
      </c>
      <c r="DG28">
        <f t="shared" si="7"/>
        <v>0</v>
      </c>
      <c r="DH28">
        <f t="shared" si="5"/>
        <v>0</v>
      </c>
      <c r="DI28">
        <f t="shared" si="6"/>
        <v>0</v>
      </c>
      <c r="DJ28">
        <f t="shared" ref="DJ28:DJ33" si="11">DF28</f>
        <v>119.2</v>
      </c>
      <c r="DK28">
        <v>0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ROW(Source!A42)</f>
        <v>42</v>
      </c>
      <c r="B29">
        <v>52718353</v>
      </c>
      <c r="C29">
        <v>52718594</v>
      </c>
      <c r="D29">
        <v>51247009</v>
      </c>
      <c r="E29">
        <v>1</v>
      </c>
      <c r="F29">
        <v>1</v>
      </c>
      <c r="G29">
        <v>1</v>
      </c>
      <c r="H29">
        <v>3</v>
      </c>
      <c r="I29" t="s">
        <v>425</v>
      </c>
      <c r="J29" t="s">
        <v>426</v>
      </c>
      <c r="K29" t="s">
        <v>427</v>
      </c>
      <c r="L29">
        <v>1348</v>
      </c>
      <c r="N29">
        <v>1009</v>
      </c>
      <c r="O29" t="s">
        <v>126</v>
      </c>
      <c r="P29" t="s">
        <v>126</v>
      </c>
      <c r="Q29">
        <v>1000</v>
      </c>
      <c r="W29">
        <v>0</v>
      </c>
      <c r="X29">
        <v>2119437083</v>
      </c>
      <c r="Y29">
        <f t="shared" si="0"/>
        <v>4.2999999999999999E-4</v>
      </c>
      <c r="AA29">
        <v>59159.07</v>
      </c>
      <c r="AB29">
        <v>0</v>
      </c>
      <c r="AC29">
        <v>0</v>
      </c>
      <c r="AD29">
        <v>0</v>
      </c>
      <c r="AE29">
        <v>43821.53</v>
      </c>
      <c r="AF29">
        <v>0</v>
      </c>
      <c r="AG29">
        <v>0</v>
      </c>
      <c r="AH29">
        <v>0</v>
      </c>
      <c r="AI29">
        <v>1.35</v>
      </c>
      <c r="AJ29">
        <v>1</v>
      </c>
      <c r="AK29">
        <v>1</v>
      </c>
      <c r="AL29">
        <v>1</v>
      </c>
      <c r="AM29">
        <v>2</v>
      </c>
      <c r="AN29">
        <v>0</v>
      </c>
      <c r="AO29">
        <v>0</v>
      </c>
      <c r="AP29">
        <v>0</v>
      </c>
      <c r="AQ29">
        <v>1</v>
      </c>
      <c r="AR29">
        <v>0</v>
      </c>
      <c r="AS29" t="s">
        <v>3</v>
      </c>
      <c r="AT29">
        <v>4.2999999999999999E-4</v>
      </c>
      <c r="AU29" t="s">
        <v>3</v>
      </c>
      <c r="AV29">
        <v>0</v>
      </c>
      <c r="AW29">
        <v>2</v>
      </c>
      <c r="AX29">
        <v>52718610</v>
      </c>
      <c r="AY29">
        <v>1</v>
      </c>
      <c r="AZ29">
        <v>0</v>
      </c>
      <c r="BA29">
        <v>29</v>
      </c>
      <c r="BB29">
        <v>1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18.843257899999998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1</v>
      </c>
      <c r="BQ29">
        <v>18.843257899999998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1</v>
      </c>
      <c r="CV29">
        <v>0</v>
      </c>
      <c r="CW29">
        <v>0</v>
      </c>
      <c r="CX29">
        <f>ROUND(Y29*Source!I42,7)</f>
        <v>7.5250000000000002E-4</v>
      </c>
      <c r="CY29">
        <f t="shared" si="8"/>
        <v>59159.07</v>
      </c>
      <c r="CZ29">
        <f t="shared" si="9"/>
        <v>43821.53</v>
      </c>
      <c r="DA29">
        <f t="shared" si="10"/>
        <v>1.35</v>
      </c>
      <c r="DB29">
        <f t="shared" si="1"/>
        <v>18.84</v>
      </c>
      <c r="DC29">
        <f t="shared" si="2"/>
        <v>0</v>
      </c>
      <c r="DD29" t="s">
        <v>3</v>
      </c>
      <c r="DE29" t="s">
        <v>3</v>
      </c>
      <c r="DF29">
        <f>ROUND(ROUND(AE29*AI29,2)*CX29,2)</f>
        <v>44.52</v>
      </c>
      <c r="DG29">
        <f t="shared" si="7"/>
        <v>0</v>
      </c>
      <c r="DH29">
        <f t="shared" si="5"/>
        <v>0</v>
      </c>
      <c r="DI29">
        <f t="shared" si="6"/>
        <v>0</v>
      </c>
      <c r="DJ29">
        <f t="shared" si="11"/>
        <v>44.52</v>
      </c>
      <c r="DK29">
        <v>0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ROW(Source!A42)</f>
        <v>42</v>
      </c>
      <c r="B30">
        <v>52718353</v>
      </c>
      <c r="C30">
        <v>52718594</v>
      </c>
      <c r="D30">
        <v>51265692</v>
      </c>
      <c r="E30">
        <v>1</v>
      </c>
      <c r="F30">
        <v>1</v>
      </c>
      <c r="G30">
        <v>1</v>
      </c>
      <c r="H30">
        <v>3</v>
      </c>
      <c r="I30" t="s">
        <v>421</v>
      </c>
      <c r="J30" t="s">
        <v>422</v>
      </c>
      <c r="K30" t="s">
        <v>423</v>
      </c>
      <c r="L30">
        <v>1346</v>
      </c>
      <c r="N30">
        <v>1009</v>
      </c>
      <c r="O30" t="s">
        <v>424</v>
      </c>
      <c r="P30" t="s">
        <v>424</v>
      </c>
      <c r="Q30">
        <v>1</v>
      </c>
      <c r="W30">
        <v>0</v>
      </c>
      <c r="X30">
        <v>2025193363</v>
      </c>
      <c r="Y30">
        <f t="shared" si="0"/>
        <v>0.02</v>
      </c>
      <c r="AA30">
        <v>110.23</v>
      </c>
      <c r="AB30">
        <v>0</v>
      </c>
      <c r="AC30">
        <v>0</v>
      </c>
      <c r="AD30">
        <v>0</v>
      </c>
      <c r="AE30">
        <v>79.88</v>
      </c>
      <c r="AF30">
        <v>0</v>
      </c>
      <c r="AG30">
        <v>0</v>
      </c>
      <c r="AH30">
        <v>0</v>
      </c>
      <c r="AI30">
        <v>1.38</v>
      </c>
      <c r="AJ30">
        <v>1</v>
      </c>
      <c r="AK30">
        <v>1</v>
      </c>
      <c r="AL30">
        <v>1</v>
      </c>
      <c r="AM30">
        <v>2</v>
      </c>
      <c r="AN30">
        <v>0</v>
      </c>
      <c r="AO30">
        <v>0</v>
      </c>
      <c r="AP30">
        <v>0</v>
      </c>
      <c r="AQ30">
        <v>1</v>
      </c>
      <c r="AR30">
        <v>0</v>
      </c>
      <c r="AS30" t="s">
        <v>3</v>
      </c>
      <c r="AT30">
        <v>0.02</v>
      </c>
      <c r="AU30" t="s">
        <v>3</v>
      </c>
      <c r="AV30">
        <v>0</v>
      </c>
      <c r="AW30">
        <v>2</v>
      </c>
      <c r="AX30">
        <v>52718611</v>
      </c>
      <c r="AY30">
        <v>1</v>
      </c>
      <c r="AZ30">
        <v>0</v>
      </c>
      <c r="BA30">
        <v>30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1.5975999999999999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1</v>
      </c>
      <c r="BQ30">
        <v>1.5975999999999999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1</v>
      </c>
      <c r="CV30">
        <v>0</v>
      </c>
      <c r="CW30">
        <v>0</v>
      </c>
      <c r="CX30">
        <f>ROUND(Y30*Source!I42,7)</f>
        <v>3.5000000000000003E-2</v>
      </c>
      <c r="CY30">
        <f t="shared" si="8"/>
        <v>110.23</v>
      </c>
      <c r="CZ30">
        <f t="shared" si="9"/>
        <v>79.88</v>
      </c>
      <c r="DA30">
        <f t="shared" si="10"/>
        <v>1.38</v>
      </c>
      <c r="DB30">
        <f t="shared" si="1"/>
        <v>1.6</v>
      </c>
      <c r="DC30">
        <f t="shared" si="2"/>
        <v>0</v>
      </c>
      <c r="DD30" t="s">
        <v>3</v>
      </c>
      <c r="DE30" t="s">
        <v>3</v>
      </c>
      <c r="DF30">
        <f>ROUND(ROUND(AE30*AI30,2)*CX30,2)</f>
        <v>3.86</v>
      </c>
      <c r="DG30">
        <f t="shared" si="7"/>
        <v>0</v>
      </c>
      <c r="DH30">
        <f t="shared" si="5"/>
        <v>0</v>
      </c>
      <c r="DI30">
        <f t="shared" si="6"/>
        <v>0</v>
      </c>
      <c r="DJ30">
        <f t="shared" si="11"/>
        <v>3.86</v>
      </c>
      <c r="DK30">
        <v>0</v>
      </c>
      <c r="DL30" t="s">
        <v>3</v>
      </c>
      <c r="DM30">
        <v>0</v>
      </c>
      <c r="DN30" t="s">
        <v>3</v>
      </c>
      <c r="DO30">
        <v>0</v>
      </c>
    </row>
    <row r="31" spans="1:119" x14ac:dyDescent="0.2">
      <c r="A31">
        <f>ROW(Source!A42)</f>
        <v>42</v>
      </c>
      <c r="B31">
        <v>52718353</v>
      </c>
      <c r="C31">
        <v>52718594</v>
      </c>
      <c r="D31">
        <v>51273630</v>
      </c>
      <c r="E31">
        <v>1</v>
      </c>
      <c r="F31">
        <v>1</v>
      </c>
      <c r="G31">
        <v>1</v>
      </c>
      <c r="H31">
        <v>3</v>
      </c>
      <c r="I31" t="s">
        <v>428</v>
      </c>
      <c r="J31" t="s">
        <v>429</v>
      </c>
      <c r="K31" t="s">
        <v>430</v>
      </c>
      <c r="L31">
        <v>1425</v>
      </c>
      <c r="N31">
        <v>1013</v>
      </c>
      <c r="O31" t="s">
        <v>56</v>
      </c>
      <c r="P31" t="s">
        <v>56</v>
      </c>
      <c r="Q31">
        <v>1</v>
      </c>
      <c r="W31">
        <v>0</v>
      </c>
      <c r="X31">
        <v>-788410736</v>
      </c>
      <c r="Y31">
        <f t="shared" si="0"/>
        <v>0.05</v>
      </c>
      <c r="AA31">
        <v>532.67999999999995</v>
      </c>
      <c r="AB31">
        <v>0</v>
      </c>
      <c r="AC31">
        <v>0</v>
      </c>
      <c r="AD31">
        <v>0</v>
      </c>
      <c r="AE31">
        <v>412.93</v>
      </c>
      <c r="AF31">
        <v>0</v>
      </c>
      <c r="AG31">
        <v>0</v>
      </c>
      <c r="AH31">
        <v>0</v>
      </c>
      <c r="AI31">
        <v>1.29</v>
      </c>
      <c r="AJ31">
        <v>1</v>
      </c>
      <c r="AK31">
        <v>1</v>
      </c>
      <c r="AL31">
        <v>1</v>
      </c>
      <c r="AM31">
        <v>2</v>
      </c>
      <c r="AN31">
        <v>0</v>
      </c>
      <c r="AO31">
        <v>0</v>
      </c>
      <c r="AP31">
        <v>0</v>
      </c>
      <c r="AQ31">
        <v>1</v>
      </c>
      <c r="AR31">
        <v>0</v>
      </c>
      <c r="AS31" t="s">
        <v>3</v>
      </c>
      <c r="AT31">
        <v>0.05</v>
      </c>
      <c r="AU31" t="s">
        <v>3</v>
      </c>
      <c r="AV31">
        <v>0</v>
      </c>
      <c r="AW31">
        <v>2</v>
      </c>
      <c r="AX31">
        <v>52718612</v>
      </c>
      <c r="AY31">
        <v>1</v>
      </c>
      <c r="AZ31">
        <v>0</v>
      </c>
      <c r="BA31">
        <v>31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20.646500000000003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1</v>
      </c>
      <c r="BQ31">
        <v>20.646500000000003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1</v>
      </c>
      <c r="CV31">
        <v>0</v>
      </c>
      <c r="CW31">
        <v>0</v>
      </c>
      <c r="CX31">
        <f>ROUND(Y31*Source!I42,7)</f>
        <v>8.7499999999999994E-2</v>
      </c>
      <c r="CY31">
        <f t="shared" si="8"/>
        <v>532.67999999999995</v>
      </c>
      <c r="CZ31">
        <f t="shared" si="9"/>
        <v>412.93</v>
      </c>
      <c r="DA31">
        <f t="shared" si="10"/>
        <v>1.29</v>
      </c>
      <c r="DB31">
        <f t="shared" si="1"/>
        <v>20.65</v>
      </c>
      <c r="DC31">
        <f t="shared" si="2"/>
        <v>0</v>
      </c>
      <c r="DD31" t="s">
        <v>3</v>
      </c>
      <c r="DE31" t="s">
        <v>3</v>
      </c>
      <c r="DF31">
        <f>ROUND(ROUND(AE31*AI31,2)*CX31,2)</f>
        <v>46.61</v>
      </c>
      <c r="DG31">
        <f t="shared" si="7"/>
        <v>0</v>
      </c>
      <c r="DH31">
        <f t="shared" si="5"/>
        <v>0</v>
      </c>
      <c r="DI31">
        <f t="shared" si="6"/>
        <v>0</v>
      </c>
      <c r="DJ31">
        <f t="shared" si="11"/>
        <v>46.61</v>
      </c>
      <c r="DK31">
        <v>0</v>
      </c>
      <c r="DL31" t="s">
        <v>3</v>
      </c>
      <c r="DM31">
        <v>0</v>
      </c>
      <c r="DN31" t="s">
        <v>3</v>
      </c>
      <c r="DO31">
        <v>0</v>
      </c>
    </row>
    <row r="32" spans="1:119" x14ac:dyDescent="0.2">
      <c r="A32">
        <f>ROW(Source!A42)</f>
        <v>42</v>
      </c>
      <c r="B32">
        <v>52718353</v>
      </c>
      <c r="C32">
        <v>52718594</v>
      </c>
      <c r="D32">
        <v>51273680</v>
      </c>
      <c r="E32">
        <v>1</v>
      </c>
      <c r="F32">
        <v>1</v>
      </c>
      <c r="G32">
        <v>1</v>
      </c>
      <c r="H32">
        <v>3</v>
      </c>
      <c r="I32" t="s">
        <v>431</v>
      </c>
      <c r="J32" t="s">
        <v>432</v>
      </c>
      <c r="K32" t="s">
        <v>433</v>
      </c>
      <c r="L32">
        <v>1407</v>
      </c>
      <c r="N32">
        <v>1013</v>
      </c>
      <c r="O32" t="s">
        <v>404</v>
      </c>
      <c r="P32" t="s">
        <v>404</v>
      </c>
      <c r="Q32">
        <v>1</v>
      </c>
      <c r="W32">
        <v>0</v>
      </c>
      <c r="X32">
        <v>1838619994</v>
      </c>
      <c r="Y32">
        <f t="shared" si="0"/>
        <v>1.2200000000000001E-2</v>
      </c>
      <c r="AA32">
        <v>1851.81</v>
      </c>
      <c r="AB32">
        <v>0</v>
      </c>
      <c r="AC32">
        <v>0</v>
      </c>
      <c r="AD32">
        <v>0</v>
      </c>
      <c r="AE32">
        <v>1481.45</v>
      </c>
      <c r="AF32">
        <v>0</v>
      </c>
      <c r="AG32">
        <v>0</v>
      </c>
      <c r="AH32">
        <v>0</v>
      </c>
      <c r="AI32">
        <v>1.25</v>
      </c>
      <c r="AJ32">
        <v>1</v>
      </c>
      <c r="AK32">
        <v>1</v>
      </c>
      <c r="AL32">
        <v>1</v>
      </c>
      <c r="AM32">
        <v>2</v>
      </c>
      <c r="AN32">
        <v>0</v>
      </c>
      <c r="AO32">
        <v>0</v>
      </c>
      <c r="AP32">
        <v>0</v>
      </c>
      <c r="AQ32">
        <v>1</v>
      </c>
      <c r="AR32">
        <v>0</v>
      </c>
      <c r="AS32" t="s">
        <v>3</v>
      </c>
      <c r="AT32">
        <v>1.2200000000000001E-2</v>
      </c>
      <c r="AU32" t="s">
        <v>3</v>
      </c>
      <c r="AV32">
        <v>0</v>
      </c>
      <c r="AW32">
        <v>2</v>
      </c>
      <c r="AX32">
        <v>52718613</v>
      </c>
      <c r="AY32">
        <v>1</v>
      </c>
      <c r="AZ32">
        <v>0</v>
      </c>
      <c r="BA32">
        <v>32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18.073690000000003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1</v>
      </c>
      <c r="BQ32">
        <v>18.073690000000003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1</v>
      </c>
      <c r="CV32">
        <v>0</v>
      </c>
      <c r="CW32">
        <v>0</v>
      </c>
      <c r="CX32">
        <f>ROUND(Y32*Source!I42,7)</f>
        <v>2.1350000000000001E-2</v>
      </c>
      <c r="CY32">
        <f t="shared" si="8"/>
        <v>1851.81</v>
      </c>
      <c r="CZ32">
        <f t="shared" si="9"/>
        <v>1481.45</v>
      </c>
      <c r="DA32">
        <f t="shared" si="10"/>
        <v>1.25</v>
      </c>
      <c r="DB32">
        <f t="shared" si="1"/>
        <v>18.07</v>
      </c>
      <c r="DC32">
        <f t="shared" si="2"/>
        <v>0</v>
      </c>
      <c r="DD32" t="s">
        <v>3</v>
      </c>
      <c r="DE32" t="s">
        <v>3</v>
      </c>
      <c r="DF32">
        <f>ROUND(ROUND(AE32*AI32,2)*CX32,2)</f>
        <v>39.54</v>
      </c>
      <c r="DG32">
        <f t="shared" si="7"/>
        <v>0</v>
      </c>
      <c r="DH32">
        <f t="shared" si="5"/>
        <v>0</v>
      </c>
      <c r="DI32">
        <f t="shared" si="6"/>
        <v>0</v>
      </c>
      <c r="DJ32">
        <f t="shared" si="11"/>
        <v>39.54</v>
      </c>
      <c r="DK32">
        <v>0</v>
      </c>
      <c r="DL32" t="s">
        <v>3</v>
      </c>
      <c r="DM32">
        <v>0</v>
      </c>
      <c r="DN32" t="s">
        <v>3</v>
      </c>
      <c r="DO32">
        <v>0</v>
      </c>
    </row>
    <row r="33" spans="1:119" x14ac:dyDescent="0.2">
      <c r="A33">
        <f>ROW(Source!A42)</f>
        <v>42</v>
      </c>
      <c r="B33">
        <v>52718353</v>
      </c>
      <c r="C33">
        <v>52718594</v>
      </c>
      <c r="D33">
        <v>51176163</v>
      </c>
      <c r="E33">
        <v>118</v>
      </c>
      <c r="F33">
        <v>1</v>
      </c>
      <c r="G33">
        <v>1</v>
      </c>
      <c r="H33">
        <v>3</v>
      </c>
      <c r="I33" t="s">
        <v>25</v>
      </c>
      <c r="J33" t="s">
        <v>3</v>
      </c>
      <c r="K33" t="s">
        <v>26</v>
      </c>
      <c r="L33">
        <v>3277935</v>
      </c>
      <c r="N33">
        <v>1013</v>
      </c>
      <c r="O33" t="s">
        <v>27</v>
      </c>
      <c r="P33" t="s">
        <v>27</v>
      </c>
      <c r="Q33">
        <v>1</v>
      </c>
      <c r="W33">
        <v>0</v>
      </c>
      <c r="X33">
        <v>274903907</v>
      </c>
      <c r="Y33">
        <f t="shared" ref="Y33:Y64" si="12">AT33</f>
        <v>2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1</v>
      </c>
      <c r="AK33">
        <v>1</v>
      </c>
      <c r="AL33">
        <v>1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 t="s">
        <v>3</v>
      </c>
      <c r="AT33">
        <v>2</v>
      </c>
      <c r="AU33" t="s">
        <v>3</v>
      </c>
      <c r="AV33">
        <v>0</v>
      </c>
      <c r="AW33">
        <v>2</v>
      </c>
      <c r="AX33">
        <v>52718614</v>
      </c>
      <c r="AY33">
        <v>1</v>
      </c>
      <c r="AZ33">
        <v>0</v>
      </c>
      <c r="BA33">
        <v>33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CV33">
        <v>0</v>
      </c>
      <c r="CW33">
        <v>0</v>
      </c>
      <c r="CX33">
        <f>ROUND(Y33*Source!I42,7)</f>
        <v>3.5</v>
      </c>
      <c r="CY33">
        <f t="shared" si="8"/>
        <v>0</v>
      </c>
      <c r="CZ33">
        <f t="shared" si="9"/>
        <v>0</v>
      </c>
      <c r="DA33">
        <f t="shared" si="10"/>
        <v>1</v>
      </c>
      <c r="DB33">
        <f t="shared" ref="DB33:DB64" si="13">ROUND(ROUND(AT33*CZ33,2),6)</f>
        <v>0</v>
      </c>
      <c r="DC33">
        <f t="shared" ref="DC33:DC64" si="14">ROUND(ROUND(AT33*AG33,2),6)</f>
        <v>0</v>
      </c>
      <c r="DD33" t="s">
        <v>3</v>
      </c>
      <c r="DE33" t="s">
        <v>3</v>
      </c>
      <c r="DF33">
        <f>ROUND(ROUND(AE33,2)*CX33,2)</f>
        <v>0</v>
      </c>
      <c r="DG33">
        <f t="shared" si="7"/>
        <v>0</v>
      </c>
      <c r="DH33">
        <f t="shared" ref="DH33:DH64" si="15">ROUND(ROUND(AG33,2)*CX33,2)</f>
        <v>0</v>
      </c>
      <c r="DI33">
        <f t="shared" ref="DI33:DI64" si="16">ROUND(ROUND(AH33,2)*CX33,2)</f>
        <v>0</v>
      </c>
      <c r="DJ33">
        <f t="shared" si="11"/>
        <v>0</v>
      </c>
      <c r="DK33">
        <v>0</v>
      </c>
      <c r="DL33" t="s">
        <v>3</v>
      </c>
      <c r="DM33">
        <v>0</v>
      </c>
      <c r="DN33" t="s">
        <v>3</v>
      </c>
      <c r="DO33">
        <v>0</v>
      </c>
    </row>
    <row r="34" spans="1:119" x14ac:dyDescent="0.2">
      <c r="A34">
        <f>ROW(Source!A49)</f>
        <v>49</v>
      </c>
      <c r="B34">
        <v>52718353</v>
      </c>
      <c r="C34">
        <v>52718621</v>
      </c>
      <c r="D34">
        <v>51169938</v>
      </c>
      <c r="E34">
        <v>118</v>
      </c>
      <c r="F34">
        <v>1</v>
      </c>
      <c r="G34">
        <v>1</v>
      </c>
      <c r="H34">
        <v>1</v>
      </c>
      <c r="I34" t="s">
        <v>434</v>
      </c>
      <c r="J34" t="s">
        <v>3</v>
      </c>
      <c r="K34" t="s">
        <v>435</v>
      </c>
      <c r="L34">
        <v>1191</v>
      </c>
      <c r="N34">
        <v>1013</v>
      </c>
      <c r="O34" t="s">
        <v>382</v>
      </c>
      <c r="P34" t="s">
        <v>382</v>
      </c>
      <c r="Q34">
        <v>1</v>
      </c>
      <c r="W34">
        <v>0</v>
      </c>
      <c r="X34">
        <v>1522950421</v>
      </c>
      <c r="Y34">
        <f t="shared" si="12"/>
        <v>78.56</v>
      </c>
      <c r="AA34">
        <v>0</v>
      </c>
      <c r="AB34">
        <v>0</v>
      </c>
      <c r="AC34">
        <v>0</v>
      </c>
      <c r="AD34">
        <v>752.9</v>
      </c>
      <c r="AE34">
        <v>0</v>
      </c>
      <c r="AF34">
        <v>0</v>
      </c>
      <c r="AG34">
        <v>0</v>
      </c>
      <c r="AH34">
        <v>752.9</v>
      </c>
      <c r="AI34">
        <v>1</v>
      </c>
      <c r="AJ34">
        <v>1</v>
      </c>
      <c r="AK34">
        <v>1</v>
      </c>
      <c r="AL34">
        <v>1</v>
      </c>
      <c r="AM34">
        <v>-2</v>
      </c>
      <c r="AN34">
        <v>0</v>
      </c>
      <c r="AO34">
        <v>0</v>
      </c>
      <c r="AP34">
        <v>0</v>
      </c>
      <c r="AQ34">
        <v>1</v>
      </c>
      <c r="AR34">
        <v>0</v>
      </c>
      <c r="AS34" t="s">
        <v>3</v>
      </c>
      <c r="AT34">
        <v>78.56</v>
      </c>
      <c r="AU34" t="s">
        <v>3</v>
      </c>
      <c r="AV34">
        <v>1</v>
      </c>
      <c r="AW34">
        <v>2</v>
      </c>
      <c r="AX34">
        <v>52718630</v>
      </c>
      <c r="AY34">
        <v>1</v>
      </c>
      <c r="AZ34">
        <v>0</v>
      </c>
      <c r="BA34">
        <v>34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59147.824000000001</v>
      </c>
      <c r="BN34">
        <v>78.56</v>
      </c>
      <c r="BO34">
        <v>0</v>
      </c>
      <c r="BP34">
        <v>1</v>
      </c>
      <c r="BQ34">
        <v>0</v>
      </c>
      <c r="BR34">
        <v>0</v>
      </c>
      <c r="BS34">
        <v>0</v>
      </c>
      <c r="BT34">
        <v>59147.824000000001</v>
      </c>
      <c r="BU34">
        <v>78.56</v>
      </c>
      <c r="BV34">
        <v>0</v>
      </c>
      <c r="BW34">
        <v>1</v>
      </c>
      <c r="CU34">
        <f>ROUND(AT34*Source!I49*AH34*AL34,2)</f>
        <v>1774.43</v>
      </c>
      <c r="CV34">
        <f>ROUND(Y34*Source!I49,7)</f>
        <v>2.3567999999999998</v>
      </c>
      <c r="CW34">
        <v>0</v>
      </c>
      <c r="CX34">
        <f>ROUND(Y34*Source!I49,7)</f>
        <v>2.3567999999999998</v>
      </c>
      <c r="CY34">
        <f>AD34</f>
        <v>752.9</v>
      </c>
      <c r="CZ34">
        <f>AH34</f>
        <v>752.9</v>
      </c>
      <c r="DA34">
        <f>AL34</f>
        <v>1</v>
      </c>
      <c r="DB34">
        <f t="shared" si="13"/>
        <v>59147.82</v>
      </c>
      <c r="DC34">
        <f t="shared" si="14"/>
        <v>0</v>
      </c>
      <c r="DD34" t="s">
        <v>3</v>
      </c>
      <c r="DE34" t="s">
        <v>3</v>
      </c>
      <c r="DF34">
        <f>ROUND(ROUND(AE34,2)*CX34,2)</f>
        <v>0</v>
      </c>
      <c r="DG34">
        <f t="shared" si="7"/>
        <v>0</v>
      </c>
      <c r="DH34">
        <f t="shared" si="15"/>
        <v>0</v>
      </c>
      <c r="DI34">
        <f t="shared" si="16"/>
        <v>1774.43</v>
      </c>
      <c r="DJ34">
        <f>DI34</f>
        <v>1774.43</v>
      </c>
      <c r="DK34">
        <v>1</v>
      </c>
      <c r="DL34" t="s">
        <v>3</v>
      </c>
      <c r="DM34">
        <v>0</v>
      </c>
      <c r="DN34" t="s">
        <v>3</v>
      </c>
      <c r="DO34">
        <v>0</v>
      </c>
    </row>
    <row r="35" spans="1:119" x14ac:dyDescent="0.2">
      <c r="A35">
        <f>ROW(Source!A49)</f>
        <v>49</v>
      </c>
      <c r="B35">
        <v>52718353</v>
      </c>
      <c r="C35">
        <v>52718621</v>
      </c>
      <c r="D35">
        <v>51170109</v>
      </c>
      <c r="E35">
        <v>118</v>
      </c>
      <c r="F35">
        <v>1</v>
      </c>
      <c r="G35">
        <v>1</v>
      </c>
      <c r="H35">
        <v>1</v>
      </c>
      <c r="I35" t="s">
        <v>380</v>
      </c>
      <c r="J35" t="s">
        <v>3</v>
      </c>
      <c r="K35" t="s">
        <v>381</v>
      </c>
      <c r="L35">
        <v>1191</v>
      </c>
      <c r="N35">
        <v>1013</v>
      </c>
      <c r="O35" t="s">
        <v>382</v>
      </c>
      <c r="P35" t="s">
        <v>382</v>
      </c>
      <c r="Q35">
        <v>1</v>
      </c>
      <c r="W35">
        <v>0</v>
      </c>
      <c r="X35">
        <v>-1417349443</v>
      </c>
      <c r="Y35">
        <f t="shared" si="12"/>
        <v>0.4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1</v>
      </c>
      <c r="AK35">
        <v>1</v>
      </c>
      <c r="AL35">
        <v>1</v>
      </c>
      <c r="AM35">
        <v>-2</v>
      </c>
      <c r="AN35">
        <v>0</v>
      </c>
      <c r="AO35">
        <v>0</v>
      </c>
      <c r="AP35">
        <v>0</v>
      </c>
      <c r="AQ35">
        <v>1</v>
      </c>
      <c r="AR35">
        <v>0</v>
      </c>
      <c r="AS35" t="s">
        <v>3</v>
      </c>
      <c r="AT35">
        <v>0.4</v>
      </c>
      <c r="AU35" t="s">
        <v>3</v>
      </c>
      <c r="AV35">
        <v>2</v>
      </c>
      <c r="AW35">
        <v>2</v>
      </c>
      <c r="AX35">
        <v>52718631</v>
      </c>
      <c r="AY35">
        <v>1</v>
      </c>
      <c r="AZ35">
        <v>0</v>
      </c>
      <c r="BA35">
        <v>35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CV35">
        <v>0</v>
      </c>
      <c r="CW35">
        <v>0</v>
      </c>
      <c r="CX35">
        <f>ROUND(Y35*Source!I49,7)</f>
        <v>1.2E-2</v>
      </c>
      <c r="CY35">
        <f>AD35</f>
        <v>0</v>
      </c>
      <c r="CZ35">
        <f>AH35</f>
        <v>0</v>
      </c>
      <c r="DA35">
        <f>AL35</f>
        <v>1</v>
      </c>
      <c r="DB35">
        <f t="shared" si="13"/>
        <v>0</v>
      </c>
      <c r="DC35">
        <f t="shared" si="14"/>
        <v>0</v>
      </c>
      <c r="DD35" t="s">
        <v>3</v>
      </c>
      <c r="DE35" t="s">
        <v>3</v>
      </c>
      <c r="DF35">
        <f>ROUND(ROUND(AE35,2)*CX35,2)</f>
        <v>0</v>
      </c>
      <c r="DG35">
        <f t="shared" si="7"/>
        <v>0</v>
      </c>
      <c r="DH35">
        <f t="shared" si="15"/>
        <v>0</v>
      </c>
      <c r="DI35">
        <f t="shared" si="16"/>
        <v>0</v>
      </c>
      <c r="DJ35">
        <f>DI35</f>
        <v>0</v>
      </c>
      <c r="DK35">
        <v>0</v>
      </c>
      <c r="DL35" t="s">
        <v>3</v>
      </c>
      <c r="DM35">
        <v>0</v>
      </c>
      <c r="DN35" t="s">
        <v>3</v>
      </c>
      <c r="DO35">
        <v>0</v>
      </c>
    </row>
    <row r="36" spans="1:119" x14ac:dyDescent="0.2">
      <c r="A36">
        <f>ROW(Source!A49)</f>
        <v>49</v>
      </c>
      <c r="B36">
        <v>52718353</v>
      </c>
      <c r="C36">
        <v>52718621</v>
      </c>
      <c r="D36">
        <v>51296566</v>
      </c>
      <c r="E36">
        <v>1</v>
      </c>
      <c r="F36">
        <v>1</v>
      </c>
      <c r="G36">
        <v>1</v>
      </c>
      <c r="H36">
        <v>2</v>
      </c>
      <c r="I36" t="s">
        <v>410</v>
      </c>
      <c r="J36" t="s">
        <v>411</v>
      </c>
      <c r="K36" t="s">
        <v>412</v>
      </c>
      <c r="L36">
        <v>1368</v>
      </c>
      <c r="N36">
        <v>1011</v>
      </c>
      <c r="O36" t="s">
        <v>386</v>
      </c>
      <c r="P36" t="s">
        <v>386</v>
      </c>
      <c r="Q36">
        <v>1</v>
      </c>
      <c r="W36">
        <v>0</v>
      </c>
      <c r="X36">
        <v>-1068589559</v>
      </c>
      <c r="Y36">
        <f t="shared" si="12"/>
        <v>0.2</v>
      </c>
      <c r="AA36">
        <v>0</v>
      </c>
      <c r="AB36">
        <v>1585.56</v>
      </c>
      <c r="AC36">
        <v>982.04</v>
      </c>
      <c r="AD36">
        <v>0</v>
      </c>
      <c r="AE36">
        <v>0</v>
      </c>
      <c r="AF36">
        <v>1585.56</v>
      </c>
      <c r="AG36">
        <v>982.04</v>
      </c>
      <c r="AH36">
        <v>0</v>
      </c>
      <c r="AI36">
        <v>1</v>
      </c>
      <c r="AJ36">
        <v>1</v>
      </c>
      <c r="AK36">
        <v>1</v>
      </c>
      <c r="AL36">
        <v>1</v>
      </c>
      <c r="AM36">
        <v>-2</v>
      </c>
      <c r="AN36">
        <v>0</v>
      </c>
      <c r="AO36">
        <v>0</v>
      </c>
      <c r="AP36">
        <v>0</v>
      </c>
      <c r="AQ36">
        <v>1</v>
      </c>
      <c r="AR36">
        <v>0</v>
      </c>
      <c r="AS36" t="s">
        <v>3</v>
      </c>
      <c r="AT36">
        <v>0.2</v>
      </c>
      <c r="AU36" t="s">
        <v>3</v>
      </c>
      <c r="AV36">
        <v>1</v>
      </c>
      <c r="AW36">
        <v>2</v>
      </c>
      <c r="AX36">
        <v>52718632</v>
      </c>
      <c r="AY36">
        <v>1</v>
      </c>
      <c r="AZ36">
        <v>0</v>
      </c>
      <c r="BA36">
        <v>36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317.11200000000002</v>
      </c>
      <c r="BL36">
        <v>196.40800000000002</v>
      </c>
      <c r="BM36">
        <v>0</v>
      </c>
      <c r="BN36">
        <v>0</v>
      </c>
      <c r="BO36">
        <v>0.2</v>
      </c>
      <c r="BP36">
        <v>1</v>
      </c>
      <c r="BQ36">
        <v>0</v>
      </c>
      <c r="BR36">
        <v>317.11200000000002</v>
      </c>
      <c r="BS36">
        <v>196.40800000000002</v>
      </c>
      <c r="BT36">
        <v>0</v>
      </c>
      <c r="BU36">
        <v>0</v>
      </c>
      <c r="BV36">
        <v>0.2</v>
      </c>
      <c r="BW36">
        <v>1</v>
      </c>
      <c r="CV36">
        <v>0</v>
      </c>
      <c r="CW36">
        <f>ROUND(Y36*Source!I49*DO36,7)</f>
        <v>6.0000000000000001E-3</v>
      </c>
      <c r="CX36">
        <f>ROUND(Y36*Source!I49,7)</f>
        <v>6.0000000000000001E-3</v>
      </c>
      <c r="CY36">
        <f>AB36</f>
        <v>1585.56</v>
      </c>
      <c r="CZ36">
        <f>AF36</f>
        <v>1585.56</v>
      </c>
      <c r="DA36">
        <f>AJ36</f>
        <v>1</v>
      </c>
      <c r="DB36">
        <f t="shared" si="13"/>
        <v>317.11</v>
      </c>
      <c r="DC36">
        <f t="shared" si="14"/>
        <v>196.41</v>
      </c>
      <c r="DD36" t="s">
        <v>3</v>
      </c>
      <c r="DE36" t="s">
        <v>3</v>
      </c>
      <c r="DF36">
        <f>ROUND(ROUND(AE36,2)*CX36,2)</f>
        <v>0</v>
      </c>
      <c r="DG36">
        <f t="shared" si="7"/>
        <v>9.51</v>
      </c>
      <c r="DH36">
        <f t="shared" si="15"/>
        <v>5.89</v>
      </c>
      <c r="DI36">
        <f t="shared" si="16"/>
        <v>0</v>
      </c>
      <c r="DJ36">
        <f>DG36+DH36</f>
        <v>15.399999999999999</v>
      </c>
      <c r="DK36">
        <v>1</v>
      </c>
      <c r="DL36" t="s">
        <v>413</v>
      </c>
      <c r="DM36">
        <v>6</v>
      </c>
      <c r="DN36" t="s">
        <v>382</v>
      </c>
      <c r="DO36">
        <v>1</v>
      </c>
    </row>
    <row r="37" spans="1:119" x14ac:dyDescent="0.2">
      <c r="A37">
        <f>ROW(Source!A49)</f>
        <v>49</v>
      </c>
      <c r="B37">
        <v>52718353</v>
      </c>
      <c r="C37">
        <v>52718621</v>
      </c>
      <c r="D37">
        <v>51297468</v>
      </c>
      <c r="E37">
        <v>1</v>
      </c>
      <c r="F37">
        <v>1</v>
      </c>
      <c r="G37">
        <v>1</v>
      </c>
      <c r="H37">
        <v>2</v>
      </c>
      <c r="I37" t="s">
        <v>383</v>
      </c>
      <c r="J37" t="s">
        <v>384</v>
      </c>
      <c r="K37" t="s">
        <v>385</v>
      </c>
      <c r="L37">
        <v>1368</v>
      </c>
      <c r="N37">
        <v>1011</v>
      </c>
      <c r="O37" t="s">
        <v>386</v>
      </c>
      <c r="P37" t="s">
        <v>386</v>
      </c>
      <c r="Q37">
        <v>1</v>
      </c>
      <c r="W37">
        <v>0</v>
      </c>
      <c r="X37">
        <v>-312038840</v>
      </c>
      <c r="Y37">
        <f t="shared" si="12"/>
        <v>0.2</v>
      </c>
      <c r="AA37">
        <v>0</v>
      </c>
      <c r="AB37">
        <v>544.91999999999996</v>
      </c>
      <c r="AC37">
        <v>731.08</v>
      </c>
      <c r="AD37">
        <v>0</v>
      </c>
      <c r="AE37">
        <v>0</v>
      </c>
      <c r="AF37">
        <v>544.91999999999996</v>
      </c>
      <c r="AG37">
        <v>731.08</v>
      </c>
      <c r="AH37">
        <v>0</v>
      </c>
      <c r="AI37">
        <v>1</v>
      </c>
      <c r="AJ37">
        <v>1</v>
      </c>
      <c r="AK37">
        <v>1</v>
      </c>
      <c r="AL37">
        <v>1</v>
      </c>
      <c r="AM37">
        <v>-2</v>
      </c>
      <c r="AN37">
        <v>0</v>
      </c>
      <c r="AO37">
        <v>0</v>
      </c>
      <c r="AP37">
        <v>0</v>
      </c>
      <c r="AQ37">
        <v>1</v>
      </c>
      <c r="AR37">
        <v>0</v>
      </c>
      <c r="AS37" t="s">
        <v>3</v>
      </c>
      <c r="AT37">
        <v>0.2</v>
      </c>
      <c r="AU37" t="s">
        <v>3</v>
      </c>
      <c r="AV37">
        <v>1</v>
      </c>
      <c r="AW37">
        <v>2</v>
      </c>
      <c r="AX37">
        <v>52718633</v>
      </c>
      <c r="AY37">
        <v>1</v>
      </c>
      <c r="AZ37">
        <v>0</v>
      </c>
      <c r="BA37">
        <v>37</v>
      </c>
      <c r="BB37">
        <v>1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108.98399999999999</v>
      </c>
      <c r="BL37">
        <v>146.21600000000001</v>
      </c>
      <c r="BM37">
        <v>0</v>
      </c>
      <c r="BN37">
        <v>0</v>
      </c>
      <c r="BO37">
        <v>0.2</v>
      </c>
      <c r="BP37">
        <v>1</v>
      </c>
      <c r="BQ37">
        <v>0</v>
      </c>
      <c r="BR37">
        <v>108.98399999999999</v>
      </c>
      <c r="BS37">
        <v>146.21600000000001</v>
      </c>
      <c r="BT37">
        <v>0</v>
      </c>
      <c r="BU37">
        <v>0</v>
      </c>
      <c r="BV37">
        <v>0.2</v>
      </c>
      <c r="BW37">
        <v>1</v>
      </c>
      <c r="CV37">
        <v>0</v>
      </c>
      <c r="CW37">
        <f>ROUND(Y37*Source!I49*DO37,7)</f>
        <v>6.0000000000000001E-3</v>
      </c>
      <c r="CX37">
        <f>ROUND(Y37*Source!I49,7)</f>
        <v>6.0000000000000001E-3</v>
      </c>
      <c r="CY37">
        <f>AB37</f>
        <v>544.91999999999996</v>
      </c>
      <c r="CZ37">
        <f>AF37</f>
        <v>544.91999999999996</v>
      </c>
      <c r="DA37">
        <f>AJ37</f>
        <v>1</v>
      </c>
      <c r="DB37">
        <f t="shared" si="13"/>
        <v>108.98</v>
      </c>
      <c r="DC37">
        <f t="shared" si="14"/>
        <v>146.22</v>
      </c>
      <c r="DD37" t="s">
        <v>3</v>
      </c>
      <c r="DE37" t="s">
        <v>3</v>
      </c>
      <c r="DF37">
        <f>ROUND(ROUND(AE37,2)*CX37,2)</f>
        <v>0</v>
      </c>
      <c r="DG37">
        <f t="shared" si="7"/>
        <v>3.27</v>
      </c>
      <c r="DH37">
        <f t="shared" si="15"/>
        <v>4.3899999999999997</v>
      </c>
      <c r="DI37">
        <f t="shared" si="16"/>
        <v>0</v>
      </c>
      <c r="DJ37">
        <f>DG37+DH37</f>
        <v>7.66</v>
      </c>
      <c r="DK37">
        <v>1</v>
      </c>
      <c r="DL37" t="s">
        <v>387</v>
      </c>
      <c r="DM37">
        <v>4</v>
      </c>
      <c r="DN37" t="s">
        <v>382</v>
      </c>
      <c r="DO37">
        <v>1</v>
      </c>
    </row>
    <row r="38" spans="1:119" x14ac:dyDescent="0.2">
      <c r="A38">
        <f>ROW(Source!A49)</f>
        <v>49</v>
      </c>
      <c r="B38">
        <v>52718353</v>
      </c>
      <c r="C38">
        <v>52718621</v>
      </c>
      <c r="D38">
        <v>51246841</v>
      </c>
      <c r="E38">
        <v>1</v>
      </c>
      <c r="F38">
        <v>1</v>
      </c>
      <c r="G38">
        <v>1</v>
      </c>
      <c r="H38">
        <v>3</v>
      </c>
      <c r="I38" t="s">
        <v>414</v>
      </c>
      <c r="J38" t="s">
        <v>415</v>
      </c>
      <c r="K38" t="s">
        <v>416</v>
      </c>
      <c r="L38">
        <v>1301</v>
      </c>
      <c r="N38">
        <v>1003</v>
      </c>
      <c r="O38" t="s">
        <v>31</v>
      </c>
      <c r="P38" t="s">
        <v>31</v>
      </c>
      <c r="Q38">
        <v>1</v>
      </c>
      <c r="W38">
        <v>0</v>
      </c>
      <c r="X38">
        <v>1043352333</v>
      </c>
      <c r="Y38">
        <f t="shared" si="12"/>
        <v>17.5</v>
      </c>
      <c r="AA38">
        <v>5.1100000000000003</v>
      </c>
      <c r="AB38">
        <v>0</v>
      </c>
      <c r="AC38">
        <v>0</v>
      </c>
      <c r="AD38">
        <v>0</v>
      </c>
      <c r="AE38">
        <v>5.87</v>
      </c>
      <c r="AF38">
        <v>0</v>
      </c>
      <c r="AG38">
        <v>0</v>
      </c>
      <c r="AH38">
        <v>0</v>
      </c>
      <c r="AI38">
        <v>0.87</v>
      </c>
      <c r="AJ38">
        <v>1</v>
      </c>
      <c r="AK38">
        <v>1</v>
      </c>
      <c r="AL38">
        <v>1</v>
      </c>
      <c r="AM38">
        <v>2</v>
      </c>
      <c r="AN38">
        <v>0</v>
      </c>
      <c r="AO38">
        <v>0</v>
      </c>
      <c r="AP38">
        <v>0</v>
      </c>
      <c r="AQ38">
        <v>1</v>
      </c>
      <c r="AR38">
        <v>0</v>
      </c>
      <c r="AS38" t="s">
        <v>3</v>
      </c>
      <c r="AT38">
        <v>17.5</v>
      </c>
      <c r="AU38" t="s">
        <v>3</v>
      </c>
      <c r="AV38">
        <v>0</v>
      </c>
      <c r="AW38">
        <v>2</v>
      </c>
      <c r="AX38">
        <v>52718634</v>
      </c>
      <c r="AY38">
        <v>1</v>
      </c>
      <c r="AZ38">
        <v>0</v>
      </c>
      <c r="BA38">
        <v>38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102.72500000000001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1</v>
      </c>
      <c r="BQ38">
        <v>102.72500000000001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1</v>
      </c>
      <c r="CV38">
        <v>0</v>
      </c>
      <c r="CW38">
        <v>0</v>
      </c>
      <c r="CX38">
        <f>ROUND(Y38*Source!I49,7)</f>
        <v>0.52500000000000002</v>
      </c>
      <c r="CY38">
        <f>AA38</f>
        <v>5.1100000000000003</v>
      </c>
      <c r="CZ38">
        <f>AE38</f>
        <v>5.87</v>
      </c>
      <c r="DA38">
        <f>AI38</f>
        <v>0.87</v>
      </c>
      <c r="DB38">
        <f t="shared" si="13"/>
        <v>102.73</v>
      </c>
      <c r="DC38">
        <f t="shared" si="14"/>
        <v>0</v>
      </c>
      <c r="DD38" t="s">
        <v>3</v>
      </c>
      <c r="DE38" t="s">
        <v>3</v>
      </c>
      <c r="DF38">
        <f>ROUND(ROUND(AE38*AI38,2)*CX38,2)</f>
        <v>2.68</v>
      </c>
      <c r="DG38">
        <f t="shared" si="7"/>
        <v>0</v>
      </c>
      <c r="DH38">
        <f t="shared" si="15"/>
        <v>0</v>
      </c>
      <c r="DI38">
        <f t="shared" si="16"/>
        <v>0</v>
      </c>
      <c r="DJ38">
        <f>DF38</f>
        <v>2.68</v>
      </c>
      <c r="DK38">
        <v>0</v>
      </c>
      <c r="DL38" t="s">
        <v>3</v>
      </c>
      <c r="DM38">
        <v>0</v>
      </c>
      <c r="DN38" t="s">
        <v>3</v>
      </c>
      <c r="DO38">
        <v>0</v>
      </c>
    </row>
    <row r="39" spans="1:119" x14ac:dyDescent="0.2">
      <c r="A39">
        <f>ROW(Source!A49)</f>
        <v>49</v>
      </c>
      <c r="B39">
        <v>52718353</v>
      </c>
      <c r="C39">
        <v>52718621</v>
      </c>
      <c r="D39">
        <v>51248246</v>
      </c>
      <c r="E39">
        <v>1</v>
      </c>
      <c r="F39">
        <v>1</v>
      </c>
      <c r="G39">
        <v>1</v>
      </c>
      <c r="H39">
        <v>3</v>
      </c>
      <c r="I39" t="s">
        <v>436</v>
      </c>
      <c r="J39" t="s">
        <v>437</v>
      </c>
      <c r="K39" t="s">
        <v>438</v>
      </c>
      <c r="L39">
        <v>1425</v>
      </c>
      <c r="N39">
        <v>1013</v>
      </c>
      <c r="O39" t="s">
        <v>56</v>
      </c>
      <c r="P39" t="s">
        <v>56</v>
      </c>
      <c r="Q39">
        <v>1</v>
      </c>
      <c r="W39">
        <v>0</v>
      </c>
      <c r="X39">
        <v>-910460444</v>
      </c>
      <c r="Y39">
        <f t="shared" si="12"/>
        <v>4.08</v>
      </c>
      <c r="AA39">
        <v>54.64</v>
      </c>
      <c r="AB39">
        <v>0</v>
      </c>
      <c r="AC39">
        <v>0</v>
      </c>
      <c r="AD39">
        <v>0</v>
      </c>
      <c r="AE39">
        <v>41.71</v>
      </c>
      <c r="AF39">
        <v>0</v>
      </c>
      <c r="AG39">
        <v>0</v>
      </c>
      <c r="AH39">
        <v>0</v>
      </c>
      <c r="AI39">
        <v>1.31</v>
      </c>
      <c r="AJ39">
        <v>1</v>
      </c>
      <c r="AK39">
        <v>1</v>
      </c>
      <c r="AL39">
        <v>1</v>
      </c>
      <c r="AM39">
        <v>2</v>
      </c>
      <c r="AN39">
        <v>0</v>
      </c>
      <c r="AO39">
        <v>0</v>
      </c>
      <c r="AP39">
        <v>0</v>
      </c>
      <c r="AQ39">
        <v>1</v>
      </c>
      <c r="AR39">
        <v>0</v>
      </c>
      <c r="AS39" t="s">
        <v>3</v>
      </c>
      <c r="AT39">
        <v>4.08</v>
      </c>
      <c r="AU39" t="s">
        <v>3</v>
      </c>
      <c r="AV39">
        <v>0</v>
      </c>
      <c r="AW39">
        <v>2</v>
      </c>
      <c r="AX39">
        <v>52718635</v>
      </c>
      <c r="AY39">
        <v>1</v>
      </c>
      <c r="AZ39">
        <v>0</v>
      </c>
      <c r="BA39">
        <v>39</v>
      </c>
      <c r="BB39">
        <v>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170.17680000000001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170.17680000000001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1</v>
      </c>
      <c r="CV39">
        <v>0</v>
      </c>
      <c r="CW39">
        <v>0</v>
      </c>
      <c r="CX39">
        <f>ROUND(Y39*Source!I49,7)</f>
        <v>0.12239999999999999</v>
      </c>
      <c r="CY39">
        <f>AA39</f>
        <v>54.64</v>
      </c>
      <c r="CZ39">
        <f>AE39</f>
        <v>41.71</v>
      </c>
      <c r="DA39">
        <f>AI39</f>
        <v>1.31</v>
      </c>
      <c r="DB39">
        <f t="shared" si="13"/>
        <v>170.18</v>
      </c>
      <c r="DC39">
        <f t="shared" si="14"/>
        <v>0</v>
      </c>
      <c r="DD39" t="s">
        <v>3</v>
      </c>
      <c r="DE39" t="s">
        <v>3</v>
      </c>
      <c r="DF39">
        <f>ROUND(ROUND(AE39*AI39,2)*CX39,2)</f>
        <v>6.69</v>
      </c>
      <c r="DG39">
        <f t="shared" si="7"/>
        <v>0</v>
      </c>
      <c r="DH39">
        <f t="shared" si="15"/>
        <v>0</v>
      </c>
      <c r="DI39">
        <f t="shared" si="16"/>
        <v>0</v>
      </c>
      <c r="DJ39">
        <f>DF39</f>
        <v>6.69</v>
      </c>
      <c r="DK39">
        <v>0</v>
      </c>
      <c r="DL39" t="s">
        <v>3</v>
      </c>
      <c r="DM39">
        <v>0</v>
      </c>
      <c r="DN39" t="s">
        <v>3</v>
      </c>
      <c r="DO39">
        <v>0</v>
      </c>
    </row>
    <row r="40" spans="1:119" x14ac:dyDescent="0.2">
      <c r="A40">
        <f>ROW(Source!A49)</f>
        <v>49</v>
      </c>
      <c r="B40">
        <v>52718353</v>
      </c>
      <c r="C40">
        <v>52718621</v>
      </c>
      <c r="D40">
        <v>51281495</v>
      </c>
      <c r="E40">
        <v>1</v>
      </c>
      <c r="F40">
        <v>1</v>
      </c>
      <c r="G40">
        <v>1</v>
      </c>
      <c r="H40">
        <v>3</v>
      </c>
      <c r="I40" t="s">
        <v>439</v>
      </c>
      <c r="J40" t="s">
        <v>440</v>
      </c>
      <c r="K40" t="s">
        <v>441</v>
      </c>
      <c r="L40">
        <v>1348</v>
      </c>
      <c r="N40">
        <v>1009</v>
      </c>
      <c r="O40" t="s">
        <v>126</v>
      </c>
      <c r="P40" t="s">
        <v>126</v>
      </c>
      <c r="Q40">
        <v>1000</v>
      </c>
      <c r="W40">
        <v>0</v>
      </c>
      <c r="X40">
        <v>1835177067</v>
      </c>
      <c r="Y40">
        <f t="shared" si="12"/>
        <v>1.5299999999999999E-3</v>
      </c>
      <c r="AA40">
        <v>1204832.6599999999</v>
      </c>
      <c r="AB40">
        <v>0</v>
      </c>
      <c r="AC40">
        <v>0</v>
      </c>
      <c r="AD40">
        <v>0</v>
      </c>
      <c r="AE40">
        <v>948687.13</v>
      </c>
      <c r="AF40">
        <v>0</v>
      </c>
      <c r="AG40">
        <v>0</v>
      </c>
      <c r="AH40">
        <v>0</v>
      </c>
      <c r="AI40">
        <v>1.27</v>
      </c>
      <c r="AJ40">
        <v>1</v>
      </c>
      <c r="AK40">
        <v>1</v>
      </c>
      <c r="AL40">
        <v>1</v>
      </c>
      <c r="AM40">
        <v>2</v>
      </c>
      <c r="AN40">
        <v>0</v>
      </c>
      <c r="AO40">
        <v>0</v>
      </c>
      <c r="AP40">
        <v>0</v>
      </c>
      <c r="AQ40">
        <v>1</v>
      </c>
      <c r="AR40">
        <v>0</v>
      </c>
      <c r="AS40" t="s">
        <v>3</v>
      </c>
      <c r="AT40">
        <v>1.5299999999999999E-3</v>
      </c>
      <c r="AU40" t="s">
        <v>3</v>
      </c>
      <c r="AV40">
        <v>0</v>
      </c>
      <c r="AW40">
        <v>2</v>
      </c>
      <c r="AX40">
        <v>52718636</v>
      </c>
      <c r="AY40">
        <v>1</v>
      </c>
      <c r="AZ40">
        <v>0</v>
      </c>
      <c r="BA40">
        <v>40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1451.4913088999999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1</v>
      </c>
      <c r="BQ40">
        <v>1451.4913088999999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1</v>
      </c>
      <c r="CV40">
        <v>0</v>
      </c>
      <c r="CW40">
        <v>0</v>
      </c>
      <c r="CX40">
        <f>ROUND(Y40*Source!I49,7)</f>
        <v>4.5899999999999998E-5</v>
      </c>
      <c r="CY40">
        <f>AA40</f>
        <v>1204832.6599999999</v>
      </c>
      <c r="CZ40">
        <f>AE40</f>
        <v>948687.13</v>
      </c>
      <c r="DA40">
        <f>AI40</f>
        <v>1.27</v>
      </c>
      <c r="DB40">
        <f t="shared" si="13"/>
        <v>1451.49</v>
      </c>
      <c r="DC40">
        <f t="shared" si="14"/>
        <v>0</v>
      </c>
      <c r="DD40" t="s">
        <v>3</v>
      </c>
      <c r="DE40" t="s">
        <v>3</v>
      </c>
      <c r="DF40">
        <f>ROUND(ROUND(AE40*AI40,2)*CX40,2)</f>
        <v>55.3</v>
      </c>
      <c r="DG40">
        <f t="shared" si="7"/>
        <v>0</v>
      </c>
      <c r="DH40">
        <f t="shared" si="15"/>
        <v>0</v>
      </c>
      <c r="DI40">
        <f t="shared" si="16"/>
        <v>0</v>
      </c>
      <c r="DJ40">
        <f>DF40</f>
        <v>55.3</v>
      </c>
      <c r="DK40">
        <v>0</v>
      </c>
      <c r="DL40" t="s">
        <v>3</v>
      </c>
      <c r="DM40">
        <v>0</v>
      </c>
      <c r="DN40" t="s">
        <v>3</v>
      </c>
      <c r="DO40">
        <v>0</v>
      </c>
    </row>
    <row r="41" spans="1:119" x14ac:dyDescent="0.2">
      <c r="A41">
        <f>ROW(Source!A49)</f>
        <v>49</v>
      </c>
      <c r="B41">
        <v>52718353</v>
      </c>
      <c r="C41">
        <v>52718621</v>
      </c>
      <c r="D41">
        <v>51176163</v>
      </c>
      <c r="E41">
        <v>118</v>
      </c>
      <c r="F41">
        <v>1</v>
      </c>
      <c r="G41">
        <v>1</v>
      </c>
      <c r="H41">
        <v>3</v>
      </c>
      <c r="I41" t="s">
        <v>25</v>
      </c>
      <c r="J41" t="s">
        <v>3</v>
      </c>
      <c r="K41" t="s">
        <v>26</v>
      </c>
      <c r="L41">
        <v>3277935</v>
      </c>
      <c r="N41">
        <v>1013</v>
      </c>
      <c r="O41" t="s">
        <v>27</v>
      </c>
      <c r="P41" t="s">
        <v>27</v>
      </c>
      <c r="Q41">
        <v>1</v>
      </c>
      <c r="W41">
        <v>0</v>
      </c>
      <c r="X41">
        <v>274903907</v>
      </c>
      <c r="Y41">
        <f t="shared" si="12"/>
        <v>2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 t="s">
        <v>3</v>
      </c>
      <c r="AT41">
        <v>2</v>
      </c>
      <c r="AU41" t="s">
        <v>3</v>
      </c>
      <c r="AV41">
        <v>0</v>
      </c>
      <c r="AW41">
        <v>2</v>
      </c>
      <c r="AX41">
        <v>52718637</v>
      </c>
      <c r="AY41">
        <v>1</v>
      </c>
      <c r="AZ41">
        <v>0</v>
      </c>
      <c r="BA41">
        <v>41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CV41">
        <v>0</v>
      </c>
      <c r="CW41">
        <v>0</v>
      </c>
      <c r="CX41">
        <f>ROUND(Y41*Source!I49,7)</f>
        <v>0.06</v>
      </c>
      <c r="CY41">
        <f>AA41</f>
        <v>0</v>
      </c>
      <c r="CZ41">
        <f>AE41</f>
        <v>0</v>
      </c>
      <c r="DA41">
        <f>AI41</f>
        <v>1</v>
      </c>
      <c r="DB41">
        <f t="shared" si="13"/>
        <v>0</v>
      </c>
      <c r="DC41">
        <f t="shared" si="14"/>
        <v>0</v>
      </c>
      <c r="DD41" t="s">
        <v>3</v>
      </c>
      <c r="DE41" t="s">
        <v>3</v>
      </c>
      <c r="DF41">
        <f t="shared" ref="DF41:DF46" si="17">ROUND(ROUND(AE41,2)*CX41,2)</f>
        <v>0</v>
      </c>
      <c r="DG41">
        <f t="shared" si="7"/>
        <v>0</v>
      </c>
      <c r="DH41">
        <f t="shared" si="15"/>
        <v>0</v>
      </c>
      <c r="DI41">
        <f t="shared" si="16"/>
        <v>0</v>
      </c>
      <c r="DJ41">
        <f>DF41</f>
        <v>0</v>
      </c>
      <c r="DK41">
        <v>0</v>
      </c>
      <c r="DL41" t="s">
        <v>3</v>
      </c>
      <c r="DM41">
        <v>0</v>
      </c>
      <c r="DN41" t="s">
        <v>3</v>
      </c>
      <c r="DO41">
        <v>0</v>
      </c>
    </row>
    <row r="42" spans="1:119" x14ac:dyDescent="0.2">
      <c r="A42">
        <f>ROW(Source!A54)</f>
        <v>54</v>
      </c>
      <c r="B42">
        <v>52718353</v>
      </c>
      <c r="C42">
        <v>52718642</v>
      </c>
      <c r="D42">
        <v>51169920</v>
      </c>
      <c r="E42">
        <v>118</v>
      </c>
      <c r="F42">
        <v>1</v>
      </c>
      <c r="G42">
        <v>1</v>
      </c>
      <c r="H42">
        <v>1</v>
      </c>
      <c r="I42" t="s">
        <v>442</v>
      </c>
      <c r="J42" t="s">
        <v>3</v>
      </c>
      <c r="K42" t="s">
        <v>443</v>
      </c>
      <c r="L42">
        <v>1191</v>
      </c>
      <c r="N42">
        <v>1013</v>
      </c>
      <c r="O42" t="s">
        <v>382</v>
      </c>
      <c r="P42" t="s">
        <v>382</v>
      </c>
      <c r="Q42">
        <v>1</v>
      </c>
      <c r="W42">
        <v>0</v>
      </c>
      <c r="X42">
        <v>-715079457</v>
      </c>
      <c r="Y42">
        <f t="shared" si="12"/>
        <v>10.3</v>
      </c>
      <c r="AA42">
        <v>0</v>
      </c>
      <c r="AB42">
        <v>0</v>
      </c>
      <c r="AC42">
        <v>0</v>
      </c>
      <c r="AD42">
        <v>690.16</v>
      </c>
      <c r="AE42">
        <v>0</v>
      </c>
      <c r="AF42">
        <v>0</v>
      </c>
      <c r="AG42">
        <v>0</v>
      </c>
      <c r="AH42">
        <v>690.16</v>
      </c>
      <c r="AI42">
        <v>1</v>
      </c>
      <c r="AJ42">
        <v>1</v>
      </c>
      <c r="AK42">
        <v>1</v>
      </c>
      <c r="AL42">
        <v>1</v>
      </c>
      <c r="AM42">
        <v>-2</v>
      </c>
      <c r="AN42">
        <v>0</v>
      </c>
      <c r="AO42">
        <v>0</v>
      </c>
      <c r="AP42">
        <v>1</v>
      </c>
      <c r="AQ42">
        <v>1</v>
      </c>
      <c r="AR42">
        <v>0</v>
      </c>
      <c r="AS42" t="s">
        <v>3</v>
      </c>
      <c r="AT42">
        <v>10.3</v>
      </c>
      <c r="AU42" t="s">
        <v>3</v>
      </c>
      <c r="AV42">
        <v>1</v>
      </c>
      <c r="AW42">
        <v>2</v>
      </c>
      <c r="AX42">
        <v>52718648</v>
      </c>
      <c r="AY42">
        <v>1</v>
      </c>
      <c r="AZ42">
        <v>0</v>
      </c>
      <c r="BA42">
        <v>42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7108.6480000000001</v>
      </c>
      <c r="BN42">
        <v>10.3</v>
      </c>
      <c r="BO42">
        <v>0</v>
      </c>
      <c r="BP42">
        <v>1</v>
      </c>
      <c r="BQ42">
        <v>0</v>
      </c>
      <c r="BR42">
        <v>0</v>
      </c>
      <c r="BS42">
        <v>0</v>
      </c>
      <c r="BT42">
        <v>7108.6480000000001</v>
      </c>
      <c r="BU42">
        <v>10.3</v>
      </c>
      <c r="BV42">
        <v>0</v>
      </c>
      <c r="BW42">
        <v>1</v>
      </c>
      <c r="CU42">
        <f>ROUND(AT42*Source!I54*AH42*AL42,2)</f>
        <v>14217.3</v>
      </c>
      <c r="CV42">
        <f>ROUND(Y42*Source!I54,7)</f>
        <v>20.6</v>
      </c>
      <c r="CW42">
        <v>0</v>
      </c>
      <c r="CX42">
        <f>ROUND(Y42*Source!I54,7)</f>
        <v>20.6</v>
      </c>
      <c r="CY42">
        <f>AD42</f>
        <v>690.16</v>
      </c>
      <c r="CZ42">
        <f>AH42</f>
        <v>690.16</v>
      </c>
      <c r="DA42">
        <f>AL42</f>
        <v>1</v>
      </c>
      <c r="DB42">
        <f t="shared" si="13"/>
        <v>7108.65</v>
      </c>
      <c r="DC42">
        <f t="shared" si="14"/>
        <v>0</v>
      </c>
      <c r="DD42" t="s">
        <v>3</v>
      </c>
      <c r="DE42" t="s">
        <v>3</v>
      </c>
      <c r="DF42">
        <f t="shared" si="17"/>
        <v>0</v>
      </c>
      <c r="DG42">
        <f t="shared" si="7"/>
        <v>0</v>
      </c>
      <c r="DH42">
        <f t="shared" si="15"/>
        <v>0</v>
      </c>
      <c r="DI42">
        <f t="shared" si="16"/>
        <v>14217.3</v>
      </c>
      <c r="DJ42">
        <f>DI42</f>
        <v>14217.3</v>
      </c>
      <c r="DK42">
        <v>1</v>
      </c>
      <c r="DL42" t="s">
        <v>3</v>
      </c>
      <c r="DM42">
        <v>0</v>
      </c>
      <c r="DN42" t="s">
        <v>3</v>
      </c>
      <c r="DO42">
        <v>0</v>
      </c>
    </row>
    <row r="43" spans="1:119" x14ac:dyDescent="0.2">
      <c r="A43">
        <f>ROW(Source!A54)</f>
        <v>54</v>
      </c>
      <c r="B43">
        <v>52718353</v>
      </c>
      <c r="C43">
        <v>52718642</v>
      </c>
      <c r="D43">
        <v>51246685</v>
      </c>
      <c r="E43">
        <v>1</v>
      </c>
      <c r="F43">
        <v>1</v>
      </c>
      <c r="G43">
        <v>1</v>
      </c>
      <c r="H43">
        <v>3</v>
      </c>
      <c r="I43" t="s">
        <v>388</v>
      </c>
      <c r="J43" t="s">
        <v>389</v>
      </c>
      <c r="K43" t="s">
        <v>390</v>
      </c>
      <c r="L43">
        <v>1383</v>
      </c>
      <c r="N43">
        <v>1013</v>
      </c>
      <c r="O43" t="s">
        <v>391</v>
      </c>
      <c r="P43" t="s">
        <v>391</v>
      </c>
      <c r="Q43">
        <v>1</v>
      </c>
      <c r="W43">
        <v>0</v>
      </c>
      <c r="X43">
        <v>-182421198</v>
      </c>
      <c r="Y43">
        <f t="shared" si="12"/>
        <v>0.49</v>
      </c>
      <c r="AA43">
        <v>6.92</v>
      </c>
      <c r="AB43">
        <v>0</v>
      </c>
      <c r="AC43">
        <v>0</v>
      </c>
      <c r="AD43">
        <v>0</v>
      </c>
      <c r="AE43">
        <v>6.92</v>
      </c>
      <c r="AF43">
        <v>0</v>
      </c>
      <c r="AG43">
        <v>0</v>
      </c>
      <c r="AH43">
        <v>0</v>
      </c>
      <c r="AI43">
        <v>1</v>
      </c>
      <c r="AJ43">
        <v>1</v>
      </c>
      <c r="AK43">
        <v>1</v>
      </c>
      <c r="AL43">
        <v>1</v>
      </c>
      <c r="AM43">
        <v>-2</v>
      </c>
      <c r="AN43">
        <v>0</v>
      </c>
      <c r="AO43">
        <v>0</v>
      </c>
      <c r="AP43">
        <v>1</v>
      </c>
      <c r="AQ43">
        <v>1</v>
      </c>
      <c r="AR43">
        <v>0</v>
      </c>
      <c r="AS43" t="s">
        <v>3</v>
      </c>
      <c r="AT43">
        <v>0.49</v>
      </c>
      <c r="AU43" t="s">
        <v>3</v>
      </c>
      <c r="AV43">
        <v>0</v>
      </c>
      <c r="AW43">
        <v>2</v>
      </c>
      <c r="AX43">
        <v>52718649</v>
      </c>
      <c r="AY43">
        <v>1</v>
      </c>
      <c r="AZ43">
        <v>0</v>
      </c>
      <c r="BA43">
        <v>43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3.3908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3.3908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1</v>
      </c>
      <c r="CV43">
        <v>0</v>
      </c>
      <c r="CW43">
        <v>0</v>
      </c>
      <c r="CX43">
        <f>ROUND(Y43*Source!I54,7)</f>
        <v>0.98</v>
      </c>
      <c r="CY43">
        <f>AA43</f>
        <v>6.92</v>
      </c>
      <c r="CZ43">
        <f>AE43</f>
        <v>6.92</v>
      </c>
      <c r="DA43">
        <f>AI43</f>
        <v>1</v>
      </c>
      <c r="DB43">
        <f t="shared" si="13"/>
        <v>3.39</v>
      </c>
      <c r="DC43">
        <f t="shared" si="14"/>
        <v>0</v>
      </c>
      <c r="DD43" t="s">
        <v>3</v>
      </c>
      <c r="DE43" t="s">
        <v>3</v>
      </c>
      <c r="DF43">
        <f t="shared" si="17"/>
        <v>6.78</v>
      </c>
      <c r="DG43">
        <f t="shared" si="7"/>
        <v>0</v>
      </c>
      <c r="DH43">
        <f t="shared" si="15"/>
        <v>0</v>
      </c>
      <c r="DI43">
        <f t="shared" si="16"/>
        <v>0</v>
      </c>
      <c r="DJ43">
        <f>DF43</f>
        <v>6.78</v>
      </c>
      <c r="DK43">
        <v>1</v>
      </c>
      <c r="DL43" t="s">
        <v>3</v>
      </c>
      <c r="DM43">
        <v>0</v>
      </c>
      <c r="DN43" t="s">
        <v>3</v>
      </c>
      <c r="DO43">
        <v>0</v>
      </c>
    </row>
    <row r="44" spans="1:119" x14ac:dyDescent="0.2">
      <c r="A44">
        <f>ROW(Source!A54)</f>
        <v>54</v>
      </c>
      <c r="B44">
        <v>52718353</v>
      </c>
      <c r="C44">
        <v>52718642</v>
      </c>
      <c r="D44">
        <v>51176163</v>
      </c>
      <c r="E44">
        <v>118</v>
      </c>
      <c r="F44">
        <v>1</v>
      </c>
      <c r="G44">
        <v>1</v>
      </c>
      <c r="H44">
        <v>3</v>
      </c>
      <c r="I44" t="s">
        <v>25</v>
      </c>
      <c r="J44" t="s">
        <v>3</v>
      </c>
      <c r="K44" t="s">
        <v>26</v>
      </c>
      <c r="L44">
        <v>3277935</v>
      </c>
      <c r="N44">
        <v>1013</v>
      </c>
      <c r="O44" t="s">
        <v>27</v>
      </c>
      <c r="P44" t="s">
        <v>27</v>
      </c>
      <c r="Q44">
        <v>1</v>
      </c>
      <c r="W44">
        <v>0</v>
      </c>
      <c r="X44">
        <v>274903907</v>
      </c>
      <c r="Y44">
        <f t="shared" si="12"/>
        <v>2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1</v>
      </c>
      <c r="AK44">
        <v>1</v>
      </c>
      <c r="AL44">
        <v>1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 t="s">
        <v>3</v>
      </c>
      <c r="AT44">
        <v>2</v>
      </c>
      <c r="AU44" t="s">
        <v>3</v>
      </c>
      <c r="AV44">
        <v>0</v>
      </c>
      <c r="AW44">
        <v>2</v>
      </c>
      <c r="AX44">
        <v>52718650</v>
      </c>
      <c r="AY44">
        <v>1</v>
      </c>
      <c r="AZ44">
        <v>0</v>
      </c>
      <c r="BA44">
        <v>44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CV44">
        <v>0</v>
      </c>
      <c r="CW44">
        <v>0</v>
      </c>
      <c r="CX44">
        <f>ROUND(Y44*Source!I54,7)</f>
        <v>4</v>
      </c>
      <c r="CY44">
        <f>AA44</f>
        <v>0</v>
      </c>
      <c r="CZ44">
        <f>AE44</f>
        <v>0</v>
      </c>
      <c r="DA44">
        <f>AI44</f>
        <v>1</v>
      </c>
      <c r="DB44">
        <f t="shared" si="13"/>
        <v>0</v>
      </c>
      <c r="DC44">
        <f t="shared" si="14"/>
        <v>0</v>
      </c>
      <c r="DD44" t="s">
        <v>3</v>
      </c>
      <c r="DE44" t="s">
        <v>3</v>
      </c>
      <c r="DF44">
        <f t="shared" si="17"/>
        <v>0</v>
      </c>
      <c r="DG44">
        <f t="shared" ref="DG44:DG75" si="18">ROUND(ROUND(AF44,2)*CX44,2)</f>
        <v>0</v>
      </c>
      <c r="DH44">
        <f t="shared" si="15"/>
        <v>0</v>
      </c>
      <c r="DI44">
        <f t="shared" si="16"/>
        <v>0</v>
      </c>
      <c r="DJ44">
        <f>DF44</f>
        <v>0</v>
      </c>
      <c r="DK44">
        <v>0</v>
      </c>
      <c r="DL44" t="s">
        <v>3</v>
      </c>
      <c r="DM44">
        <v>0</v>
      </c>
      <c r="DN44" t="s">
        <v>3</v>
      </c>
      <c r="DO44">
        <v>0</v>
      </c>
    </row>
    <row r="45" spans="1:119" x14ac:dyDescent="0.2">
      <c r="A45">
        <f>ROW(Source!A54)</f>
        <v>54</v>
      </c>
      <c r="B45">
        <v>52718353</v>
      </c>
      <c r="C45">
        <v>52718642</v>
      </c>
      <c r="D45">
        <v>51176165</v>
      </c>
      <c r="E45">
        <v>118</v>
      </c>
      <c r="F45">
        <v>1</v>
      </c>
      <c r="G45">
        <v>1</v>
      </c>
      <c r="H45">
        <v>3</v>
      </c>
      <c r="I45" t="s">
        <v>124</v>
      </c>
      <c r="J45" t="s">
        <v>3</v>
      </c>
      <c r="K45" t="s">
        <v>125</v>
      </c>
      <c r="L45">
        <v>1348</v>
      </c>
      <c r="N45">
        <v>1009</v>
      </c>
      <c r="O45" t="s">
        <v>126</v>
      </c>
      <c r="P45" t="s">
        <v>126</v>
      </c>
      <c r="Q45">
        <v>1000</v>
      </c>
      <c r="W45">
        <v>0</v>
      </c>
      <c r="X45">
        <v>1392189009</v>
      </c>
      <c r="Y45">
        <f t="shared" si="12"/>
        <v>5.0000000000000001E-3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1</v>
      </c>
      <c r="AK45">
        <v>1</v>
      </c>
      <c r="AL45">
        <v>1</v>
      </c>
      <c r="AM45">
        <v>0</v>
      </c>
      <c r="AN45">
        <v>0</v>
      </c>
      <c r="AO45">
        <v>0</v>
      </c>
      <c r="AP45">
        <v>1</v>
      </c>
      <c r="AQ45">
        <v>0</v>
      </c>
      <c r="AR45">
        <v>0</v>
      </c>
      <c r="AS45" t="s">
        <v>3</v>
      </c>
      <c r="AT45">
        <v>5.0000000000000001E-3</v>
      </c>
      <c r="AU45" t="s">
        <v>3</v>
      </c>
      <c r="AV45">
        <v>0</v>
      </c>
      <c r="AW45">
        <v>2</v>
      </c>
      <c r="AX45">
        <v>52718647</v>
      </c>
      <c r="AY45">
        <v>1</v>
      </c>
      <c r="AZ45">
        <v>0</v>
      </c>
      <c r="BA45">
        <v>45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CV45">
        <v>0</v>
      </c>
      <c r="CW45">
        <v>0</v>
      </c>
      <c r="CX45">
        <f>ROUND(Y45*Source!I54,7)</f>
        <v>0.01</v>
      </c>
      <c r="CY45">
        <f>AA45</f>
        <v>0</v>
      </c>
      <c r="CZ45">
        <f>AE45</f>
        <v>0</v>
      </c>
      <c r="DA45">
        <f>AI45</f>
        <v>1</v>
      </c>
      <c r="DB45">
        <f t="shared" si="13"/>
        <v>0</v>
      </c>
      <c r="DC45">
        <f t="shared" si="14"/>
        <v>0</v>
      </c>
      <c r="DD45" t="s">
        <v>3</v>
      </c>
      <c r="DE45" t="s">
        <v>3</v>
      </c>
      <c r="DF45">
        <f t="shared" si="17"/>
        <v>0</v>
      </c>
      <c r="DG45">
        <f t="shared" si="18"/>
        <v>0</v>
      </c>
      <c r="DH45">
        <f t="shared" si="15"/>
        <v>0</v>
      </c>
      <c r="DI45">
        <f t="shared" si="16"/>
        <v>0</v>
      </c>
      <c r="DJ45">
        <f>DF45</f>
        <v>0</v>
      </c>
      <c r="DK45">
        <v>0</v>
      </c>
      <c r="DL45" t="s">
        <v>3</v>
      </c>
      <c r="DM45">
        <v>0</v>
      </c>
      <c r="DN45" t="s">
        <v>3</v>
      </c>
      <c r="DO45">
        <v>0</v>
      </c>
    </row>
    <row r="46" spans="1:119" x14ac:dyDescent="0.2">
      <c r="A46">
        <f>ROW(Source!A59)</f>
        <v>59</v>
      </c>
      <c r="B46">
        <v>52718353</v>
      </c>
      <c r="C46">
        <v>52718655</v>
      </c>
      <c r="D46">
        <v>51169920</v>
      </c>
      <c r="E46">
        <v>118</v>
      </c>
      <c r="F46">
        <v>1</v>
      </c>
      <c r="G46">
        <v>1</v>
      </c>
      <c r="H46">
        <v>1</v>
      </c>
      <c r="I46" t="s">
        <v>442</v>
      </c>
      <c r="J46" t="s">
        <v>3</v>
      </c>
      <c r="K46" t="s">
        <v>443</v>
      </c>
      <c r="L46">
        <v>1191</v>
      </c>
      <c r="N46">
        <v>1013</v>
      </c>
      <c r="O46" t="s">
        <v>382</v>
      </c>
      <c r="P46" t="s">
        <v>382</v>
      </c>
      <c r="Q46">
        <v>1</v>
      </c>
      <c r="W46">
        <v>0</v>
      </c>
      <c r="X46">
        <v>-715079457</v>
      </c>
      <c r="Y46">
        <f t="shared" si="12"/>
        <v>6</v>
      </c>
      <c r="AA46">
        <v>0</v>
      </c>
      <c r="AB46">
        <v>0</v>
      </c>
      <c r="AC46">
        <v>0</v>
      </c>
      <c r="AD46">
        <v>690.16</v>
      </c>
      <c r="AE46">
        <v>0</v>
      </c>
      <c r="AF46">
        <v>0</v>
      </c>
      <c r="AG46">
        <v>0</v>
      </c>
      <c r="AH46">
        <v>690.16</v>
      </c>
      <c r="AI46">
        <v>1</v>
      </c>
      <c r="AJ46">
        <v>1</v>
      </c>
      <c r="AK46">
        <v>1</v>
      </c>
      <c r="AL46">
        <v>1</v>
      </c>
      <c r="AM46">
        <v>-2</v>
      </c>
      <c r="AN46">
        <v>0</v>
      </c>
      <c r="AO46">
        <v>0</v>
      </c>
      <c r="AP46">
        <v>1</v>
      </c>
      <c r="AQ46">
        <v>1</v>
      </c>
      <c r="AR46">
        <v>0</v>
      </c>
      <c r="AS46" t="s">
        <v>3</v>
      </c>
      <c r="AT46">
        <v>6</v>
      </c>
      <c r="AU46" t="s">
        <v>3</v>
      </c>
      <c r="AV46">
        <v>1</v>
      </c>
      <c r="AW46">
        <v>2</v>
      </c>
      <c r="AX46">
        <v>52718660</v>
      </c>
      <c r="AY46">
        <v>1</v>
      </c>
      <c r="AZ46">
        <v>0</v>
      </c>
      <c r="BA46">
        <v>46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4140.96</v>
      </c>
      <c r="BN46">
        <v>6</v>
      </c>
      <c r="BO46">
        <v>0</v>
      </c>
      <c r="BP46">
        <v>1</v>
      </c>
      <c r="BQ46">
        <v>0</v>
      </c>
      <c r="BR46">
        <v>0</v>
      </c>
      <c r="BS46">
        <v>0</v>
      </c>
      <c r="BT46">
        <v>4140.96</v>
      </c>
      <c r="BU46">
        <v>6</v>
      </c>
      <c r="BV46">
        <v>0</v>
      </c>
      <c r="BW46">
        <v>1</v>
      </c>
      <c r="CU46">
        <f>ROUND(AT46*Source!I59*AH46*AL46,2)</f>
        <v>414.1</v>
      </c>
      <c r="CV46">
        <f>ROUND(Y46*Source!I59,7)</f>
        <v>0.6</v>
      </c>
      <c r="CW46">
        <v>0</v>
      </c>
      <c r="CX46">
        <f>ROUND(Y46*Source!I59,7)</f>
        <v>0.6</v>
      </c>
      <c r="CY46">
        <f>AD46</f>
        <v>690.16</v>
      </c>
      <c r="CZ46">
        <f>AH46</f>
        <v>690.16</v>
      </c>
      <c r="DA46">
        <f>AL46</f>
        <v>1</v>
      </c>
      <c r="DB46">
        <f t="shared" si="13"/>
        <v>4140.96</v>
      </c>
      <c r="DC46">
        <f t="shared" si="14"/>
        <v>0</v>
      </c>
      <c r="DD46" t="s">
        <v>3</v>
      </c>
      <c r="DE46" t="s">
        <v>3</v>
      </c>
      <c r="DF46">
        <f t="shared" si="17"/>
        <v>0</v>
      </c>
      <c r="DG46">
        <f t="shared" si="18"/>
        <v>0</v>
      </c>
      <c r="DH46">
        <f t="shared" si="15"/>
        <v>0</v>
      </c>
      <c r="DI46">
        <f t="shared" si="16"/>
        <v>414.1</v>
      </c>
      <c r="DJ46">
        <f>DI46</f>
        <v>414.1</v>
      </c>
      <c r="DK46">
        <v>1</v>
      </c>
      <c r="DL46" t="s">
        <v>3</v>
      </c>
      <c r="DM46">
        <v>0</v>
      </c>
      <c r="DN46" t="s">
        <v>3</v>
      </c>
      <c r="DO46">
        <v>0</v>
      </c>
    </row>
    <row r="47" spans="1:119" x14ac:dyDescent="0.2">
      <c r="A47">
        <f>ROW(Source!A59)</f>
        <v>59</v>
      </c>
      <c r="B47">
        <v>52718353</v>
      </c>
      <c r="C47">
        <v>52718655</v>
      </c>
      <c r="D47">
        <v>51248185</v>
      </c>
      <c r="E47">
        <v>1</v>
      </c>
      <c r="F47">
        <v>1</v>
      </c>
      <c r="G47">
        <v>1</v>
      </c>
      <c r="H47">
        <v>3</v>
      </c>
      <c r="I47" t="s">
        <v>444</v>
      </c>
      <c r="J47" t="s">
        <v>445</v>
      </c>
      <c r="K47" t="s">
        <v>446</v>
      </c>
      <c r="L47">
        <v>1348</v>
      </c>
      <c r="N47">
        <v>1009</v>
      </c>
      <c r="O47" t="s">
        <v>126</v>
      </c>
      <c r="P47" t="s">
        <v>126</v>
      </c>
      <c r="Q47">
        <v>1000</v>
      </c>
      <c r="W47">
        <v>0</v>
      </c>
      <c r="X47">
        <v>1670083924</v>
      </c>
      <c r="Y47">
        <f t="shared" si="12"/>
        <v>2.0000000000000001E-4</v>
      </c>
      <c r="AA47">
        <v>166901.85999999999</v>
      </c>
      <c r="AB47">
        <v>0</v>
      </c>
      <c r="AC47">
        <v>0</v>
      </c>
      <c r="AD47">
        <v>0</v>
      </c>
      <c r="AE47">
        <v>127406</v>
      </c>
      <c r="AF47">
        <v>0</v>
      </c>
      <c r="AG47">
        <v>0</v>
      </c>
      <c r="AH47">
        <v>0</v>
      </c>
      <c r="AI47">
        <v>1.31</v>
      </c>
      <c r="AJ47">
        <v>1</v>
      </c>
      <c r="AK47">
        <v>1</v>
      </c>
      <c r="AL47">
        <v>1</v>
      </c>
      <c r="AM47">
        <v>2</v>
      </c>
      <c r="AN47">
        <v>0</v>
      </c>
      <c r="AO47">
        <v>0</v>
      </c>
      <c r="AP47">
        <v>1</v>
      </c>
      <c r="AQ47">
        <v>1</v>
      </c>
      <c r="AR47">
        <v>0</v>
      </c>
      <c r="AS47" t="s">
        <v>3</v>
      </c>
      <c r="AT47">
        <v>2.0000000000000001E-4</v>
      </c>
      <c r="AU47" t="s">
        <v>3</v>
      </c>
      <c r="AV47">
        <v>0</v>
      </c>
      <c r="AW47">
        <v>2</v>
      </c>
      <c r="AX47">
        <v>52718661</v>
      </c>
      <c r="AY47">
        <v>1</v>
      </c>
      <c r="AZ47">
        <v>0</v>
      </c>
      <c r="BA47">
        <v>47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25.481200000000001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1</v>
      </c>
      <c r="BQ47">
        <v>25.481200000000001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1</v>
      </c>
      <c r="CV47">
        <v>0</v>
      </c>
      <c r="CW47">
        <v>0</v>
      </c>
      <c r="CX47">
        <f>ROUND(Y47*Source!I59,7)</f>
        <v>2.0000000000000002E-5</v>
      </c>
      <c r="CY47">
        <f>AA47</f>
        <v>166901.85999999999</v>
      </c>
      <c r="CZ47">
        <f>AE47</f>
        <v>127406</v>
      </c>
      <c r="DA47">
        <f>AI47</f>
        <v>1.31</v>
      </c>
      <c r="DB47">
        <f t="shared" si="13"/>
        <v>25.48</v>
      </c>
      <c r="DC47">
        <f t="shared" si="14"/>
        <v>0</v>
      </c>
      <c r="DD47" t="s">
        <v>3</v>
      </c>
      <c r="DE47" t="s">
        <v>3</v>
      </c>
      <c r="DF47">
        <f>ROUND(ROUND(AE47*AI47,2)*CX47,2)</f>
        <v>3.34</v>
      </c>
      <c r="DG47">
        <f t="shared" si="18"/>
        <v>0</v>
      </c>
      <c r="DH47">
        <f t="shared" si="15"/>
        <v>0</v>
      </c>
      <c r="DI47">
        <f t="shared" si="16"/>
        <v>0</v>
      </c>
      <c r="DJ47">
        <f>DF47</f>
        <v>3.34</v>
      </c>
      <c r="DK47">
        <v>0</v>
      </c>
      <c r="DL47" t="s">
        <v>3</v>
      </c>
      <c r="DM47">
        <v>0</v>
      </c>
      <c r="DN47" t="s">
        <v>3</v>
      </c>
      <c r="DO47">
        <v>0</v>
      </c>
    </row>
    <row r="48" spans="1:119" x14ac:dyDescent="0.2">
      <c r="A48">
        <f>ROW(Source!A59)</f>
        <v>59</v>
      </c>
      <c r="B48">
        <v>52718353</v>
      </c>
      <c r="C48">
        <v>52718655</v>
      </c>
      <c r="D48">
        <v>51176163</v>
      </c>
      <c r="E48">
        <v>118</v>
      </c>
      <c r="F48">
        <v>1</v>
      </c>
      <c r="G48">
        <v>1</v>
      </c>
      <c r="H48">
        <v>3</v>
      </c>
      <c r="I48" t="s">
        <v>25</v>
      </c>
      <c r="J48" t="s">
        <v>3</v>
      </c>
      <c r="K48" t="s">
        <v>26</v>
      </c>
      <c r="L48">
        <v>3277935</v>
      </c>
      <c r="N48">
        <v>1013</v>
      </c>
      <c r="O48" t="s">
        <v>27</v>
      </c>
      <c r="P48" t="s">
        <v>27</v>
      </c>
      <c r="Q48">
        <v>1</v>
      </c>
      <c r="W48">
        <v>0</v>
      </c>
      <c r="X48">
        <v>274903907</v>
      </c>
      <c r="Y48">
        <f t="shared" si="12"/>
        <v>2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1</v>
      </c>
      <c r="AJ48">
        <v>1</v>
      </c>
      <c r="AK48">
        <v>1</v>
      </c>
      <c r="AL48">
        <v>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 t="s">
        <v>3</v>
      </c>
      <c r="AT48">
        <v>2</v>
      </c>
      <c r="AU48" t="s">
        <v>3</v>
      </c>
      <c r="AV48">
        <v>0</v>
      </c>
      <c r="AW48">
        <v>2</v>
      </c>
      <c r="AX48">
        <v>52718662</v>
      </c>
      <c r="AY48">
        <v>1</v>
      </c>
      <c r="AZ48">
        <v>0</v>
      </c>
      <c r="BA48">
        <v>48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CV48">
        <v>0</v>
      </c>
      <c r="CW48">
        <v>0</v>
      </c>
      <c r="CX48">
        <f>ROUND(Y48*Source!I59,7)</f>
        <v>0.2</v>
      </c>
      <c r="CY48">
        <f>AA48</f>
        <v>0</v>
      </c>
      <c r="CZ48">
        <f>AE48</f>
        <v>0</v>
      </c>
      <c r="DA48">
        <f>AI48</f>
        <v>1</v>
      </c>
      <c r="DB48">
        <f t="shared" si="13"/>
        <v>0</v>
      </c>
      <c r="DC48">
        <f t="shared" si="14"/>
        <v>0</v>
      </c>
      <c r="DD48" t="s">
        <v>3</v>
      </c>
      <c r="DE48" t="s">
        <v>3</v>
      </c>
      <c r="DF48">
        <f>ROUND(ROUND(AE48,2)*CX48,2)</f>
        <v>0</v>
      </c>
      <c r="DG48">
        <f t="shared" si="18"/>
        <v>0</v>
      </c>
      <c r="DH48">
        <f t="shared" si="15"/>
        <v>0</v>
      </c>
      <c r="DI48">
        <f t="shared" si="16"/>
        <v>0</v>
      </c>
      <c r="DJ48">
        <f>DF48</f>
        <v>0</v>
      </c>
      <c r="DK48">
        <v>0</v>
      </c>
      <c r="DL48" t="s">
        <v>3</v>
      </c>
      <c r="DM48">
        <v>0</v>
      </c>
      <c r="DN48" t="s">
        <v>3</v>
      </c>
      <c r="DO48">
        <v>0</v>
      </c>
    </row>
    <row r="49" spans="1:119" x14ac:dyDescent="0.2">
      <c r="A49">
        <f>ROW(Source!A59)</f>
        <v>59</v>
      </c>
      <c r="B49">
        <v>52718353</v>
      </c>
      <c r="C49">
        <v>52718655</v>
      </c>
      <c r="D49">
        <v>51176165</v>
      </c>
      <c r="E49">
        <v>118</v>
      </c>
      <c r="F49">
        <v>1</v>
      </c>
      <c r="G49">
        <v>1</v>
      </c>
      <c r="H49">
        <v>3</v>
      </c>
      <c r="I49" t="s">
        <v>124</v>
      </c>
      <c r="J49" t="s">
        <v>3</v>
      </c>
      <c r="K49" t="s">
        <v>125</v>
      </c>
      <c r="L49">
        <v>1348</v>
      </c>
      <c r="N49">
        <v>1009</v>
      </c>
      <c r="O49" t="s">
        <v>126</v>
      </c>
      <c r="P49" t="s">
        <v>126</v>
      </c>
      <c r="Q49">
        <v>1000</v>
      </c>
      <c r="W49">
        <v>0</v>
      </c>
      <c r="X49">
        <v>1392189009</v>
      </c>
      <c r="Y49">
        <f t="shared" si="12"/>
        <v>0.01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1</v>
      </c>
      <c r="AJ49">
        <v>1</v>
      </c>
      <c r="AK49">
        <v>1</v>
      </c>
      <c r="AL49">
        <v>1</v>
      </c>
      <c r="AM49">
        <v>0</v>
      </c>
      <c r="AN49">
        <v>0</v>
      </c>
      <c r="AO49">
        <v>0</v>
      </c>
      <c r="AP49">
        <v>1</v>
      </c>
      <c r="AQ49">
        <v>0</v>
      </c>
      <c r="AR49">
        <v>0</v>
      </c>
      <c r="AS49" t="s">
        <v>3</v>
      </c>
      <c r="AT49">
        <v>0.01</v>
      </c>
      <c r="AU49" t="s">
        <v>3</v>
      </c>
      <c r="AV49">
        <v>0</v>
      </c>
      <c r="AW49">
        <v>2</v>
      </c>
      <c r="AX49">
        <v>52718663</v>
      </c>
      <c r="AY49">
        <v>1</v>
      </c>
      <c r="AZ49">
        <v>0</v>
      </c>
      <c r="BA49">
        <v>49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CV49">
        <v>0</v>
      </c>
      <c r="CW49">
        <v>0</v>
      </c>
      <c r="CX49">
        <f>ROUND(Y49*Source!I59,7)</f>
        <v>1E-3</v>
      </c>
      <c r="CY49">
        <f>AA49</f>
        <v>0</v>
      </c>
      <c r="CZ49">
        <f>AE49</f>
        <v>0</v>
      </c>
      <c r="DA49">
        <f>AI49</f>
        <v>1</v>
      </c>
      <c r="DB49">
        <f t="shared" si="13"/>
        <v>0</v>
      </c>
      <c r="DC49">
        <f t="shared" si="14"/>
        <v>0</v>
      </c>
      <c r="DD49" t="s">
        <v>3</v>
      </c>
      <c r="DE49" t="s">
        <v>3</v>
      </c>
      <c r="DF49">
        <f>ROUND(ROUND(AE49,2)*CX49,2)</f>
        <v>0</v>
      </c>
      <c r="DG49">
        <f t="shared" si="18"/>
        <v>0</v>
      </c>
      <c r="DH49">
        <f t="shared" si="15"/>
        <v>0</v>
      </c>
      <c r="DI49">
        <f t="shared" si="16"/>
        <v>0</v>
      </c>
      <c r="DJ49">
        <f>DF49</f>
        <v>0</v>
      </c>
      <c r="DK49">
        <v>0</v>
      </c>
      <c r="DL49" t="s">
        <v>3</v>
      </c>
      <c r="DM49">
        <v>0</v>
      </c>
      <c r="DN49" t="s">
        <v>3</v>
      </c>
      <c r="DO49">
        <v>0</v>
      </c>
    </row>
    <row r="50" spans="1:119" x14ac:dyDescent="0.2">
      <c r="A50">
        <f>ROW(Source!A65)</f>
        <v>65</v>
      </c>
      <c r="B50">
        <v>52718353</v>
      </c>
      <c r="C50">
        <v>52718669</v>
      </c>
      <c r="D50">
        <v>51169936</v>
      </c>
      <c r="E50">
        <v>118</v>
      </c>
      <c r="F50">
        <v>1</v>
      </c>
      <c r="G50">
        <v>1</v>
      </c>
      <c r="H50">
        <v>1</v>
      </c>
      <c r="I50" t="s">
        <v>447</v>
      </c>
      <c r="J50" t="s">
        <v>3</v>
      </c>
      <c r="K50" t="s">
        <v>448</v>
      </c>
      <c r="L50">
        <v>1191</v>
      </c>
      <c r="N50">
        <v>1013</v>
      </c>
      <c r="O50" t="s">
        <v>382</v>
      </c>
      <c r="P50" t="s">
        <v>382</v>
      </c>
      <c r="Q50">
        <v>1</v>
      </c>
      <c r="W50">
        <v>0</v>
      </c>
      <c r="X50">
        <v>174150515</v>
      </c>
      <c r="Y50">
        <f t="shared" si="12"/>
        <v>0.5</v>
      </c>
      <c r="AA50">
        <v>0</v>
      </c>
      <c r="AB50">
        <v>0</v>
      </c>
      <c r="AC50">
        <v>0</v>
      </c>
      <c r="AD50">
        <v>741.99</v>
      </c>
      <c r="AE50">
        <v>0</v>
      </c>
      <c r="AF50">
        <v>0</v>
      </c>
      <c r="AG50">
        <v>0</v>
      </c>
      <c r="AH50">
        <v>741.99</v>
      </c>
      <c r="AI50">
        <v>1</v>
      </c>
      <c r="AJ50">
        <v>1</v>
      </c>
      <c r="AK50">
        <v>1</v>
      </c>
      <c r="AL50">
        <v>1</v>
      </c>
      <c r="AM50">
        <v>-2</v>
      </c>
      <c r="AN50">
        <v>0</v>
      </c>
      <c r="AO50">
        <v>0</v>
      </c>
      <c r="AP50">
        <v>1</v>
      </c>
      <c r="AQ50">
        <v>1</v>
      </c>
      <c r="AR50">
        <v>0</v>
      </c>
      <c r="AS50" t="s">
        <v>3</v>
      </c>
      <c r="AT50">
        <v>0.5</v>
      </c>
      <c r="AU50" t="s">
        <v>3</v>
      </c>
      <c r="AV50">
        <v>1</v>
      </c>
      <c r="AW50">
        <v>2</v>
      </c>
      <c r="AX50">
        <v>52718675</v>
      </c>
      <c r="AY50">
        <v>1</v>
      </c>
      <c r="AZ50">
        <v>0</v>
      </c>
      <c r="BA50">
        <v>50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370.995</v>
      </c>
      <c r="BN50">
        <v>0.5</v>
      </c>
      <c r="BO50">
        <v>0</v>
      </c>
      <c r="BP50">
        <v>1</v>
      </c>
      <c r="BQ50">
        <v>0</v>
      </c>
      <c r="BR50">
        <v>0</v>
      </c>
      <c r="BS50">
        <v>0</v>
      </c>
      <c r="BT50">
        <v>370.995</v>
      </c>
      <c r="BU50">
        <v>0.5</v>
      </c>
      <c r="BV50">
        <v>0</v>
      </c>
      <c r="BW50">
        <v>1</v>
      </c>
      <c r="CU50">
        <f>ROUND(AT50*Source!I65*AH50*AL50,2)</f>
        <v>4080.95</v>
      </c>
      <c r="CV50">
        <f>ROUND(Y50*Source!I65,7)</f>
        <v>5.5</v>
      </c>
      <c r="CW50">
        <v>0</v>
      </c>
      <c r="CX50">
        <f>ROUND(Y50*Source!I65,7)</f>
        <v>5.5</v>
      </c>
      <c r="CY50">
        <f>AD50</f>
        <v>741.99</v>
      </c>
      <c r="CZ50">
        <f>AH50</f>
        <v>741.99</v>
      </c>
      <c r="DA50">
        <f>AL50</f>
        <v>1</v>
      </c>
      <c r="DB50">
        <f t="shared" si="13"/>
        <v>371</v>
      </c>
      <c r="DC50">
        <f t="shared" si="14"/>
        <v>0</v>
      </c>
      <c r="DD50" t="s">
        <v>3</v>
      </c>
      <c r="DE50" t="s">
        <v>3</v>
      </c>
      <c r="DF50">
        <f>ROUND(ROUND(AE50,2)*CX50,2)</f>
        <v>0</v>
      </c>
      <c r="DG50">
        <f t="shared" si="18"/>
        <v>0</v>
      </c>
      <c r="DH50">
        <f t="shared" si="15"/>
        <v>0</v>
      </c>
      <c r="DI50">
        <f t="shared" si="16"/>
        <v>4080.95</v>
      </c>
      <c r="DJ50">
        <f>DI50</f>
        <v>4080.95</v>
      </c>
      <c r="DK50">
        <v>1</v>
      </c>
      <c r="DL50" t="s">
        <v>3</v>
      </c>
      <c r="DM50">
        <v>0</v>
      </c>
      <c r="DN50" t="s">
        <v>3</v>
      </c>
      <c r="DO50">
        <v>0</v>
      </c>
    </row>
    <row r="51" spans="1:119" x14ac:dyDescent="0.2">
      <c r="A51">
        <f>ROW(Source!A65)</f>
        <v>65</v>
      </c>
      <c r="B51">
        <v>52718353</v>
      </c>
      <c r="C51">
        <v>52718669</v>
      </c>
      <c r="D51">
        <v>51248525</v>
      </c>
      <c r="E51">
        <v>1</v>
      </c>
      <c r="F51">
        <v>1</v>
      </c>
      <c r="G51">
        <v>1</v>
      </c>
      <c r="H51">
        <v>3</v>
      </c>
      <c r="I51" t="s">
        <v>405</v>
      </c>
      <c r="J51" t="s">
        <v>406</v>
      </c>
      <c r="K51" t="s">
        <v>407</v>
      </c>
      <c r="L51">
        <v>1348</v>
      </c>
      <c r="N51">
        <v>1009</v>
      </c>
      <c r="O51" t="s">
        <v>126</v>
      </c>
      <c r="P51" t="s">
        <v>126</v>
      </c>
      <c r="Q51">
        <v>1000</v>
      </c>
      <c r="W51">
        <v>0</v>
      </c>
      <c r="X51">
        <v>1553760940</v>
      </c>
      <c r="Y51">
        <f t="shared" si="12"/>
        <v>1.0000000000000001E-5</v>
      </c>
      <c r="AA51">
        <v>129940.16</v>
      </c>
      <c r="AB51">
        <v>0</v>
      </c>
      <c r="AC51">
        <v>0</v>
      </c>
      <c r="AD51">
        <v>0</v>
      </c>
      <c r="AE51">
        <v>99190.96</v>
      </c>
      <c r="AF51">
        <v>0</v>
      </c>
      <c r="AG51">
        <v>0</v>
      </c>
      <c r="AH51">
        <v>0</v>
      </c>
      <c r="AI51">
        <v>1.31</v>
      </c>
      <c r="AJ51">
        <v>1</v>
      </c>
      <c r="AK51">
        <v>1</v>
      </c>
      <c r="AL51">
        <v>1</v>
      </c>
      <c r="AM51">
        <v>2</v>
      </c>
      <c r="AN51">
        <v>0</v>
      </c>
      <c r="AO51">
        <v>0</v>
      </c>
      <c r="AP51">
        <v>1</v>
      </c>
      <c r="AQ51">
        <v>1</v>
      </c>
      <c r="AR51">
        <v>0</v>
      </c>
      <c r="AS51" t="s">
        <v>3</v>
      </c>
      <c r="AT51">
        <v>1.0000000000000001E-5</v>
      </c>
      <c r="AU51" t="s">
        <v>3</v>
      </c>
      <c r="AV51">
        <v>0</v>
      </c>
      <c r="AW51">
        <v>2</v>
      </c>
      <c r="AX51">
        <v>52718676</v>
      </c>
      <c r="AY51">
        <v>1</v>
      </c>
      <c r="AZ51">
        <v>0</v>
      </c>
      <c r="BA51">
        <v>51</v>
      </c>
      <c r="BB51">
        <v>1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0.99190960000000017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1</v>
      </c>
      <c r="BQ51">
        <v>0.99190960000000017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1</v>
      </c>
      <c r="CV51">
        <v>0</v>
      </c>
      <c r="CW51">
        <v>0</v>
      </c>
      <c r="CX51">
        <f>ROUND(Y51*Source!I65,7)</f>
        <v>1.1E-4</v>
      </c>
      <c r="CY51">
        <f>AA51</f>
        <v>129940.16</v>
      </c>
      <c r="CZ51">
        <f>AE51</f>
        <v>99190.96</v>
      </c>
      <c r="DA51">
        <f>AI51</f>
        <v>1.31</v>
      </c>
      <c r="DB51">
        <f t="shared" si="13"/>
        <v>0.99</v>
      </c>
      <c r="DC51">
        <f t="shared" si="14"/>
        <v>0</v>
      </c>
      <c r="DD51" t="s">
        <v>3</v>
      </c>
      <c r="DE51" t="s">
        <v>3</v>
      </c>
      <c r="DF51">
        <f>ROUND(ROUND(AE51*AI51,2)*CX51,2)</f>
        <v>14.29</v>
      </c>
      <c r="DG51">
        <f t="shared" si="18"/>
        <v>0</v>
      </c>
      <c r="DH51">
        <f t="shared" si="15"/>
        <v>0</v>
      </c>
      <c r="DI51">
        <f t="shared" si="16"/>
        <v>0</v>
      </c>
      <c r="DJ51">
        <f>DF51</f>
        <v>14.29</v>
      </c>
      <c r="DK51">
        <v>0</v>
      </c>
      <c r="DL51" t="s">
        <v>3</v>
      </c>
      <c r="DM51">
        <v>0</v>
      </c>
      <c r="DN51" t="s">
        <v>3</v>
      </c>
      <c r="DO51">
        <v>0</v>
      </c>
    </row>
    <row r="52" spans="1:119" x14ac:dyDescent="0.2">
      <c r="A52">
        <f>ROW(Source!A65)</f>
        <v>65</v>
      </c>
      <c r="B52">
        <v>52718353</v>
      </c>
      <c r="C52">
        <v>52718669</v>
      </c>
      <c r="D52">
        <v>51250028</v>
      </c>
      <c r="E52">
        <v>1</v>
      </c>
      <c r="F52">
        <v>1</v>
      </c>
      <c r="G52">
        <v>1</v>
      </c>
      <c r="H52">
        <v>3</v>
      </c>
      <c r="I52" t="s">
        <v>449</v>
      </c>
      <c r="J52" t="s">
        <v>450</v>
      </c>
      <c r="K52" t="s">
        <v>451</v>
      </c>
      <c r="L52">
        <v>1348</v>
      </c>
      <c r="N52">
        <v>1009</v>
      </c>
      <c r="O52" t="s">
        <v>126</v>
      </c>
      <c r="P52" t="s">
        <v>126</v>
      </c>
      <c r="Q52">
        <v>1000</v>
      </c>
      <c r="W52">
        <v>0</v>
      </c>
      <c r="X52">
        <v>-1499842909</v>
      </c>
      <c r="Y52">
        <f t="shared" si="12"/>
        <v>5.0000000000000002E-5</v>
      </c>
      <c r="AA52">
        <v>6333.87</v>
      </c>
      <c r="AB52">
        <v>0</v>
      </c>
      <c r="AC52">
        <v>0</v>
      </c>
      <c r="AD52">
        <v>0</v>
      </c>
      <c r="AE52">
        <v>4338.2700000000004</v>
      </c>
      <c r="AF52">
        <v>0</v>
      </c>
      <c r="AG52">
        <v>0</v>
      </c>
      <c r="AH52">
        <v>0</v>
      </c>
      <c r="AI52">
        <v>1.46</v>
      </c>
      <c r="AJ52">
        <v>1</v>
      </c>
      <c r="AK52">
        <v>1</v>
      </c>
      <c r="AL52">
        <v>1</v>
      </c>
      <c r="AM52">
        <v>2</v>
      </c>
      <c r="AN52">
        <v>0</v>
      </c>
      <c r="AO52">
        <v>0</v>
      </c>
      <c r="AP52">
        <v>1</v>
      </c>
      <c r="AQ52">
        <v>1</v>
      </c>
      <c r="AR52">
        <v>0</v>
      </c>
      <c r="AS52" t="s">
        <v>3</v>
      </c>
      <c r="AT52">
        <v>5.0000000000000002E-5</v>
      </c>
      <c r="AU52" t="s">
        <v>3</v>
      </c>
      <c r="AV52">
        <v>0</v>
      </c>
      <c r="AW52">
        <v>2</v>
      </c>
      <c r="AX52">
        <v>52718677</v>
      </c>
      <c r="AY52">
        <v>1</v>
      </c>
      <c r="AZ52">
        <v>0</v>
      </c>
      <c r="BA52">
        <v>52</v>
      </c>
      <c r="BB52">
        <v>1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0.21691350000000004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1</v>
      </c>
      <c r="BQ52">
        <v>0.21691350000000004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1</v>
      </c>
      <c r="CV52">
        <v>0</v>
      </c>
      <c r="CW52">
        <v>0</v>
      </c>
      <c r="CX52">
        <f>ROUND(Y52*Source!I65,7)</f>
        <v>5.5000000000000003E-4</v>
      </c>
      <c r="CY52">
        <f>AA52</f>
        <v>6333.87</v>
      </c>
      <c r="CZ52">
        <f>AE52</f>
        <v>4338.2700000000004</v>
      </c>
      <c r="DA52">
        <f>AI52</f>
        <v>1.46</v>
      </c>
      <c r="DB52">
        <f t="shared" si="13"/>
        <v>0.22</v>
      </c>
      <c r="DC52">
        <f t="shared" si="14"/>
        <v>0</v>
      </c>
      <c r="DD52" t="s">
        <v>3</v>
      </c>
      <c r="DE52" t="s">
        <v>3</v>
      </c>
      <c r="DF52">
        <f>ROUND(ROUND(AE52*AI52,2)*CX52,2)</f>
        <v>3.48</v>
      </c>
      <c r="DG52">
        <f t="shared" si="18"/>
        <v>0</v>
      </c>
      <c r="DH52">
        <f t="shared" si="15"/>
        <v>0</v>
      </c>
      <c r="DI52">
        <f t="shared" si="16"/>
        <v>0</v>
      </c>
      <c r="DJ52">
        <f>DF52</f>
        <v>3.48</v>
      </c>
      <c r="DK52">
        <v>0</v>
      </c>
      <c r="DL52" t="s">
        <v>3</v>
      </c>
      <c r="DM52">
        <v>0</v>
      </c>
      <c r="DN52" t="s">
        <v>3</v>
      </c>
      <c r="DO52">
        <v>0</v>
      </c>
    </row>
    <row r="53" spans="1:119" x14ac:dyDescent="0.2">
      <c r="A53">
        <f>ROW(Source!A65)</f>
        <v>65</v>
      </c>
      <c r="B53">
        <v>52718353</v>
      </c>
      <c r="C53">
        <v>52718669</v>
      </c>
      <c r="D53">
        <v>51255393</v>
      </c>
      <c r="E53">
        <v>1</v>
      </c>
      <c r="F53">
        <v>1</v>
      </c>
      <c r="G53">
        <v>1</v>
      </c>
      <c r="H53">
        <v>3</v>
      </c>
      <c r="I53" t="s">
        <v>452</v>
      </c>
      <c r="J53" t="s">
        <v>453</v>
      </c>
      <c r="K53" t="s">
        <v>454</v>
      </c>
      <c r="L53">
        <v>1348</v>
      </c>
      <c r="N53">
        <v>1009</v>
      </c>
      <c r="O53" t="s">
        <v>126</v>
      </c>
      <c r="P53" t="s">
        <v>126</v>
      </c>
      <c r="Q53">
        <v>1000</v>
      </c>
      <c r="W53">
        <v>0</v>
      </c>
      <c r="X53">
        <v>-477176682</v>
      </c>
      <c r="Y53">
        <f t="shared" si="12"/>
        <v>1.0000000000000001E-5</v>
      </c>
      <c r="AA53">
        <v>73286.39</v>
      </c>
      <c r="AB53">
        <v>0</v>
      </c>
      <c r="AC53">
        <v>0</v>
      </c>
      <c r="AD53">
        <v>0</v>
      </c>
      <c r="AE53">
        <v>87245.7</v>
      </c>
      <c r="AF53">
        <v>0</v>
      </c>
      <c r="AG53">
        <v>0</v>
      </c>
      <c r="AH53">
        <v>0</v>
      </c>
      <c r="AI53">
        <v>0.84</v>
      </c>
      <c r="AJ53">
        <v>1</v>
      </c>
      <c r="AK53">
        <v>1</v>
      </c>
      <c r="AL53">
        <v>1</v>
      </c>
      <c r="AM53">
        <v>2</v>
      </c>
      <c r="AN53">
        <v>0</v>
      </c>
      <c r="AO53">
        <v>0</v>
      </c>
      <c r="AP53">
        <v>1</v>
      </c>
      <c r="AQ53">
        <v>1</v>
      </c>
      <c r="AR53">
        <v>0</v>
      </c>
      <c r="AS53" t="s">
        <v>3</v>
      </c>
      <c r="AT53">
        <v>1.0000000000000001E-5</v>
      </c>
      <c r="AU53" t="s">
        <v>3</v>
      </c>
      <c r="AV53">
        <v>0</v>
      </c>
      <c r="AW53">
        <v>2</v>
      </c>
      <c r="AX53">
        <v>52718678</v>
      </c>
      <c r="AY53">
        <v>1</v>
      </c>
      <c r="AZ53">
        <v>0</v>
      </c>
      <c r="BA53">
        <v>53</v>
      </c>
      <c r="BB53">
        <v>1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0.87245700000000004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1</v>
      </c>
      <c r="BQ53">
        <v>0.87245700000000004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1</v>
      </c>
      <c r="CV53">
        <v>0</v>
      </c>
      <c r="CW53">
        <v>0</v>
      </c>
      <c r="CX53">
        <f>ROUND(Y53*Source!I65,7)</f>
        <v>1.1E-4</v>
      </c>
      <c r="CY53">
        <f>AA53</f>
        <v>73286.39</v>
      </c>
      <c r="CZ53">
        <f>AE53</f>
        <v>87245.7</v>
      </c>
      <c r="DA53">
        <f>AI53</f>
        <v>0.84</v>
      </c>
      <c r="DB53">
        <f t="shared" si="13"/>
        <v>0.87</v>
      </c>
      <c r="DC53">
        <f t="shared" si="14"/>
        <v>0</v>
      </c>
      <c r="DD53" t="s">
        <v>3</v>
      </c>
      <c r="DE53" t="s">
        <v>3</v>
      </c>
      <c r="DF53">
        <f>ROUND(ROUND(AE53*AI53,2)*CX53,2)</f>
        <v>8.06</v>
      </c>
      <c r="DG53">
        <f t="shared" si="18"/>
        <v>0</v>
      </c>
      <c r="DH53">
        <f t="shared" si="15"/>
        <v>0</v>
      </c>
      <c r="DI53">
        <f t="shared" si="16"/>
        <v>0</v>
      </c>
      <c r="DJ53">
        <f>DF53</f>
        <v>8.06</v>
      </c>
      <c r="DK53">
        <v>0</v>
      </c>
      <c r="DL53" t="s">
        <v>3</v>
      </c>
      <c r="DM53">
        <v>0</v>
      </c>
      <c r="DN53" t="s">
        <v>3</v>
      </c>
      <c r="DO53">
        <v>0</v>
      </c>
    </row>
    <row r="54" spans="1:119" x14ac:dyDescent="0.2">
      <c r="A54">
        <f>ROW(Source!A65)</f>
        <v>65</v>
      </c>
      <c r="B54">
        <v>52718353</v>
      </c>
      <c r="C54">
        <v>52718669</v>
      </c>
      <c r="D54">
        <v>51176163</v>
      </c>
      <c r="E54">
        <v>118</v>
      </c>
      <c r="F54">
        <v>1</v>
      </c>
      <c r="G54">
        <v>1</v>
      </c>
      <c r="H54">
        <v>3</v>
      </c>
      <c r="I54" t="s">
        <v>25</v>
      </c>
      <c r="J54" t="s">
        <v>3</v>
      </c>
      <c r="K54" t="s">
        <v>26</v>
      </c>
      <c r="L54">
        <v>3277935</v>
      </c>
      <c r="N54">
        <v>1013</v>
      </c>
      <c r="O54" t="s">
        <v>27</v>
      </c>
      <c r="P54" t="s">
        <v>27</v>
      </c>
      <c r="Q54">
        <v>1</v>
      </c>
      <c r="W54">
        <v>0</v>
      </c>
      <c r="X54">
        <v>274903907</v>
      </c>
      <c r="Y54">
        <f t="shared" si="12"/>
        <v>2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1</v>
      </c>
      <c r="AJ54">
        <v>1</v>
      </c>
      <c r="AK54">
        <v>1</v>
      </c>
      <c r="AL54">
        <v>1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 t="s">
        <v>3</v>
      </c>
      <c r="AT54">
        <v>2</v>
      </c>
      <c r="AU54" t="s">
        <v>3</v>
      </c>
      <c r="AV54">
        <v>0</v>
      </c>
      <c r="AW54">
        <v>2</v>
      </c>
      <c r="AX54">
        <v>52718679</v>
      </c>
      <c r="AY54">
        <v>1</v>
      </c>
      <c r="AZ54">
        <v>0</v>
      </c>
      <c r="BA54">
        <v>54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CV54">
        <v>0</v>
      </c>
      <c r="CW54">
        <v>0</v>
      </c>
      <c r="CX54">
        <f>ROUND(Y54*Source!I65,7)</f>
        <v>22</v>
      </c>
      <c r="CY54">
        <f>AA54</f>
        <v>0</v>
      </c>
      <c r="CZ54">
        <f>AE54</f>
        <v>0</v>
      </c>
      <c r="DA54">
        <f>AI54</f>
        <v>1</v>
      </c>
      <c r="DB54">
        <f t="shared" si="13"/>
        <v>0</v>
      </c>
      <c r="DC54">
        <f t="shared" si="14"/>
        <v>0</v>
      </c>
      <c r="DD54" t="s">
        <v>3</v>
      </c>
      <c r="DE54" t="s">
        <v>3</v>
      </c>
      <c r="DF54">
        <f>ROUND(ROUND(AE54,2)*CX54,2)</f>
        <v>0</v>
      </c>
      <c r="DG54">
        <f t="shared" si="18"/>
        <v>0</v>
      </c>
      <c r="DH54">
        <f t="shared" si="15"/>
        <v>0</v>
      </c>
      <c r="DI54">
        <f t="shared" si="16"/>
        <v>0</v>
      </c>
      <c r="DJ54">
        <f>DF54</f>
        <v>0</v>
      </c>
      <c r="DK54">
        <v>0</v>
      </c>
      <c r="DL54" t="s">
        <v>3</v>
      </c>
      <c r="DM54">
        <v>0</v>
      </c>
      <c r="DN54" t="s">
        <v>3</v>
      </c>
      <c r="DO54">
        <v>0</v>
      </c>
    </row>
    <row r="55" spans="1:119" x14ac:dyDescent="0.2">
      <c r="A55">
        <f>ROW(Source!A70)</f>
        <v>70</v>
      </c>
      <c r="B55">
        <v>52718353</v>
      </c>
      <c r="C55">
        <v>52718684</v>
      </c>
      <c r="D55">
        <v>51169938</v>
      </c>
      <c r="E55">
        <v>118</v>
      </c>
      <c r="F55">
        <v>1</v>
      </c>
      <c r="G55">
        <v>1</v>
      </c>
      <c r="H55">
        <v>1</v>
      </c>
      <c r="I55" t="s">
        <v>434</v>
      </c>
      <c r="J55" t="s">
        <v>3</v>
      </c>
      <c r="K55" t="s">
        <v>435</v>
      </c>
      <c r="L55">
        <v>1191</v>
      </c>
      <c r="N55">
        <v>1013</v>
      </c>
      <c r="O55" t="s">
        <v>382</v>
      </c>
      <c r="P55" t="s">
        <v>382</v>
      </c>
      <c r="Q55">
        <v>1</v>
      </c>
      <c r="W55">
        <v>0</v>
      </c>
      <c r="X55">
        <v>1522950421</v>
      </c>
      <c r="Y55">
        <f t="shared" si="12"/>
        <v>30.48</v>
      </c>
      <c r="AA55">
        <v>0</v>
      </c>
      <c r="AB55">
        <v>0</v>
      </c>
      <c r="AC55">
        <v>0</v>
      </c>
      <c r="AD55">
        <v>752.9</v>
      </c>
      <c r="AE55">
        <v>0</v>
      </c>
      <c r="AF55">
        <v>0</v>
      </c>
      <c r="AG55">
        <v>0</v>
      </c>
      <c r="AH55">
        <v>752.9</v>
      </c>
      <c r="AI55">
        <v>1</v>
      </c>
      <c r="AJ55">
        <v>1</v>
      </c>
      <c r="AK55">
        <v>1</v>
      </c>
      <c r="AL55">
        <v>1</v>
      </c>
      <c r="AM55">
        <v>-2</v>
      </c>
      <c r="AN55">
        <v>0</v>
      </c>
      <c r="AO55">
        <v>0</v>
      </c>
      <c r="AP55">
        <v>1</v>
      </c>
      <c r="AQ55">
        <v>1</v>
      </c>
      <c r="AR55">
        <v>0</v>
      </c>
      <c r="AS55" t="s">
        <v>3</v>
      </c>
      <c r="AT55">
        <v>30.48</v>
      </c>
      <c r="AU55" t="s">
        <v>3</v>
      </c>
      <c r="AV55">
        <v>1</v>
      </c>
      <c r="AW55">
        <v>2</v>
      </c>
      <c r="AX55">
        <v>52718694</v>
      </c>
      <c r="AY55">
        <v>1</v>
      </c>
      <c r="AZ55">
        <v>0</v>
      </c>
      <c r="BA55">
        <v>55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22948.392</v>
      </c>
      <c r="BN55">
        <v>30.48</v>
      </c>
      <c r="BO55">
        <v>0</v>
      </c>
      <c r="BP55">
        <v>1</v>
      </c>
      <c r="BQ55">
        <v>0</v>
      </c>
      <c r="BR55">
        <v>0</v>
      </c>
      <c r="BS55">
        <v>0</v>
      </c>
      <c r="BT55">
        <v>22948.392</v>
      </c>
      <c r="BU55">
        <v>30.48</v>
      </c>
      <c r="BV55">
        <v>0</v>
      </c>
      <c r="BW55">
        <v>1</v>
      </c>
      <c r="CU55">
        <f>ROUND(AT55*Source!I70*AH55*AL55,2)</f>
        <v>5278.13</v>
      </c>
      <c r="CV55">
        <f>ROUND(Y55*Source!I70,7)</f>
        <v>7.0103999999999997</v>
      </c>
      <c r="CW55">
        <v>0</v>
      </c>
      <c r="CX55">
        <f>ROUND(Y55*Source!I70,7)</f>
        <v>7.0103999999999997</v>
      </c>
      <c r="CY55">
        <f>AD55</f>
        <v>752.9</v>
      </c>
      <c r="CZ55">
        <f>AH55</f>
        <v>752.9</v>
      </c>
      <c r="DA55">
        <f>AL55</f>
        <v>1</v>
      </c>
      <c r="DB55">
        <f t="shared" si="13"/>
        <v>22948.39</v>
      </c>
      <c r="DC55">
        <f t="shared" si="14"/>
        <v>0</v>
      </c>
      <c r="DD55" t="s">
        <v>3</v>
      </c>
      <c r="DE55" t="s">
        <v>3</v>
      </c>
      <c r="DF55">
        <f>ROUND(ROUND(AE55,2)*CX55,2)</f>
        <v>0</v>
      </c>
      <c r="DG55">
        <f t="shared" si="18"/>
        <v>0</v>
      </c>
      <c r="DH55">
        <f t="shared" si="15"/>
        <v>0</v>
      </c>
      <c r="DI55">
        <f t="shared" si="16"/>
        <v>5278.13</v>
      </c>
      <c r="DJ55">
        <f>DI55</f>
        <v>5278.13</v>
      </c>
      <c r="DK55">
        <v>1</v>
      </c>
      <c r="DL55" t="s">
        <v>3</v>
      </c>
      <c r="DM55">
        <v>0</v>
      </c>
      <c r="DN55" t="s">
        <v>3</v>
      </c>
      <c r="DO55">
        <v>0</v>
      </c>
    </row>
    <row r="56" spans="1:119" x14ac:dyDescent="0.2">
      <c r="A56">
        <f>ROW(Source!A70)</f>
        <v>70</v>
      </c>
      <c r="B56">
        <v>52718353</v>
      </c>
      <c r="C56">
        <v>52718684</v>
      </c>
      <c r="D56">
        <v>51170109</v>
      </c>
      <c r="E56">
        <v>118</v>
      </c>
      <c r="F56">
        <v>1</v>
      </c>
      <c r="G56">
        <v>1</v>
      </c>
      <c r="H56">
        <v>1</v>
      </c>
      <c r="I56" t="s">
        <v>380</v>
      </c>
      <c r="J56" t="s">
        <v>3</v>
      </c>
      <c r="K56" t="s">
        <v>381</v>
      </c>
      <c r="L56">
        <v>1191</v>
      </c>
      <c r="N56">
        <v>1013</v>
      </c>
      <c r="O56" t="s">
        <v>382</v>
      </c>
      <c r="P56" t="s">
        <v>382</v>
      </c>
      <c r="Q56">
        <v>1</v>
      </c>
      <c r="W56">
        <v>0</v>
      </c>
      <c r="X56">
        <v>-1417349443</v>
      </c>
      <c r="Y56">
        <f t="shared" si="12"/>
        <v>0.05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</v>
      </c>
      <c r="AJ56">
        <v>1</v>
      </c>
      <c r="AK56">
        <v>1</v>
      </c>
      <c r="AL56">
        <v>1</v>
      </c>
      <c r="AM56">
        <v>-2</v>
      </c>
      <c r="AN56">
        <v>0</v>
      </c>
      <c r="AO56">
        <v>0</v>
      </c>
      <c r="AP56">
        <v>1</v>
      </c>
      <c r="AQ56">
        <v>1</v>
      </c>
      <c r="AR56">
        <v>0</v>
      </c>
      <c r="AS56" t="s">
        <v>3</v>
      </c>
      <c r="AT56">
        <v>0.05</v>
      </c>
      <c r="AU56" t="s">
        <v>3</v>
      </c>
      <c r="AV56">
        <v>2</v>
      </c>
      <c r="AW56">
        <v>2</v>
      </c>
      <c r="AX56">
        <v>52718695</v>
      </c>
      <c r="AY56">
        <v>1</v>
      </c>
      <c r="AZ56">
        <v>0</v>
      </c>
      <c r="BA56">
        <v>56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CV56">
        <v>0</v>
      </c>
      <c r="CW56">
        <v>0</v>
      </c>
      <c r="CX56">
        <f>ROUND(Y56*Source!I70,7)</f>
        <v>1.15E-2</v>
      </c>
      <c r="CY56">
        <f>AD56</f>
        <v>0</v>
      </c>
      <c r="CZ56">
        <f>AH56</f>
        <v>0</v>
      </c>
      <c r="DA56">
        <f>AL56</f>
        <v>1</v>
      </c>
      <c r="DB56">
        <f t="shared" si="13"/>
        <v>0</v>
      </c>
      <c r="DC56">
        <f t="shared" si="14"/>
        <v>0</v>
      </c>
      <c r="DD56" t="s">
        <v>3</v>
      </c>
      <c r="DE56" t="s">
        <v>3</v>
      </c>
      <c r="DF56">
        <f>ROUND(ROUND(AE56,2)*CX56,2)</f>
        <v>0</v>
      </c>
      <c r="DG56">
        <f t="shared" si="18"/>
        <v>0</v>
      </c>
      <c r="DH56">
        <f t="shared" si="15"/>
        <v>0</v>
      </c>
      <c r="DI56">
        <f t="shared" si="16"/>
        <v>0</v>
      </c>
      <c r="DJ56">
        <f>DI56</f>
        <v>0</v>
      </c>
      <c r="DK56">
        <v>0</v>
      </c>
      <c r="DL56" t="s">
        <v>3</v>
      </c>
      <c r="DM56">
        <v>0</v>
      </c>
      <c r="DN56" t="s">
        <v>3</v>
      </c>
      <c r="DO56">
        <v>0</v>
      </c>
    </row>
    <row r="57" spans="1:119" x14ac:dyDescent="0.2">
      <c r="A57">
        <f>ROW(Source!A70)</f>
        <v>70</v>
      </c>
      <c r="B57">
        <v>52718353</v>
      </c>
      <c r="C57">
        <v>52718684</v>
      </c>
      <c r="D57">
        <v>51296566</v>
      </c>
      <c r="E57">
        <v>1</v>
      </c>
      <c r="F57">
        <v>1</v>
      </c>
      <c r="G57">
        <v>1</v>
      </c>
      <c r="H57">
        <v>2</v>
      </c>
      <c r="I57" t="s">
        <v>410</v>
      </c>
      <c r="J57" t="s">
        <v>411</v>
      </c>
      <c r="K57" t="s">
        <v>412</v>
      </c>
      <c r="L57">
        <v>1368</v>
      </c>
      <c r="N57">
        <v>1011</v>
      </c>
      <c r="O57" t="s">
        <v>386</v>
      </c>
      <c r="P57" t="s">
        <v>386</v>
      </c>
      <c r="Q57">
        <v>1</v>
      </c>
      <c r="W57">
        <v>0</v>
      </c>
      <c r="X57">
        <v>-1068589559</v>
      </c>
      <c r="Y57">
        <f t="shared" si="12"/>
        <v>0.03</v>
      </c>
      <c r="AA57">
        <v>0</v>
      </c>
      <c r="AB57">
        <v>1585.56</v>
      </c>
      <c r="AC57">
        <v>982.04</v>
      </c>
      <c r="AD57">
        <v>0</v>
      </c>
      <c r="AE57">
        <v>0</v>
      </c>
      <c r="AF57">
        <v>1585.56</v>
      </c>
      <c r="AG57">
        <v>982.04</v>
      </c>
      <c r="AH57">
        <v>0</v>
      </c>
      <c r="AI57">
        <v>1</v>
      </c>
      <c r="AJ57">
        <v>1</v>
      </c>
      <c r="AK57">
        <v>1</v>
      </c>
      <c r="AL57">
        <v>1</v>
      </c>
      <c r="AM57">
        <v>-2</v>
      </c>
      <c r="AN57">
        <v>0</v>
      </c>
      <c r="AO57">
        <v>0</v>
      </c>
      <c r="AP57">
        <v>1</v>
      </c>
      <c r="AQ57">
        <v>1</v>
      </c>
      <c r="AR57">
        <v>0</v>
      </c>
      <c r="AS57" t="s">
        <v>3</v>
      </c>
      <c r="AT57">
        <v>0.03</v>
      </c>
      <c r="AU57" t="s">
        <v>3</v>
      </c>
      <c r="AV57">
        <v>1</v>
      </c>
      <c r="AW57">
        <v>2</v>
      </c>
      <c r="AX57">
        <v>52718696</v>
      </c>
      <c r="AY57">
        <v>1</v>
      </c>
      <c r="AZ57">
        <v>0</v>
      </c>
      <c r="BA57">
        <v>57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47.566799999999994</v>
      </c>
      <c r="BL57">
        <v>29.461199999999998</v>
      </c>
      <c r="BM57">
        <v>0</v>
      </c>
      <c r="BN57">
        <v>0</v>
      </c>
      <c r="BO57">
        <v>0.03</v>
      </c>
      <c r="BP57">
        <v>1</v>
      </c>
      <c r="BQ57">
        <v>0</v>
      </c>
      <c r="BR57">
        <v>47.566799999999994</v>
      </c>
      <c r="BS57">
        <v>29.461199999999998</v>
      </c>
      <c r="BT57">
        <v>0</v>
      </c>
      <c r="BU57">
        <v>0</v>
      </c>
      <c r="BV57">
        <v>0.03</v>
      </c>
      <c r="BW57">
        <v>1</v>
      </c>
      <c r="CV57">
        <v>0</v>
      </c>
      <c r="CW57">
        <f>ROUND(Y57*Source!I70*DO57,7)</f>
        <v>6.8999999999999999E-3</v>
      </c>
      <c r="CX57">
        <f>ROUND(Y57*Source!I70,7)</f>
        <v>6.8999999999999999E-3</v>
      </c>
      <c r="CY57">
        <f>AB57</f>
        <v>1585.56</v>
      </c>
      <c r="CZ57">
        <f>AF57</f>
        <v>1585.56</v>
      </c>
      <c r="DA57">
        <f>AJ57</f>
        <v>1</v>
      </c>
      <c r="DB57">
        <f t="shared" si="13"/>
        <v>47.57</v>
      </c>
      <c r="DC57">
        <f t="shared" si="14"/>
        <v>29.46</v>
      </c>
      <c r="DD57" t="s">
        <v>3</v>
      </c>
      <c r="DE57" t="s">
        <v>3</v>
      </c>
      <c r="DF57">
        <f>ROUND(ROUND(AE57,2)*CX57,2)</f>
        <v>0</v>
      </c>
      <c r="DG57">
        <f t="shared" si="18"/>
        <v>10.94</v>
      </c>
      <c r="DH57">
        <f t="shared" si="15"/>
        <v>6.78</v>
      </c>
      <c r="DI57">
        <f t="shared" si="16"/>
        <v>0</v>
      </c>
      <c r="DJ57">
        <f>DG57+DH57</f>
        <v>17.72</v>
      </c>
      <c r="DK57">
        <v>1</v>
      </c>
      <c r="DL57" t="s">
        <v>413</v>
      </c>
      <c r="DM57">
        <v>6</v>
      </c>
      <c r="DN57" t="s">
        <v>382</v>
      </c>
      <c r="DO57">
        <v>1</v>
      </c>
    </row>
    <row r="58" spans="1:119" x14ac:dyDescent="0.2">
      <c r="A58">
        <f>ROW(Source!A70)</f>
        <v>70</v>
      </c>
      <c r="B58">
        <v>52718353</v>
      </c>
      <c r="C58">
        <v>52718684</v>
      </c>
      <c r="D58">
        <v>51297468</v>
      </c>
      <c r="E58">
        <v>1</v>
      </c>
      <c r="F58">
        <v>1</v>
      </c>
      <c r="G58">
        <v>1</v>
      </c>
      <c r="H58">
        <v>2</v>
      </c>
      <c r="I58" t="s">
        <v>383</v>
      </c>
      <c r="J58" t="s">
        <v>384</v>
      </c>
      <c r="K58" t="s">
        <v>385</v>
      </c>
      <c r="L58">
        <v>1368</v>
      </c>
      <c r="N58">
        <v>1011</v>
      </c>
      <c r="O58" t="s">
        <v>386</v>
      </c>
      <c r="P58" t="s">
        <v>386</v>
      </c>
      <c r="Q58">
        <v>1</v>
      </c>
      <c r="W58">
        <v>0</v>
      </c>
      <c r="X58">
        <v>-312038840</v>
      </c>
      <c r="Y58">
        <f t="shared" si="12"/>
        <v>0.02</v>
      </c>
      <c r="AA58">
        <v>0</v>
      </c>
      <c r="AB58">
        <v>544.91999999999996</v>
      </c>
      <c r="AC58">
        <v>731.08</v>
      </c>
      <c r="AD58">
        <v>0</v>
      </c>
      <c r="AE58">
        <v>0</v>
      </c>
      <c r="AF58">
        <v>544.91999999999996</v>
      </c>
      <c r="AG58">
        <v>731.08</v>
      </c>
      <c r="AH58">
        <v>0</v>
      </c>
      <c r="AI58">
        <v>1</v>
      </c>
      <c r="AJ58">
        <v>1</v>
      </c>
      <c r="AK58">
        <v>1</v>
      </c>
      <c r="AL58">
        <v>1</v>
      </c>
      <c r="AM58">
        <v>-2</v>
      </c>
      <c r="AN58">
        <v>0</v>
      </c>
      <c r="AO58">
        <v>0</v>
      </c>
      <c r="AP58">
        <v>1</v>
      </c>
      <c r="AQ58">
        <v>1</v>
      </c>
      <c r="AR58">
        <v>0</v>
      </c>
      <c r="AS58" t="s">
        <v>3</v>
      </c>
      <c r="AT58">
        <v>0.02</v>
      </c>
      <c r="AU58" t="s">
        <v>3</v>
      </c>
      <c r="AV58">
        <v>1</v>
      </c>
      <c r="AW58">
        <v>2</v>
      </c>
      <c r="AX58">
        <v>52718697</v>
      </c>
      <c r="AY58">
        <v>1</v>
      </c>
      <c r="AZ58">
        <v>0</v>
      </c>
      <c r="BA58">
        <v>58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10.898399999999999</v>
      </c>
      <c r="BL58">
        <v>14.621600000000001</v>
      </c>
      <c r="BM58">
        <v>0</v>
      </c>
      <c r="BN58">
        <v>0</v>
      </c>
      <c r="BO58">
        <v>0.02</v>
      </c>
      <c r="BP58">
        <v>1</v>
      </c>
      <c r="BQ58">
        <v>0</v>
      </c>
      <c r="BR58">
        <v>10.898399999999999</v>
      </c>
      <c r="BS58">
        <v>14.621600000000001</v>
      </c>
      <c r="BT58">
        <v>0</v>
      </c>
      <c r="BU58">
        <v>0</v>
      </c>
      <c r="BV58">
        <v>0.02</v>
      </c>
      <c r="BW58">
        <v>1</v>
      </c>
      <c r="CV58">
        <v>0</v>
      </c>
      <c r="CW58">
        <f>ROUND(Y58*Source!I70*DO58,7)</f>
        <v>4.5999999999999999E-3</v>
      </c>
      <c r="CX58">
        <f>ROUND(Y58*Source!I70,7)</f>
        <v>4.5999999999999999E-3</v>
      </c>
      <c r="CY58">
        <f>AB58</f>
        <v>544.91999999999996</v>
      </c>
      <c r="CZ58">
        <f>AF58</f>
        <v>544.91999999999996</v>
      </c>
      <c r="DA58">
        <f>AJ58</f>
        <v>1</v>
      </c>
      <c r="DB58">
        <f t="shared" si="13"/>
        <v>10.9</v>
      </c>
      <c r="DC58">
        <f t="shared" si="14"/>
        <v>14.62</v>
      </c>
      <c r="DD58" t="s">
        <v>3</v>
      </c>
      <c r="DE58" t="s">
        <v>3</v>
      </c>
      <c r="DF58">
        <f>ROUND(ROUND(AE58,2)*CX58,2)</f>
        <v>0</v>
      </c>
      <c r="DG58">
        <f t="shared" si="18"/>
        <v>2.5099999999999998</v>
      </c>
      <c r="DH58">
        <f t="shared" si="15"/>
        <v>3.36</v>
      </c>
      <c r="DI58">
        <f t="shared" si="16"/>
        <v>0</v>
      </c>
      <c r="DJ58">
        <f>DG58+DH58</f>
        <v>5.8699999999999992</v>
      </c>
      <c r="DK58">
        <v>1</v>
      </c>
      <c r="DL58" t="s">
        <v>387</v>
      </c>
      <c r="DM58">
        <v>4</v>
      </c>
      <c r="DN58" t="s">
        <v>382</v>
      </c>
      <c r="DO58">
        <v>1</v>
      </c>
    </row>
    <row r="59" spans="1:119" x14ac:dyDescent="0.2">
      <c r="A59">
        <f>ROW(Source!A70)</f>
        <v>70</v>
      </c>
      <c r="B59">
        <v>52718353</v>
      </c>
      <c r="C59">
        <v>52718684</v>
      </c>
      <c r="D59">
        <v>51246841</v>
      </c>
      <c r="E59">
        <v>1</v>
      </c>
      <c r="F59">
        <v>1</v>
      </c>
      <c r="G59">
        <v>1</v>
      </c>
      <c r="H59">
        <v>3</v>
      </c>
      <c r="I59" t="s">
        <v>414</v>
      </c>
      <c r="J59" t="s">
        <v>415</v>
      </c>
      <c r="K59" t="s">
        <v>416</v>
      </c>
      <c r="L59">
        <v>1301</v>
      </c>
      <c r="N59">
        <v>1003</v>
      </c>
      <c r="O59" t="s">
        <v>31</v>
      </c>
      <c r="P59" t="s">
        <v>31</v>
      </c>
      <c r="Q59">
        <v>1</v>
      </c>
      <c r="W59">
        <v>0</v>
      </c>
      <c r="X59">
        <v>1043352333</v>
      </c>
      <c r="Y59">
        <f t="shared" si="12"/>
        <v>35</v>
      </c>
      <c r="AA59">
        <v>5.1100000000000003</v>
      </c>
      <c r="AB59">
        <v>0</v>
      </c>
      <c r="AC59">
        <v>0</v>
      </c>
      <c r="AD59">
        <v>0</v>
      </c>
      <c r="AE59">
        <v>5.87</v>
      </c>
      <c r="AF59">
        <v>0</v>
      </c>
      <c r="AG59">
        <v>0</v>
      </c>
      <c r="AH59">
        <v>0</v>
      </c>
      <c r="AI59">
        <v>0.87</v>
      </c>
      <c r="AJ59">
        <v>1</v>
      </c>
      <c r="AK59">
        <v>1</v>
      </c>
      <c r="AL59">
        <v>1</v>
      </c>
      <c r="AM59">
        <v>2</v>
      </c>
      <c r="AN59">
        <v>0</v>
      </c>
      <c r="AO59">
        <v>0</v>
      </c>
      <c r="AP59">
        <v>1</v>
      </c>
      <c r="AQ59">
        <v>1</v>
      </c>
      <c r="AR59">
        <v>0</v>
      </c>
      <c r="AS59" t="s">
        <v>3</v>
      </c>
      <c r="AT59">
        <v>35</v>
      </c>
      <c r="AU59" t="s">
        <v>3</v>
      </c>
      <c r="AV59">
        <v>0</v>
      </c>
      <c r="AW59">
        <v>2</v>
      </c>
      <c r="AX59">
        <v>52718698</v>
      </c>
      <c r="AY59">
        <v>1</v>
      </c>
      <c r="AZ59">
        <v>0</v>
      </c>
      <c r="BA59">
        <v>59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205.45000000000002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1</v>
      </c>
      <c r="BQ59">
        <v>205.45000000000002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1</v>
      </c>
      <c r="CV59">
        <v>0</v>
      </c>
      <c r="CW59">
        <v>0</v>
      </c>
      <c r="CX59">
        <f>ROUND(Y59*Source!I70,7)</f>
        <v>8.0500000000000007</v>
      </c>
      <c r="CY59">
        <f>AA59</f>
        <v>5.1100000000000003</v>
      </c>
      <c r="CZ59">
        <f>AE59</f>
        <v>5.87</v>
      </c>
      <c r="DA59">
        <f>AI59</f>
        <v>0.87</v>
      </c>
      <c r="DB59">
        <f t="shared" si="13"/>
        <v>205.45</v>
      </c>
      <c r="DC59">
        <f t="shared" si="14"/>
        <v>0</v>
      </c>
      <c r="DD59" t="s">
        <v>3</v>
      </c>
      <c r="DE59" t="s">
        <v>3</v>
      </c>
      <c r="DF59">
        <f>ROUND(ROUND(AE59*AI59,2)*CX59,2)</f>
        <v>41.14</v>
      </c>
      <c r="DG59">
        <f t="shared" si="18"/>
        <v>0</v>
      </c>
      <c r="DH59">
        <f t="shared" si="15"/>
        <v>0</v>
      </c>
      <c r="DI59">
        <f t="shared" si="16"/>
        <v>0</v>
      </c>
      <c r="DJ59">
        <f>DF59</f>
        <v>41.14</v>
      </c>
      <c r="DK59">
        <v>0</v>
      </c>
      <c r="DL59" t="s">
        <v>3</v>
      </c>
      <c r="DM59">
        <v>0</v>
      </c>
      <c r="DN59" t="s">
        <v>3</v>
      </c>
      <c r="DO59">
        <v>0</v>
      </c>
    </row>
    <row r="60" spans="1:119" x14ac:dyDescent="0.2">
      <c r="A60">
        <f>ROW(Source!A70)</f>
        <v>70</v>
      </c>
      <c r="B60">
        <v>52718353</v>
      </c>
      <c r="C60">
        <v>52718684</v>
      </c>
      <c r="D60">
        <v>51248180</v>
      </c>
      <c r="E60">
        <v>1</v>
      </c>
      <c r="F60">
        <v>1</v>
      </c>
      <c r="G60">
        <v>1</v>
      </c>
      <c r="H60">
        <v>3</v>
      </c>
      <c r="I60" t="s">
        <v>455</v>
      </c>
      <c r="J60" t="s">
        <v>456</v>
      </c>
      <c r="K60" t="s">
        <v>457</v>
      </c>
      <c r="L60">
        <v>1346</v>
      </c>
      <c r="N60">
        <v>1009</v>
      </c>
      <c r="O60" t="s">
        <v>424</v>
      </c>
      <c r="P60" t="s">
        <v>424</v>
      </c>
      <c r="Q60">
        <v>1</v>
      </c>
      <c r="W60">
        <v>0</v>
      </c>
      <c r="X60">
        <v>-489290570</v>
      </c>
      <c r="Y60">
        <f t="shared" si="12"/>
        <v>1.5</v>
      </c>
      <c r="AA60">
        <v>188.92</v>
      </c>
      <c r="AB60">
        <v>0</v>
      </c>
      <c r="AC60">
        <v>0</v>
      </c>
      <c r="AD60">
        <v>0</v>
      </c>
      <c r="AE60">
        <v>174.93</v>
      </c>
      <c r="AF60">
        <v>0</v>
      </c>
      <c r="AG60">
        <v>0</v>
      </c>
      <c r="AH60">
        <v>0</v>
      </c>
      <c r="AI60">
        <v>1.08</v>
      </c>
      <c r="AJ60">
        <v>1</v>
      </c>
      <c r="AK60">
        <v>1</v>
      </c>
      <c r="AL60">
        <v>1</v>
      </c>
      <c r="AM60">
        <v>2</v>
      </c>
      <c r="AN60">
        <v>0</v>
      </c>
      <c r="AO60">
        <v>0</v>
      </c>
      <c r="AP60">
        <v>1</v>
      </c>
      <c r="AQ60">
        <v>1</v>
      </c>
      <c r="AR60">
        <v>0</v>
      </c>
      <c r="AS60" t="s">
        <v>3</v>
      </c>
      <c r="AT60">
        <v>1.5</v>
      </c>
      <c r="AU60" t="s">
        <v>3</v>
      </c>
      <c r="AV60">
        <v>0</v>
      </c>
      <c r="AW60">
        <v>2</v>
      </c>
      <c r="AX60">
        <v>52718699</v>
      </c>
      <c r="AY60">
        <v>1</v>
      </c>
      <c r="AZ60">
        <v>0</v>
      </c>
      <c r="BA60">
        <v>60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262.39499999999998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1</v>
      </c>
      <c r="BQ60">
        <v>262.39499999999998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1</v>
      </c>
      <c r="CV60">
        <v>0</v>
      </c>
      <c r="CW60">
        <v>0</v>
      </c>
      <c r="CX60">
        <f>ROUND(Y60*Source!I70,7)</f>
        <v>0.34499999999999997</v>
      </c>
      <c r="CY60">
        <f>AA60</f>
        <v>188.92</v>
      </c>
      <c r="CZ60">
        <f>AE60</f>
        <v>174.93</v>
      </c>
      <c r="DA60">
        <f>AI60</f>
        <v>1.08</v>
      </c>
      <c r="DB60">
        <f t="shared" si="13"/>
        <v>262.39999999999998</v>
      </c>
      <c r="DC60">
        <f t="shared" si="14"/>
        <v>0</v>
      </c>
      <c r="DD60" t="s">
        <v>3</v>
      </c>
      <c r="DE60" t="s">
        <v>3</v>
      </c>
      <c r="DF60">
        <f>ROUND(ROUND(AE60*AI60,2)*CX60,2)</f>
        <v>65.180000000000007</v>
      </c>
      <c r="DG60">
        <f t="shared" si="18"/>
        <v>0</v>
      </c>
      <c r="DH60">
        <f t="shared" si="15"/>
        <v>0</v>
      </c>
      <c r="DI60">
        <f t="shared" si="16"/>
        <v>0</v>
      </c>
      <c r="DJ60">
        <f>DF60</f>
        <v>65.180000000000007</v>
      </c>
      <c r="DK60">
        <v>0</v>
      </c>
      <c r="DL60" t="s">
        <v>3</v>
      </c>
      <c r="DM60">
        <v>0</v>
      </c>
      <c r="DN60" t="s">
        <v>3</v>
      </c>
      <c r="DO60">
        <v>0</v>
      </c>
    </row>
    <row r="61" spans="1:119" x14ac:dyDescent="0.2">
      <c r="A61">
        <f>ROW(Source!A70)</f>
        <v>70</v>
      </c>
      <c r="B61">
        <v>52718353</v>
      </c>
      <c r="C61">
        <v>52718684</v>
      </c>
      <c r="D61">
        <v>51250028</v>
      </c>
      <c r="E61">
        <v>1</v>
      </c>
      <c r="F61">
        <v>1</v>
      </c>
      <c r="G61">
        <v>1</v>
      </c>
      <c r="H61">
        <v>3</v>
      </c>
      <c r="I61" t="s">
        <v>449</v>
      </c>
      <c r="J61" t="s">
        <v>450</v>
      </c>
      <c r="K61" t="s">
        <v>451</v>
      </c>
      <c r="L61">
        <v>1348</v>
      </c>
      <c r="N61">
        <v>1009</v>
      </c>
      <c r="O61" t="s">
        <v>126</v>
      </c>
      <c r="P61" t="s">
        <v>126</v>
      </c>
      <c r="Q61">
        <v>1000</v>
      </c>
      <c r="W61">
        <v>0</v>
      </c>
      <c r="X61">
        <v>-1499842909</v>
      </c>
      <c r="Y61">
        <f t="shared" si="12"/>
        <v>3.15E-3</v>
      </c>
      <c r="AA61">
        <v>6333.87</v>
      </c>
      <c r="AB61">
        <v>0</v>
      </c>
      <c r="AC61">
        <v>0</v>
      </c>
      <c r="AD61">
        <v>0</v>
      </c>
      <c r="AE61">
        <v>4338.2700000000004</v>
      </c>
      <c r="AF61">
        <v>0</v>
      </c>
      <c r="AG61">
        <v>0</v>
      </c>
      <c r="AH61">
        <v>0</v>
      </c>
      <c r="AI61">
        <v>1.46</v>
      </c>
      <c r="AJ61">
        <v>1</v>
      </c>
      <c r="AK61">
        <v>1</v>
      </c>
      <c r="AL61">
        <v>1</v>
      </c>
      <c r="AM61">
        <v>2</v>
      </c>
      <c r="AN61">
        <v>0</v>
      </c>
      <c r="AO61">
        <v>0</v>
      </c>
      <c r="AP61">
        <v>1</v>
      </c>
      <c r="AQ61">
        <v>1</v>
      </c>
      <c r="AR61">
        <v>0</v>
      </c>
      <c r="AS61" t="s">
        <v>3</v>
      </c>
      <c r="AT61">
        <v>3.15E-3</v>
      </c>
      <c r="AU61" t="s">
        <v>3</v>
      </c>
      <c r="AV61">
        <v>0</v>
      </c>
      <c r="AW61">
        <v>2</v>
      </c>
      <c r="AX61">
        <v>52718700</v>
      </c>
      <c r="AY61">
        <v>1</v>
      </c>
      <c r="AZ61">
        <v>0</v>
      </c>
      <c r="BA61">
        <v>61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13.665550500000002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</v>
      </c>
      <c r="BQ61">
        <v>13.665550500000002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1</v>
      </c>
      <c r="CV61">
        <v>0</v>
      </c>
      <c r="CW61">
        <v>0</v>
      </c>
      <c r="CX61">
        <f>ROUND(Y61*Source!I70,7)</f>
        <v>7.2449999999999999E-4</v>
      </c>
      <c r="CY61">
        <f>AA61</f>
        <v>6333.87</v>
      </c>
      <c r="CZ61">
        <f>AE61</f>
        <v>4338.2700000000004</v>
      </c>
      <c r="DA61">
        <f>AI61</f>
        <v>1.46</v>
      </c>
      <c r="DB61">
        <f t="shared" si="13"/>
        <v>13.67</v>
      </c>
      <c r="DC61">
        <f t="shared" si="14"/>
        <v>0</v>
      </c>
      <c r="DD61" t="s">
        <v>3</v>
      </c>
      <c r="DE61" t="s">
        <v>3</v>
      </c>
      <c r="DF61">
        <f>ROUND(ROUND(AE61*AI61,2)*CX61,2)</f>
        <v>4.59</v>
      </c>
      <c r="DG61">
        <f t="shared" si="18"/>
        <v>0</v>
      </c>
      <c r="DH61">
        <f t="shared" si="15"/>
        <v>0</v>
      </c>
      <c r="DI61">
        <f t="shared" si="16"/>
        <v>0</v>
      </c>
      <c r="DJ61">
        <f>DF61</f>
        <v>4.59</v>
      </c>
      <c r="DK61">
        <v>0</v>
      </c>
      <c r="DL61" t="s">
        <v>3</v>
      </c>
      <c r="DM61">
        <v>0</v>
      </c>
      <c r="DN61" t="s">
        <v>3</v>
      </c>
      <c r="DO61">
        <v>0</v>
      </c>
    </row>
    <row r="62" spans="1:119" x14ac:dyDescent="0.2">
      <c r="A62">
        <f>ROW(Source!A70)</f>
        <v>70</v>
      </c>
      <c r="B62">
        <v>52718353</v>
      </c>
      <c r="C62">
        <v>52718684</v>
      </c>
      <c r="D62">
        <v>51273688</v>
      </c>
      <c r="E62">
        <v>1</v>
      </c>
      <c r="F62">
        <v>1</v>
      </c>
      <c r="G62">
        <v>1</v>
      </c>
      <c r="H62">
        <v>3</v>
      </c>
      <c r="I62" t="s">
        <v>458</v>
      </c>
      <c r="J62" t="s">
        <v>459</v>
      </c>
      <c r="K62" t="s">
        <v>460</v>
      </c>
      <c r="L62">
        <v>1407</v>
      </c>
      <c r="N62">
        <v>1013</v>
      </c>
      <c r="O62" t="s">
        <v>404</v>
      </c>
      <c r="P62" t="s">
        <v>404</v>
      </c>
      <c r="Q62">
        <v>1</v>
      </c>
      <c r="W62">
        <v>0</v>
      </c>
      <c r="X62">
        <v>1860696423</v>
      </c>
      <c r="Y62">
        <f t="shared" si="12"/>
        <v>0.10199999999999999</v>
      </c>
      <c r="AA62">
        <v>5049.34</v>
      </c>
      <c r="AB62">
        <v>0</v>
      </c>
      <c r="AC62">
        <v>0</v>
      </c>
      <c r="AD62">
        <v>0</v>
      </c>
      <c r="AE62">
        <v>3658.94</v>
      </c>
      <c r="AF62">
        <v>0</v>
      </c>
      <c r="AG62">
        <v>0</v>
      </c>
      <c r="AH62">
        <v>0</v>
      </c>
      <c r="AI62">
        <v>1.38</v>
      </c>
      <c r="AJ62">
        <v>1</v>
      </c>
      <c r="AK62">
        <v>1</v>
      </c>
      <c r="AL62">
        <v>1</v>
      </c>
      <c r="AM62">
        <v>2</v>
      </c>
      <c r="AN62">
        <v>0</v>
      </c>
      <c r="AO62">
        <v>0</v>
      </c>
      <c r="AP62">
        <v>1</v>
      </c>
      <c r="AQ62">
        <v>1</v>
      </c>
      <c r="AR62">
        <v>0</v>
      </c>
      <c r="AS62" t="s">
        <v>3</v>
      </c>
      <c r="AT62">
        <v>0.10199999999999999</v>
      </c>
      <c r="AU62" t="s">
        <v>3</v>
      </c>
      <c r="AV62">
        <v>0</v>
      </c>
      <c r="AW62">
        <v>2</v>
      </c>
      <c r="AX62">
        <v>52718701</v>
      </c>
      <c r="AY62">
        <v>1</v>
      </c>
      <c r="AZ62">
        <v>0</v>
      </c>
      <c r="BA62">
        <v>62</v>
      </c>
      <c r="BB62">
        <v>1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373.21188000000001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1</v>
      </c>
      <c r="BQ62">
        <v>373.21188000000001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1</v>
      </c>
      <c r="CV62">
        <v>0</v>
      </c>
      <c r="CW62">
        <v>0</v>
      </c>
      <c r="CX62">
        <f>ROUND(Y62*Source!I70,7)</f>
        <v>2.3460000000000002E-2</v>
      </c>
      <c r="CY62">
        <f>AA62</f>
        <v>5049.34</v>
      </c>
      <c r="CZ62">
        <f>AE62</f>
        <v>3658.94</v>
      </c>
      <c r="DA62">
        <f>AI62</f>
        <v>1.38</v>
      </c>
      <c r="DB62">
        <f t="shared" si="13"/>
        <v>373.21</v>
      </c>
      <c r="DC62">
        <f t="shared" si="14"/>
        <v>0</v>
      </c>
      <c r="DD62" t="s">
        <v>3</v>
      </c>
      <c r="DE62" t="s">
        <v>3</v>
      </c>
      <c r="DF62">
        <f>ROUND(ROUND(AE62*AI62,2)*CX62,2)</f>
        <v>118.46</v>
      </c>
      <c r="DG62">
        <f t="shared" si="18"/>
        <v>0</v>
      </c>
      <c r="DH62">
        <f t="shared" si="15"/>
        <v>0</v>
      </c>
      <c r="DI62">
        <f t="shared" si="16"/>
        <v>0</v>
      </c>
      <c r="DJ62">
        <f>DF62</f>
        <v>118.46</v>
      </c>
      <c r="DK62">
        <v>0</v>
      </c>
      <c r="DL62" t="s">
        <v>3</v>
      </c>
      <c r="DM62">
        <v>0</v>
      </c>
      <c r="DN62" t="s">
        <v>3</v>
      </c>
      <c r="DO62">
        <v>0</v>
      </c>
    </row>
    <row r="63" spans="1:119" x14ac:dyDescent="0.2">
      <c r="A63">
        <f>ROW(Source!A70)</f>
        <v>70</v>
      </c>
      <c r="B63">
        <v>52718353</v>
      </c>
      <c r="C63">
        <v>52718684</v>
      </c>
      <c r="D63">
        <v>51176163</v>
      </c>
      <c r="E63">
        <v>118</v>
      </c>
      <c r="F63">
        <v>1</v>
      </c>
      <c r="G63">
        <v>1</v>
      </c>
      <c r="H63">
        <v>3</v>
      </c>
      <c r="I63" t="s">
        <v>25</v>
      </c>
      <c r="J63" t="s">
        <v>3</v>
      </c>
      <c r="K63" t="s">
        <v>26</v>
      </c>
      <c r="L63">
        <v>3277935</v>
      </c>
      <c r="N63">
        <v>1013</v>
      </c>
      <c r="O63" t="s">
        <v>27</v>
      </c>
      <c r="P63" t="s">
        <v>27</v>
      </c>
      <c r="Q63">
        <v>1</v>
      </c>
      <c r="W63">
        <v>0</v>
      </c>
      <c r="X63">
        <v>274903907</v>
      </c>
      <c r="Y63">
        <f t="shared" si="12"/>
        <v>2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1</v>
      </c>
      <c r="AJ63">
        <v>1</v>
      </c>
      <c r="AK63">
        <v>1</v>
      </c>
      <c r="AL63">
        <v>1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 t="s">
        <v>3</v>
      </c>
      <c r="AT63">
        <v>2</v>
      </c>
      <c r="AU63" t="s">
        <v>3</v>
      </c>
      <c r="AV63">
        <v>0</v>
      </c>
      <c r="AW63">
        <v>2</v>
      </c>
      <c r="AX63">
        <v>52718702</v>
      </c>
      <c r="AY63">
        <v>1</v>
      </c>
      <c r="AZ63">
        <v>0</v>
      </c>
      <c r="BA63">
        <v>63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CV63">
        <v>0</v>
      </c>
      <c r="CW63">
        <v>0</v>
      </c>
      <c r="CX63">
        <f>ROUND(Y63*Source!I70,7)</f>
        <v>0.46</v>
      </c>
      <c r="CY63">
        <f>AA63</f>
        <v>0</v>
      </c>
      <c r="CZ63">
        <f>AE63</f>
        <v>0</v>
      </c>
      <c r="DA63">
        <f>AI63</f>
        <v>1</v>
      </c>
      <c r="DB63">
        <f t="shared" si="13"/>
        <v>0</v>
      </c>
      <c r="DC63">
        <f t="shared" si="14"/>
        <v>0</v>
      </c>
      <c r="DD63" t="s">
        <v>3</v>
      </c>
      <c r="DE63" t="s">
        <v>3</v>
      </c>
      <c r="DF63">
        <f t="shared" ref="DF63:DF68" si="19">ROUND(ROUND(AE63,2)*CX63,2)</f>
        <v>0</v>
      </c>
      <c r="DG63">
        <f t="shared" si="18"/>
        <v>0</v>
      </c>
      <c r="DH63">
        <f t="shared" si="15"/>
        <v>0</v>
      </c>
      <c r="DI63">
        <f t="shared" si="16"/>
        <v>0</v>
      </c>
      <c r="DJ63">
        <f>DF63</f>
        <v>0</v>
      </c>
      <c r="DK63">
        <v>0</v>
      </c>
      <c r="DL63" t="s">
        <v>3</v>
      </c>
      <c r="DM63">
        <v>0</v>
      </c>
      <c r="DN63" t="s">
        <v>3</v>
      </c>
      <c r="DO63">
        <v>0</v>
      </c>
    </row>
    <row r="64" spans="1:119" x14ac:dyDescent="0.2">
      <c r="A64">
        <f>ROW(Source!A74)</f>
        <v>74</v>
      </c>
      <c r="B64">
        <v>52718353</v>
      </c>
      <c r="C64">
        <v>52718706</v>
      </c>
      <c r="D64">
        <v>51169926</v>
      </c>
      <c r="E64">
        <v>118</v>
      </c>
      <c r="F64">
        <v>1</v>
      </c>
      <c r="G64">
        <v>1</v>
      </c>
      <c r="H64">
        <v>1</v>
      </c>
      <c r="I64" t="s">
        <v>408</v>
      </c>
      <c r="J64" t="s">
        <v>3</v>
      </c>
      <c r="K64" t="s">
        <v>409</v>
      </c>
      <c r="L64">
        <v>1191</v>
      </c>
      <c r="N64">
        <v>1013</v>
      </c>
      <c r="O64" t="s">
        <v>382</v>
      </c>
      <c r="P64" t="s">
        <v>382</v>
      </c>
      <c r="Q64">
        <v>1</v>
      </c>
      <c r="W64">
        <v>0</v>
      </c>
      <c r="X64">
        <v>44848675</v>
      </c>
      <c r="Y64">
        <f t="shared" si="12"/>
        <v>16.5</v>
      </c>
      <c r="AA64">
        <v>0</v>
      </c>
      <c r="AB64">
        <v>0</v>
      </c>
      <c r="AC64">
        <v>0</v>
      </c>
      <c r="AD64">
        <v>714.71</v>
      </c>
      <c r="AE64">
        <v>0</v>
      </c>
      <c r="AF64">
        <v>0</v>
      </c>
      <c r="AG64">
        <v>0</v>
      </c>
      <c r="AH64">
        <v>714.71</v>
      </c>
      <c r="AI64">
        <v>1</v>
      </c>
      <c r="AJ64">
        <v>1</v>
      </c>
      <c r="AK64">
        <v>1</v>
      </c>
      <c r="AL64">
        <v>1</v>
      </c>
      <c r="AM64">
        <v>-2</v>
      </c>
      <c r="AN64">
        <v>0</v>
      </c>
      <c r="AO64">
        <v>0</v>
      </c>
      <c r="AP64">
        <v>1</v>
      </c>
      <c r="AQ64">
        <v>1</v>
      </c>
      <c r="AR64">
        <v>0</v>
      </c>
      <c r="AS64" t="s">
        <v>3</v>
      </c>
      <c r="AT64">
        <v>16.5</v>
      </c>
      <c r="AU64" t="s">
        <v>3</v>
      </c>
      <c r="AV64">
        <v>1</v>
      </c>
      <c r="AW64">
        <v>2</v>
      </c>
      <c r="AX64">
        <v>52718716</v>
      </c>
      <c r="AY64">
        <v>1</v>
      </c>
      <c r="AZ64">
        <v>0</v>
      </c>
      <c r="BA64">
        <v>64</v>
      </c>
      <c r="BB64">
        <v>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11792.715</v>
      </c>
      <c r="BN64">
        <v>16.5</v>
      </c>
      <c r="BO64">
        <v>0</v>
      </c>
      <c r="BP64">
        <v>1</v>
      </c>
      <c r="BQ64">
        <v>0</v>
      </c>
      <c r="BR64">
        <v>0</v>
      </c>
      <c r="BS64">
        <v>0</v>
      </c>
      <c r="BT64">
        <v>11792.715</v>
      </c>
      <c r="BU64">
        <v>16.5</v>
      </c>
      <c r="BV64">
        <v>0</v>
      </c>
      <c r="BW64">
        <v>1</v>
      </c>
      <c r="CU64">
        <f>ROUND(AT64*Source!I74*AH64*AL64,2)</f>
        <v>5306.72</v>
      </c>
      <c r="CV64">
        <f>ROUND(Y64*Source!I74,7)</f>
        <v>7.4249999999999998</v>
      </c>
      <c r="CW64">
        <v>0</v>
      </c>
      <c r="CX64">
        <f>ROUND(Y64*Source!I74,7)</f>
        <v>7.4249999999999998</v>
      </c>
      <c r="CY64">
        <f>AD64</f>
        <v>714.71</v>
      </c>
      <c r="CZ64">
        <f>AH64</f>
        <v>714.71</v>
      </c>
      <c r="DA64">
        <f>AL64</f>
        <v>1</v>
      </c>
      <c r="DB64">
        <f t="shared" si="13"/>
        <v>11792.72</v>
      </c>
      <c r="DC64">
        <f t="shared" si="14"/>
        <v>0</v>
      </c>
      <c r="DD64" t="s">
        <v>3</v>
      </c>
      <c r="DE64" t="s">
        <v>3</v>
      </c>
      <c r="DF64">
        <f t="shared" si="19"/>
        <v>0</v>
      </c>
      <c r="DG64">
        <f t="shared" si="18"/>
        <v>0</v>
      </c>
      <c r="DH64">
        <f t="shared" si="15"/>
        <v>0</v>
      </c>
      <c r="DI64">
        <f t="shared" si="16"/>
        <v>5306.72</v>
      </c>
      <c r="DJ64">
        <f>DI64</f>
        <v>5306.72</v>
      </c>
      <c r="DK64">
        <v>1</v>
      </c>
      <c r="DL64" t="s">
        <v>3</v>
      </c>
      <c r="DM64">
        <v>0</v>
      </c>
      <c r="DN64" t="s">
        <v>3</v>
      </c>
      <c r="DO64">
        <v>0</v>
      </c>
    </row>
    <row r="65" spans="1:119" x14ac:dyDescent="0.2">
      <c r="A65">
        <f>ROW(Source!A74)</f>
        <v>74</v>
      </c>
      <c r="B65">
        <v>52718353</v>
      </c>
      <c r="C65">
        <v>52718706</v>
      </c>
      <c r="D65">
        <v>51170109</v>
      </c>
      <c r="E65">
        <v>118</v>
      </c>
      <c r="F65">
        <v>1</v>
      </c>
      <c r="G65">
        <v>1</v>
      </c>
      <c r="H65">
        <v>1</v>
      </c>
      <c r="I65" t="s">
        <v>380</v>
      </c>
      <c r="J65" t="s">
        <v>3</v>
      </c>
      <c r="K65" t="s">
        <v>381</v>
      </c>
      <c r="L65">
        <v>1191</v>
      </c>
      <c r="N65">
        <v>1013</v>
      </c>
      <c r="O65" t="s">
        <v>382</v>
      </c>
      <c r="P65" t="s">
        <v>382</v>
      </c>
      <c r="Q65">
        <v>1</v>
      </c>
      <c r="W65">
        <v>0</v>
      </c>
      <c r="X65">
        <v>-1417349443</v>
      </c>
      <c r="Y65">
        <f t="shared" ref="Y65:Y99" si="20">AT65</f>
        <v>0.34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1</v>
      </c>
      <c r="AK65">
        <v>1</v>
      </c>
      <c r="AL65">
        <v>1</v>
      </c>
      <c r="AM65">
        <v>-2</v>
      </c>
      <c r="AN65">
        <v>0</v>
      </c>
      <c r="AO65">
        <v>0</v>
      </c>
      <c r="AP65">
        <v>1</v>
      </c>
      <c r="AQ65">
        <v>1</v>
      </c>
      <c r="AR65">
        <v>0</v>
      </c>
      <c r="AS65" t="s">
        <v>3</v>
      </c>
      <c r="AT65">
        <v>0.34</v>
      </c>
      <c r="AU65" t="s">
        <v>3</v>
      </c>
      <c r="AV65">
        <v>2</v>
      </c>
      <c r="AW65">
        <v>2</v>
      </c>
      <c r="AX65">
        <v>52718717</v>
      </c>
      <c r="AY65">
        <v>1</v>
      </c>
      <c r="AZ65">
        <v>0</v>
      </c>
      <c r="BA65">
        <v>65</v>
      </c>
      <c r="BB65">
        <v>1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CV65">
        <v>0</v>
      </c>
      <c r="CW65">
        <v>0</v>
      </c>
      <c r="CX65">
        <f>ROUND(Y65*Source!I74,7)</f>
        <v>0.153</v>
      </c>
      <c r="CY65">
        <f>AD65</f>
        <v>0</v>
      </c>
      <c r="CZ65">
        <f>AH65</f>
        <v>0</v>
      </c>
      <c r="DA65">
        <f>AL65</f>
        <v>1</v>
      </c>
      <c r="DB65">
        <f t="shared" ref="DB65:DB99" si="21">ROUND(ROUND(AT65*CZ65,2),6)</f>
        <v>0</v>
      </c>
      <c r="DC65">
        <f t="shared" ref="DC65:DC99" si="22">ROUND(ROUND(AT65*AG65,2),6)</f>
        <v>0</v>
      </c>
      <c r="DD65" t="s">
        <v>3</v>
      </c>
      <c r="DE65" t="s">
        <v>3</v>
      </c>
      <c r="DF65">
        <f t="shared" si="19"/>
        <v>0</v>
      </c>
      <c r="DG65">
        <f t="shared" si="18"/>
        <v>0</v>
      </c>
      <c r="DH65">
        <f t="shared" ref="DH65:DH99" si="23">ROUND(ROUND(AG65,2)*CX65,2)</f>
        <v>0</v>
      </c>
      <c r="DI65">
        <f t="shared" ref="DI65:DI99" si="24">ROUND(ROUND(AH65,2)*CX65,2)</f>
        <v>0</v>
      </c>
      <c r="DJ65">
        <f>DI65</f>
        <v>0</v>
      </c>
      <c r="DK65">
        <v>0</v>
      </c>
      <c r="DL65" t="s">
        <v>3</v>
      </c>
      <c r="DM65">
        <v>0</v>
      </c>
      <c r="DN65" t="s">
        <v>3</v>
      </c>
      <c r="DO65">
        <v>0</v>
      </c>
    </row>
    <row r="66" spans="1:119" x14ac:dyDescent="0.2">
      <c r="A66">
        <f>ROW(Source!A74)</f>
        <v>74</v>
      </c>
      <c r="B66">
        <v>52718353</v>
      </c>
      <c r="C66">
        <v>52718706</v>
      </c>
      <c r="D66">
        <v>51296566</v>
      </c>
      <c r="E66">
        <v>1</v>
      </c>
      <c r="F66">
        <v>1</v>
      </c>
      <c r="G66">
        <v>1</v>
      </c>
      <c r="H66">
        <v>2</v>
      </c>
      <c r="I66" t="s">
        <v>410</v>
      </c>
      <c r="J66" t="s">
        <v>411</v>
      </c>
      <c r="K66" t="s">
        <v>412</v>
      </c>
      <c r="L66">
        <v>1368</v>
      </c>
      <c r="N66">
        <v>1011</v>
      </c>
      <c r="O66" t="s">
        <v>386</v>
      </c>
      <c r="P66" t="s">
        <v>386</v>
      </c>
      <c r="Q66">
        <v>1</v>
      </c>
      <c r="W66">
        <v>0</v>
      </c>
      <c r="X66">
        <v>-1068589559</v>
      </c>
      <c r="Y66">
        <f t="shared" si="20"/>
        <v>0.17</v>
      </c>
      <c r="AA66">
        <v>0</v>
      </c>
      <c r="AB66">
        <v>1585.56</v>
      </c>
      <c r="AC66">
        <v>982.04</v>
      </c>
      <c r="AD66">
        <v>0</v>
      </c>
      <c r="AE66">
        <v>0</v>
      </c>
      <c r="AF66">
        <v>1585.56</v>
      </c>
      <c r="AG66">
        <v>982.04</v>
      </c>
      <c r="AH66">
        <v>0</v>
      </c>
      <c r="AI66">
        <v>1</v>
      </c>
      <c r="AJ66">
        <v>1</v>
      </c>
      <c r="AK66">
        <v>1</v>
      </c>
      <c r="AL66">
        <v>1</v>
      </c>
      <c r="AM66">
        <v>-2</v>
      </c>
      <c r="AN66">
        <v>0</v>
      </c>
      <c r="AO66">
        <v>0</v>
      </c>
      <c r="AP66">
        <v>1</v>
      </c>
      <c r="AQ66">
        <v>1</v>
      </c>
      <c r="AR66">
        <v>0</v>
      </c>
      <c r="AS66" t="s">
        <v>3</v>
      </c>
      <c r="AT66">
        <v>0.17</v>
      </c>
      <c r="AU66" t="s">
        <v>3</v>
      </c>
      <c r="AV66">
        <v>1</v>
      </c>
      <c r="AW66">
        <v>2</v>
      </c>
      <c r="AX66">
        <v>52718718</v>
      </c>
      <c r="AY66">
        <v>1</v>
      </c>
      <c r="AZ66">
        <v>0</v>
      </c>
      <c r="BA66">
        <v>66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269.54520000000002</v>
      </c>
      <c r="BL66">
        <v>166.9468</v>
      </c>
      <c r="BM66">
        <v>0</v>
      </c>
      <c r="BN66">
        <v>0</v>
      </c>
      <c r="BO66">
        <v>0.17</v>
      </c>
      <c r="BP66">
        <v>1</v>
      </c>
      <c r="BQ66">
        <v>0</v>
      </c>
      <c r="BR66">
        <v>269.54520000000002</v>
      </c>
      <c r="BS66">
        <v>166.9468</v>
      </c>
      <c r="BT66">
        <v>0</v>
      </c>
      <c r="BU66">
        <v>0</v>
      </c>
      <c r="BV66">
        <v>0.17</v>
      </c>
      <c r="BW66">
        <v>1</v>
      </c>
      <c r="CV66">
        <v>0</v>
      </c>
      <c r="CW66">
        <f>ROUND(Y66*Source!I74*DO66,7)</f>
        <v>7.6499999999999999E-2</v>
      </c>
      <c r="CX66">
        <f>ROUND(Y66*Source!I74,7)</f>
        <v>7.6499999999999999E-2</v>
      </c>
      <c r="CY66">
        <f>AB66</f>
        <v>1585.56</v>
      </c>
      <c r="CZ66">
        <f>AF66</f>
        <v>1585.56</v>
      </c>
      <c r="DA66">
        <f>AJ66</f>
        <v>1</v>
      </c>
      <c r="DB66">
        <f t="shared" si="21"/>
        <v>269.55</v>
      </c>
      <c r="DC66">
        <f t="shared" si="22"/>
        <v>166.95</v>
      </c>
      <c r="DD66" t="s">
        <v>3</v>
      </c>
      <c r="DE66" t="s">
        <v>3</v>
      </c>
      <c r="DF66">
        <f t="shared" si="19"/>
        <v>0</v>
      </c>
      <c r="DG66">
        <f t="shared" si="18"/>
        <v>121.3</v>
      </c>
      <c r="DH66">
        <f t="shared" si="23"/>
        <v>75.13</v>
      </c>
      <c r="DI66">
        <f t="shared" si="24"/>
        <v>0</v>
      </c>
      <c r="DJ66">
        <f>DG66+DH66</f>
        <v>196.43</v>
      </c>
      <c r="DK66">
        <v>1</v>
      </c>
      <c r="DL66" t="s">
        <v>413</v>
      </c>
      <c r="DM66">
        <v>6</v>
      </c>
      <c r="DN66" t="s">
        <v>382</v>
      </c>
      <c r="DO66">
        <v>1</v>
      </c>
    </row>
    <row r="67" spans="1:119" x14ac:dyDescent="0.2">
      <c r="A67">
        <f>ROW(Source!A74)</f>
        <v>74</v>
      </c>
      <c r="B67">
        <v>52718353</v>
      </c>
      <c r="C67">
        <v>52718706</v>
      </c>
      <c r="D67">
        <v>51297468</v>
      </c>
      <c r="E67">
        <v>1</v>
      </c>
      <c r="F67">
        <v>1</v>
      </c>
      <c r="G67">
        <v>1</v>
      </c>
      <c r="H67">
        <v>2</v>
      </c>
      <c r="I67" t="s">
        <v>383</v>
      </c>
      <c r="J67" t="s">
        <v>384</v>
      </c>
      <c r="K67" t="s">
        <v>385</v>
      </c>
      <c r="L67">
        <v>1368</v>
      </c>
      <c r="N67">
        <v>1011</v>
      </c>
      <c r="O67" t="s">
        <v>386</v>
      </c>
      <c r="P67" t="s">
        <v>386</v>
      </c>
      <c r="Q67">
        <v>1</v>
      </c>
      <c r="W67">
        <v>0</v>
      </c>
      <c r="X67">
        <v>-312038840</v>
      </c>
      <c r="Y67">
        <f t="shared" si="20"/>
        <v>0.17</v>
      </c>
      <c r="AA67">
        <v>0</v>
      </c>
      <c r="AB67">
        <v>544.91999999999996</v>
      </c>
      <c r="AC67">
        <v>731.08</v>
      </c>
      <c r="AD67">
        <v>0</v>
      </c>
      <c r="AE67">
        <v>0</v>
      </c>
      <c r="AF67">
        <v>544.91999999999996</v>
      </c>
      <c r="AG67">
        <v>731.08</v>
      </c>
      <c r="AH67">
        <v>0</v>
      </c>
      <c r="AI67">
        <v>1</v>
      </c>
      <c r="AJ67">
        <v>1</v>
      </c>
      <c r="AK67">
        <v>1</v>
      </c>
      <c r="AL67">
        <v>1</v>
      </c>
      <c r="AM67">
        <v>-2</v>
      </c>
      <c r="AN67">
        <v>0</v>
      </c>
      <c r="AO67">
        <v>0</v>
      </c>
      <c r="AP67">
        <v>1</v>
      </c>
      <c r="AQ67">
        <v>1</v>
      </c>
      <c r="AR67">
        <v>0</v>
      </c>
      <c r="AS67" t="s">
        <v>3</v>
      </c>
      <c r="AT67">
        <v>0.17</v>
      </c>
      <c r="AU67" t="s">
        <v>3</v>
      </c>
      <c r="AV67">
        <v>1</v>
      </c>
      <c r="AW67">
        <v>2</v>
      </c>
      <c r="AX67">
        <v>52718719</v>
      </c>
      <c r="AY67">
        <v>1</v>
      </c>
      <c r="AZ67">
        <v>0</v>
      </c>
      <c r="BA67">
        <v>67</v>
      </c>
      <c r="BB67">
        <v>1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92.636399999999995</v>
      </c>
      <c r="BL67">
        <v>124.28360000000002</v>
      </c>
      <c r="BM67">
        <v>0</v>
      </c>
      <c r="BN67">
        <v>0</v>
      </c>
      <c r="BO67">
        <v>0.17</v>
      </c>
      <c r="BP67">
        <v>1</v>
      </c>
      <c r="BQ67">
        <v>0</v>
      </c>
      <c r="BR67">
        <v>92.636399999999995</v>
      </c>
      <c r="BS67">
        <v>124.28360000000002</v>
      </c>
      <c r="BT67">
        <v>0</v>
      </c>
      <c r="BU67">
        <v>0</v>
      </c>
      <c r="BV67">
        <v>0.17</v>
      </c>
      <c r="BW67">
        <v>1</v>
      </c>
      <c r="CV67">
        <v>0</v>
      </c>
      <c r="CW67">
        <f>ROUND(Y67*Source!I74*DO67,7)</f>
        <v>7.6499999999999999E-2</v>
      </c>
      <c r="CX67">
        <f>ROUND(Y67*Source!I74,7)</f>
        <v>7.6499999999999999E-2</v>
      </c>
      <c r="CY67">
        <f>AB67</f>
        <v>544.91999999999996</v>
      </c>
      <c r="CZ67">
        <f>AF67</f>
        <v>544.91999999999996</v>
      </c>
      <c r="DA67">
        <f>AJ67</f>
        <v>1</v>
      </c>
      <c r="DB67">
        <f t="shared" si="21"/>
        <v>92.64</v>
      </c>
      <c r="DC67">
        <f t="shared" si="22"/>
        <v>124.28</v>
      </c>
      <c r="DD67" t="s">
        <v>3</v>
      </c>
      <c r="DE67" t="s">
        <v>3</v>
      </c>
      <c r="DF67">
        <f t="shared" si="19"/>
        <v>0</v>
      </c>
      <c r="DG67">
        <f t="shared" si="18"/>
        <v>41.69</v>
      </c>
      <c r="DH67">
        <f t="shared" si="23"/>
        <v>55.93</v>
      </c>
      <c r="DI67">
        <f t="shared" si="24"/>
        <v>0</v>
      </c>
      <c r="DJ67">
        <f>DG67+DH67</f>
        <v>97.62</v>
      </c>
      <c r="DK67">
        <v>1</v>
      </c>
      <c r="DL67" t="s">
        <v>387</v>
      </c>
      <c r="DM67">
        <v>4</v>
      </c>
      <c r="DN67" t="s">
        <v>382</v>
      </c>
      <c r="DO67">
        <v>1</v>
      </c>
    </row>
    <row r="68" spans="1:119" x14ac:dyDescent="0.2">
      <c r="A68">
        <f>ROW(Source!A74)</f>
        <v>74</v>
      </c>
      <c r="B68">
        <v>52718353</v>
      </c>
      <c r="C68">
        <v>52718706</v>
      </c>
      <c r="D68">
        <v>51297665</v>
      </c>
      <c r="E68">
        <v>1</v>
      </c>
      <c r="F68">
        <v>1</v>
      </c>
      <c r="G68">
        <v>1</v>
      </c>
      <c r="H68">
        <v>2</v>
      </c>
      <c r="I68" t="s">
        <v>461</v>
      </c>
      <c r="J68" t="s">
        <v>462</v>
      </c>
      <c r="K68" t="s">
        <v>463</v>
      </c>
      <c r="L68">
        <v>1368</v>
      </c>
      <c r="N68">
        <v>1011</v>
      </c>
      <c r="O68" t="s">
        <v>386</v>
      </c>
      <c r="P68" t="s">
        <v>386</v>
      </c>
      <c r="Q68">
        <v>1</v>
      </c>
      <c r="W68">
        <v>0</v>
      </c>
      <c r="X68">
        <v>462025989</v>
      </c>
      <c r="Y68">
        <f t="shared" si="20"/>
        <v>2.9</v>
      </c>
      <c r="AA68">
        <v>0</v>
      </c>
      <c r="AB68">
        <v>32.24</v>
      </c>
      <c r="AC68">
        <v>0</v>
      </c>
      <c r="AD68">
        <v>0</v>
      </c>
      <c r="AE68">
        <v>0</v>
      </c>
      <c r="AF68">
        <v>32.24</v>
      </c>
      <c r="AG68">
        <v>0</v>
      </c>
      <c r="AH68">
        <v>0</v>
      </c>
      <c r="AI68">
        <v>1</v>
      </c>
      <c r="AJ68">
        <v>1</v>
      </c>
      <c r="AK68">
        <v>1</v>
      </c>
      <c r="AL68">
        <v>1</v>
      </c>
      <c r="AM68">
        <v>-2</v>
      </c>
      <c r="AN68">
        <v>0</v>
      </c>
      <c r="AO68">
        <v>0</v>
      </c>
      <c r="AP68">
        <v>1</v>
      </c>
      <c r="AQ68">
        <v>1</v>
      </c>
      <c r="AR68">
        <v>0</v>
      </c>
      <c r="AS68" t="s">
        <v>3</v>
      </c>
      <c r="AT68">
        <v>2.9</v>
      </c>
      <c r="AU68" t="s">
        <v>3</v>
      </c>
      <c r="AV68">
        <v>1</v>
      </c>
      <c r="AW68">
        <v>2</v>
      </c>
      <c r="AX68">
        <v>52718720</v>
      </c>
      <c r="AY68">
        <v>1</v>
      </c>
      <c r="AZ68">
        <v>0</v>
      </c>
      <c r="BA68">
        <v>68</v>
      </c>
      <c r="BB68">
        <v>1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93.496000000000009</v>
      </c>
      <c r="BL68">
        <v>0</v>
      </c>
      <c r="BM68">
        <v>0</v>
      </c>
      <c r="BN68">
        <v>0</v>
      </c>
      <c r="BO68">
        <v>0</v>
      </c>
      <c r="BP68">
        <v>1</v>
      </c>
      <c r="BQ68">
        <v>0</v>
      </c>
      <c r="BR68">
        <v>93.496000000000009</v>
      </c>
      <c r="BS68">
        <v>0</v>
      </c>
      <c r="BT68">
        <v>0</v>
      </c>
      <c r="BU68">
        <v>0</v>
      </c>
      <c r="BV68">
        <v>0</v>
      </c>
      <c r="BW68">
        <v>1</v>
      </c>
      <c r="CV68">
        <v>0</v>
      </c>
      <c r="CW68">
        <f>ROUND(Y68*Source!I74*DO68,7)</f>
        <v>0</v>
      </c>
      <c r="CX68">
        <f>ROUND(Y68*Source!I74,7)</f>
        <v>1.3049999999999999</v>
      </c>
      <c r="CY68">
        <f>AB68</f>
        <v>32.24</v>
      </c>
      <c r="CZ68">
        <f>AF68</f>
        <v>32.24</v>
      </c>
      <c r="DA68">
        <f>AJ68</f>
        <v>1</v>
      </c>
      <c r="DB68">
        <f t="shared" si="21"/>
        <v>93.5</v>
      </c>
      <c r="DC68">
        <f t="shared" si="22"/>
        <v>0</v>
      </c>
      <c r="DD68" t="s">
        <v>3</v>
      </c>
      <c r="DE68" t="s">
        <v>3</v>
      </c>
      <c r="DF68">
        <f t="shared" si="19"/>
        <v>0</v>
      </c>
      <c r="DG68">
        <f t="shared" si="18"/>
        <v>42.07</v>
      </c>
      <c r="DH68">
        <f t="shared" si="23"/>
        <v>0</v>
      </c>
      <c r="DI68">
        <f t="shared" si="24"/>
        <v>0</v>
      </c>
      <c r="DJ68">
        <f>DG68+DH68</f>
        <v>42.07</v>
      </c>
      <c r="DK68">
        <v>1</v>
      </c>
      <c r="DL68" t="s">
        <v>3</v>
      </c>
      <c r="DM68">
        <v>0</v>
      </c>
      <c r="DN68" t="s">
        <v>3</v>
      </c>
      <c r="DO68">
        <v>0</v>
      </c>
    </row>
    <row r="69" spans="1:119" x14ac:dyDescent="0.2">
      <c r="A69">
        <f>ROW(Source!A74)</f>
        <v>74</v>
      </c>
      <c r="B69">
        <v>52718353</v>
      </c>
      <c r="C69">
        <v>52718706</v>
      </c>
      <c r="D69">
        <v>51247427</v>
      </c>
      <c r="E69">
        <v>1</v>
      </c>
      <c r="F69">
        <v>1</v>
      </c>
      <c r="G69">
        <v>1</v>
      </c>
      <c r="H69">
        <v>3</v>
      </c>
      <c r="I69" t="s">
        <v>464</v>
      </c>
      <c r="J69" t="s">
        <v>465</v>
      </c>
      <c r="K69" t="s">
        <v>466</v>
      </c>
      <c r="L69">
        <v>1346</v>
      </c>
      <c r="N69">
        <v>1009</v>
      </c>
      <c r="O69" t="s">
        <v>424</v>
      </c>
      <c r="P69" t="s">
        <v>424</v>
      </c>
      <c r="Q69">
        <v>1</v>
      </c>
      <c r="W69">
        <v>0</v>
      </c>
      <c r="X69">
        <v>-1476217930</v>
      </c>
      <c r="Y69">
        <f t="shared" si="20"/>
        <v>0.55000000000000004</v>
      </c>
      <c r="AA69">
        <v>119.84</v>
      </c>
      <c r="AB69">
        <v>0</v>
      </c>
      <c r="AC69">
        <v>0</v>
      </c>
      <c r="AD69">
        <v>0</v>
      </c>
      <c r="AE69">
        <v>155.63</v>
      </c>
      <c r="AF69">
        <v>0</v>
      </c>
      <c r="AG69">
        <v>0</v>
      </c>
      <c r="AH69">
        <v>0</v>
      </c>
      <c r="AI69">
        <v>0.77</v>
      </c>
      <c r="AJ69">
        <v>1</v>
      </c>
      <c r="AK69">
        <v>1</v>
      </c>
      <c r="AL69">
        <v>1</v>
      </c>
      <c r="AM69">
        <v>2</v>
      </c>
      <c r="AN69">
        <v>0</v>
      </c>
      <c r="AO69">
        <v>0</v>
      </c>
      <c r="AP69">
        <v>1</v>
      </c>
      <c r="AQ69">
        <v>1</v>
      </c>
      <c r="AR69">
        <v>0</v>
      </c>
      <c r="AS69" t="s">
        <v>3</v>
      </c>
      <c r="AT69">
        <v>0.55000000000000004</v>
      </c>
      <c r="AU69" t="s">
        <v>3</v>
      </c>
      <c r="AV69">
        <v>0</v>
      </c>
      <c r="AW69">
        <v>2</v>
      </c>
      <c r="AX69">
        <v>52718721</v>
      </c>
      <c r="AY69">
        <v>1</v>
      </c>
      <c r="AZ69">
        <v>0</v>
      </c>
      <c r="BA69">
        <v>69</v>
      </c>
      <c r="BB69">
        <v>1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85.596500000000006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1</v>
      </c>
      <c r="BQ69">
        <v>85.596500000000006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1</v>
      </c>
      <c r="CV69">
        <v>0</v>
      </c>
      <c r="CW69">
        <v>0</v>
      </c>
      <c r="CX69">
        <f>ROUND(Y69*Source!I74,7)</f>
        <v>0.2475</v>
      </c>
      <c r="CY69">
        <f>AA69</f>
        <v>119.84</v>
      </c>
      <c r="CZ69">
        <f>AE69</f>
        <v>155.63</v>
      </c>
      <c r="DA69">
        <f>AI69</f>
        <v>0.77</v>
      </c>
      <c r="DB69">
        <f t="shared" si="21"/>
        <v>85.6</v>
      </c>
      <c r="DC69">
        <f t="shared" si="22"/>
        <v>0</v>
      </c>
      <c r="DD69" t="s">
        <v>3</v>
      </c>
      <c r="DE69" t="s">
        <v>3</v>
      </c>
      <c r="DF69">
        <f>ROUND(ROUND(AE69*AI69,2)*CX69,2)</f>
        <v>29.66</v>
      </c>
      <c r="DG69">
        <f t="shared" si="18"/>
        <v>0</v>
      </c>
      <c r="DH69">
        <f t="shared" si="23"/>
        <v>0</v>
      </c>
      <c r="DI69">
        <f t="shared" si="24"/>
        <v>0</v>
      </c>
      <c r="DJ69">
        <f>DF69</f>
        <v>29.66</v>
      </c>
      <c r="DK69">
        <v>0</v>
      </c>
      <c r="DL69" t="s">
        <v>3</v>
      </c>
      <c r="DM69">
        <v>0</v>
      </c>
      <c r="DN69" t="s">
        <v>3</v>
      </c>
      <c r="DO69">
        <v>0</v>
      </c>
    </row>
    <row r="70" spans="1:119" x14ac:dyDescent="0.2">
      <c r="A70">
        <f>ROW(Source!A74)</f>
        <v>74</v>
      </c>
      <c r="B70">
        <v>52718353</v>
      </c>
      <c r="C70">
        <v>52718706</v>
      </c>
      <c r="D70">
        <v>51255512</v>
      </c>
      <c r="E70">
        <v>1</v>
      </c>
      <c r="F70">
        <v>1</v>
      </c>
      <c r="G70">
        <v>1</v>
      </c>
      <c r="H70">
        <v>3</v>
      </c>
      <c r="I70" t="s">
        <v>467</v>
      </c>
      <c r="J70" t="s">
        <v>468</v>
      </c>
      <c r="K70" t="s">
        <v>469</v>
      </c>
      <c r="L70">
        <v>1348</v>
      </c>
      <c r="N70">
        <v>1009</v>
      </c>
      <c r="O70" t="s">
        <v>126</v>
      </c>
      <c r="P70" t="s">
        <v>126</v>
      </c>
      <c r="Q70">
        <v>1000</v>
      </c>
      <c r="W70">
        <v>0</v>
      </c>
      <c r="X70">
        <v>-45427185</v>
      </c>
      <c r="Y70">
        <f t="shared" si="20"/>
        <v>4.0000000000000001E-3</v>
      </c>
      <c r="AA70">
        <v>46972.89</v>
      </c>
      <c r="AB70">
        <v>0</v>
      </c>
      <c r="AC70">
        <v>0</v>
      </c>
      <c r="AD70">
        <v>0</v>
      </c>
      <c r="AE70">
        <v>46972.89</v>
      </c>
      <c r="AF70">
        <v>0</v>
      </c>
      <c r="AG70">
        <v>0</v>
      </c>
      <c r="AH70">
        <v>0</v>
      </c>
      <c r="AI70">
        <v>1</v>
      </c>
      <c r="AJ70">
        <v>1</v>
      </c>
      <c r="AK70">
        <v>1</v>
      </c>
      <c r="AL70">
        <v>1</v>
      </c>
      <c r="AM70">
        <v>-2</v>
      </c>
      <c r="AN70">
        <v>0</v>
      </c>
      <c r="AO70">
        <v>0</v>
      </c>
      <c r="AP70">
        <v>1</v>
      </c>
      <c r="AQ70">
        <v>1</v>
      </c>
      <c r="AR70">
        <v>0</v>
      </c>
      <c r="AS70" t="s">
        <v>3</v>
      </c>
      <c r="AT70">
        <v>4.0000000000000001E-3</v>
      </c>
      <c r="AU70" t="s">
        <v>3</v>
      </c>
      <c r="AV70">
        <v>0</v>
      </c>
      <c r="AW70">
        <v>2</v>
      </c>
      <c r="AX70">
        <v>52718722</v>
      </c>
      <c r="AY70">
        <v>1</v>
      </c>
      <c r="AZ70">
        <v>0</v>
      </c>
      <c r="BA70">
        <v>70</v>
      </c>
      <c r="BB70">
        <v>1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187.89156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1</v>
      </c>
      <c r="BQ70">
        <v>187.89156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1</v>
      </c>
      <c r="CV70">
        <v>0</v>
      </c>
      <c r="CW70">
        <v>0</v>
      </c>
      <c r="CX70">
        <f>ROUND(Y70*Source!I74,7)</f>
        <v>1.8E-3</v>
      </c>
      <c r="CY70">
        <f>AA70</f>
        <v>46972.89</v>
      </c>
      <c r="CZ70">
        <f>AE70</f>
        <v>46972.89</v>
      </c>
      <c r="DA70">
        <f>AI70</f>
        <v>1</v>
      </c>
      <c r="DB70">
        <f t="shared" si="21"/>
        <v>187.89</v>
      </c>
      <c r="DC70">
        <f t="shared" si="22"/>
        <v>0</v>
      </c>
      <c r="DD70" t="s">
        <v>3</v>
      </c>
      <c r="DE70" t="s">
        <v>3</v>
      </c>
      <c r="DF70">
        <f>ROUND(ROUND(AE70,2)*CX70,2)</f>
        <v>84.55</v>
      </c>
      <c r="DG70">
        <f t="shared" si="18"/>
        <v>0</v>
      </c>
      <c r="DH70">
        <f t="shared" si="23"/>
        <v>0</v>
      </c>
      <c r="DI70">
        <f t="shared" si="24"/>
        <v>0</v>
      </c>
      <c r="DJ70">
        <f>DF70</f>
        <v>84.55</v>
      </c>
      <c r="DK70">
        <v>1</v>
      </c>
      <c r="DL70" t="s">
        <v>3</v>
      </c>
      <c r="DM70">
        <v>0</v>
      </c>
      <c r="DN70" t="s">
        <v>3</v>
      </c>
      <c r="DO70">
        <v>0</v>
      </c>
    </row>
    <row r="71" spans="1:119" x14ac:dyDescent="0.2">
      <c r="A71">
        <f>ROW(Source!A74)</f>
        <v>74</v>
      </c>
      <c r="B71">
        <v>52718353</v>
      </c>
      <c r="C71">
        <v>52718706</v>
      </c>
      <c r="D71">
        <v>51265635</v>
      </c>
      <c r="E71">
        <v>1</v>
      </c>
      <c r="F71">
        <v>1</v>
      </c>
      <c r="G71">
        <v>1</v>
      </c>
      <c r="H71">
        <v>3</v>
      </c>
      <c r="I71" t="s">
        <v>470</v>
      </c>
      <c r="J71" t="s">
        <v>471</v>
      </c>
      <c r="K71" t="s">
        <v>472</v>
      </c>
      <c r="L71">
        <v>1346</v>
      </c>
      <c r="N71">
        <v>1009</v>
      </c>
      <c r="O71" t="s">
        <v>424</v>
      </c>
      <c r="P71" t="s">
        <v>424</v>
      </c>
      <c r="Q71">
        <v>1</v>
      </c>
      <c r="W71">
        <v>0</v>
      </c>
      <c r="X71">
        <v>-179141659</v>
      </c>
      <c r="Y71">
        <f t="shared" si="20"/>
        <v>2</v>
      </c>
      <c r="AA71">
        <v>1343.91</v>
      </c>
      <c r="AB71">
        <v>0</v>
      </c>
      <c r="AC71">
        <v>0</v>
      </c>
      <c r="AD71">
        <v>0</v>
      </c>
      <c r="AE71">
        <v>1343.91</v>
      </c>
      <c r="AF71">
        <v>0</v>
      </c>
      <c r="AG71">
        <v>0</v>
      </c>
      <c r="AH71">
        <v>0</v>
      </c>
      <c r="AI71">
        <v>1</v>
      </c>
      <c r="AJ71">
        <v>1</v>
      </c>
      <c r="AK71">
        <v>1</v>
      </c>
      <c r="AL71">
        <v>1</v>
      </c>
      <c r="AM71">
        <v>-2</v>
      </c>
      <c r="AN71">
        <v>0</v>
      </c>
      <c r="AO71">
        <v>0</v>
      </c>
      <c r="AP71">
        <v>1</v>
      </c>
      <c r="AQ71">
        <v>1</v>
      </c>
      <c r="AR71">
        <v>0</v>
      </c>
      <c r="AS71" t="s">
        <v>3</v>
      </c>
      <c r="AT71">
        <v>2</v>
      </c>
      <c r="AU71" t="s">
        <v>3</v>
      </c>
      <c r="AV71">
        <v>0</v>
      </c>
      <c r="AW71">
        <v>2</v>
      </c>
      <c r="AX71">
        <v>52718723</v>
      </c>
      <c r="AY71">
        <v>1</v>
      </c>
      <c r="AZ71">
        <v>0</v>
      </c>
      <c r="BA71">
        <v>71</v>
      </c>
      <c r="BB71">
        <v>1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2687.82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1</v>
      </c>
      <c r="BQ71">
        <v>2687.82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1</v>
      </c>
      <c r="CV71">
        <v>0</v>
      </c>
      <c r="CW71">
        <v>0</v>
      </c>
      <c r="CX71">
        <f>ROUND(Y71*Source!I74,7)</f>
        <v>0.9</v>
      </c>
      <c r="CY71">
        <f>AA71</f>
        <v>1343.91</v>
      </c>
      <c r="CZ71">
        <f>AE71</f>
        <v>1343.91</v>
      </c>
      <c r="DA71">
        <f>AI71</f>
        <v>1</v>
      </c>
      <c r="DB71">
        <f t="shared" si="21"/>
        <v>2687.82</v>
      </c>
      <c r="DC71">
        <f t="shared" si="22"/>
        <v>0</v>
      </c>
      <c r="DD71" t="s">
        <v>3</v>
      </c>
      <c r="DE71" t="s">
        <v>3</v>
      </c>
      <c r="DF71">
        <f>ROUND(ROUND(AE71,2)*CX71,2)</f>
        <v>1209.52</v>
      </c>
      <c r="DG71">
        <f t="shared" si="18"/>
        <v>0</v>
      </c>
      <c r="DH71">
        <f t="shared" si="23"/>
        <v>0</v>
      </c>
      <c r="DI71">
        <f t="shared" si="24"/>
        <v>0</v>
      </c>
      <c r="DJ71">
        <f>DF71</f>
        <v>1209.52</v>
      </c>
      <c r="DK71">
        <v>1</v>
      </c>
      <c r="DL71" t="s">
        <v>3</v>
      </c>
      <c r="DM71">
        <v>0</v>
      </c>
      <c r="DN71" t="s">
        <v>3</v>
      </c>
      <c r="DO71">
        <v>0</v>
      </c>
    </row>
    <row r="72" spans="1:119" x14ac:dyDescent="0.2">
      <c r="A72">
        <f>ROW(Source!A74)</f>
        <v>74</v>
      </c>
      <c r="B72">
        <v>52718353</v>
      </c>
      <c r="C72">
        <v>52718706</v>
      </c>
      <c r="D72">
        <v>51176163</v>
      </c>
      <c r="E72">
        <v>118</v>
      </c>
      <c r="F72">
        <v>1</v>
      </c>
      <c r="G72">
        <v>1</v>
      </c>
      <c r="H72">
        <v>3</v>
      </c>
      <c r="I72" t="s">
        <v>25</v>
      </c>
      <c r="J72" t="s">
        <v>3</v>
      </c>
      <c r="K72" t="s">
        <v>26</v>
      </c>
      <c r="L72">
        <v>3277935</v>
      </c>
      <c r="N72">
        <v>1013</v>
      </c>
      <c r="O72" t="s">
        <v>27</v>
      </c>
      <c r="P72" t="s">
        <v>27</v>
      </c>
      <c r="Q72">
        <v>1</v>
      </c>
      <c r="W72">
        <v>0</v>
      </c>
      <c r="X72">
        <v>274903907</v>
      </c>
      <c r="Y72">
        <f t="shared" si="20"/>
        <v>2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</v>
      </c>
      <c r="AJ72">
        <v>1</v>
      </c>
      <c r="AK72">
        <v>1</v>
      </c>
      <c r="AL72">
        <v>1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 t="s">
        <v>3</v>
      </c>
      <c r="AT72">
        <v>2</v>
      </c>
      <c r="AU72" t="s">
        <v>3</v>
      </c>
      <c r="AV72">
        <v>0</v>
      </c>
      <c r="AW72">
        <v>2</v>
      </c>
      <c r="AX72">
        <v>52718724</v>
      </c>
      <c r="AY72">
        <v>1</v>
      </c>
      <c r="AZ72">
        <v>0</v>
      </c>
      <c r="BA72">
        <v>72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V72">
        <v>0</v>
      </c>
      <c r="CW72">
        <v>0</v>
      </c>
      <c r="CX72">
        <f>ROUND(Y72*Source!I74,7)</f>
        <v>0.9</v>
      </c>
      <c r="CY72">
        <f>AA72</f>
        <v>0</v>
      </c>
      <c r="CZ72">
        <f>AE72</f>
        <v>0</v>
      </c>
      <c r="DA72">
        <f>AI72</f>
        <v>1</v>
      </c>
      <c r="DB72">
        <f t="shared" si="21"/>
        <v>0</v>
      </c>
      <c r="DC72">
        <f t="shared" si="22"/>
        <v>0</v>
      </c>
      <c r="DD72" t="s">
        <v>3</v>
      </c>
      <c r="DE72" t="s">
        <v>3</v>
      </c>
      <c r="DF72">
        <f>ROUND(ROUND(AE72,2)*CX72,2)</f>
        <v>0</v>
      </c>
      <c r="DG72">
        <f t="shared" si="18"/>
        <v>0</v>
      </c>
      <c r="DH72">
        <f t="shared" si="23"/>
        <v>0</v>
      </c>
      <c r="DI72">
        <f t="shared" si="24"/>
        <v>0</v>
      </c>
      <c r="DJ72">
        <f>DF72</f>
        <v>0</v>
      </c>
      <c r="DK72">
        <v>0</v>
      </c>
      <c r="DL72" t="s">
        <v>3</v>
      </c>
      <c r="DM72">
        <v>0</v>
      </c>
      <c r="DN72" t="s">
        <v>3</v>
      </c>
      <c r="DO72">
        <v>0</v>
      </c>
    </row>
    <row r="73" spans="1:119" x14ac:dyDescent="0.2">
      <c r="A73">
        <f>ROW(Source!A77)</f>
        <v>77</v>
      </c>
      <c r="B73">
        <v>52718353</v>
      </c>
      <c r="C73">
        <v>52718727</v>
      </c>
      <c r="D73">
        <v>51169928</v>
      </c>
      <c r="E73">
        <v>118</v>
      </c>
      <c r="F73">
        <v>1</v>
      </c>
      <c r="G73">
        <v>1</v>
      </c>
      <c r="H73">
        <v>1</v>
      </c>
      <c r="I73" t="s">
        <v>395</v>
      </c>
      <c r="J73" t="s">
        <v>3</v>
      </c>
      <c r="K73" t="s">
        <v>396</v>
      </c>
      <c r="L73">
        <v>1191</v>
      </c>
      <c r="N73">
        <v>1013</v>
      </c>
      <c r="O73" t="s">
        <v>382</v>
      </c>
      <c r="P73" t="s">
        <v>382</v>
      </c>
      <c r="Q73">
        <v>1</v>
      </c>
      <c r="W73">
        <v>0</v>
      </c>
      <c r="X73">
        <v>-1088579471</v>
      </c>
      <c r="Y73">
        <f t="shared" si="20"/>
        <v>1.34</v>
      </c>
      <c r="AA73">
        <v>0</v>
      </c>
      <c r="AB73">
        <v>0</v>
      </c>
      <c r="AC73">
        <v>0</v>
      </c>
      <c r="AD73">
        <v>722.89</v>
      </c>
      <c r="AE73">
        <v>0</v>
      </c>
      <c r="AF73">
        <v>0</v>
      </c>
      <c r="AG73">
        <v>0</v>
      </c>
      <c r="AH73">
        <v>722.89</v>
      </c>
      <c r="AI73">
        <v>1</v>
      </c>
      <c r="AJ73">
        <v>1</v>
      </c>
      <c r="AK73">
        <v>1</v>
      </c>
      <c r="AL73">
        <v>1</v>
      </c>
      <c r="AM73">
        <v>-2</v>
      </c>
      <c r="AN73">
        <v>0</v>
      </c>
      <c r="AO73">
        <v>0</v>
      </c>
      <c r="AP73">
        <v>1</v>
      </c>
      <c r="AQ73">
        <v>1</v>
      </c>
      <c r="AR73">
        <v>0</v>
      </c>
      <c r="AS73" t="s">
        <v>3</v>
      </c>
      <c r="AT73">
        <v>1.34</v>
      </c>
      <c r="AU73" t="s">
        <v>3</v>
      </c>
      <c r="AV73">
        <v>1</v>
      </c>
      <c r="AW73">
        <v>2</v>
      </c>
      <c r="AX73">
        <v>52718743</v>
      </c>
      <c r="AY73">
        <v>1</v>
      </c>
      <c r="AZ73">
        <v>0</v>
      </c>
      <c r="BA73">
        <v>73</v>
      </c>
      <c r="BB73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968.67259999999999</v>
      </c>
      <c r="BN73">
        <v>1.34</v>
      </c>
      <c r="BO73">
        <v>0</v>
      </c>
      <c r="BP73">
        <v>1</v>
      </c>
      <c r="BQ73">
        <v>0</v>
      </c>
      <c r="BR73">
        <v>0</v>
      </c>
      <c r="BS73">
        <v>0</v>
      </c>
      <c r="BT73">
        <v>968.67259999999999</v>
      </c>
      <c r="BU73">
        <v>1.34</v>
      </c>
      <c r="BV73">
        <v>0</v>
      </c>
      <c r="BW73">
        <v>1</v>
      </c>
      <c r="CU73">
        <f>ROUND(AT73*Source!I77*AH73*AL73,2)</f>
        <v>4843.3599999999997</v>
      </c>
      <c r="CV73">
        <f>ROUND(Y73*Source!I77,7)</f>
        <v>6.7</v>
      </c>
      <c r="CW73">
        <v>0</v>
      </c>
      <c r="CX73">
        <f>ROUND(Y73*Source!I77,7)</f>
        <v>6.7</v>
      </c>
      <c r="CY73">
        <f>AD73</f>
        <v>722.89</v>
      </c>
      <c r="CZ73">
        <f>AH73</f>
        <v>722.89</v>
      </c>
      <c r="DA73">
        <f>AL73</f>
        <v>1</v>
      </c>
      <c r="DB73">
        <f t="shared" si="21"/>
        <v>968.67</v>
      </c>
      <c r="DC73">
        <f t="shared" si="22"/>
        <v>0</v>
      </c>
      <c r="DD73" t="s">
        <v>3</v>
      </c>
      <c r="DE73" t="s">
        <v>3</v>
      </c>
      <c r="DF73">
        <f>ROUND(ROUND(AE73,2)*CX73,2)</f>
        <v>0</v>
      </c>
      <c r="DG73">
        <f t="shared" si="18"/>
        <v>0</v>
      </c>
      <c r="DH73">
        <f t="shared" si="23"/>
        <v>0</v>
      </c>
      <c r="DI73">
        <f t="shared" si="24"/>
        <v>4843.3599999999997</v>
      </c>
      <c r="DJ73">
        <f>DI73</f>
        <v>4843.3599999999997</v>
      </c>
      <c r="DK73">
        <v>1</v>
      </c>
      <c r="DL73" t="s">
        <v>3</v>
      </c>
      <c r="DM73">
        <v>0</v>
      </c>
      <c r="DN73" t="s">
        <v>3</v>
      </c>
      <c r="DO73">
        <v>0</v>
      </c>
    </row>
    <row r="74" spans="1:119" x14ac:dyDescent="0.2">
      <c r="A74">
        <f>ROW(Source!A77)</f>
        <v>77</v>
      </c>
      <c r="B74">
        <v>52718353</v>
      </c>
      <c r="C74">
        <v>52718727</v>
      </c>
      <c r="D74">
        <v>51297665</v>
      </c>
      <c r="E74">
        <v>1</v>
      </c>
      <c r="F74">
        <v>1</v>
      </c>
      <c r="G74">
        <v>1</v>
      </c>
      <c r="H74">
        <v>2</v>
      </c>
      <c r="I74" t="s">
        <v>461</v>
      </c>
      <c r="J74" t="s">
        <v>462</v>
      </c>
      <c r="K74" t="s">
        <v>463</v>
      </c>
      <c r="L74">
        <v>1368</v>
      </c>
      <c r="N74">
        <v>1011</v>
      </c>
      <c r="O74" t="s">
        <v>386</v>
      </c>
      <c r="P74" t="s">
        <v>386</v>
      </c>
      <c r="Q74">
        <v>1</v>
      </c>
      <c r="W74">
        <v>0</v>
      </c>
      <c r="X74">
        <v>462025989</v>
      </c>
      <c r="Y74">
        <f t="shared" si="20"/>
        <v>0.108</v>
      </c>
      <c r="AA74">
        <v>0</v>
      </c>
      <c r="AB74">
        <v>32.24</v>
      </c>
      <c r="AC74">
        <v>0</v>
      </c>
      <c r="AD74">
        <v>0</v>
      </c>
      <c r="AE74">
        <v>0</v>
      </c>
      <c r="AF74">
        <v>32.24</v>
      </c>
      <c r="AG74">
        <v>0</v>
      </c>
      <c r="AH74">
        <v>0</v>
      </c>
      <c r="AI74">
        <v>1</v>
      </c>
      <c r="AJ74">
        <v>1</v>
      </c>
      <c r="AK74">
        <v>1</v>
      </c>
      <c r="AL74">
        <v>1</v>
      </c>
      <c r="AM74">
        <v>-2</v>
      </c>
      <c r="AN74">
        <v>0</v>
      </c>
      <c r="AO74">
        <v>0</v>
      </c>
      <c r="AP74">
        <v>1</v>
      </c>
      <c r="AQ74">
        <v>1</v>
      </c>
      <c r="AR74">
        <v>0</v>
      </c>
      <c r="AS74" t="s">
        <v>3</v>
      </c>
      <c r="AT74">
        <v>0.108</v>
      </c>
      <c r="AU74" t="s">
        <v>3</v>
      </c>
      <c r="AV74">
        <v>1</v>
      </c>
      <c r="AW74">
        <v>2</v>
      </c>
      <c r="AX74">
        <v>52718744</v>
      </c>
      <c r="AY74">
        <v>1</v>
      </c>
      <c r="AZ74">
        <v>0</v>
      </c>
      <c r="BA74">
        <v>74</v>
      </c>
      <c r="BB74">
        <v>1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3.4819200000000001</v>
      </c>
      <c r="BL74">
        <v>0</v>
      </c>
      <c r="BM74">
        <v>0</v>
      </c>
      <c r="BN74">
        <v>0</v>
      </c>
      <c r="BO74">
        <v>0</v>
      </c>
      <c r="BP74">
        <v>1</v>
      </c>
      <c r="BQ74">
        <v>0</v>
      </c>
      <c r="BR74">
        <v>3.4819200000000001</v>
      </c>
      <c r="BS74">
        <v>0</v>
      </c>
      <c r="BT74">
        <v>0</v>
      </c>
      <c r="BU74">
        <v>0</v>
      </c>
      <c r="BV74">
        <v>0</v>
      </c>
      <c r="BW74">
        <v>1</v>
      </c>
      <c r="CV74">
        <v>0</v>
      </c>
      <c r="CW74">
        <f>ROUND(Y74*Source!I77*DO74,7)</f>
        <v>0</v>
      </c>
      <c r="CX74">
        <f>ROUND(Y74*Source!I77,7)</f>
        <v>0.54</v>
      </c>
      <c r="CY74">
        <f>AB74</f>
        <v>32.24</v>
      </c>
      <c r="CZ74">
        <f>AF74</f>
        <v>32.24</v>
      </c>
      <c r="DA74">
        <f>AJ74</f>
        <v>1</v>
      </c>
      <c r="DB74">
        <f t="shared" si="21"/>
        <v>3.48</v>
      </c>
      <c r="DC74">
        <f t="shared" si="22"/>
        <v>0</v>
      </c>
      <c r="DD74" t="s">
        <v>3</v>
      </c>
      <c r="DE74" t="s">
        <v>3</v>
      </c>
      <c r="DF74">
        <f>ROUND(ROUND(AE74,2)*CX74,2)</f>
        <v>0</v>
      </c>
      <c r="DG74">
        <f t="shared" si="18"/>
        <v>17.41</v>
      </c>
      <c r="DH74">
        <f t="shared" si="23"/>
        <v>0</v>
      </c>
      <c r="DI74">
        <f t="shared" si="24"/>
        <v>0</v>
      </c>
      <c r="DJ74">
        <f>DG74+DH74</f>
        <v>17.41</v>
      </c>
      <c r="DK74">
        <v>1</v>
      </c>
      <c r="DL74" t="s">
        <v>3</v>
      </c>
      <c r="DM74">
        <v>0</v>
      </c>
      <c r="DN74" t="s">
        <v>3</v>
      </c>
      <c r="DO74">
        <v>0</v>
      </c>
    </row>
    <row r="75" spans="1:119" x14ac:dyDescent="0.2">
      <c r="A75">
        <f>ROW(Source!A77)</f>
        <v>77</v>
      </c>
      <c r="B75">
        <v>52718353</v>
      </c>
      <c r="C75">
        <v>52718727</v>
      </c>
      <c r="D75">
        <v>51244639</v>
      </c>
      <c r="E75">
        <v>1</v>
      </c>
      <c r="F75">
        <v>1</v>
      </c>
      <c r="G75">
        <v>1</v>
      </c>
      <c r="H75">
        <v>3</v>
      </c>
      <c r="I75" t="s">
        <v>473</v>
      </c>
      <c r="J75" t="s">
        <v>474</v>
      </c>
      <c r="K75" t="s">
        <v>475</v>
      </c>
      <c r="L75">
        <v>1346</v>
      </c>
      <c r="N75">
        <v>1009</v>
      </c>
      <c r="O75" t="s">
        <v>424</v>
      </c>
      <c r="P75" t="s">
        <v>424</v>
      </c>
      <c r="Q75">
        <v>1</v>
      </c>
      <c r="W75">
        <v>0</v>
      </c>
      <c r="X75">
        <v>-288203296</v>
      </c>
      <c r="Y75">
        <f t="shared" si="20"/>
        <v>6.0000000000000001E-3</v>
      </c>
      <c r="AA75">
        <v>238.56</v>
      </c>
      <c r="AB75">
        <v>0</v>
      </c>
      <c r="AC75">
        <v>0</v>
      </c>
      <c r="AD75">
        <v>0</v>
      </c>
      <c r="AE75">
        <v>150.04</v>
      </c>
      <c r="AF75">
        <v>0</v>
      </c>
      <c r="AG75">
        <v>0</v>
      </c>
      <c r="AH75">
        <v>0</v>
      </c>
      <c r="AI75">
        <v>1.59</v>
      </c>
      <c r="AJ75">
        <v>1</v>
      </c>
      <c r="AK75">
        <v>1</v>
      </c>
      <c r="AL75">
        <v>1</v>
      </c>
      <c r="AM75">
        <v>2</v>
      </c>
      <c r="AN75">
        <v>0</v>
      </c>
      <c r="AO75">
        <v>0</v>
      </c>
      <c r="AP75">
        <v>1</v>
      </c>
      <c r="AQ75">
        <v>1</v>
      </c>
      <c r="AR75">
        <v>0</v>
      </c>
      <c r="AS75" t="s">
        <v>3</v>
      </c>
      <c r="AT75">
        <v>6.0000000000000001E-3</v>
      </c>
      <c r="AU75" t="s">
        <v>3</v>
      </c>
      <c r="AV75">
        <v>0</v>
      </c>
      <c r="AW75">
        <v>2</v>
      </c>
      <c r="AX75">
        <v>52718745</v>
      </c>
      <c r="AY75">
        <v>1</v>
      </c>
      <c r="AZ75">
        <v>0</v>
      </c>
      <c r="BA75">
        <v>75</v>
      </c>
      <c r="BB75">
        <v>1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0.90023999999999993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1</v>
      </c>
      <c r="BQ75">
        <v>0.90023999999999993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1</v>
      </c>
      <c r="CV75">
        <v>0</v>
      </c>
      <c r="CW75">
        <v>0</v>
      </c>
      <c r="CX75">
        <f>ROUND(Y75*Source!I77,7)</f>
        <v>0.03</v>
      </c>
      <c r="CY75">
        <f t="shared" ref="CY75:CY87" si="25">AA75</f>
        <v>238.56</v>
      </c>
      <c r="CZ75">
        <f t="shared" ref="CZ75:CZ87" si="26">AE75</f>
        <v>150.04</v>
      </c>
      <c r="DA75">
        <f t="shared" ref="DA75:DA87" si="27">AI75</f>
        <v>1.59</v>
      </c>
      <c r="DB75">
        <f t="shared" si="21"/>
        <v>0.9</v>
      </c>
      <c r="DC75">
        <f t="shared" si="22"/>
        <v>0</v>
      </c>
      <c r="DD75" t="s">
        <v>3</v>
      </c>
      <c r="DE75" t="s">
        <v>3</v>
      </c>
      <c r="DF75">
        <f>ROUND(ROUND(AE75*AI75,2)*CX75,2)</f>
        <v>7.16</v>
      </c>
      <c r="DG75">
        <f t="shared" si="18"/>
        <v>0</v>
      </c>
      <c r="DH75">
        <f t="shared" si="23"/>
        <v>0</v>
      </c>
      <c r="DI75">
        <f t="shared" si="24"/>
        <v>0</v>
      </c>
      <c r="DJ75">
        <f t="shared" ref="DJ75:DJ87" si="28">DF75</f>
        <v>7.16</v>
      </c>
      <c r="DK75">
        <v>0</v>
      </c>
      <c r="DL75" t="s">
        <v>3</v>
      </c>
      <c r="DM75">
        <v>0</v>
      </c>
      <c r="DN75" t="s">
        <v>3</v>
      </c>
      <c r="DO75">
        <v>0</v>
      </c>
    </row>
    <row r="76" spans="1:119" x14ac:dyDescent="0.2">
      <c r="A76">
        <f>ROW(Source!A77)</f>
        <v>77</v>
      </c>
      <c r="B76">
        <v>52718353</v>
      </c>
      <c r="C76">
        <v>52718727</v>
      </c>
      <c r="D76">
        <v>51246661</v>
      </c>
      <c r="E76">
        <v>1</v>
      </c>
      <c r="F76">
        <v>1</v>
      </c>
      <c r="G76">
        <v>1</v>
      </c>
      <c r="H76">
        <v>3</v>
      </c>
      <c r="I76" t="s">
        <v>476</v>
      </c>
      <c r="J76" t="s">
        <v>477</v>
      </c>
      <c r="K76" t="s">
        <v>478</v>
      </c>
      <c r="L76">
        <v>1346</v>
      </c>
      <c r="N76">
        <v>1009</v>
      </c>
      <c r="O76" t="s">
        <v>424</v>
      </c>
      <c r="P76" t="s">
        <v>424</v>
      </c>
      <c r="Q76">
        <v>1</v>
      </c>
      <c r="W76">
        <v>0</v>
      </c>
      <c r="X76">
        <v>-1673196120</v>
      </c>
      <c r="Y76">
        <f t="shared" si="20"/>
        <v>1E-3</v>
      </c>
      <c r="AA76">
        <v>163.02000000000001</v>
      </c>
      <c r="AB76">
        <v>0</v>
      </c>
      <c r="AC76">
        <v>0</v>
      </c>
      <c r="AD76">
        <v>0</v>
      </c>
      <c r="AE76">
        <v>187.38</v>
      </c>
      <c r="AF76">
        <v>0</v>
      </c>
      <c r="AG76">
        <v>0</v>
      </c>
      <c r="AH76">
        <v>0</v>
      </c>
      <c r="AI76">
        <v>0.87</v>
      </c>
      <c r="AJ76">
        <v>1</v>
      </c>
      <c r="AK76">
        <v>1</v>
      </c>
      <c r="AL76">
        <v>1</v>
      </c>
      <c r="AM76">
        <v>2</v>
      </c>
      <c r="AN76">
        <v>0</v>
      </c>
      <c r="AO76">
        <v>0</v>
      </c>
      <c r="AP76">
        <v>1</v>
      </c>
      <c r="AQ76">
        <v>1</v>
      </c>
      <c r="AR76">
        <v>0</v>
      </c>
      <c r="AS76" t="s">
        <v>3</v>
      </c>
      <c r="AT76">
        <v>1E-3</v>
      </c>
      <c r="AU76" t="s">
        <v>3</v>
      </c>
      <c r="AV76">
        <v>0</v>
      </c>
      <c r="AW76">
        <v>2</v>
      </c>
      <c r="AX76">
        <v>52718746</v>
      </c>
      <c r="AY76">
        <v>1</v>
      </c>
      <c r="AZ76">
        <v>0</v>
      </c>
      <c r="BA76">
        <v>76</v>
      </c>
      <c r="BB76">
        <v>1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0.18737999999999999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1</v>
      </c>
      <c r="BQ76">
        <v>0.18737999999999999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1</v>
      </c>
      <c r="CV76">
        <v>0</v>
      </c>
      <c r="CW76">
        <v>0</v>
      </c>
      <c r="CX76">
        <f>ROUND(Y76*Source!I77,7)</f>
        <v>5.0000000000000001E-3</v>
      </c>
      <c r="CY76">
        <f t="shared" si="25"/>
        <v>163.02000000000001</v>
      </c>
      <c r="CZ76">
        <f t="shared" si="26"/>
        <v>187.38</v>
      </c>
      <c r="DA76">
        <f t="shared" si="27"/>
        <v>0.87</v>
      </c>
      <c r="DB76">
        <f t="shared" si="21"/>
        <v>0.19</v>
      </c>
      <c r="DC76">
        <f t="shared" si="22"/>
        <v>0</v>
      </c>
      <c r="DD76" t="s">
        <v>3</v>
      </c>
      <c r="DE76" t="s">
        <v>3</v>
      </c>
      <c r="DF76">
        <f>ROUND(ROUND(AE76*AI76,2)*CX76,2)</f>
        <v>0.82</v>
      </c>
      <c r="DG76">
        <f t="shared" ref="DG76:DG90" si="29">ROUND(ROUND(AF76,2)*CX76,2)</f>
        <v>0</v>
      </c>
      <c r="DH76">
        <f t="shared" si="23"/>
        <v>0</v>
      </c>
      <c r="DI76">
        <f t="shared" si="24"/>
        <v>0</v>
      </c>
      <c r="DJ76">
        <f t="shared" si="28"/>
        <v>0.82</v>
      </c>
      <c r="DK76">
        <v>0</v>
      </c>
      <c r="DL76" t="s">
        <v>3</v>
      </c>
      <c r="DM76">
        <v>0</v>
      </c>
      <c r="DN76" t="s">
        <v>3</v>
      </c>
      <c r="DO76">
        <v>0</v>
      </c>
    </row>
    <row r="77" spans="1:119" x14ac:dyDescent="0.2">
      <c r="A77">
        <f>ROW(Source!A77)</f>
        <v>77</v>
      </c>
      <c r="B77">
        <v>52718353</v>
      </c>
      <c r="C77">
        <v>52718727</v>
      </c>
      <c r="D77">
        <v>51246685</v>
      </c>
      <c r="E77">
        <v>1</v>
      </c>
      <c r="F77">
        <v>1</v>
      </c>
      <c r="G77">
        <v>1</v>
      </c>
      <c r="H77">
        <v>3</v>
      </c>
      <c r="I77" t="s">
        <v>388</v>
      </c>
      <c r="J77" t="s">
        <v>389</v>
      </c>
      <c r="K77" t="s">
        <v>390</v>
      </c>
      <c r="L77">
        <v>1383</v>
      </c>
      <c r="N77">
        <v>1013</v>
      </c>
      <c r="O77" t="s">
        <v>391</v>
      </c>
      <c r="P77" t="s">
        <v>391</v>
      </c>
      <c r="Q77">
        <v>1</v>
      </c>
      <c r="W77">
        <v>0</v>
      </c>
      <c r="X77">
        <v>-182421198</v>
      </c>
      <c r="Y77">
        <f t="shared" si="20"/>
        <v>2.0799999999999999E-2</v>
      </c>
      <c r="AA77">
        <v>6.92</v>
      </c>
      <c r="AB77">
        <v>0</v>
      </c>
      <c r="AC77">
        <v>0</v>
      </c>
      <c r="AD77">
        <v>0</v>
      </c>
      <c r="AE77">
        <v>6.92</v>
      </c>
      <c r="AF77">
        <v>0</v>
      </c>
      <c r="AG77">
        <v>0</v>
      </c>
      <c r="AH77">
        <v>0</v>
      </c>
      <c r="AI77">
        <v>1</v>
      </c>
      <c r="AJ77">
        <v>1</v>
      </c>
      <c r="AK77">
        <v>1</v>
      </c>
      <c r="AL77">
        <v>1</v>
      </c>
      <c r="AM77">
        <v>-2</v>
      </c>
      <c r="AN77">
        <v>0</v>
      </c>
      <c r="AO77">
        <v>0</v>
      </c>
      <c r="AP77">
        <v>1</v>
      </c>
      <c r="AQ77">
        <v>1</v>
      </c>
      <c r="AR77">
        <v>0</v>
      </c>
      <c r="AS77" t="s">
        <v>3</v>
      </c>
      <c r="AT77">
        <v>2.0799999999999999E-2</v>
      </c>
      <c r="AU77" t="s">
        <v>3</v>
      </c>
      <c r="AV77">
        <v>0</v>
      </c>
      <c r="AW77">
        <v>2</v>
      </c>
      <c r="AX77">
        <v>52718747</v>
      </c>
      <c r="AY77">
        <v>1</v>
      </c>
      <c r="AZ77">
        <v>0</v>
      </c>
      <c r="BA77">
        <v>77</v>
      </c>
      <c r="BB77">
        <v>1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0.14393599999999998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1</v>
      </c>
      <c r="BQ77">
        <v>0.14393599999999998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1</v>
      </c>
      <c r="CV77">
        <v>0</v>
      </c>
      <c r="CW77">
        <v>0</v>
      </c>
      <c r="CX77">
        <f>ROUND(Y77*Source!I77,7)</f>
        <v>0.104</v>
      </c>
      <c r="CY77">
        <f t="shared" si="25"/>
        <v>6.92</v>
      </c>
      <c r="CZ77">
        <f t="shared" si="26"/>
        <v>6.92</v>
      </c>
      <c r="DA77">
        <f t="shared" si="27"/>
        <v>1</v>
      </c>
      <c r="DB77">
        <f t="shared" si="21"/>
        <v>0.14000000000000001</v>
      </c>
      <c r="DC77">
        <f t="shared" si="22"/>
        <v>0</v>
      </c>
      <c r="DD77" t="s">
        <v>3</v>
      </c>
      <c r="DE77" t="s">
        <v>3</v>
      </c>
      <c r="DF77">
        <f>ROUND(ROUND(AE77,2)*CX77,2)</f>
        <v>0.72</v>
      </c>
      <c r="DG77">
        <f t="shared" si="29"/>
        <v>0</v>
      </c>
      <c r="DH77">
        <f t="shared" si="23"/>
        <v>0</v>
      </c>
      <c r="DI77">
        <f t="shared" si="24"/>
        <v>0</v>
      </c>
      <c r="DJ77">
        <f t="shared" si="28"/>
        <v>0.72</v>
      </c>
      <c r="DK77">
        <v>1</v>
      </c>
      <c r="DL77" t="s">
        <v>3</v>
      </c>
      <c r="DM77">
        <v>0</v>
      </c>
      <c r="DN77" t="s">
        <v>3</v>
      </c>
      <c r="DO77">
        <v>0</v>
      </c>
    </row>
    <row r="78" spans="1:119" x14ac:dyDescent="0.2">
      <c r="A78">
        <f>ROW(Source!A77)</f>
        <v>77</v>
      </c>
      <c r="B78">
        <v>52718353</v>
      </c>
      <c r="C78">
        <v>52718727</v>
      </c>
      <c r="D78">
        <v>51246841</v>
      </c>
      <c r="E78">
        <v>1</v>
      </c>
      <c r="F78">
        <v>1</v>
      </c>
      <c r="G78">
        <v>1</v>
      </c>
      <c r="H78">
        <v>3</v>
      </c>
      <c r="I78" t="s">
        <v>414</v>
      </c>
      <c r="J78" t="s">
        <v>415</v>
      </c>
      <c r="K78" t="s">
        <v>416</v>
      </c>
      <c r="L78">
        <v>1301</v>
      </c>
      <c r="N78">
        <v>1003</v>
      </c>
      <c r="O78" t="s">
        <v>31</v>
      </c>
      <c r="P78" t="s">
        <v>31</v>
      </c>
      <c r="Q78">
        <v>1</v>
      </c>
      <c r="W78">
        <v>0</v>
      </c>
      <c r="X78">
        <v>1043352333</v>
      </c>
      <c r="Y78">
        <f t="shared" si="20"/>
        <v>1</v>
      </c>
      <c r="AA78">
        <v>5.1100000000000003</v>
      </c>
      <c r="AB78">
        <v>0</v>
      </c>
      <c r="AC78">
        <v>0</v>
      </c>
      <c r="AD78">
        <v>0</v>
      </c>
      <c r="AE78">
        <v>5.87</v>
      </c>
      <c r="AF78">
        <v>0</v>
      </c>
      <c r="AG78">
        <v>0</v>
      </c>
      <c r="AH78">
        <v>0</v>
      </c>
      <c r="AI78">
        <v>0.87</v>
      </c>
      <c r="AJ78">
        <v>1</v>
      </c>
      <c r="AK78">
        <v>1</v>
      </c>
      <c r="AL78">
        <v>1</v>
      </c>
      <c r="AM78">
        <v>2</v>
      </c>
      <c r="AN78">
        <v>0</v>
      </c>
      <c r="AO78">
        <v>0</v>
      </c>
      <c r="AP78">
        <v>1</v>
      </c>
      <c r="AQ78">
        <v>1</v>
      </c>
      <c r="AR78">
        <v>0</v>
      </c>
      <c r="AS78" t="s">
        <v>3</v>
      </c>
      <c r="AT78">
        <v>1</v>
      </c>
      <c r="AU78" t="s">
        <v>3</v>
      </c>
      <c r="AV78">
        <v>0</v>
      </c>
      <c r="AW78">
        <v>2</v>
      </c>
      <c r="AX78">
        <v>52718748</v>
      </c>
      <c r="AY78">
        <v>1</v>
      </c>
      <c r="AZ78">
        <v>0</v>
      </c>
      <c r="BA78">
        <v>78</v>
      </c>
      <c r="BB78">
        <v>1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5.87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1</v>
      </c>
      <c r="BQ78">
        <v>5.87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1</v>
      </c>
      <c r="CV78">
        <v>0</v>
      </c>
      <c r="CW78">
        <v>0</v>
      </c>
      <c r="CX78">
        <f>ROUND(Y78*Source!I77,7)</f>
        <v>5</v>
      </c>
      <c r="CY78">
        <f t="shared" si="25"/>
        <v>5.1100000000000003</v>
      </c>
      <c r="CZ78">
        <f t="shared" si="26"/>
        <v>5.87</v>
      </c>
      <c r="DA78">
        <f t="shared" si="27"/>
        <v>0.87</v>
      </c>
      <c r="DB78">
        <f t="shared" si="21"/>
        <v>5.87</v>
      </c>
      <c r="DC78">
        <f t="shared" si="22"/>
        <v>0</v>
      </c>
      <c r="DD78" t="s">
        <v>3</v>
      </c>
      <c r="DE78" t="s">
        <v>3</v>
      </c>
      <c r="DF78">
        <f t="shared" ref="DF78:DF86" si="30">ROUND(ROUND(AE78*AI78,2)*CX78,2)</f>
        <v>25.55</v>
      </c>
      <c r="DG78">
        <f t="shared" si="29"/>
        <v>0</v>
      </c>
      <c r="DH78">
        <f t="shared" si="23"/>
        <v>0</v>
      </c>
      <c r="DI78">
        <f t="shared" si="24"/>
        <v>0</v>
      </c>
      <c r="DJ78">
        <f t="shared" si="28"/>
        <v>25.55</v>
      </c>
      <c r="DK78">
        <v>0</v>
      </c>
      <c r="DL78" t="s">
        <v>3</v>
      </c>
      <c r="DM78">
        <v>0</v>
      </c>
      <c r="DN78" t="s">
        <v>3</v>
      </c>
      <c r="DO78">
        <v>0</v>
      </c>
    </row>
    <row r="79" spans="1:119" x14ac:dyDescent="0.2">
      <c r="A79">
        <f>ROW(Source!A77)</f>
        <v>77</v>
      </c>
      <c r="B79">
        <v>52718353</v>
      </c>
      <c r="C79">
        <v>52718727</v>
      </c>
      <c r="D79">
        <v>51247427</v>
      </c>
      <c r="E79">
        <v>1</v>
      </c>
      <c r="F79">
        <v>1</v>
      </c>
      <c r="G79">
        <v>1</v>
      </c>
      <c r="H79">
        <v>3</v>
      </c>
      <c r="I79" t="s">
        <v>464</v>
      </c>
      <c r="J79" t="s">
        <v>465</v>
      </c>
      <c r="K79" t="s">
        <v>466</v>
      </c>
      <c r="L79">
        <v>1346</v>
      </c>
      <c r="N79">
        <v>1009</v>
      </c>
      <c r="O79" t="s">
        <v>424</v>
      </c>
      <c r="P79" t="s">
        <v>424</v>
      </c>
      <c r="Q79">
        <v>1</v>
      </c>
      <c r="W79">
        <v>0</v>
      </c>
      <c r="X79">
        <v>-1476217930</v>
      </c>
      <c r="Y79">
        <f t="shared" si="20"/>
        <v>7.0000000000000007E-2</v>
      </c>
      <c r="AA79">
        <v>119.84</v>
      </c>
      <c r="AB79">
        <v>0</v>
      </c>
      <c r="AC79">
        <v>0</v>
      </c>
      <c r="AD79">
        <v>0</v>
      </c>
      <c r="AE79">
        <v>155.63</v>
      </c>
      <c r="AF79">
        <v>0</v>
      </c>
      <c r="AG79">
        <v>0</v>
      </c>
      <c r="AH79">
        <v>0</v>
      </c>
      <c r="AI79">
        <v>0.77</v>
      </c>
      <c r="AJ79">
        <v>1</v>
      </c>
      <c r="AK79">
        <v>1</v>
      </c>
      <c r="AL79">
        <v>1</v>
      </c>
      <c r="AM79">
        <v>2</v>
      </c>
      <c r="AN79">
        <v>0</v>
      </c>
      <c r="AO79">
        <v>0</v>
      </c>
      <c r="AP79">
        <v>1</v>
      </c>
      <c r="AQ79">
        <v>1</v>
      </c>
      <c r="AR79">
        <v>0</v>
      </c>
      <c r="AS79" t="s">
        <v>3</v>
      </c>
      <c r="AT79">
        <v>7.0000000000000007E-2</v>
      </c>
      <c r="AU79" t="s">
        <v>3</v>
      </c>
      <c r="AV79">
        <v>0</v>
      </c>
      <c r="AW79">
        <v>2</v>
      </c>
      <c r="AX79">
        <v>52718749</v>
      </c>
      <c r="AY79">
        <v>1</v>
      </c>
      <c r="AZ79">
        <v>0</v>
      </c>
      <c r="BA79">
        <v>79</v>
      </c>
      <c r="BB79">
        <v>1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10.8941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1</v>
      </c>
      <c r="BQ79">
        <v>10.8941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1</v>
      </c>
      <c r="CV79">
        <v>0</v>
      </c>
      <c r="CW79">
        <v>0</v>
      </c>
      <c r="CX79">
        <f>ROUND(Y79*Source!I77,7)</f>
        <v>0.35</v>
      </c>
      <c r="CY79">
        <f t="shared" si="25"/>
        <v>119.84</v>
      </c>
      <c r="CZ79">
        <f t="shared" si="26"/>
        <v>155.63</v>
      </c>
      <c r="DA79">
        <f t="shared" si="27"/>
        <v>0.77</v>
      </c>
      <c r="DB79">
        <f t="shared" si="21"/>
        <v>10.89</v>
      </c>
      <c r="DC79">
        <f t="shared" si="22"/>
        <v>0</v>
      </c>
      <c r="DD79" t="s">
        <v>3</v>
      </c>
      <c r="DE79" t="s">
        <v>3</v>
      </c>
      <c r="DF79">
        <f t="shared" si="30"/>
        <v>41.94</v>
      </c>
      <c r="DG79">
        <f t="shared" si="29"/>
        <v>0</v>
      </c>
      <c r="DH79">
        <f t="shared" si="23"/>
        <v>0</v>
      </c>
      <c r="DI79">
        <f t="shared" si="24"/>
        <v>0</v>
      </c>
      <c r="DJ79">
        <f t="shared" si="28"/>
        <v>41.94</v>
      </c>
      <c r="DK79">
        <v>0</v>
      </c>
      <c r="DL79" t="s">
        <v>3</v>
      </c>
      <c r="DM79">
        <v>0</v>
      </c>
      <c r="DN79" t="s">
        <v>3</v>
      </c>
      <c r="DO79">
        <v>0</v>
      </c>
    </row>
    <row r="80" spans="1:119" x14ac:dyDescent="0.2">
      <c r="A80">
        <f>ROW(Source!A77)</f>
        <v>77</v>
      </c>
      <c r="B80">
        <v>52718353</v>
      </c>
      <c r="C80">
        <v>52718727</v>
      </c>
      <c r="D80">
        <v>51248180</v>
      </c>
      <c r="E80">
        <v>1</v>
      </c>
      <c r="F80">
        <v>1</v>
      </c>
      <c r="G80">
        <v>1</v>
      </c>
      <c r="H80">
        <v>3</v>
      </c>
      <c r="I80" t="s">
        <v>455</v>
      </c>
      <c r="J80" t="s">
        <v>456</v>
      </c>
      <c r="K80" t="s">
        <v>457</v>
      </c>
      <c r="L80">
        <v>1346</v>
      </c>
      <c r="N80">
        <v>1009</v>
      </c>
      <c r="O80" t="s">
        <v>424</v>
      </c>
      <c r="P80" t="s">
        <v>424</v>
      </c>
      <c r="Q80">
        <v>1</v>
      </c>
      <c r="W80">
        <v>0</v>
      </c>
      <c r="X80">
        <v>-489290570</v>
      </c>
      <c r="Y80">
        <f t="shared" si="20"/>
        <v>4.9000000000000002E-2</v>
      </c>
      <c r="AA80">
        <v>188.92</v>
      </c>
      <c r="AB80">
        <v>0</v>
      </c>
      <c r="AC80">
        <v>0</v>
      </c>
      <c r="AD80">
        <v>0</v>
      </c>
      <c r="AE80">
        <v>174.93</v>
      </c>
      <c r="AF80">
        <v>0</v>
      </c>
      <c r="AG80">
        <v>0</v>
      </c>
      <c r="AH80">
        <v>0</v>
      </c>
      <c r="AI80">
        <v>1.08</v>
      </c>
      <c r="AJ80">
        <v>1</v>
      </c>
      <c r="AK80">
        <v>1</v>
      </c>
      <c r="AL80">
        <v>1</v>
      </c>
      <c r="AM80">
        <v>2</v>
      </c>
      <c r="AN80">
        <v>0</v>
      </c>
      <c r="AO80">
        <v>0</v>
      </c>
      <c r="AP80">
        <v>1</v>
      </c>
      <c r="AQ80">
        <v>1</v>
      </c>
      <c r="AR80">
        <v>0</v>
      </c>
      <c r="AS80" t="s">
        <v>3</v>
      </c>
      <c r="AT80">
        <v>4.9000000000000002E-2</v>
      </c>
      <c r="AU80" t="s">
        <v>3</v>
      </c>
      <c r="AV80">
        <v>0</v>
      </c>
      <c r="AW80">
        <v>2</v>
      </c>
      <c r="AX80">
        <v>52718750</v>
      </c>
      <c r="AY80">
        <v>1</v>
      </c>
      <c r="AZ80">
        <v>0</v>
      </c>
      <c r="BA80">
        <v>80</v>
      </c>
      <c r="BB80">
        <v>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8.5715700000000012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1</v>
      </c>
      <c r="BQ80">
        <v>8.5715700000000012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1</v>
      </c>
      <c r="CV80">
        <v>0</v>
      </c>
      <c r="CW80">
        <v>0</v>
      </c>
      <c r="CX80">
        <f>ROUND(Y80*Source!I77,7)</f>
        <v>0.245</v>
      </c>
      <c r="CY80">
        <f t="shared" si="25"/>
        <v>188.92</v>
      </c>
      <c r="CZ80">
        <f t="shared" si="26"/>
        <v>174.93</v>
      </c>
      <c r="DA80">
        <f t="shared" si="27"/>
        <v>1.08</v>
      </c>
      <c r="DB80">
        <f t="shared" si="21"/>
        <v>8.57</v>
      </c>
      <c r="DC80">
        <f t="shared" si="22"/>
        <v>0</v>
      </c>
      <c r="DD80" t="s">
        <v>3</v>
      </c>
      <c r="DE80" t="s">
        <v>3</v>
      </c>
      <c r="DF80">
        <f t="shared" si="30"/>
        <v>46.29</v>
      </c>
      <c r="DG80">
        <f t="shared" si="29"/>
        <v>0</v>
      </c>
      <c r="DH80">
        <f t="shared" si="23"/>
        <v>0</v>
      </c>
      <c r="DI80">
        <f t="shared" si="24"/>
        <v>0</v>
      </c>
      <c r="DJ80">
        <f t="shared" si="28"/>
        <v>46.29</v>
      </c>
      <c r="DK80">
        <v>0</v>
      </c>
      <c r="DL80" t="s">
        <v>3</v>
      </c>
      <c r="DM80">
        <v>0</v>
      </c>
      <c r="DN80" t="s">
        <v>3</v>
      </c>
      <c r="DO80">
        <v>0</v>
      </c>
    </row>
    <row r="81" spans="1:119" x14ac:dyDescent="0.2">
      <c r="A81">
        <f>ROW(Source!A77)</f>
        <v>77</v>
      </c>
      <c r="B81">
        <v>52718353</v>
      </c>
      <c r="C81">
        <v>52718727</v>
      </c>
      <c r="D81">
        <v>51248246</v>
      </c>
      <c r="E81">
        <v>1</v>
      </c>
      <c r="F81">
        <v>1</v>
      </c>
      <c r="G81">
        <v>1</v>
      </c>
      <c r="H81">
        <v>3</v>
      </c>
      <c r="I81" t="s">
        <v>436</v>
      </c>
      <c r="J81" t="s">
        <v>437</v>
      </c>
      <c r="K81" t="s">
        <v>438</v>
      </c>
      <c r="L81">
        <v>1425</v>
      </c>
      <c r="N81">
        <v>1013</v>
      </c>
      <c r="O81" t="s">
        <v>56</v>
      </c>
      <c r="P81" t="s">
        <v>56</v>
      </c>
      <c r="Q81">
        <v>1</v>
      </c>
      <c r="W81">
        <v>0</v>
      </c>
      <c r="X81">
        <v>-910460444</v>
      </c>
      <c r="Y81">
        <f t="shared" si="20"/>
        <v>1.4E-2</v>
      </c>
      <c r="AA81">
        <v>54.64</v>
      </c>
      <c r="AB81">
        <v>0</v>
      </c>
      <c r="AC81">
        <v>0</v>
      </c>
      <c r="AD81">
        <v>0</v>
      </c>
      <c r="AE81">
        <v>41.71</v>
      </c>
      <c r="AF81">
        <v>0</v>
      </c>
      <c r="AG81">
        <v>0</v>
      </c>
      <c r="AH81">
        <v>0</v>
      </c>
      <c r="AI81">
        <v>1.31</v>
      </c>
      <c r="AJ81">
        <v>1</v>
      </c>
      <c r="AK81">
        <v>1</v>
      </c>
      <c r="AL81">
        <v>1</v>
      </c>
      <c r="AM81">
        <v>2</v>
      </c>
      <c r="AN81">
        <v>0</v>
      </c>
      <c r="AO81">
        <v>0</v>
      </c>
      <c r="AP81">
        <v>1</v>
      </c>
      <c r="AQ81">
        <v>1</v>
      </c>
      <c r="AR81">
        <v>0</v>
      </c>
      <c r="AS81" t="s">
        <v>3</v>
      </c>
      <c r="AT81">
        <v>1.4E-2</v>
      </c>
      <c r="AU81" t="s">
        <v>3</v>
      </c>
      <c r="AV81">
        <v>0</v>
      </c>
      <c r="AW81">
        <v>2</v>
      </c>
      <c r="AX81">
        <v>52718751</v>
      </c>
      <c r="AY81">
        <v>1</v>
      </c>
      <c r="AZ81">
        <v>0</v>
      </c>
      <c r="BA81">
        <v>81</v>
      </c>
      <c r="BB81">
        <v>1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0.58394000000000001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1</v>
      </c>
      <c r="BQ81">
        <v>0.58394000000000001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1</v>
      </c>
      <c r="CV81">
        <v>0</v>
      </c>
      <c r="CW81">
        <v>0</v>
      </c>
      <c r="CX81">
        <f>ROUND(Y81*Source!I77,7)</f>
        <v>7.0000000000000007E-2</v>
      </c>
      <c r="CY81">
        <f t="shared" si="25"/>
        <v>54.64</v>
      </c>
      <c r="CZ81">
        <f t="shared" si="26"/>
        <v>41.71</v>
      </c>
      <c r="DA81">
        <f t="shared" si="27"/>
        <v>1.31</v>
      </c>
      <c r="DB81">
        <f t="shared" si="21"/>
        <v>0.57999999999999996</v>
      </c>
      <c r="DC81">
        <f t="shared" si="22"/>
        <v>0</v>
      </c>
      <c r="DD81" t="s">
        <v>3</v>
      </c>
      <c r="DE81" t="s">
        <v>3</v>
      </c>
      <c r="DF81">
        <f t="shared" si="30"/>
        <v>3.82</v>
      </c>
      <c r="DG81">
        <f t="shared" si="29"/>
        <v>0</v>
      </c>
      <c r="DH81">
        <f t="shared" si="23"/>
        <v>0</v>
      </c>
      <c r="DI81">
        <f t="shared" si="24"/>
        <v>0</v>
      </c>
      <c r="DJ81">
        <f t="shared" si="28"/>
        <v>3.82</v>
      </c>
      <c r="DK81">
        <v>0</v>
      </c>
      <c r="DL81" t="s">
        <v>3</v>
      </c>
      <c r="DM81">
        <v>0</v>
      </c>
      <c r="DN81" t="s">
        <v>3</v>
      </c>
      <c r="DO81">
        <v>0</v>
      </c>
    </row>
    <row r="82" spans="1:119" x14ac:dyDescent="0.2">
      <c r="A82">
        <f>ROW(Source!A77)</f>
        <v>77</v>
      </c>
      <c r="B82">
        <v>52718353</v>
      </c>
      <c r="C82">
        <v>52718727</v>
      </c>
      <c r="D82">
        <v>51249297</v>
      </c>
      <c r="E82">
        <v>1</v>
      </c>
      <c r="F82">
        <v>1</v>
      </c>
      <c r="G82">
        <v>1</v>
      </c>
      <c r="H82">
        <v>3</v>
      </c>
      <c r="I82" t="s">
        <v>479</v>
      </c>
      <c r="J82" t="s">
        <v>480</v>
      </c>
      <c r="K82" t="s">
        <v>481</v>
      </c>
      <c r="L82">
        <v>1346</v>
      </c>
      <c r="N82">
        <v>1009</v>
      </c>
      <c r="O82" t="s">
        <v>424</v>
      </c>
      <c r="P82" t="s">
        <v>424</v>
      </c>
      <c r="Q82">
        <v>1</v>
      </c>
      <c r="W82">
        <v>0</v>
      </c>
      <c r="X82">
        <v>-1224836742</v>
      </c>
      <c r="Y82">
        <f t="shared" si="20"/>
        <v>1E-3</v>
      </c>
      <c r="AA82">
        <v>633.04</v>
      </c>
      <c r="AB82">
        <v>0</v>
      </c>
      <c r="AC82">
        <v>0</v>
      </c>
      <c r="AD82">
        <v>0</v>
      </c>
      <c r="AE82">
        <v>395.65</v>
      </c>
      <c r="AF82">
        <v>0</v>
      </c>
      <c r="AG82">
        <v>0</v>
      </c>
      <c r="AH82">
        <v>0</v>
      </c>
      <c r="AI82">
        <v>1.6</v>
      </c>
      <c r="AJ82">
        <v>1</v>
      </c>
      <c r="AK82">
        <v>1</v>
      </c>
      <c r="AL82">
        <v>1</v>
      </c>
      <c r="AM82">
        <v>2</v>
      </c>
      <c r="AN82">
        <v>0</v>
      </c>
      <c r="AO82">
        <v>0</v>
      </c>
      <c r="AP82">
        <v>1</v>
      </c>
      <c r="AQ82">
        <v>1</v>
      </c>
      <c r="AR82">
        <v>0</v>
      </c>
      <c r="AS82" t="s">
        <v>3</v>
      </c>
      <c r="AT82">
        <v>1E-3</v>
      </c>
      <c r="AU82" t="s">
        <v>3</v>
      </c>
      <c r="AV82">
        <v>0</v>
      </c>
      <c r="AW82">
        <v>2</v>
      </c>
      <c r="AX82">
        <v>52718752</v>
      </c>
      <c r="AY82">
        <v>1</v>
      </c>
      <c r="AZ82">
        <v>0</v>
      </c>
      <c r="BA82">
        <v>82</v>
      </c>
      <c r="BB82">
        <v>1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0.39565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1</v>
      </c>
      <c r="BQ82">
        <v>0.39565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1</v>
      </c>
      <c r="CV82">
        <v>0</v>
      </c>
      <c r="CW82">
        <v>0</v>
      </c>
      <c r="CX82">
        <f>ROUND(Y82*Source!I77,7)</f>
        <v>5.0000000000000001E-3</v>
      </c>
      <c r="CY82">
        <f t="shared" si="25"/>
        <v>633.04</v>
      </c>
      <c r="CZ82">
        <f t="shared" si="26"/>
        <v>395.65</v>
      </c>
      <c r="DA82">
        <f t="shared" si="27"/>
        <v>1.6</v>
      </c>
      <c r="DB82">
        <f t="shared" si="21"/>
        <v>0.4</v>
      </c>
      <c r="DC82">
        <f t="shared" si="22"/>
        <v>0</v>
      </c>
      <c r="DD82" t="s">
        <v>3</v>
      </c>
      <c r="DE82" t="s">
        <v>3</v>
      </c>
      <c r="DF82">
        <f t="shared" si="30"/>
        <v>3.17</v>
      </c>
      <c r="DG82">
        <f t="shared" si="29"/>
        <v>0</v>
      </c>
      <c r="DH82">
        <f t="shared" si="23"/>
        <v>0</v>
      </c>
      <c r="DI82">
        <f t="shared" si="24"/>
        <v>0</v>
      </c>
      <c r="DJ82">
        <f t="shared" si="28"/>
        <v>3.17</v>
      </c>
      <c r="DK82">
        <v>0</v>
      </c>
      <c r="DL82" t="s">
        <v>3</v>
      </c>
      <c r="DM82">
        <v>0</v>
      </c>
      <c r="DN82" t="s">
        <v>3</v>
      </c>
      <c r="DO82">
        <v>0</v>
      </c>
    </row>
    <row r="83" spans="1:119" x14ac:dyDescent="0.2">
      <c r="A83">
        <f>ROW(Source!A77)</f>
        <v>77</v>
      </c>
      <c r="B83">
        <v>52718353</v>
      </c>
      <c r="C83">
        <v>52718727</v>
      </c>
      <c r="D83">
        <v>51253318</v>
      </c>
      <c r="E83">
        <v>1</v>
      </c>
      <c r="F83">
        <v>1</v>
      </c>
      <c r="G83">
        <v>1</v>
      </c>
      <c r="H83">
        <v>3</v>
      </c>
      <c r="I83" t="s">
        <v>482</v>
      </c>
      <c r="J83" t="s">
        <v>483</v>
      </c>
      <c r="K83" t="s">
        <v>484</v>
      </c>
      <c r="L83">
        <v>1348</v>
      </c>
      <c r="N83">
        <v>1009</v>
      </c>
      <c r="O83" t="s">
        <v>126</v>
      </c>
      <c r="P83" t="s">
        <v>126</v>
      </c>
      <c r="Q83">
        <v>1000</v>
      </c>
      <c r="W83">
        <v>0</v>
      </c>
      <c r="X83">
        <v>-901091791</v>
      </c>
      <c r="Y83">
        <f t="shared" si="20"/>
        <v>1E-3</v>
      </c>
      <c r="AA83">
        <v>134756.88</v>
      </c>
      <c r="AB83">
        <v>0</v>
      </c>
      <c r="AC83">
        <v>0</v>
      </c>
      <c r="AD83">
        <v>0</v>
      </c>
      <c r="AE83">
        <v>105278.81</v>
      </c>
      <c r="AF83">
        <v>0</v>
      </c>
      <c r="AG83">
        <v>0</v>
      </c>
      <c r="AH83">
        <v>0</v>
      </c>
      <c r="AI83">
        <v>1.28</v>
      </c>
      <c r="AJ83">
        <v>1</v>
      </c>
      <c r="AK83">
        <v>1</v>
      </c>
      <c r="AL83">
        <v>1</v>
      </c>
      <c r="AM83">
        <v>2</v>
      </c>
      <c r="AN83">
        <v>0</v>
      </c>
      <c r="AO83">
        <v>0</v>
      </c>
      <c r="AP83">
        <v>1</v>
      </c>
      <c r="AQ83">
        <v>1</v>
      </c>
      <c r="AR83">
        <v>0</v>
      </c>
      <c r="AS83" t="s">
        <v>3</v>
      </c>
      <c r="AT83">
        <v>1E-3</v>
      </c>
      <c r="AU83" t="s">
        <v>3</v>
      </c>
      <c r="AV83">
        <v>0</v>
      </c>
      <c r="AW83">
        <v>2</v>
      </c>
      <c r="AX83">
        <v>52718753</v>
      </c>
      <c r="AY83">
        <v>1</v>
      </c>
      <c r="AZ83">
        <v>0</v>
      </c>
      <c r="BA83">
        <v>83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105.27880999999999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1</v>
      </c>
      <c r="BQ83">
        <v>105.27880999999999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1</v>
      </c>
      <c r="CV83">
        <v>0</v>
      </c>
      <c r="CW83">
        <v>0</v>
      </c>
      <c r="CX83">
        <f>ROUND(Y83*Source!I77,7)</f>
        <v>5.0000000000000001E-3</v>
      </c>
      <c r="CY83">
        <f t="shared" si="25"/>
        <v>134756.88</v>
      </c>
      <c r="CZ83">
        <f t="shared" si="26"/>
        <v>105278.81</v>
      </c>
      <c r="DA83">
        <f t="shared" si="27"/>
        <v>1.28</v>
      </c>
      <c r="DB83">
        <f t="shared" si="21"/>
        <v>105.28</v>
      </c>
      <c r="DC83">
        <f t="shared" si="22"/>
        <v>0</v>
      </c>
      <c r="DD83" t="s">
        <v>3</v>
      </c>
      <c r="DE83" t="s">
        <v>3</v>
      </c>
      <c r="DF83">
        <f t="shared" si="30"/>
        <v>673.78</v>
      </c>
      <c r="DG83">
        <f t="shared" si="29"/>
        <v>0</v>
      </c>
      <c r="DH83">
        <f t="shared" si="23"/>
        <v>0</v>
      </c>
      <c r="DI83">
        <f t="shared" si="24"/>
        <v>0</v>
      </c>
      <c r="DJ83">
        <f t="shared" si="28"/>
        <v>673.78</v>
      </c>
      <c r="DK83">
        <v>0</v>
      </c>
      <c r="DL83" t="s">
        <v>3</v>
      </c>
      <c r="DM83">
        <v>0</v>
      </c>
      <c r="DN83" t="s">
        <v>3</v>
      </c>
      <c r="DO83">
        <v>0</v>
      </c>
    </row>
    <row r="84" spans="1:119" x14ac:dyDescent="0.2">
      <c r="A84">
        <f>ROW(Source!A77)</f>
        <v>77</v>
      </c>
      <c r="B84">
        <v>52718353</v>
      </c>
      <c r="C84">
        <v>52718727</v>
      </c>
      <c r="D84">
        <v>51265692</v>
      </c>
      <c r="E84">
        <v>1</v>
      </c>
      <c r="F84">
        <v>1</v>
      </c>
      <c r="G84">
        <v>1</v>
      </c>
      <c r="H84">
        <v>3</v>
      </c>
      <c r="I84" t="s">
        <v>421</v>
      </c>
      <c r="J84" t="s">
        <v>422</v>
      </c>
      <c r="K84" t="s">
        <v>423</v>
      </c>
      <c r="L84">
        <v>1346</v>
      </c>
      <c r="N84">
        <v>1009</v>
      </c>
      <c r="O84" t="s">
        <v>424</v>
      </c>
      <c r="P84" t="s">
        <v>424</v>
      </c>
      <c r="Q84">
        <v>1</v>
      </c>
      <c r="W84">
        <v>0</v>
      </c>
      <c r="X84">
        <v>2025193363</v>
      </c>
      <c r="Y84">
        <f t="shared" si="20"/>
        <v>3.5999999999999997E-2</v>
      </c>
      <c r="AA84">
        <v>110.23</v>
      </c>
      <c r="AB84">
        <v>0</v>
      </c>
      <c r="AC84">
        <v>0</v>
      </c>
      <c r="AD84">
        <v>0</v>
      </c>
      <c r="AE84">
        <v>79.88</v>
      </c>
      <c r="AF84">
        <v>0</v>
      </c>
      <c r="AG84">
        <v>0</v>
      </c>
      <c r="AH84">
        <v>0</v>
      </c>
      <c r="AI84">
        <v>1.38</v>
      </c>
      <c r="AJ84">
        <v>1</v>
      </c>
      <c r="AK84">
        <v>1</v>
      </c>
      <c r="AL84">
        <v>1</v>
      </c>
      <c r="AM84">
        <v>2</v>
      </c>
      <c r="AN84">
        <v>0</v>
      </c>
      <c r="AO84">
        <v>0</v>
      </c>
      <c r="AP84">
        <v>1</v>
      </c>
      <c r="AQ84">
        <v>1</v>
      </c>
      <c r="AR84">
        <v>0</v>
      </c>
      <c r="AS84" t="s">
        <v>3</v>
      </c>
      <c r="AT84">
        <v>3.5999999999999997E-2</v>
      </c>
      <c r="AU84" t="s">
        <v>3</v>
      </c>
      <c r="AV84">
        <v>0</v>
      </c>
      <c r="AW84">
        <v>2</v>
      </c>
      <c r="AX84">
        <v>52718754</v>
      </c>
      <c r="AY84">
        <v>1</v>
      </c>
      <c r="AZ84">
        <v>0</v>
      </c>
      <c r="BA84">
        <v>84</v>
      </c>
      <c r="BB84">
        <v>1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2.8756799999999996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1</v>
      </c>
      <c r="BQ84">
        <v>2.8756799999999996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1</v>
      </c>
      <c r="CV84">
        <v>0</v>
      </c>
      <c r="CW84">
        <v>0</v>
      </c>
      <c r="CX84">
        <f>ROUND(Y84*Source!I77,7)</f>
        <v>0.18</v>
      </c>
      <c r="CY84">
        <f t="shared" si="25"/>
        <v>110.23</v>
      </c>
      <c r="CZ84">
        <f t="shared" si="26"/>
        <v>79.88</v>
      </c>
      <c r="DA84">
        <f t="shared" si="27"/>
        <v>1.38</v>
      </c>
      <c r="DB84">
        <f t="shared" si="21"/>
        <v>2.88</v>
      </c>
      <c r="DC84">
        <f t="shared" si="22"/>
        <v>0</v>
      </c>
      <c r="DD84" t="s">
        <v>3</v>
      </c>
      <c r="DE84" t="s">
        <v>3</v>
      </c>
      <c r="DF84">
        <f t="shared" si="30"/>
        <v>19.84</v>
      </c>
      <c r="DG84">
        <f t="shared" si="29"/>
        <v>0</v>
      </c>
      <c r="DH84">
        <f t="shared" si="23"/>
        <v>0</v>
      </c>
      <c r="DI84">
        <f t="shared" si="24"/>
        <v>0</v>
      </c>
      <c r="DJ84">
        <f t="shared" si="28"/>
        <v>19.84</v>
      </c>
      <c r="DK84">
        <v>0</v>
      </c>
      <c r="DL84" t="s">
        <v>3</v>
      </c>
      <c r="DM84">
        <v>0</v>
      </c>
      <c r="DN84" t="s">
        <v>3</v>
      </c>
      <c r="DO84">
        <v>0</v>
      </c>
    </row>
    <row r="85" spans="1:119" x14ac:dyDescent="0.2">
      <c r="A85">
        <f>ROW(Source!A77)</f>
        <v>77</v>
      </c>
      <c r="B85">
        <v>52718353</v>
      </c>
      <c r="C85">
        <v>52718727</v>
      </c>
      <c r="D85">
        <v>51265738</v>
      </c>
      <c r="E85">
        <v>1</v>
      </c>
      <c r="F85">
        <v>1</v>
      </c>
      <c r="G85">
        <v>1</v>
      </c>
      <c r="H85">
        <v>3</v>
      </c>
      <c r="I85" t="s">
        <v>485</v>
      </c>
      <c r="J85" t="s">
        <v>486</v>
      </c>
      <c r="K85" t="s">
        <v>487</v>
      </c>
      <c r="L85">
        <v>1346</v>
      </c>
      <c r="N85">
        <v>1009</v>
      </c>
      <c r="O85" t="s">
        <v>424</v>
      </c>
      <c r="P85" t="s">
        <v>424</v>
      </c>
      <c r="Q85">
        <v>1</v>
      </c>
      <c r="W85">
        <v>0</v>
      </c>
      <c r="X85">
        <v>-921302106</v>
      </c>
      <c r="Y85">
        <f t="shared" si="20"/>
        <v>6.0000000000000001E-3</v>
      </c>
      <c r="AA85">
        <v>192.08</v>
      </c>
      <c r="AB85">
        <v>0</v>
      </c>
      <c r="AC85">
        <v>0</v>
      </c>
      <c r="AD85">
        <v>0</v>
      </c>
      <c r="AE85">
        <v>157.44</v>
      </c>
      <c r="AF85">
        <v>0</v>
      </c>
      <c r="AG85">
        <v>0</v>
      </c>
      <c r="AH85">
        <v>0</v>
      </c>
      <c r="AI85">
        <v>1.22</v>
      </c>
      <c r="AJ85">
        <v>1</v>
      </c>
      <c r="AK85">
        <v>1</v>
      </c>
      <c r="AL85">
        <v>1</v>
      </c>
      <c r="AM85">
        <v>2</v>
      </c>
      <c r="AN85">
        <v>0</v>
      </c>
      <c r="AO85">
        <v>0</v>
      </c>
      <c r="AP85">
        <v>1</v>
      </c>
      <c r="AQ85">
        <v>1</v>
      </c>
      <c r="AR85">
        <v>0</v>
      </c>
      <c r="AS85" t="s">
        <v>3</v>
      </c>
      <c r="AT85">
        <v>6.0000000000000001E-3</v>
      </c>
      <c r="AU85" t="s">
        <v>3</v>
      </c>
      <c r="AV85">
        <v>0</v>
      </c>
      <c r="AW85">
        <v>2</v>
      </c>
      <c r="AX85">
        <v>52718755</v>
      </c>
      <c r="AY85">
        <v>1</v>
      </c>
      <c r="AZ85">
        <v>0</v>
      </c>
      <c r="BA85">
        <v>85</v>
      </c>
      <c r="BB85">
        <v>1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0.94464000000000004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1</v>
      </c>
      <c r="BQ85">
        <v>0.94464000000000004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1</v>
      </c>
      <c r="CV85">
        <v>0</v>
      </c>
      <c r="CW85">
        <v>0</v>
      </c>
      <c r="CX85">
        <f>ROUND(Y85*Source!I77,7)</f>
        <v>0.03</v>
      </c>
      <c r="CY85">
        <f t="shared" si="25"/>
        <v>192.08</v>
      </c>
      <c r="CZ85">
        <f t="shared" si="26"/>
        <v>157.44</v>
      </c>
      <c r="DA85">
        <f t="shared" si="27"/>
        <v>1.22</v>
      </c>
      <c r="DB85">
        <f t="shared" si="21"/>
        <v>0.94</v>
      </c>
      <c r="DC85">
        <f t="shared" si="22"/>
        <v>0</v>
      </c>
      <c r="DD85" t="s">
        <v>3</v>
      </c>
      <c r="DE85" t="s">
        <v>3</v>
      </c>
      <c r="DF85">
        <f t="shared" si="30"/>
        <v>5.76</v>
      </c>
      <c r="DG85">
        <f t="shared" si="29"/>
        <v>0</v>
      </c>
      <c r="DH85">
        <f t="shared" si="23"/>
        <v>0</v>
      </c>
      <c r="DI85">
        <f t="shared" si="24"/>
        <v>0</v>
      </c>
      <c r="DJ85">
        <f t="shared" si="28"/>
        <v>5.76</v>
      </c>
      <c r="DK85">
        <v>0</v>
      </c>
      <c r="DL85" t="s">
        <v>3</v>
      </c>
      <c r="DM85">
        <v>0</v>
      </c>
      <c r="DN85" t="s">
        <v>3</v>
      </c>
      <c r="DO85">
        <v>0</v>
      </c>
    </row>
    <row r="86" spans="1:119" x14ac:dyDescent="0.2">
      <c r="A86">
        <f>ROW(Source!A77)</f>
        <v>77</v>
      </c>
      <c r="B86">
        <v>52718353</v>
      </c>
      <c r="C86">
        <v>52718727</v>
      </c>
      <c r="D86">
        <v>51273566</v>
      </c>
      <c r="E86">
        <v>1</v>
      </c>
      <c r="F86">
        <v>1</v>
      </c>
      <c r="G86">
        <v>1</v>
      </c>
      <c r="H86">
        <v>3</v>
      </c>
      <c r="I86" t="s">
        <v>488</v>
      </c>
      <c r="J86" t="s">
        <v>489</v>
      </c>
      <c r="K86" t="s">
        <v>490</v>
      </c>
      <c r="L86">
        <v>1455</v>
      </c>
      <c r="N86">
        <v>1013</v>
      </c>
      <c r="O86" t="s">
        <v>39</v>
      </c>
      <c r="P86" t="s">
        <v>39</v>
      </c>
      <c r="Q86">
        <v>1</v>
      </c>
      <c r="W86">
        <v>0</v>
      </c>
      <c r="X86">
        <v>-1468880334</v>
      </c>
      <c r="Y86">
        <f t="shared" si="20"/>
        <v>0.1</v>
      </c>
      <c r="AA86">
        <v>1303.67</v>
      </c>
      <c r="AB86">
        <v>0</v>
      </c>
      <c r="AC86">
        <v>0</v>
      </c>
      <c r="AD86">
        <v>0</v>
      </c>
      <c r="AE86">
        <v>944.69</v>
      </c>
      <c r="AF86">
        <v>0</v>
      </c>
      <c r="AG86">
        <v>0</v>
      </c>
      <c r="AH86">
        <v>0</v>
      </c>
      <c r="AI86">
        <v>1.38</v>
      </c>
      <c r="AJ86">
        <v>1</v>
      </c>
      <c r="AK86">
        <v>1</v>
      </c>
      <c r="AL86">
        <v>1</v>
      </c>
      <c r="AM86">
        <v>2</v>
      </c>
      <c r="AN86">
        <v>0</v>
      </c>
      <c r="AO86">
        <v>0</v>
      </c>
      <c r="AP86">
        <v>1</v>
      </c>
      <c r="AQ86">
        <v>1</v>
      </c>
      <c r="AR86">
        <v>0</v>
      </c>
      <c r="AS86" t="s">
        <v>3</v>
      </c>
      <c r="AT86">
        <v>0.1</v>
      </c>
      <c r="AU86" t="s">
        <v>3</v>
      </c>
      <c r="AV86">
        <v>0</v>
      </c>
      <c r="AW86">
        <v>2</v>
      </c>
      <c r="AX86">
        <v>52718756</v>
      </c>
      <c r="AY86">
        <v>1</v>
      </c>
      <c r="AZ86">
        <v>0</v>
      </c>
      <c r="BA86">
        <v>86</v>
      </c>
      <c r="BB86">
        <v>1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94.469000000000008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1</v>
      </c>
      <c r="BQ86">
        <v>94.469000000000008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1</v>
      </c>
      <c r="CV86">
        <v>0</v>
      </c>
      <c r="CW86">
        <v>0</v>
      </c>
      <c r="CX86">
        <f>ROUND(Y86*Source!I77,7)</f>
        <v>0.5</v>
      </c>
      <c r="CY86">
        <f t="shared" si="25"/>
        <v>1303.67</v>
      </c>
      <c r="CZ86">
        <f t="shared" si="26"/>
        <v>944.69</v>
      </c>
      <c r="DA86">
        <f t="shared" si="27"/>
        <v>1.38</v>
      </c>
      <c r="DB86">
        <f t="shared" si="21"/>
        <v>94.47</v>
      </c>
      <c r="DC86">
        <f t="shared" si="22"/>
        <v>0</v>
      </c>
      <c r="DD86" t="s">
        <v>3</v>
      </c>
      <c r="DE86" t="s">
        <v>3</v>
      </c>
      <c r="DF86">
        <f t="shared" si="30"/>
        <v>651.84</v>
      </c>
      <c r="DG86">
        <f t="shared" si="29"/>
        <v>0</v>
      </c>
      <c r="DH86">
        <f t="shared" si="23"/>
        <v>0</v>
      </c>
      <c r="DI86">
        <f t="shared" si="24"/>
        <v>0</v>
      </c>
      <c r="DJ86">
        <f t="shared" si="28"/>
        <v>651.84</v>
      </c>
      <c r="DK86">
        <v>0</v>
      </c>
      <c r="DL86" t="s">
        <v>3</v>
      </c>
      <c r="DM86">
        <v>0</v>
      </c>
      <c r="DN86" t="s">
        <v>3</v>
      </c>
      <c r="DO86">
        <v>0</v>
      </c>
    </row>
    <row r="87" spans="1:119" x14ac:dyDescent="0.2">
      <c r="A87">
        <f>ROW(Source!A77)</f>
        <v>77</v>
      </c>
      <c r="B87">
        <v>52718353</v>
      </c>
      <c r="C87">
        <v>52718727</v>
      </c>
      <c r="D87">
        <v>51176163</v>
      </c>
      <c r="E87">
        <v>118</v>
      </c>
      <c r="F87">
        <v>1</v>
      </c>
      <c r="G87">
        <v>1</v>
      </c>
      <c r="H87">
        <v>3</v>
      </c>
      <c r="I87" t="s">
        <v>25</v>
      </c>
      <c r="J87" t="s">
        <v>3</v>
      </c>
      <c r="K87" t="s">
        <v>26</v>
      </c>
      <c r="L87">
        <v>3277935</v>
      </c>
      <c r="N87">
        <v>1013</v>
      </c>
      <c r="O87" t="s">
        <v>27</v>
      </c>
      <c r="P87" t="s">
        <v>27</v>
      </c>
      <c r="Q87">
        <v>1</v>
      </c>
      <c r="W87">
        <v>0</v>
      </c>
      <c r="X87">
        <v>274903907</v>
      </c>
      <c r="Y87">
        <f t="shared" si="20"/>
        <v>2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1</v>
      </c>
      <c r="AJ87">
        <v>1</v>
      </c>
      <c r="AK87">
        <v>1</v>
      </c>
      <c r="AL87">
        <v>1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 t="s">
        <v>3</v>
      </c>
      <c r="AT87">
        <v>2</v>
      </c>
      <c r="AU87" t="s">
        <v>3</v>
      </c>
      <c r="AV87">
        <v>0</v>
      </c>
      <c r="AW87">
        <v>2</v>
      </c>
      <c r="AX87">
        <v>52718757</v>
      </c>
      <c r="AY87">
        <v>1</v>
      </c>
      <c r="AZ87">
        <v>0</v>
      </c>
      <c r="BA87">
        <v>87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CV87">
        <v>0</v>
      </c>
      <c r="CW87">
        <v>0</v>
      </c>
      <c r="CX87">
        <f>ROUND(Y87*Source!I77,7)</f>
        <v>10</v>
      </c>
      <c r="CY87">
        <f t="shared" si="25"/>
        <v>0</v>
      </c>
      <c r="CZ87">
        <f t="shared" si="26"/>
        <v>0</v>
      </c>
      <c r="DA87">
        <f t="shared" si="27"/>
        <v>1</v>
      </c>
      <c r="DB87">
        <f t="shared" si="21"/>
        <v>0</v>
      </c>
      <c r="DC87">
        <f t="shared" si="22"/>
        <v>0</v>
      </c>
      <c r="DD87" t="s">
        <v>3</v>
      </c>
      <c r="DE87" t="s">
        <v>3</v>
      </c>
      <c r="DF87">
        <f t="shared" ref="DF87:DF93" si="31">ROUND(ROUND(AE87,2)*CX87,2)</f>
        <v>0</v>
      </c>
      <c r="DG87">
        <f t="shared" si="29"/>
        <v>0</v>
      </c>
      <c r="DH87">
        <f t="shared" si="23"/>
        <v>0</v>
      </c>
      <c r="DI87">
        <f t="shared" si="24"/>
        <v>0</v>
      </c>
      <c r="DJ87">
        <f t="shared" si="28"/>
        <v>0</v>
      </c>
      <c r="DK87">
        <v>0</v>
      </c>
      <c r="DL87" t="s">
        <v>3</v>
      </c>
      <c r="DM87">
        <v>0</v>
      </c>
      <c r="DN87" t="s">
        <v>3</v>
      </c>
      <c r="DO87">
        <v>0</v>
      </c>
    </row>
    <row r="88" spans="1:119" x14ac:dyDescent="0.2">
      <c r="A88">
        <f>ROW(Source!A118)</f>
        <v>118</v>
      </c>
      <c r="B88">
        <v>52718353</v>
      </c>
      <c r="C88">
        <v>52718763</v>
      </c>
      <c r="D88">
        <v>51169926</v>
      </c>
      <c r="E88">
        <v>118</v>
      </c>
      <c r="F88">
        <v>1</v>
      </c>
      <c r="G88">
        <v>1</v>
      </c>
      <c r="H88">
        <v>1</v>
      </c>
      <c r="I88" t="s">
        <v>408</v>
      </c>
      <c r="J88" t="s">
        <v>3</v>
      </c>
      <c r="K88" t="s">
        <v>409</v>
      </c>
      <c r="L88">
        <v>1191</v>
      </c>
      <c r="N88">
        <v>1013</v>
      </c>
      <c r="O88" t="s">
        <v>382</v>
      </c>
      <c r="P88" t="s">
        <v>382</v>
      </c>
      <c r="Q88">
        <v>1</v>
      </c>
      <c r="W88">
        <v>0</v>
      </c>
      <c r="X88">
        <v>44848675</v>
      </c>
      <c r="Y88">
        <f t="shared" si="20"/>
        <v>132.53</v>
      </c>
      <c r="AA88">
        <v>0</v>
      </c>
      <c r="AB88">
        <v>0</v>
      </c>
      <c r="AC88">
        <v>0</v>
      </c>
      <c r="AD88">
        <v>714.71</v>
      </c>
      <c r="AE88">
        <v>0</v>
      </c>
      <c r="AF88">
        <v>0</v>
      </c>
      <c r="AG88">
        <v>0</v>
      </c>
      <c r="AH88">
        <v>714.71</v>
      </c>
      <c r="AI88">
        <v>1</v>
      </c>
      <c r="AJ88">
        <v>1</v>
      </c>
      <c r="AK88">
        <v>1</v>
      </c>
      <c r="AL88">
        <v>1</v>
      </c>
      <c r="AM88">
        <v>-2</v>
      </c>
      <c r="AN88">
        <v>0</v>
      </c>
      <c r="AO88">
        <v>0</v>
      </c>
      <c r="AP88">
        <v>0</v>
      </c>
      <c r="AQ88">
        <v>1</v>
      </c>
      <c r="AR88">
        <v>0</v>
      </c>
      <c r="AS88" t="s">
        <v>3</v>
      </c>
      <c r="AT88">
        <v>132.53</v>
      </c>
      <c r="AU88" t="s">
        <v>3</v>
      </c>
      <c r="AV88">
        <v>1</v>
      </c>
      <c r="AW88">
        <v>2</v>
      </c>
      <c r="AX88">
        <v>52718776</v>
      </c>
      <c r="AY88">
        <v>1</v>
      </c>
      <c r="AZ88">
        <v>0</v>
      </c>
      <c r="BA88">
        <v>88</v>
      </c>
      <c r="BB88">
        <v>1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94720.516300000003</v>
      </c>
      <c r="BN88">
        <v>132.53</v>
      </c>
      <c r="BO88">
        <v>0</v>
      </c>
      <c r="BP88">
        <v>1</v>
      </c>
      <c r="BQ88">
        <v>0</v>
      </c>
      <c r="BR88">
        <v>0</v>
      </c>
      <c r="BS88">
        <v>0</v>
      </c>
      <c r="BT88">
        <v>94720.516300000003</v>
      </c>
      <c r="BU88">
        <v>132.53</v>
      </c>
      <c r="BV88">
        <v>0</v>
      </c>
      <c r="BW88">
        <v>1</v>
      </c>
      <c r="CU88">
        <f>ROUND(AT88*Source!I118*AH88*AL88,2)</f>
        <v>2091.9</v>
      </c>
      <c r="CV88">
        <f>ROUND(Y88*Source!I118,7)</f>
        <v>2.9269251000000001</v>
      </c>
      <c r="CW88">
        <v>0</v>
      </c>
      <c r="CX88">
        <f>ROUND(Y88*Source!I118,7)</f>
        <v>2.9269251000000001</v>
      </c>
      <c r="CY88">
        <f>AD88</f>
        <v>714.71</v>
      </c>
      <c r="CZ88">
        <f>AH88</f>
        <v>714.71</v>
      </c>
      <c r="DA88">
        <f>AL88</f>
        <v>1</v>
      </c>
      <c r="DB88">
        <f t="shared" si="21"/>
        <v>94720.52</v>
      </c>
      <c r="DC88">
        <f t="shared" si="22"/>
        <v>0</v>
      </c>
      <c r="DD88" t="s">
        <v>3</v>
      </c>
      <c r="DE88" t="s">
        <v>3</v>
      </c>
      <c r="DF88">
        <f t="shared" si="31"/>
        <v>0</v>
      </c>
      <c r="DG88">
        <f t="shared" si="29"/>
        <v>0</v>
      </c>
      <c r="DH88">
        <f t="shared" si="23"/>
        <v>0</v>
      </c>
      <c r="DI88">
        <f t="shared" si="24"/>
        <v>2091.9</v>
      </c>
      <c r="DJ88">
        <f>DI88</f>
        <v>2091.9</v>
      </c>
      <c r="DK88">
        <v>1</v>
      </c>
      <c r="DL88" t="s">
        <v>3</v>
      </c>
      <c r="DM88">
        <v>0</v>
      </c>
      <c r="DN88" t="s">
        <v>3</v>
      </c>
      <c r="DO88">
        <v>0</v>
      </c>
    </row>
    <row r="89" spans="1:119" x14ac:dyDescent="0.2">
      <c r="A89">
        <f>ROW(Source!A118)</f>
        <v>118</v>
      </c>
      <c r="B89">
        <v>52718353</v>
      </c>
      <c r="C89">
        <v>52718763</v>
      </c>
      <c r="D89">
        <v>51170109</v>
      </c>
      <c r="E89">
        <v>118</v>
      </c>
      <c r="F89">
        <v>1</v>
      </c>
      <c r="G89">
        <v>1</v>
      </c>
      <c r="H89">
        <v>1</v>
      </c>
      <c r="I89" t="s">
        <v>380</v>
      </c>
      <c r="J89" t="s">
        <v>3</v>
      </c>
      <c r="K89" t="s">
        <v>381</v>
      </c>
      <c r="L89">
        <v>1191</v>
      </c>
      <c r="N89">
        <v>1013</v>
      </c>
      <c r="O89" t="s">
        <v>382</v>
      </c>
      <c r="P89" t="s">
        <v>382</v>
      </c>
      <c r="Q89">
        <v>1</v>
      </c>
      <c r="W89">
        <v>0</v>
      </c>
      <c r="X89">
        <v>-1417349443</v>
      </c>
      <c r="Y89">
        <f t="shared" si="20"/>
        <v>1.08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1</v>
      </c>
      <c r="AJ89">
        <v>1</v>
      </c>
      <c r="AK89">
        <v>1</v>
      </c>
      <c r="AL89">
        <v>1</v>
      </c>
      <c r="AM89">
        <v>-2</v>
      </c>
      <c r="AN89">
        <v>0</v>
      </c>
      <c r="AO89">
        <v>0</v>
      </c>
      <c r="AP89">
        <v>0</v>
      </c>
      <c r="AQ89">
        <v>1</v>
      </c>
      <c r="AR89">
        <v>0</v>
      </c>
      <c r="AS89" t="s">
        <v>3</v>
      </c>
      <c r="AT89">
        <v>1.08</v>
      </c>
      <c r="AU89" t="s">
        <v>3</v>
      </c>
      <c r="AV89">
        <v>2</v>
      </c>
      <c r="AW89">
        <v>2</v>
      </c>
      <c r="AX89">
        <v>52718777</v>
      </c>
      <c r="AY89">
        <v>1</v>
      </c>
      <c r="AZ89">
        <v>0</v>
      </c>
      <c r="BA89">
        <v>89</v>
      </c>
      <c r="BB89">
        <v>1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CV89">
        <v>0</v>
      </c>
      <c r="CW89">
        <v>0</v>
      </c>
      <c r="CX89">
        <f>ROUND(Y89*Source!I118,7)</f>
        <v>2.3851799999999999E-2</v>
      </c>
      <c r="CY89">
        <f>AD89</f>
        <v>0</v>
      </c>
      <c r="CZ89">
        <f>AH89</f>
        <v>0</v>
      </c>
      <c r="DA89">
        <f>AL89</f>
        <v>1</v>
      </c>
      <c r="DB89">
        <f t="shared" si="21"/>
        <v>0</v>
      </c>
      <c r="DC89">
        <f t="shared" si="22"/>
        <v>0</v>
      </c>
      <c r="DD89" t="s">
        <v>3</v>
      </c>
      <c r="DE89" t="s">
        <v>3</v>
      </c>
      <c r="DF89">
        <f t="shared" si="31"/>
        <v>0</v>
      </c>
      <c r="DG89">
        <f t="shared" si="29"/>
        <v>0</v>
      </c>
      <c r="DH89">
        <f t="shared" si="23"/>
        <v>0</v>
      </c>
      <c r="DI89">
        <f t="shared" si="24"/>
        <v>0</v>
      </c>
      <c r="DJ89">
        <f>DI89</f>
        <v>0</v>
      </c>
      <c r="DK89">
        <v>0</v>
      </c>
      <c r="DL89" t="s">
        <v>3</v>
      </c>
      <c r="DM89">
        <v>0</v>
      </c>
      <c r="DN89" t="s">
        <v>3</v>
      </c>
      <c r="DO89">
        <v>0</v>
      </c>
    </row>
    <row r="90" spans="1:119" x14ac:dyDescent="0.2">
      <c r="A90">
        <f>ROW(Source!A118)</f>
        <v>118</v>
      </c>
      <c r="B90">
        <v>52718353</v>
      </c>
      <c r="C90">
        <v>52718763</v>
      </c>
      <c r="D90">
        <v>51296566</v>
      </c>
      <c r="E90">
        <v>1</v>
      </c>
      <c r="F90">
        <v>1</v>
      </c>
      <c r="G90">
        <v>1</v>
      </c>
      <c r="H90">
        <v>2</v>
      </c>
      <c r="I90" t="s">
        <v>410</v>
      </c>
      <c r="J90" t="s">
        <v>411</v>
      </c>
      <c r="K90" t="s">
        <v>412</v>
      </c>
      <c r="L90">
        <v>1368</v>
      </c>
      <c r="N90">
        <v>1011</v>
      </c>
      <c r="O90" t="s">
        <v>386</v>
      </c>
      <c r="P90" t="s">
        <v>386</v>
      </c>
      <c r="Q90">
        <v>1</v>
      </c>
      <c r="W90">
        <v>0</v>
      </c>
      <c r="X90">
        <v>-1068589559</v>
      </c>
      <c r="Y90">
        <f t="shared" si="20"/>
        <v>0.22</v>
      </c>
      <c r="AA90">
        <v>0</v>
      </c>
      <c r="AB90">
        <v>1585.56</v>
      </c>
      <c r="AC90">
        <v>982.04</v>
      </c>
      <c r="AD90">
        <v>0</v>
      </c>
      <c r="AE90">
        <v>0</v>
      </c>
      <c r="AF90">
        <v>1585.56</v>
      </c>
      <c r="AG90">
        <v>982.04</v>
      </c>
      <c r="AH90">
        <v>0</v>
      </c>
      <c r="AI90">
        <v>1</v>
      </c>
      <c r="AJ90">
        <v>1</v>
      </c>
      <c r="AK90">
        <v>1</v>
      </c>
      <c r="AL90">
        <v>1</v>
      </c>
      <c r="AM90">
        <v>-2</v>
      </c>
      <c r="AN90">
        <v>0</v>
      </c>
      <c r="AO90">
        <v>0</v>
      </c>
      <c r="AP90">
        <v>0</v>
      </c>
      <c r="AQ90">
        <v>1</v>
      </c>
      <c r="AR90">
        <v>0</v>
      </c>
      <c r="AS90" t="s">
        <v>3</v>
      </c>
      <c r="AT90">
        <v>0.22</v>
      </c>
      <c r="AU90" t="s">
        <v>3</v>
      </c>
      <c r="AV90">
        <v>1</v>
      </c>
      <c r="AW90">
        <v>2</v>
      </c>
      <c r="AX90">
        <v>52718778</v>
      </c>
      <c r="AY90">
        <v>1</v>
      </c>
      <c r="AZ90">
        <v>0</v>
      </c>
      <c r="BA90">
        <v>90</v>
      </c>
      <c r="BB90">
        <v>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348.82319999999999</v>
      </c>
      <c r="BL90">
        <v>216.0488</v>
      </c>
      <c r="BM90">
        <v>0</v>
      </c>
      <c r="BN90">
        <v>0</v>
      </c>
      <c r="BO90">
        <v>0.22</v>
      </c>
      <c r="BP90">
        <v>1</v>
      </c>
      <c r="BQ90">
        <v>0</v>
      </c>
      <c r="BR90">
        <v>348.82319999999999</v>
      </c>
      <c r="BS90">
        <v>216.0488</v>
      </c>
      <c r="BT90">
        <v>0</v>
      </c>
      <c r="BU90">
        <v>0</v>
      </c>
      <c r="BV90">
        <v>0.22</v>
      </c>
      <c r="BW90">
        <v>1</v>
      </c>
      <c r="CV90">
        <v>0</v>
      </c>
      <c r="CW90">
        <f>ROUND(Y90*Source!I118*DO90,7)</f>
        <v>4.8586999999999997E-3</v>
      </c>
      <c r="CX90">
        <f>ROUND(Y90*Source!I118,7)</f>
        <v>4.8586999999999997E-3</v>
      </c>
      <c r="CY90">
        <f>AB90</f>
        <v>1585.56</v>
      </c>
      <c r="CZ90">
        <f>AF90</f>
        <v>1585.56</v>
      </c>
      <c r="DA90">
        <f>AJ90</f>
        <v>1</v>
      </c>
      <c r="DB90">
        <f t="shared" si="21"/>
        <v>348.82</v>
      </c>
      <c r="DC90">
        <f t="shared" si="22"/>
        <v>216.05</v>
      </c>
      <c r="DD90" t="s">
        <v>3</v>
      </c>
      <c r="DE90" t="s">
        <v>3</v>
      </c>
      <c r="DF90">
        <f t="shared" si="31"/>
        <v>0</v>
      </c>
      <c r="DG90">
        <f t="shared" si="29"/>
        <v>7.7</v>
      </c>
      <c r="DH90">
        <f t="shared" si="23"/>
        <v>4.7699999999999996</v>
      </c>
      <c r="DI90">
        <f t="shared" si="24"/>
        <v>0</v>
      </c>
      <c r="DJ90">
        <f>DG90+DH90</f>
        <v>12.469999999999999</v>
      </c>
      <c r="DK90">
        <v>1</v>
      </c>
      <c r="DL90" t="s">
        <v>413</v>
      </c>
      <c r="DM90">
        <v>6</v>
      </c>
      <c r="DN90" t="s">
        <v>382</v>
      </c>
      <c r="DO90">
        <v>1</v>
      </c>
    </row>
    <row r="91" spans="1:119" x14ac:dyDescent="0.2">
      <c r="A91">
        <f>ROW(Source!A118)</f>
        <v>118</v>
      </c>
      <c r="B91">
        <v>52718353</v>
      </c>
      <c r="C91">
        <v>52718763</v>
      </c>
      <c r="D91">
        <v>51296753</v>
      </c>
      <c r="E91">
        <v>1</v>
      </c>
      <c r="F91">
        <v>1</v>
      </c>
      <c r="G91">
        <v>1</v>
      </c>
      <c r="H91">
        <v>2</v>
      </c>
      <c r="I91" t="s">
        <v>397</v>
      </c>
      <c r="J91" t="s">
        <v>398</v>
      </c>
      <c r="K91" t="s">
        <v>399</v>
      </c>
      <c r="L91">
        <v>1368</v>
      </c>
      <c r="N91">
        <v>1011</v>
      </c>
      <c r="O91" t="s">
        <v>386</v>
      </c>
      <c r="P91" t="s">
        <v>386</v>
      </c>
      <c r="Q91">
        <v>1</v>
      </c>
      <c r="W91">
        <v>0</v>
      </c>
      <c r="X91">
        <v>-566469117</v>
      </c>
      <c r="Y91">
        <f t="shared" si="20"/>
        <v>0.56999999999999995</v>
      </c>
      <c r="AA91">
        <v>0</v>
      </c>
      <c r="AB91">
        <v>58.59</v>
      </c>
      <c r="AC91">
        <v>649.24</v>
      </c>
      <c r="AD91">
        <v>0</v>
      </c>
      <c r="AE91">
        <v>0</v>
      </c>
      <c r="AF91">
        <v>37.32</v>
      </c>
      <c r="AG91">
        <v>649.24</v>
      </c>
      <c r="AH91">
        <v>0</v>
      </c>
      <c r="AI91">
        <v>1</v>
      </c>
      <c r="AJ91">
        <v>1.57</v>
      </c>
      <c r="AK91">
        <v>1</v>
      </c>
      <c r="AL91">
        <v>1</v>
      </c>
      <c r="AM91">
        <v>2</v>
      </c>
      <c r="AN91">
        <v>0</v>
      </c>
      <c r="AO91">
        <v>0</v>
      </c>
      <c r="AP91">
        <v>0</v>
      </c>
      <c r="AQ91">
        <v>1</v>
      </c>
      <c r="AR91">
        <v>0</v>
      </c>
      <c r="AS91" t="s">
        <v>3</v>
      </c>
      <c r="AT91">
        <v>0.56999999999999995</v>
      </c>
      <c r="AU91" t="s">
        <v>3</v>
      </c>
      <c r="AV91">
        <v>1</v>
      </c>
      <c r="AW91">
        <v>2</v>
      </c>
      <c r="AX91">
        <v>52718779</v>
      </c>
      <c r="AY91">
        <v>1</v>
      </c>
      <c r="AZ91">
        <v>0</v>
      </c>
      <c r="BA91">
        <v>91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21.272399999999998</v>
      </c>
      <c r="BL91">
        <v>370.0668</v>
      </c>
      <c r="BM91">
        <v>0</v>
      </c>
      <c r="BN91">
        <v>0</v>
      </c>
      <c r="BO91">
        <v>0.56999999999999995</v>
      </c>
      <c r="BP91">
        <v>1</v>
      </c>
      <c r="BQ91">
        <v>0</v>
      </c>
      <c r="BR91">
        <v>21.272399999999998</v>
      </c>
      <c r="BS91">
        <v>370.0668</v>
      </c>
      <c r="BT91">
        <v>0</v>
      </c>
      <c r="BU91">
        <v>0</v>
      </c>
      <c r="BV91">
        <v>0.56999999999999995</v>
      </c>
      <c r="BW91">
        <v>1</v>
      </c>
      <c r="CV91">
        <v>0</v>
      </c>
      <c r="CW91">
        <f>ROUND(Y91*Source!I118*DO91,7)</f>
        <v>1.2588500000000001E-2</v>
      </c>
      <c r="CX91">
        <f>ROUND(Y91*Source!I118,7)</f>
        <v>1.2588500000000001E-2</v>
      </c>
      <c r="CY91">
        <f>AB91</f>
        <v>58.59</v>
      </c>
      <c r="CZ91">
        <f>AF91</f>
        <v>37.32</v>
      </c>
      <c r="DA91">
        <f>AJ91</f>
        <v>1.57</v>
      </c>
      <c r="DB91">
        <f t="shared" si="21"/>
        <v>21.27</v>
      </c>
      <c r="DC91">
        <f t="shared" si="22"/>
        <v>370.07</v>
      </c>
      <c r="DD91" t="s">
        <v>3</v>
      </c>
      <c r="DE91" t="s">
        <v>3</v>
      </c>
      <c r="DF91">
        <f t="shared" si="31"/>
        <v>0</v>
      </c>
      <c r="DG91">
        <f>ROUND(ROUND(AF91*AJ91,2)*CX91,2)</f>
        <v>0.74</v>
      </c>
      <c r="DH91">
        <f t="shared" si="23"/>
        <v>8.17</v>
      </c>
      <c r="DI91">
        <f t="shared" si="24"/>
        <v>0</v>
      </c>
      <c r="DJ91">
        <f>DG91+DH91</f>
        <v>8.91</v>
      </c>
      <c r="DK91">
        <v>0</v>
      </c>
      <c r="DL91" t="s">
        <v>400</v>
      </c>
      <c r="DM91">
        <v>3</v>
      </c>
      <c r="DN91" t="s">
        <v>382</v>
      </c>
      <c r="DO91">
        <v>1</v>
      </c>
    </row>
    <row r="92" spans="1:119" x14ac:dyDescent="0.2">
      <c r="A92">
        <f>ROW(Source!A118)</f>
        <v>118</v>
      </c>
      <c r="B92">
        <v>52718353</v>
      </c>
      <c r="C92">
        <v>52718763</v>
      </c>
      <c r="D92">
        <v>51297468</v>
      </c>
      <c r="E92">
        <v>1</v>
      </c>
      <c r="F92">
        <v>1</v>
      </c>
      <c r="G92">
        <v>1</v>
      </c>
      <c r="H92">
        <v>2</v>
      </c>
      <c r="I92" t="s">
        <v>383</v>
      </c>
      <c r="J92" t="s">
        <v>384</v>
      </c>
      <c r="K92" t="s">
        <v>385</v>
      </c>
      <c r="L92">
        <v>1368</v>
      </c>
      <c r="N92">
        <v>1011</v>
      </c>
      <c r="O92" t="s">
        <v>386</v>
      </c>
      <c r="P92" t="s">
        <v>386</v>
      </c>
      <c r="Q92">
        <v>1</v>
      </c>
      <c r="W92">
        <v>0</v>
      </c>
      <c r="X92">
        <v>-312038840</v>
      </c>
      <c r="Y92">
        <f t="shared" si="20"/>
        <v>0.28999999999999998</v>
      </c>
      <c r="AA92">
        <v>0</v>
      </c>
      <c r="AB92">
        <v>544.91999999999996</v>
      </c>
      <c r="AC92">
        <v>731.08</v>
      </c>
      <c r="AD92">
        <v>0</v>
      </c>
      <c r="AE92">
        <v>0</v>
      </c>
      <c r="AF92">
        <v>544.91999999999996</v>
      </c>
      <c r="AG92">
        <v>731.08</v>
      </c>
      <c r="AH92">
        <v>0</v>
      </c>
      <c r="AI92">
        <v>1</v>
      </c>
      <c r="AJ92">
        <v>1</v>
      </c>
      <c r="AK92">
        <v>1</v>
      </c>
      <c r="AL92">
        <v>1</v>
      </c>
      <c r="AM92">
        <v>-2</v>
      </c>
      <c r="AN92">
        <v>0</v>
      </c>
      <c r="AO92">
        <v>0</v>
      </c>
      <c r="AP92">
        <v>0</v>
      </c>
      <c r="AQ92">
        <v>1</v>
      </c>
      <c r="AR92">
        <v>0</v>
      </c>
      <c r="AS92" t="s">
        <v>3</v>
      </c>
      <c r="AT92">
        <v>0.28999999999999998</v>
      </c>
      <c r="AU92" t="s">
        <v>3</v>
      </c>
      <c r="AV92">
        <v>1</v>
      </c>
      <c r="AW92">
        <v>2</v>
      </c>
      <c r="AX92">
        <v>52718780</v>
      </c>
      <c r="AY92">
        <v>1</v>
      </c>
      <c r="AZ92">
        <v>0</v>
      </c>
      <c r="BA92">
        <v>92</v>
      </c>
      <c r="BB92">
        <v>1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158.02679999999998</v>
      </c>
      <c r="BL92">
        <v>212.01319999999998</v>
      </c>
      <c r="BM92">
        <v>0</v>
      </c>
      <c r="BN92">
        <v>0</v>
      </c>
      <c r="BO92">
        <v>0.28999999999999998</v>
      </c>
      <c r="BP92">
        <v>1</v>
      </c>
      <c r="BQ92">
        <v>0</v>
      </c>
      <c r="BR92">
        <v>158.02679999999998</v>
      </c>
      <c r="BS92">
        <v>212.01319999999998</v>
      </c>
      <c r="BT92">
        <v>0</v>
      </c>
      <c r="BU92">
        <v>0</v>
      </c>
      <c r="BV92">
        <v>0.28999999999999998</v>
      </c>
      <c r="BW92">
        <v>1</v>
      </c>
      <c r="CV92">
        <v>0</v>
      </c>
      <c r="CW92">
        <f>ROUND(Y92*Source!I118*DO92,7)</f>
        <v>6.4047000000000001E-3</v>
      </c>
      <c r="CX92">
        <f>ROUND(Y92*Source!I118,7)</f>
        <v>6.4047000000000001E-3</v>
      </c>
      <c r="CY92">
        <f>AB92</f>
        <v>544.91999999999996</v>
      </c>
      <c r="CZ92">
        <f>AF92</f>
        <v>544.91999999999996</v>
      </c>
      <c r="DA92">
        <f>AJ92</f>
        <v>1</v>
      </c>
      <c r="DB92">
        <f t="shared" si="21"/>
        <v>158.03</v>
      </c>
      <c r="DC92">
        <f t="shared" si="22"/>
        <v>212.01</v>
      </c>
      <c r="DD92" t="s">
        <v>3</v>
      </c>
      <c r="DE92" t="s">
        <v>3</v>
      </c>
      <c r="DF92">
        <f t="shared" si="31"/>
        <v>0</v>
      </c>
      <c r="DG92">
        <f t="shared" ref="DG92:DG99" si="32">ROUND(ROUND(AF92,2)*CX92,2)</f>
        <v>3.49</v>
      </c>
      <c r="DH92">
        <f t="shared" si="23"/>
        <v>4.68</v>
      </c>
      <c r="DI92">
        <f t="shared" si="24"/>
        <v>0</v>
      </c>
      <c r="DJ92">
        <f>DG92+DH92</f>
        <v>8.17</v>
      </c>
      <c r="DK92">
        <v>1</v>
      </c>
      <c r="DL92" t="s">
        <v>387</v>
      </c>
      <c r="DM92">
        <v>4</v>
      </c>
      <c r="DN92" t="s">
        <v>382</v>
      </c>
      <c r="DO92">
        <v>1</v>
      </c>
    </row>
    <row r="93" spans="1:119" x14ac:dyDescent="0.2">
      <c r="A93">
        <f>ROW(Source!A118)</f>
        <v>118</v>
      </c>
      <c r="B93">
        <v>52718353</v>
      </c>
      <c r="C93">
        <v>52718763</v>
      </c>
      <c r="D93">
        <v>51246685</v>
      </c>
      <c r="E93">
        <v>1</v>
      </c>
      <c r="F93">
        <v>1</v>
      </c>
      <c r="G93">
        <v>1</v>
      </c>
      <c r="H93">
        <v>3</v>
      </c>
      <c r="I93" t="s">
        <v>388</v>
      </c>
      <c r="J93" t="s">
        <v>389</v>
      </c>
      <c r="K93" t="s">
        <v>390</v>
      </c>
      <c r="L93">
        <v>1383</v>
      </c>
      <c r="N93">
        <v>1013</v>
      </c>
      <c r="O93" t="s">
        <v>391</v>
      </c>
      <c r="P93" t="s">
        <v>391</v>
      </c>
      <c r="Q93">
        <v>1</v>
      </c>
      <c r="W93">
        <v>0</v>
      </c>
      <c r="X93">
        <v>-182421198</v>
      </c>
      <c r="Y93">
        <f t="shared" si="20"/>
        <v>6.9</v>
      </c>
      <c r="AA93">
        <v>6.92</v>
      </c>
      <c r="AB93">
        <v>0</v>
      </c>
      <c r="AC93">
        <v>0</v>
      </c>
      <c r="AD93">
        <v>0</v>
      </c>
      <c r="AE93">
        <v>6.92</v>
      </c>
      <c r="AF93">
        <v>0</v>
      </c>
      <c r="AG93">
        <v>0</v>
      </c>
      <c r="AH93">
        <v>0</v>
      </c>
      <c r="AI93">
        <v>1</v>
      </c>
      <c r="AJ93">
        <v>1</v>
      </c>
      <c r="AK93">
        <v>1</v>
      </c>
      <c r="AL93">
        <v>1</v>
      </c>
      <c r="AM93">
        <v>-2</v>
      </c>
      <c r="AN93">
        <v>0</v>
      </c>
      <c r="AO93">
        <v>0</v>
      </c>
      <c r="AP93">
        <v>0</v>
      </c>
      <c r="AQ93">
        <v>1</v>
      </c>
      <c r="AR93">
        <v>0</v>
      </c>
      <c r="AS93" t="s">
        <v>3</v>
      </c>
      <c r="AT93">
        <v>6.9</v>
      </c>
      <c r="AU93" t="s">
        <v>3</v>
      </c>
      <c r="AV93">
        <v>0</v>
      </c>
      <c r="AW93">
        <v>2</v>
      </c>
      <c r="AX93">
        <v>52718781</v>
      </c>
      <c r="AY93">
        <v>1</v>
      </c>
      <c r="AZ93">
        <v>0</v>
      </c>
      <c r="BA93">
        <v>93</v>
      </c>
      <c r="BB93">
        <v>1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47.748000000000005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1</v>
      </c>
      <c r="BQ93">
        <v>47.748000000000005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1</v>
      </c>
      <c r="CV93">
        <v>0</v>
      </c>
      <c r="CW93">
        <v>0</v>
      </c>
      <c r="CX93">
        <f>ROUND(Y93*Source!I118,7)</f>
        <v>0.15238650000000001</v>
      </c>
      <c r="CY93">
        <f t="shared" ref="CY93:CY99" si="33">AA93</f>
        <v>6.92</v>
      </c>
      <c r="CZ93">
        <f t="shared" ref="CZ93:CZ99" si="34">AE93</f>
        <v>6.92</v>
      </c>
      <c r="DA93">
        <f t="shared" ref="DA93:DA99" si="35">AI93</f>
        <v>1</v>
      </c>
      <c r="DB93">
        <f t="shared" si="21"/>
        <v>47.75</v>
      </c>
      <c r="DC93">
        <f t="shared" si="22"/>
        <v>0</v>
      </c>
      <c r="DD93" t="s">
        <v>3</v>
      </c>
      <c r="DE93" t="s">
        <v>3</v>
      </c>
      <c r="DF93">
        <f t="shared" si="31"/>
        <v>1.05</v>
      </c>
      <c r="DG93">
        <f t="shared" si="32"/>
        <v>0</v>
      </c>
      <c r="DH93">
        <f t="shared" si="23"/>
        <v>0</v>
      </c>
      <c r="DI93">
        <f t="shared" si="24"/>
        <v>0</v>
      </c>
      <c r="DJ93">
        <f t="shared" ref="DJ93:DJ99" si="36">DF93</f>
        <v>1.05</v>
      </c>
      <c r="DK93">
        <v>1</v>
      </c>
      <c r="DL93" t="s">
        <v>3</v>
      </c>
      <c r="DM93">
        <v>0</v>
      </c>
      <c r="DN93" t="s">
        <v>3</v>
      </c>
      <c r="DO93">
        <v>0</v>
      </c>
    </row>
    <row r="94" spans="1:119" x14ac:dyDescent="0.2">
      <c r="A94">
        <f>ROW(Source!A118)</f>
        <v>118</v>
      </c>
      <c r="B94">
        <v>52718353</v>
      </c>
      <c r="C94">
        <v>52718763</v>
      </c>
      <c r="D94">
        <v>51246815</v>
      </c>
      <c r="E94">
        <v>1</v>
      </c>
      <c r="F94">
        <v>1</v>
      </c>
      <c r="G94">
        <v>1</v>
      </c>
      <c r="H94">
        <v>3</v>
      </c>
      <c r="I94" t="s">
        <v>491</v>
      </c>
      <c r="J94" t="s">
        <v>492</v>
      </c>
      <c r="K94" t="s">
        <v>493</v>
      </c>
      <c r="L94">
        <v>1301</v>
      </c>
      <c r="N94">
        <v>1003</v>
      </c>
      <c r="O94" t="s">
        <v>31</v>
      </c>
      <c r="P94" t="s">
        <v>31</v>
      </c>
      <c r="Q94">
        <v>1</v>
      </c>
      <c r="W94">
        <v>0</v>
      </c>
      <c r="X94">
        <v>1849085277</v>
      </c>
      <c r="Y94">
        <f t="shared" si="20"/>
        <v>218.4</v>
      </c>
      <c r="AA94">
        <v>37.56</v>
      </c>
      <c r="AB94">
        <v>0</v>
      </c>
      <c r="AC94">
        <v>0</v>
      </c>
      <c r="AD94">
        <v>0</v>
      </c>
      <c r="AE94">
        <v>24.39</v>
      </c>
      <c r="AF94">
        <v>0</v>
      </c>
      <c r="AG94">
        <v>0</v>
      </c>
      <c r="AH94">
        <v>0</v>
      </c>
      <c r="AI94">
        <v>1.54</v>
      </c>
      <c r="AJ94">
        <v>1</v>
      </c>
      <c r="AK94">
        <v>1</v>
      </c>
      <c r="AL94">
        <v>1</v>
      </c>
      <c r="AM94">
        <v>2</v>
      </c>
      <c r="AN94">
        <v>0</v>
      </c>
      <c r="AO94">
        <v>0</v>
      </c>
      <c r="AP94">
        <v>0</v>
      </c>
      <c r="AQ94">
        <v>1</v>
      </c>
      <c r="AR94">
        <v>0</v>
      </c>
      <c r="AS94" t="s">
        <v>3</v>
      </c>
      <c r="AT94">
        <v>218.4</v>
      </c>
      <c r="AU94" t="s">
        <v>3</v>
      </c>
      <c r="AV94">
        <v>0</v>
      </c>
      <c r="AW94">
        <v>2</v>
      </c>
      <c r="AX94">
        <v>52718782</v>
      </c>
      <c r="AY94">
        <v>1</v>
      </c>
      <c r="AZ94">
        <v>0</v>
      </c>
      <c r="BA94">
        <v>94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5326.7759999999998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1</v>
      </c>
      <c r="BQ94">
        <v>5326.7759999999998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1</v>
      </c>
      <c r="CV94">
        <v>0</v>
      </c>
      <c r="CW94">
        <v>0</v>
      </c>
      <c r="CX94">
        <f>ROUND(Y94*Source!I118,7)</f>
        <v>4.8233639999999998</v>
      </c>
      <c r="CY94">
        <f t="shared" si="33"/>
        <v>37.56</v>
      </c>
      <c r="CZ94">
        <f t="shared" si="34"/>
        <v>24.39</v>
      </c>
      <c r="DA94">
        <f t="shared" si="35"/>
        <v>1.54</v>
      </c>
      <c r="DB94">
        <f t="shared" si="21"/>
        <v>5326.78</v>
      </c>
      <c r="DC94">
        <f t="shared" si="22"/>
        <v>0</v>
      </c>
      <c r="DD94" t="s">
        <v>3</v>
      </c>
      <c r="DE94" t="s">
        <v>3</v>
      </c>
      <c r="DF94">
        <f>ROUND(ROUND(AE94*AI94,2)*CX94,2)</f>
        <v>181.17</v>
      </c>
      <c r="DG94">
        <f t="shared" si="32"/>
        <v>0</v>
      </c>
      <c r="DH94">
        <f t="shared" si="23"/>
        <v>0</v>
      </c>
      <c r="DI94">
        <f t="shared" si="24"/>
        <v>0</v>
      </c>
      <c r="DJ94">
        <f t="shared" si="36"/>
        <v>181.17</v>
      </c>
      <c r="DK94">
        <v>0</v>
      </c>
      <c r="DL94" t="s">
        <v>3</v>
      </c>
      <c r="DM94">
        <v>0</v>
      </c>
      <c r="DN94" t="s">
        <v>3</v>
      </c>
      <c r="DO94">
        <v>0</v>
      </c>
    </row>
    <row r="95" spans="1:119" x14ac:dyDescent="0.2">
      <c r="A95">
        <f>ROW(Source!A118)</f>
        <v>118</v>
      </c>
      <c r="B95">
        <v>52718353</v>
      </c>
      <c r="C95">
        <v>52718763</v>
      </c>
      <c r="D95">
        <v>51246886</v>
      </c>
      <c r="E95">
        <v>1</v>
      </c>
      <c r="F95">
        <v>1</v>
      </c>
      <c r="G95">
        <v>1</v>
      </c>
      <c r="H95">
        <v>3</v>
      </c>
      <c r="I95" t="s">
        <v>494</v>
      </c>
      <c r="J95" t="s">
        <v>495</v>
      </c>
      <c r="K95" t="s">
        <v>496</v>
      </c>
      <c r="L95">
        <v>1302</v>
      </c>
      <c r="N95">
        <v>1003</v>
      </c>
      <c r="O95" t="s">
        <v>420</v>
      </c>
      <c r="P95" t="s">
        <v>420</v>
      </c>
      <c r="Q95">
        <v>10</v>
      </c>
      <c r="W95">
        <v>0</v>
      </c>
      <c r="X95">
        <v>-1453475720</v>
      </c>
      <c r="Y95">
        <f t="shared" si="20"/>
        <v>21.84</v>
      </c>
      <c r="AA95">
        <v>244.58</v>
      </c>
      <c r="AB95">
        <v>0</v>
      </c>
      <c r="AC95">
        <v>0</v>
      </c>
      <c r="AD95">
        <v>0</v>
      </c>
      <c r="AE95">
        <v>158.82</v>
      </c>
      <c r="AF95">
        <v>0</v>
      </c>
      <c r="AG95">
        <v>0</v>
      </c>
      <c r="AH95">
        <v>0</v>
      </c>
      <c r="AI95">
        <v>1.54</v>
      </c>
      <c r="AJ95">
        <v>1</v>
      </c>
      <c r="AK95">
        <v>1</v>
      </c>
      <c r="AL95">
        <v>1</v>
      </c>
      <c r="AM95">
        <v>2</v>
      </c>
      <c r="AN95">
        <v>0</v>
      </c>
      <c r="AO95">
        <v>0</v>
      </c>
      <c r="AP95">
        <v>0</v>
      </c>
      <c r="AQ95">
        <v>1</v>
      </c>
      <c r="AR95">
        <v>0</v>
      </c>
      <c r="AS95" t="s">
        <v>3</v>
      </c>
      <c r="AT95">
        <v>21.84</v>
      </c>
      <c r="AU95" t="s">
        <v>3</v>
      </c>
      <c r="AV95">
        <v>0</v>
      </c>
      <c r="AW95">
        <v>2</v>
      </c>
      <c r="AX95">
        <v>52718783</v>
      </c>
      <c r="AY95">
        <v>1</v>
      </c>
      <c r="AZ95">
        <v>0</v>
      </c>
      <c r="BA95">
        <v>95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3468.6288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1</v>
      </c>
      <c r="BQ95">
        <v>3468.6288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1</v>
      </c>
      <c r="CV95">
        <v>0</v>
      </c>
      <c r="CW95">
        <v>0</v>
      </c>
      <c r="CX95">
        <f>ROUND(Y95*Source!I118,7)</f>
        <v>0.4823364</v>
      </c>
      <c r="CY95">
        <f t="shared" si="33"/>
        <v>244.58</v>
      </c>
      <c r="CZ95">
        <f t="shared" si="34"/>
        <v>158.82</v>
      </c>
      <c r="DA95">
        <f t="shared" si="35"/>
        <v>1.54</v>
      </c>
      <c r="DB95">
        <f t="shared" si="21"/>
        <v>3468.63</v>
      </c>
      <c r="DC95">
        <f t="shared" si="22"/>
        <v>0</v>
      </c>
      <c r="DD95" t="s">
        <v>3</v>
      </c>
      <c r="DE95" t="s">
        <v>3</v>
      </c>
      <c r="DF95">
        <f>ROUND(ROUND(AE95*AI95,2)*CX95,2)</f>
        <v>117.97</v>
      </c>
      <c r="DG95">
        <f t="shared" si="32"/>
        <v>0</v>
      </c>
      <c r="DH95">
        <f t="shared" si="23"/>
        <v>0</v>
      </c>
      <c r="DI95">
        <f t="shared" si="24"/>
        <v>0</v>
      </c>
      <c r="DJ95">
        <f t="shared" si="36"/>
        <v>117.97</v>
      </c>
      <c r="DK95">
        <v>0</v>
      </c>
      <c r="DL95" t="s">
        <v>3</v>
      </c>
      <c r="DM95">
        <v>0</v>
      </c>
      <c r="DN95" t="s">
        <v>3</v>
      </c>
      <c r="DO95">
        <v>0</v>
      </c>
    </row>
    <row r="96" spans="1:119" x14ac:dyDescent="0.2">
      <c r="A96">
        <f>ROW(Source!A118)</f>
        <v>118</v>
      </c>
      <c r="B96">
        <v>52718353</v>
      </c>
      <c r="C96">
        <v>52718763</v>
      </c>
      <c r="D96">
        <v>51247842</v>
      </c>
      <c r="E96">
        <v>1</v>
      </c>
      <c r="F96">
        <v>1</v>
      </c>
      <c r="G96">
        <v>1</v>
      </c>
      <c r="H96">
        <v>3</v>
      </c>
      <c r="I96" t="s">
        <v>497</v>
      </c>
      <c r="J96" t="s">
        <v>498</v>
      </c>
      <c r="K96" t="s">
        <v>499</v>
      </c>
      <c r="L96">
        <v>1371</v>
      </c>
      <c r="N96">
        <v>1013</v>
      </c>
      <c r="O96" t="s">
        <v>108</v>
      </c>
      <c r="P96" t="s">
        <v>108</v>
      </c>
      <c r="Q96">
        <v>1</v>
      </c>
      <c r="W96">
        <v>0</v>
      </c>
      <c r="X96">
        <v>47460687</v>
      </c>
      <c r="Y96">
        <f t="shared" si="20"/>
        <v>37.68</v>
      </c>
      <c r="AA96">
        <v>257.70999999999998</v>
      </c>
      <c r="AB96">
        <v>0</v>
      </c>
      <c r="AC96">
        <v>0</v>
      </c>
      <c r="AD96">
        <v>0</v>
      </c>
      <c r="AE96">
        <v>257.70999999999998</v>
      </c>
      <c r="AF96">
        <v>0</v>
      </c>
      <c r="AG96">
        <v>0</v>
      </c>
      <c r="AH96">
        <v>0</v>
      </c>
      <c r="AI96">
        <v>1</v>
      </c>
      <c r="AJ96">
        <v>1</v>
      </c>
      <c r="AK96">
        <v>1</v>
      </c>
      <c r="AL96">
        <v>1</v>
      </c>
      <c r="AM96">
        <v>-2</v>
      </c>
      <c r="AN96">
        <v>0</v>
      </c>
      <c r="AO96">
        <v>0</v>
      </c>
      <c r="AP96">
        <v>0</v>
      </c>
      <c r="AQ96">
        <v>1</v>
      </c>
      <c r="AR96">
        <v>0</v>
      </c>
      <c r="AS96" t="s">
        <v>3</v>
      </c>
      <c r="AT96">
        <v>37.68</v>
      </c>
      <c r="AU96" t="s">
        <v>3</v>
      </c>
      <c r="AV96">
        <v>0</v>
      </c>
      <c r="AW96">
        <v>2</v>
      </c>
      <c r="AX96">
        <v>52718784</v>
      </c>
      <c r="AY96">
        <v>1</v>
      </c>
      <c r="AZ96">
        <v>0</v>
      </c>
      <c r="BA96">
        <v>96</v>
      </c>
      <c r="BB96">
        <v>1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9710.5127999999986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1</v>
      </c>
      <c r="BQ96">
        <v>9710.5127999999986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1</v>
      </c>
      <c r="CV96">
        <v>0</v>
      </c>
      <c r="CW96">
        <v>0</v>
      </c>
      <c r="CX96">
        <f>ROUND(Y96*Source!I118,7)</f>
        <v>0.83216279999999998</v>
      </c>
      <c r="CY96">
        <f t="shared" si="33"/>
        <v>257.70999999999998</v>
      </c>
      <c r="CZ96">
        <f t="shared" si="34"/>
        <v>257.70999999999998</v>
      </c>
      <c r="DA96">
        <f t="shared" si="35"/>
        <v>1</v>
      </c>
      <c r="DB96">
        <f t="shared" si="21"/>
        <v>9710.51</v>
      </c>
      <c r="DC96">
        <f t="shared" si="22"/>
        <v>0</v>
      </c>
      <c r="DD96" t="s">
        <v>3</v>
      </c>
      <c r="DE96" t="s">
        <v>3</v>
      </c>
      <c r="DF96">
        <f>ROUND(ROUND(AE96,2)*CX96,2)</f>
        <v>214.46</v>
      </c>
      <c r="DG96">
        <f t="shared" si="32"/>
        <v>0</v>
      </c>
      <c r="DH96">
        <f t="shared" si="23"/>
        <v>0</v>
      </c>
      <c r="DI96">
        <f t="shared" si="24"/>
        <v>0</v>
      </c>
      <c r="DJ96">
        <f t="shared" si="36"/>
        <v>214.46</v>
      </c>
      <c r="DK96">
        <v>1</v>
      </c>
      <c r="DL96" t="s">
        <v>3</v>
      </c>
      <c r="DM96">
        <v>0</v>
      </c>
      <c r="DN96" t="s">
        <v>3</v>
      </c>
      <c r="DO96">
        <v>0</v>
      </c>
    </row>
    <row r="97" spans="1:119" x14ac:dyDescent="0.2">
      <c r="A97">
        <f>ROW(Source!A118)</f>
        <v>118</v>
      </c>
      <c r="B97">
        <v>52718353</v>
      </c>
      <c r="C97">
        <v>52718763</v>
      </c>
      <c r="D97">
        <v>51248256</v>
      </c>
      <c r="E97">
        <v>1</v>
      </c>
      <c r="F97">
        <v>1</v>
      </c>
      <c r="G97">
        <v>1</v>
      </c>
      <c r="H97">
        <v>3</v>
      </c>
      <c r="I97" t="s">
        <v>500</v>
      </c>
      <c r="J97" t="s">
        <v>501</v>
      </c>
      <c r="K97" t="s">
        <v>502</v>
      </c>
      <c r="L97">
        <v>1425</v>
      </c>
      <c r="N97">
        <v>1013</v>
      </c>
      <c r="O97" t="s">
        <v>56</v>
      </c>
      <c r="P97" t="s">
        <v>56</v>
      </c>
      <c r="Q97">
        <v>1</v>
      </c>
      <c r="W97">
        <v>0</v>
      </c>
      <c r="X97">
        <v>-62184831</v>
      </c>
      <c r="Y97">
        <f t="shared" si="20"/>
        <v>4.1176500000000003</v>
      </c>
      <c r="AA97">
        <v>234.02</v>
      </c>
      <c r="AB97">
        <v>0</v>
      </c>
      <c r="AC97">
        <v>0</v>
      </c>
      <c r="AD97">
        <v>0</v>
      </c>
      <c r="AE97">
        <v>178.64</v>
      </c>
      <c r="AF97">
        <v>0</v>
      </c>
      <c r="AG97">
        <v>0</v>
      </c>
      <c r="AH97">
        <v>0</v>
      </c>
      <c r="AI97">
        <v>1.31</v>
      </c>
      <c r="AJ97">
        <v>1</v>
      </c>
      <c r="AK97">
        <v>1</v>
      </c>
      <c r="AL97">
        <v>1</v>
      </c>
      <c r="AM97">
        <v>2</v>
      </c>
      <c r="AN97">
        <v>0</v>
      </c>
      <c r="AO97">
        <v>0</v>
      </c>
      <c r="AP97">
        <v>0</v>
      </c>
      <c r="AQ97">
        <v>1</v>
      </c>
      <c r="AR97">
        <v>0</v>
      </c>
      <c r="AS97" t="s">
        <v>3</v>
      </c>
      <c r="AT97">
        <v>4.1176500000000003</v>
      </c>
      <c r="AU97" t="s">
        <v>3</v>
      </c>
      <c r="AV97">
        <v>0</v>
      </c>
      <c r="AW97">
        <v>2</v>
      </c>
      <c r="AX97">
        <v>52718785</v>
      </c>
      <c r="AY97">
        <v>1</v>
      </c>
      <c r="AZ97">
        <v>0</v>
      </c>
      <c r="BA97">
        <v>97</v>
      </c>
      <c r="BB97">
        <v>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735.57699600000001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1</v>
      </c>
      <c r="BQ97">
        <v>735.57699600000001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1</v>
      </c>
      <c r="CV97">
        <v>0</v>
      </c>
      <c r="CW97">
        <v>0</v>
      </c>
      <c r="CX97">
        <f>ROUND(Y97*Source!I118,7)</f>
        <v>9.09383E-2</v>
      </c>
      <c r="CY97">
        <f t="shared" si="33"/>
        <v>234.02</v>
      </c>
      <c r="CZ97">
        <f t="shared" si="34"/>
        <v>178.64</v>
      </c>
      <c r="DA97">
        <f t="shared" si="35"/>
        <v>1.31</v>
      </c>
      <c r="DB97">
        <f t="shared" si="21"/>
        <v>735.58</v>
      </c>
      <c r="DC97">
        <f t="shared" si="22"/>
        <v>0</v>
      </c>
      <c r="DD97" t="s">
        <v>3</v>
      </c>
      <c r="DE97" t="s">
        <v>3</v>
      </c>
      <c r="DF97">
        <f>ROUND(ROUND(AE97*AI97,2)*CX97,2)</f>
        <v>21.28</v>
      </c>
      <c r="DG97">
        <f t="shared" si="32"/>
        <v>0</v>
      </c>
      <c r="DH97">
        <f t="shared" si="23"/>
        <v>0</v>
      </c>
      <c r="DI97">
        <f t="shared" si="24"/>
        <v>0</v>
      </c>
      <c r="DJ97">
        <f t="shared" si="36"/>
        <v>21.28</v>
      </c>
      <c r="DK97">
        <v>0</v>
      </c>
      <c r="DL97" t="s">
        <v>3</v>
      </c>
      <c r="DM97">
        <v>0</v>
      </c>
      <c r="DN97" t="s">
        <v>3</v>
      </c>
      <c r="DO97">
        <v>0</v>
      </c>
    </row>
    <row r="98" spans="1:119" x14ac:dyDescent="0.2">
      <c r="A98">
        <f>ROW(Source!A118)</f>
        <v>118</v>
      </c>
      <c r="B98">
        <v>52718353</v>
      </c>
      <c r="C98">
        <v>52718763</v>
      </c>
      <c r="D98">
        <v>51170991</v>
      </c>
      <c r="E98">
        <v>118</v>
      </c>
      <c r="F98">
        <v>1</v>
      </c>
      <c r="G98">
        <v>1</v>
      </c>
      <c r="H98">
        <v>3</v>
      </c>
      <c r="I98" t="s">
        <v>282</v>
      </c>
      <c r="J98" t="s">
        <v>3</v>
      </c>
      <c r="K98" t="s">
        <v>283</v>
      </c>
      <c r="L98">
        <v>1371</v>
      </c>
      <c r="N98">
        <v>1013</v>
      </c>
      <c r="O98" t="s">
        <v>108</v>
      </c>
      <c r="P98" t="s">
        <v>108</v>
      </c>
      <c r="Q98">
        <v>1</v>
      </c>
      <c r="W98">
        <v>0</v>
      </c>
      <c r="X98">
        <v>-182895695</v>
      </c>
      <c r="Y98">
        <f t="shared" si="20"/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1</v>
      </c>
      <c r="AJ98">
        <v>1</v>
      </c>
      <c r="AK98">
        <v>1</v>
      </c>
      <c r="AL98">
        <v>1</v>
      </c>
      <c r="AM98">
        <v>0</v>
      </c>
      <c r="AN98">
        <v>1</v>
      </c>
      <c r="AO98">
        <v>0</v>
      </c>
      <c r="AP98">
        <v>1</v>
      </c>
      <c r="AQ98">
        <v>0</v>
      </c>
      <c r="AR98">
        <v>0</v>
      </c>
      <c r="AS98" t="s">
        <v>3</v>
      </c>
      <c r="AT98">
        <v>0</v>
      </c>
      <c r="AU98" t="s">
        <v>3</v>
      </c>
      <c r="AV98">
        <v>0</v>
      </c>
      <c r="AW98">
        <v>2</v>
      </c>
      <c r="AX98">
        <v>52718786</v>
      </c>
      <c r="AY98">
        <v>1</v>
      </c>
      <c r="AZ98">
        <v>0</v>
      </c>
      <c r="BA98">
        <v>98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CV98">
        <v>0</v>
      </c>
      <c r="CW98">
        <v>0</v>
      </c>
      <c r="CX98">
        <f>ROUND(Y98*Source!I118,7)</f>
        <v>0</v>
      </c>
      <c r="CY98">
        <f t="shared" si="33"/>
        <v>0</v>
      </c>
      <c r="CZ98">
        <f t="shared" si="34"/>
        <v>0</v>
      </c>
      <c r="DA98">
        <f t="shared" si="35"/>
        <v>1</v>
      </c>
      <c r="DB98">
        <f t="shared" si="21"/>
        <v>0</v>
      </c>
      <c r="DC98">
        <f t="shared" si="22"/>
        <v>0</v>
      </c>
      <c r="DD98" t="s">
        <v>3</v>
      </c>
      <c r="DE98" t="s">
        <v>3</v>
      </c>
      <c r="DF98">
        <f>ROUND(ROUND(AE98,2)*CX98,2)</f>
        <v>0</v>
      </c>
      <c r="DG98">
        <f t="shared" si="32"/>
        <v>0</v>
      </c>
      <c r="DH98">
        <f t="shared" si="23"/>
        <v>0</v>
      </c>
      <c r="DI98">
        <f t="shared" si="24"/>
        <v>0</v>
      </c>
      <c r="DJ98">
        <f t="shared" si="36"/>
        <v>0</v>
      </c>
      <c r="DK98">
        <v>0</v>
      </c>
      <c r="DL98" t="s">
        <v>3</v>
      </c>
      <c r="DM98">
        <v>0</v>
      </c>
      <c r="DN98" t="s">
        <v>3</v>
      </c>
      <c r="DO98">
        <v>0</v>
      </c>
    </row>
    <row r="99" spans="1:119" x14ac:dyDescent="0.2">
      <c r="A99">
        <f>ROW(Source!A118)</f>
        <v>118</v>
      </c>
      <c r="B99">
        <v>52718353</v>
      </c>
      <c r="C99">
        <v>52718763</v>
      </c>
      <c r="D99">
        <v>51173039</v>
      </c>
      <c r="E99">
        <v>118</v>
      </c>
      <c r="F99">
        <v>1</v>
      </c>
      <c r="G99">
        <v>1</v>
      </c>
      <c r="H99">
        <v>3</v>
      </c>
      <c r="I99" t="s">
        <v>285</v>
      </c>
      <c r="J99" t="s">
        <v>3</v>
      </c>
      <c r="K99" t="s">
        <v>286</v>
      </c>
      <c r="L99">
        <v>1327</v>
      </c>
      <c r="N99">
        <v>1005</v>
      </c>
      <c r="O99" t="s">
        <v>287</v>
      </c>
      <c r="P99" t="s">
        <v>287</v>
      </c>
      <c r="Q99">
        <v>1</v>
      </c>
      <c r="W99">
        <v>0</v>
      </c>
      <c r="X99">
        <v>1196245549</v>
      </c>
      <c r="Y99">
        <f t="shared" si="20"/>
        <v>100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1</v>
      </c>
      <c r="AJ99">
        <v>1</v>
      </c>
      <c r="AK99">
        <v>1</v>
      </c>
      <c r="AL99">
        <v>1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 t="s">
        <v>3</v>
      </c>
      <c r="AT99">
        <v>100</v>
      </c>
      <c r="AU99" t="s">
        <v>3</v>
      </c>
      <c r="AV99">
        <v>0</v>
      </c>
      <c r="AW99">
        <v>2</v>
      </c>
      <c r="AX99">
        <v>52718787</v>
      </c>
      <c r="AY99">
        <v>1</v>
      </c>
      <c r="AZ99">
        <v>0</v>
      </c>
      <c r="BA99">
        <v>99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CV99">
        <v>0</v>
      </c>
      <c r="CW99">
        <v>0</v>
      </c>
      <c r="CX99">
        <f>ROUND(Y99*Source!I118,7)</f>
        <v>2.2084999999999999</v>
      </c>
      <c r="CY99">
        <f t="shared" si="33"/>
        <v>0</v>
      </c>
      <c r="CZ99">
        <f t="shared" si="34"/>
        <v>0</v>
      </c>
      <c r="DA99">
        <f t="shared" si="35"/>
        <v>1</v>
      </c>
      <c r="DB99">
        <f t="shared" si="21"/>
        <v>0</v>
      </c>
      <c r="DC99">
        <f t="shared" si="22"/>
        <v>0</v>
      </c>
      <c r="DD99" t="s">
        <v>3</v>
      </c>
      <c r="DE99" t="s">
        <v>3</v>
      </c>
      <c r="DF99">
        <f>ROUND(ROUND(AE99,2)*CX99,2)</f>
        <v>0</v>
      </c>
      <c r="DG99">
        <f t="shared" si="32"/>
        <v>0</v>
      </c>
      <c r="DH99">
        <f t="shared" si="23"/>
        <v>0</v>
      </c>
      <c r="DI99">
        <f t="shared" si="24"/>
        <v>0</v>
      </c>
      <c r="DJ99">
        <f t="shared" si="36"/>
        <v>0</v>
      </c>
      <c r="DK99">
        <v>0</v>
      </c>
      <c r="DL99" t="s">
        <v>3</v>
      </c>
      <c r="DM99">
        <v>0</v>
      </c>
      <c r="DN99" t="s">
        <v>3</v>
      </c>
      <c r="DO99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99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ROW(Source!A28)</f>
        <v>28</v>
      </c>
      <c r="B1">
        <v>52718543</v>
      </c>
      <c r="C1">
        <v>52718534</v>
      </c>
      <c r="D1">
        <v>51170064</v>
      </c>
      <c r="E1">
        <v>118</v>
      </c>
      <c r="F1">
        <v>1</v>
      </c>
      <c r="G1">
        <v>1</v>
      </c>
      <c r="H1">
        <v>1</v>
      </c>
      <c r="I1" t="s">
        <v>373</v>
      </c>
      <c r="J1" t="s">
        <v>3</v>
      </c>
      <c r="K1" t="s">
        <v>374</v>
      </c>
      <c r="L1">
        <v>1369</v>
      </c>
      <c r="N1">
        <v>1013</v>
      </c>
      <c r="O1" t="s">
        <v>375</v>
      </c>
      <c r="P1" t="s">
        <v>375</v>
      </c>
      <c r="Q1">
        <v>1</v>
      </c>
      <c r="X1">
        <v>0.02</v>
      </c>
      <c r="Y1">
        <v>0</v>
      </c>
      <c r="Z1">
        <v>0</v>
      </c>
      <c r="AA1">
        <v>0</v>
      </c>
      <c r="AB1">
        <v>594.67999999999995</v>
      </c>
      <c r="AC1">
        <v>0</v>
      </c>
      <c r="AD1">
        <v>1</v>
      </c>
      <c r="AE1">
        <v>1</v>
      </c>
      <c r="AF1" t="s">
        <v>3</v>
      </c>
      <c r="AG1">
        <v>0.02</v>
      </c>
      <c r="AH1">
        <v>2</v>
      </c>
      <c r="AI1">
        <v>52718535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ROW(Source!A28)</f>
        <v>28</v>
      </c>
      <c r="B2">
        <v>52718544</v>
      </c>
      <c r="C2">
        <v>52718534</v>
      </c>
      <c r="D2">
        <v>51170066</v>
      </c>
      <c r="E2">
        <v>118</v>
      </c>
      <c r="F2">
        <v>1</v>
      </c>
      <c r="G2">
        <v>1</v>
      </c>
      <c r="H2">
        <v>1</v>
      </c>
      <c r="I2" t="s">
        <v>376</v>
      </c>
      <c r="J2" t="s">
        <v>3</v>
      </c>
      <c r="K2" t="s">
        <v>377</v>
      </c>
      <c r="L2">
        <v>1369</v>
      </c>
      <c r="N2">
        <v>1013</v>
      </c>
      <c r="O2" t="s">
        <v>375</v>
      </c>
      <c r="P2" t="s">
        <v>375</v>
      </c>
      <c r="Q2">
        <v>1</v>
      </c>
      <c r="X2">
        <v>10.75</v>
      </c>
      <c r="Y2">
        <v>0</v>
      </c>
      <c r="Z2">
        <v>0</v>
      </c>
      <c r="AA2">
        <v>0</v>
      </c>
      <c r="AB2">
        <v>649.24</v>
      </c>
      <c r="AC2">
        <v>0</v>
      </c>
      <c r="AD2">
        <v>1</v>
      </c>
      <c r="AE2">
        <v>1</v>
      </c>
      <c r="AF2" t="s">
        <v>3</v>
      </c>
      <c r="AG2">
        <v>10.75</v>
      </c>
      <c r="AH2">
        <v>2</v>
      </c>
      <c r="AI2">
        <v>52718536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ROW(Source!A28)</f>
        <v>28</v>
      </c>
      <c r="B3">
        <v>52718545</v>
      </c>
      <c r="C3">
        <v>52718534</v>
      </c>
      <c r="D3">
        <v>51170068</v>
      </c>
      <c r="E3">
        <v>118</v>
      </c>
      <c r="F3">
        <v>1</v>
      </c>
      <c r="G3">
        <v>1</v>
      </c>
      <c r="H3">
        <v>1</v>
      </c>
      <c r="I3" t="s">
        <v>378</v>
      </c>
      <c r="J3" t="s">
        <v>3</v>
      </c>
      <c r="K3" t="s">
        <v>379</v>
      </c>
      <c r="L3">
        <v>1369</v>
      </c>
      <c r="N3">
        <v>1013</v>
      </c>
      <c r="O3" t="s">
        <v>375</v>
      </c>
      <c r="P3" t="s">
        <v>375</v>
      </c>
      <c r="Q3">
        <v>1</v>
      </c>
      <c r="X3">
        <v>4.83</v>
      </c>
      <c r="Y3">
        <v>0</v>
      </c>
      <c r="Z3">
        <v>0</v>
      </c>
      <c r="AA3">
        <v>0</v>
      </c>
      <c r="AB3">
        <v>731.08</v>
      </c>
      <c r="AC3">
        <v>0</v>
      </c>
      <c r="AD3">
        <v>1</v>
      </c>
      <c r="AE3">
        <v>1</v>
      </c>
      <c r="AF3" t="s">
        <v>3</v>
      </c>
      <c r="AG3">
        <v>4.83</v>
      </c>
      <c r="AH3">
        <v>2</v>
      </c>
      <c r="AI3">
        <v>52718537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ROW(Source!A28)</f>
        <v>28</v>
      </c>
      <c r="B4">
        <v>52718546</v>
      </c>
      <c r="C4">
        <v>52718534</v>
      </c>
      <c r="D4">
        <v>51170109</v>
      </c>
      <c r="E4">
        <v>118</v>
      </c>
      <c r="F4">
        <v>1</v>
      </c>
      <c r="G4">
        <v>1</v>
      </c>
      <c r="H4">
        <v>1</v>
      </c>
      <c r="I4" t="s">
        <v>380</v>
      </c>
      <c r="J4" t="s">
        <v>3</v>
      </c>
      <c r="K4" t="s">
        <v>381</v>
      </c>
      <c r="L4">
        <v>1191</v>
      </c>
      <c r="N4">
        <v>1013</v>
      </c>
      <c r="O4" t="s">
        <v>382</v>
      </c>
      <c r="P4" t="s">
        <v>382</v>
      </c>
      <c r="Q4">
        <v>1</v>
      </c>
      <c r="X4">
        <v>0.01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2</v>
      </c>
      <c r="AF4" t="s">
        <v>3</v>
      </c>
      <c r="AG4">
        <v>0.01</v>
      </c>
      <c r="AH4">
        <v>2</v>
      </c>
      <c r="AI4">
        <v>52718538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ROW(Source!A28)</f>
        <v>28</v>
      </c>
      <c r="B5">
        <v>52718547</v>
      </c>
      <c r="C5">
        <v>52718534</v>
      </c>
      <c r="D5">
        <v>51297468</v>
      </c>
      <c r="E5">
        <v>1</v>
      </c>
      <c r="F5">
        <v>1</v>
      </c>
      <c r="G5">
        <v>1</v>
      </c>
      <c r="H5">
        <v>2</v>
      </c>
      <c r="I5" t="s">
        <v>383</v>
      </c>
      <c r="J5" t="s">
        <v>384</v>
      </c>
      <c r="K5" t="s">
        <v>385</v>
      </c>
      <c r="L5">
        <v>1368</v>
      </c>
      <c r="N5">
        <v>1011</v>
      </c>
      <c r="O5" t="s">
        <v>386</v>
      </c>
      <c r="P5" t="s">
        <v>386</v>
      </c>
      <c r="Q5">
        <v>1</v>
      </c>
      <c r="X5">
        <v>0.01</v>
      </c>
      <c r="Y5">
        <v>0</v>
      </c>
      <c r="Z5">
        <v>544.91999999999996</v>
      </c>
      <c r="AA5">
        <v>731.08</v>
      </c>
      <c r="AB5">
        <v>0</v>
      </c>
      <c r="AC5">
        <v>0</v>
      </c>
      <c r="AD5">
        <v>1</v>
      </c>
      <c r="AE5">
        <v>0</v>
      </c>
      <c r="AF5" t="s">
        <v>3</v>
      </c>
      <c r="AG5">
        <v>0.01</v>
      </c>
      <c r="AH5">
        <v>2</v>
      </c>
      <c r="AI5">
        <v>52718539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ROW(Source!A28)</f>
        <v>28</v>
      </c>
      <c r="B6">
        <v>52718548</v>
      </c>
      <c r="C6">
        <v>52718534</v>
      </c>
      <c r="D6">
        <v>51246685</v>
      </c>
      <c r="E6">
        <v>1</v>
      </c>
      <c r="F6">
        <v>1</v>
      </c>
      <c r="G6">
        <v>1</v>
      </c>
      <c r="H6">
        <v>3</v>
      </c>
      <c r="I6" t="s">
        <v>388</v>
      </c>
      <c r="J6" t="s">
        <v>389</v>
      </c>
      <c r="K6" t="s">
        <v>390</v>
      </c>
      <c r="L6">
        <v>1383</v>
      </c>
      <c r="N6">
        <v>1013</v>
      </c>
      <c r="O6" t="s">
        <v>391</v>
      </c>
      <c r="P6" t="s">
        <v>391</v>
      </c>
      <c r="Q6">
        <v>1</v>
      </c>
      <c r="X6">
        <v>4.42</v>
      </c>
      <c r="Y6">
        <v>6.92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 t="s">
        <v>3</v>
      </c>
      <c r="AG6">
        <v>4.42</v>
      </c>
      <c r="AH6">
        <v>2</v>
      </c>
      <c r="AI6">
        <v>52718540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ROW(Source!A28)</f>
        <v>28</v>
      </c>
      <c r="B7">
        <v>52718549</v>
      </c>
      <c r="C7">
        <v>52718534</v>
      </c>
      <c r="D7">
        <v>51248281</v>
      </c>
      <c r="E7">
        <v>1</v>
      </c>
      <c r="F7">
        <v>1</v>
      </c>
      <c r="G7">
        <v>1</v>
      </c>
      <c r="H7">
        <v>3</v>
      </c>
      <c r="I7" t="s">
        <v>392</v>
      </c>
      <c r="J7" t="s">
        <v>393</v>
      </c>
      <c r="K7" t="s">
        <v>394</v>
      </c>
      <c r="L7">
        <v>1425</v>
      </c>
      <c r="N7">
        <v>1013</v>
      </c>
      <c r="O7" t="s">
        <v>56</v>
      </c>
      <c r="P7" t="s">
        <v>56</v>
      </c>
      <c r="Q7">
        <v>1</v>
      </c>
      <c r="X7">
        <v>2.09</v>
      </c>
      <c r="Y7">
        <v>52.34</v>
      </c>
      <c r="Z7">
        <v>0</v>
      </c>
      <c r="AA7">
        <v>0</v>
      </c>
      <c r="AB7">
        <v>0</v>
      </c>
      <c r="AC7">
        <v>0</v>
      </c>
      <c r="AD7">
        <v>1</v>
      </c>
      <c r="AE7">
        <v>0</v>
      </c>
      <c r="AF7" t="s">
        <v>3</v>
      </c>
      <c r="AG7">
        <v>2.09</v>
      </c>
      <c r="AH7">
        <v>2</v>
      </c>
      <c r="AI7">
        <v>52718541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ROW(Source!A28)</f>
        <v>28</v>
      </c>
      <c r="B8">
        <v>52718550</v>
      </c>
      <c r="C8">
        <v>52718534</v>
      </c>
      <c r="D8">
        <v>51176163</v>
      </c>
      <c r="E8">
        <v>118</v>
      </c>
      <c r="F8">
        <v>1</v>
      </c>
      <c r="G8">
        <v>1</v>
      </c>
      <c r="H8">
        <v>3</v>
      </c>
      <c r="I8" t="s">
        <v>25</v>
      </c>
      <c r="J8" t="s">
        <v>3</v>
      </c>
      <c r="K8" t="s">
        <v>26</v>
      </c>
      <c r="L8">
        <v>3277935</v>
      </c>
      <c r="N8">
        <v>1013</v>
      </c>
      <c r="O8" t="s">
        <v>27</v>
      </c>
      <c r="P8" t="s">
        <v>27</v>
      </c>
      <c r="Q8">
        <v>1</v>
      </c>
      <c r="X8">
        <v>2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3</v>
      </c>
      <c r="AG8">
        <v>2</v>
      </c>
      <c r="AH8">
        <v>2</v>
      </c>
      <c r="AI8">
        <v>52718542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ROW(Source!A32)</f>
        <v>32</v>
      </c>
      <c r="B9">
        <v>52718562</v>
      </c>
      <c r="C9">
        <v>52718554</v>
      </c>
      <c r="D9">
        <v>51169928</v>
      </c>
      <c r="E9">
        <v>118</v>
      </c>
      <c r="F9">
        <v>1</v>
      </c>
      <c r="G9">
        <v>1</v>
      </c>
      <c r="H9">
        <v>1</v>
      </c>
      <c r="I9" t="s">
        <v>395</v>
      </c>
      <c r="J9" t="s">
        <v>3</v>
      </c>
      <c r="K9" t="s">
        <v>396</v>
      </c>
      <c r="L9">
        <v>1191</v>
      </c>
      <c r="N9">
        <v>1013</v>
      </c>
      <c r="O9" t="s">
        <v>382</v>
      </c>
      <c r="P9" t="s">
        <v>382</v>
      </c>
      <c r="Q9">
        <v>1</v>
      </c>
      <c r="X9">
        <v>20.329999999999998</v>
      </c>
      <c r="Y9">
        <v>0</v>
      </c>
      <c r="Z9">
        <v>0</v>
      </c>
      <c r="AA9">
        <v>0</v>
      </c>
      <c r="AB9">
        <v>722.89</v>
      </c>
      <c r="AC9">
        <v>0</v>
      </c>
      <c r="AD9">
        <v>1</v>
      </c>
      <c r="AE9">
        <v>1</v>
      </c>
      <c r="AF9" t="s">
        <v>3</v>
      </c>
      <c r="AG9">
        <v>20.329999999999998</v>
      </c>
      <c r="AH9">
        <v>2</v>
      </c>
      <c r="AI9">
        <v>52718555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ROW(Source!A32)</f>
        <v>32</v>
      </c>
      <c r="B10">
        <v>52718563</v>
      </c>
      <c r="C10">
        <v>52718554</v>
      </c>
      <c r="D10">
        <v>51170109</v>
      </c>
      <c r="E10">
        <v>118</v>
      </c>
      <c r="F10">
        <v>1</v>
      </c>
      <c r="G10">
        <v>1</v>
      </c>
      <c r="H10">
        <v>1</v>
      </c>
      <c r="I10" t="s">
        <v>380</v>
      </c>
      <c r="J10" t="s">
        <v>3</v>
      </c>
      <c r="K10" t="s">
        <v>381</v>
      </c>
      <c r="L10">
        <v>1191</v>
      </c>
      <c r="N10">
        <v>1013</v>
      </c>
      <c r="O10" t="s">
        <v>382</v>
      </c>
      <c r="P10" t="s">
        <v>382</v>
      </c>
      <c r="Q10">
        <v>1</v>
      </c>
      <c r="X10">
        <v>0.01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2</v>
      </c>
      <c r="AF10" t="s">
        <v>3</v>
      </c>
      <c r="AG10">
        <v>0.01</v>
      </c>
      <c r="AH10">
        <v>2</v>
      </c>
      <c r="AI10">
        <v>52718556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ROW(Source!A32)</f>
        <v>32</v>
      </c>
      <c r="B11">
        <v>52718564</v>
      </c>
      <c r="C11">
        <v>52718554</v>
      </c>
      <c r="D11">
        <v>51296753</v>
      </c>
      <c r="E11">
        <v>1</v>
      </c>
      <c r="F11">
        <v>1</v>
      </c>
      <c r="G11">
        <v>1</v>
      </c>
      <c r="H11">
        <v>2</v>
      </c>
      <c r="I11" t="s">
        <v>397</v>
      </c>
      <c r="J11" t="s">
        <v>398</v>
      </c>
      <c r="K11" t="s">
        <v>399</v>
      </c>
      <c r="L11">
        <v>1368</v>
      </c>
      <c r="N11">
        <v>1011</v>
      </c>
      <c r="O11" t="s">
        <v>386</v>
      </c>
      <c r="P11" t="s">
        <v>386</v>
      </c>
      <c r="Q11">
        <v>1</v>
      </c>
      <c r="X11">
        <v>0.01</v>
      </c>
      <c r="Y11">
        <v>0</v>
      </c>
      <c r="Z11">
        <v>37.32</v>
      </c>
      <c r="AA11">
        <v>649.24</v>
      </c>
      <c r="AB11">
        <v>0</v>
      </c>
      <c r="AC11">
        <v>0</v>
      </c>
      <c r="AD11">
        <v>1</v>
      </c>
      <c r="AE11">
        <v>0</v>
      </c>
      <c r="AF11" t="s">
        <v>3</v>
      </c>
      <c r="AG11">
        <v>0.01</v>
      </c>
      <c r="AH11">
        <v>2</v>
      </c>
      <c r="AI11">
        <v>52718557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ROW(Source!A32)</f>
        <v>32</v>
      </c>
      <c r="B12">
        <v>52718565</v>
      </c>
      <c r="C12">
        <v>52718554</v>
      </c>
      <c r="D12">
        <v>51246685</v>
      </c>
      <c r="E12">
        <v>1</v>
      </c>
      <c r="F12">
        <v>1</v>
      </c>
      <c r="G12">
        <v>1</v>
      </c>
      <c r="H12">
        <v>3</v>
      </c>
      <c r="I12" t="s">
        <v>388</v>
      </c>
      <c r="J12" t="s">
        <v>389</v>
      </c>
      <c r="K12" t="s">
        <v>390</v>
      </c>
      <c r="L12">
        <v>1383</v>
      </c>
      <c r="N12">
        <v>1013</v>
      </c>
      <c r="O12" t="s">
        <v>391</v>
      </c>
      <c r="P12" t="s">
        <v>391</v>
      </c>
      <c r="Q12">
        <v>1</v>
      </c>
      <c r="X12">
        <v>8.2403999999999993</v>
      </c>
      <c r="Y12">
        <v>6.92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 t="s">
        <v>3</v>
      </c>
      <c r="AG12">
        <v>8.2403999999999993</v>
      </c>
      <c r="AH12">
        <v>2</v>
      </c>
      <c r="AI12">
        <v>52718558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ROW(Source!A32)</f>
        <v>32</v>
      </c>
      <c r="B13">
        <v>52718566</v>
      </c>
      <c r="C13">
        <v>52718554</v>
      </c>
      <c r="D13">
        <v>51248248</v>
      </c>
      <c r="E13">
        <v>1</v>
      </c>
      <c r="F13">
        <v>1</v>
      </c>
      <c r="G13">
        <v>1</v>
      </c>
      <c r="H13">
        <v>3</v>
      </c>
      <c r="I13" t="s">
        <v>401</v>
      </c>
      <c r="J13" t="s">
        <v>402</v>
      </c>
      <c r="K13" t="s">
        <v>403</v>
      </c>
      <c r="L13">
        <v>1407</v>
      </c>
      <c r="N13">
        <v>1013</v>
      </c>
      <c r="O13" t="s">
        <v>404</v>
      </c>
      <c r="P13" t="s">
        <v>404</v>
      </c>
      <c r="Q13">
        <v>1</v>
      </c>
      <c r="X13">
        <v>0.4</v>
      </c>
      <c r="Y13">
        <v>261.08999999999997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 t="s">
        <v>3</v>
      </c>
      <c r="AG13">
        <v>0.4</v>
      </c>
      <c r="AH13">
        <v>2</v>
      </c>
      <c r="AI13">
        <v>52718559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ROW(Source!A32)</f>
        <v>32</v>
      </c>
      <c r="B14">
        <v>52718567</v>
      </c>
      <c r="C14">
        <v>52718554</v>
      </c>
      <c r="D14">
        <v>51248525</v>
      </c>
      <c r="E14">
        <v>1</v>
      </c>
      <c r="F14">
        <v>1</v>
      </c>
      <c r="G14">
        <v>1</v>
      </c>
      <c r="H14">
        <v>3</v>
      </c>
      <c r="I14" t="s">
        <v>405</v>
      </c>
      <c r="J14" t="s">
        <v>406</v>
      </c>
      <c r="K14" t="s">
        <v>407</v>
      </c>
      <c r="L14">
        <v>1348</v>
      </c>
      <c r="N14">
        <v>1009</v>
      </c>
      <c r="O14" t="s">
        <v>126</v>
      </c>
      <c r="P14" t="s">
        <v>126</v>
      </c>
      <c r="Q14">
        <v>1000</v>
      </c>
      <c r="X14">
        <v>1.4E-3</v>
      </c>
      <c r="Y14">
        <v>99190.96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0</v>
      </c>
      <c r="AF14" t="s">
        <v>3</v>
      </c>
      <c r="AG14">
        <v>1.4E-3</v>
      </c>
      <c r="AH14">
        <v>2</v>
      </c>
      <c r="AI14">
        <v>52718560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ROW(Source!A32)</f>
        <v>32</v>
      </c>
      <c r="B15">
        <v>52718568</v>
      </c>
      <c r="C15">
        <v>52718554</v>
      </c>
      <c r="D15">
        <v>51176163</v>
      </c>
      <c r="E15">
        <v>118</v>
      </c>
      <c r="F15">
        <v>1</v>
      </c>
      <c r="G15">
        <v>1</v>
      </c>
      <c r="H15">
        <v>3</v>
      </c>
      <c r="I15" t="s">
        <v>25</v>
      </c>
      <c r="J15" t="s">
        <v>3</v>
      </c>
      <c r="K15" t="s">
        <v>26</v>
      </c>
      <c r="L15">
        <v>3277935</v>
      </c>
      <c r="N15">
        <v>1013</v>
      </c>
      <c r="O15" t="s">
        <v>27</v>
      </c>
      <c r="P15" t="s">
        <v>27</v>
      </c>
      <c r="Q15">
        <v>1</v>
      </c>
      <c r="X15">
        <v>2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 t="s">
        <v>3</v>
      </c>
      <c r="AG15">
        <v>2</v>
      </c>
      <c r="AH15">
        <v>2</v>
      </c>
      <c r="AI15">
        <v>52718561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ROW(Source!A40)</f>
        <v>40</v>
      </c>
      <c r="B16">
        <v>52718585</v>
      </c>
      <c r="C16">
        <v>52718576</v>
      </c>
      <c r="D16">
        <v>51169926</v>
      </c>
      <c r="E16">
        <v>118</v>
      </c>
      <c r="F16">
        <v>1</v>
      </c>
      <c r="G16">
        <v>1</v>
      </c>
      <c r="H16">
        <v>1</v>
      </c>
      <c r="I16" t="s">
        <v>408</v>
      </c>
      <c r="J16" t="s">
        <v>3</v>
      </c>
      <c r="K16" t="s">
        <v>409</v>
      </c>
      <c r="L16">
        <v>1191</v>
      </c>
      <c r="N16">
        <v>1013</v>
      </c>
      <c r="O16" t="s">
        <v>382</v>
      </c>
      <c r="P16" t="s">
        <v>382</v>
      </c>
      <c r="Q16">
        <v>1</v>
      </c>
      <c r="X16">
        <v>2.82</v>
      </c>
      <c r="Y16">
        <v>0</v>
      </c>
      <c r="Z16">
        <v>0</v>
      </c>
      <c r="AA16">
        <v>0</v>
      </c>
      <c r="AB16">
        <v>714.71</v>
      </c>
      <c r="AC16">
        <v>0</v>
      </c>
      <c r="AD16">
        <v>1</v>
      </c>
      <c r="AE16">
        <v>1</v>
      </c>
      <c r="AF16" t="s">
        <v>3</v>
      </c>
      <c r="AG16">
        <v>2.82</v>
      </c>
      <c r="AH16">
        <v>2</v>
      </c>
      <c r="AI16">
        <v>52718577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ROW(Source!A40)</f>
        <v>40</v>
      </c>
      <c r="B17">
        <v>52718586</v>
      </c>
      <c r="C17">
        <v>52718576</v>
      </c>
      <c r="D17">
        <v>51170109</v>
      </c>
      <c r="E17">
        <v>118</v>
      </c>
      <c r="F17">
        <v>1</v>
      </c>
      <c r="G17">
        <v>1</v>
      </c>
      <c r="H17">
        <v>1</v>
      </c>
      <c r="I17" t="s">
        <v>380</v>
      </c>
      <c r="J17" t="s">
        <v>3</v>
      </c>
      <c r="K17" t="s">
        <v>381</v>
      </c>
      <c r="L17">
        <v>1191</v>
      </c>
      <c r="N17">
        <v>1013</v>
      </c>
      <c r="O17" t="s">
        <v>382</v>
      </c>
      <c r="P17" t="s">
        <v>382</v>
      </c>
      <c r="Q17">
        <v>1</v>
      </c>
      <c r="X17">
        <v>0.02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2</v>
      </c>
      <c r="AF17" t="s">
        <v>3</v>
      </c>
      <c r="AG17">
        <v>0.02</v>
      </c>
      <c r="AH17">
        <v>2</v>
      </c>
      <c r="AI17">
        <v>52718578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ROW(Source!A40)</f>
        <v>40</v>
      </c>
      <c r="B18">
        <v>52718587</v>
      </c>
      <c r="C18">
        <v>52718576</v>
      </c>
      <c r="D18">
        <v>51296566</v>
      </c>
      <c r="E18">
        <v>1</v>
      </c>
      <c r="F18">
        <v>1</v>
      </c>
      <c r="G18">
        <v>1</v>
      </c>
      <c r="H18">
        <v>2</v>
      </c>
      <c r="I18" t="s">
        <v>410</v>
      </c>
      <c r="J18" t="s">
        <v>411</v>
      </c>
      <c r="K18" t="s">
        <v>412</v>
      </c>
      <c r="L18">
        <v>1368</v>
      </c>
      <c r="N18">
        <v>1011</v>
      </c>
      <c r="O18" t="s">
        <v>386</v>
      </c>
      <c r="P18" t="s">
        <v>386</v>
      </c>
      <c r="Q18">
        <v>1</v>
      </c>
      <c r="X18">
        <v>0.01</v>
      </c>
      <c r="Y18">
        <v>0</v>
      </c>
      <c r="Z18">
        <v>1585.56</v>
      </c>
      <c r="AA18">
        <v>982.04</v>
      </c>
      <c r="AB18">
        <v>0</v>
      </c>
      <c r="AC18">
        <v>0</v>
      </c>
      <c r="AD18">
        <v>1</v>
      </c>
      <c r="AE18">
        <v>0</v>
      </c>
      <c r="AF18" t="s">
        <v>3</v>
      </c>
      <c r="AG18">
        <v>0.01</v>
      </c>
      <c r="AH18">
        <v>2</v>
      </c>
      <c r="AI18">
        <v>52718579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ROW(Source!A40)</f>
        <v>40</v>
      </c>
      <c r="B19">
        <v>52718588</v>
      </c>
      <c r="C19">
        <v>52718576</v>
      </c>
      <c r="D19">
        <v>51297468</v>
      </c>
      <c r="E19">
        <v>1</v>
      </c>
      <c r="F19">
        <v>1</v>
      </c>
      <c r="G19">
        <v>1</v>
      </c>
      <c r="H19">
        <v>2</v>
      </c>
      <c r="I19" t="s">
        <v>383</v>
      </c>
      <c r="J19" t="s">
        <v>384</v>
      </c>
      <c r="K19" t="s">
        <v>385</v>
      </c>
      <c r="L19">
        <v>1368</v>
      </c>
      <c r="N19">
        <v>1011</v>
      </c>
      <c r="O19" t="s">
        <v>386</v>
      </c>
      <c r="P19" t="s">
        <v>386</v>
      </c>
      <c r="Q19">
        <v>1</v>
      </c>
      <c r="X19">
        <v>0.01</v>
      </c>
      <c r="Y19">
        <v>0</v>
      </c>
      <c r="Z19">
        <v>544.91999999999996</v>
      </c>
      <c r="AA19">
        <v>731.08</v>
      </c>
      <c r="AB19">
        <v>0</v>
      </c>
      <c r="AC19">
        <v>0</v>
      </c>
      <c r="AD19">
        <v>1</v>
      </c>
      <c r="AE19">
        <v>0</v>
      </c>
      <c r="AF19" t="s">
        <v>3</v>
      </c>
      <c r="AG19">
        <v>0.01</v>
      </c>
      <c r="AH19">
        <v>2</v>
      </c>
      <c r="AI19">
        <v>52718580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ROW(Source!A40)</f>
        <v>40</v>
      </c>
      <c r="B20">
        <v>52718589</v>
      </c>
      <c r="C20">
        <v>52718576</v>
      </c>
      <c r="D20">
        <v>51246841</v>
      </c>
      <c r="E20">
        <v>1</v>
      </c>
      <c r="F20">
        <v>1</v>
      </c>
      <c r="G20">
        <v>1</v>
      </c>
      <c r="H20">
        <v>3</v>
      </c>
      <c r="I20" t="s">
        <v>414</v>
      </c>
      <c r="J20" t="s">
        <v>415</v>
      </c>
      <c r="K20" t="s">
        <v>416</v>
      </c>
      <c r="L20">
        <v>1301</v>
      </c>
      <c r="N20">
        <v>1003</v>
      </c>
      <c r="O20" t="s">
        <v>31</v>
      </c>
      <c r="P20" t="s">
        <v>31</v>
      </c>
      <c r="Q20">
        <v>1</v>
      </c>
      <c r="X20">
        <v>13.33</v>
      </c>
      <c r="Y20">
        <v>5.87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 t="s">
        <v>3</v>
      </c>
      <c r="AG20">
        <v>13.33</v>
      </c>
      <c r="AH20">
        <v>2</v>
      </c>
      <c r="AI20">
        <v>52718581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ROW(Source!A40)</f>
        <v>40</v>
      </c>
      <c r="B21">
        <v>52718590</v>
      </c>
      <c r="C21">
        <v>52718576</v>
      </c>
      <c r="D21">
        <v>51246855</v>
      </c>
      <c r="E21">
        <v>1</v>
      </c>
      <c r="F21">
        <v>1</v>
      </c>
      <c r="G21">
        <v>1</v>
      </c>
      <c r="H21">
        <v>3</v>
      </c>
      <c r="I21" t="s">
        <v>417</v>
      </c>
      <c r="J21" t="s">
        <v>418</v>
      </c>
      <c r="K21" t="s">
        <v>419</v>
      </c>
      <c r="L21">
        <v>1302</v>
      </c>
      <c r="N21">
        <v>1003</v>
      </c>
      <c r="O21" t="s">
        <v>420</v>
      </c>
      <c r="P21" t="s">
        <v>420</v>
      </c>
      <c r="Q21">
        <v>10</v>
      </c>
      <c r="X21">
        <v>0.5</v>
      </c>
      <c r="Y21">
        <v>37.71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 t="s">
        <v>3</v>
      </c>
      <c r="AG21">
        <v>0.5</v>
      </c>
      <c r="AH21">
        <v>2</v>
      </c>
      <c r="AI21">
        <v>52718582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ROW(Source!A40)</f>
        <v>40</v>
      </c>
      <c r="B22">
        <v>52718591</v>
      </c>
      <c r="C22">
        <v>52718576</v>
      </c>
      <c r="D22">
        <v>51265692</v>
      </c>
      <c r="E22">
        <v>1</v>
      </c>
      <c r="F22">
        <v>1</v>
      </c>
      <c r="G22">
        <v>1</v>
      </c>
      <c r="H22">
        <v>3</v>
      </c>
      <c r="I22" t="s">
        <v>421</v>
      </c>
      <c r="J22" t="s">
        <v>422</v>
      </c>
      <c r="K22" t="s">
        <v>423</v>
      </c>
      <c r="L22">
        <v>1346</v>
      </c>
      <c r="N22">
        <v>1009</v>
      </c>
      <c r="O22" t="s">
        <v>424</v>
      </c>
      <c r="P22" t="s">
        <v>424</v>
      </c>
      <c r="Q22">
        <v>1</v>
      </c>
      <c r="X22">
        <v>0.05</v>
      </c>
      <c r="Y22">
        <v>79.88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0</v>
      </c>
      <c r="AF22" t="s">
        <v>3</v>
      </c>
      <c r="AG22">
        <v>0.05</v>
      </c>
      <c r="AH22">
        <v>2</v>
      </c>
      <c r="AI22">
        <v>52718583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ROW(Source!A40)</f>
        <v>40</v>
      </c>
      <c r="B23">
        <v>52718592</v>
      </c>
      <c r="C23">
        <v>52718576</v>
      </c>
      <c r="D23">
        <v>51176163</v>
      </c>
      <c r="E23">
        <v>118</v>
      </c>
      <c r="F23">
        <v>1</v>
      </c>
      <c r="G23">
        <v>1</v>
      </c>
      <c r="H23">
        <v>3</v>
      </c>
      <c r="I23" t="s">
        <v>25</v>
      </c>
      <c r="J23" t="s">
        <v>3</v>
      </c>
      <c r="K23" t="s">
        <v>26</v>
      </c>
      <c r="L23">
        <v>3277935</v>
      </c>
      <c r="N23">
        <v>1013</v>
      </c>
      <c r="O23" t="s">
        <v>27</v>
      </c>
      <c r="P23" t="s">
        <v>27</v>
      </c>
      <c r="Q23">
        <v>1</v>
      </c>
      <c r="X23">
        <v>2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 t="s">
        <v>3</v>
      </c>
      <c r="AG23">
        <v>2</v>
      </c>
      <c r="AH23">
        <v>2</v>
      </c>
      <c r="AI23">
        <v>52718584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ROW(Source!A42)</f>
        <v>42</v>
      </c>
      <c r="B24">
        <v>52718605</v>
      </c>
      <c r="C24">
        <v>52718594</v>
      </c>
      <c r="D24">
        <v>51169926</v>
      </c>
      <c r="E24">
        <v>118</v>
      </c>
      <c r="F24">
        <v>1</v>
      </c>
      <c r="G24">
        <v>1</v>
      </c>
      <c r="H24">
        <v>1</v>
      </c>
      <c r="I24" t="s">
        <v>408</v>
      </c>
      <c r="J24" t="s">
        <v>3</v>
      </c>
      <c r="K24" t="s">
        <v>409</v>
      </c>
      <c r="L24">
        <v>1191</v>
      </c>
      <c r="N24">
        <v>1013</v>
      </c>
      <c r="O24" t="s">
        <v>382</v>
      </c>
      <c r="P24" t="s">
        <v>382</v>
      </c>
      <c r="Q24">
        <v>1</v>
      </c>
      <c r="X24">
        <v>4.49</v>
      </c>
      <c r="Y24">
        <v>0</v>
      </c>
      <c r="Z24">
        <v>0</v>
      </c>
      <c r="AA24">
        <v>0</v>
      </c>
      <c r="AB24">
        <v>714.71</v>
      </c>
      <c r="AC24">
        <v>0</v>
      </c>
      <c r="AD24">
        <v>1</v>
      </c>
      <c r="AE24">
        <v>1</v>
      </c>
      <c r="AF24" t="s">
        <v>3</v>
      </c>
      <c r="AG24">
        <v>4.49</v>
      </c>
      <c r="AH24">
        <v>2</v>
      </c>
      <c r="AI24">
        <v>52718595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ROW(Source!A42)</f>
        <v>42</v>
      </c>
      <c r="B25">
        <v>52718606</v>
      </c>
      <c r="C25">
        <v>52718594</v>
      </c>
      <c r="D25">
        <v>51170109</v>
      </c>
      <c r="E25">
        <v>118</v>
      </c>
      <c r="F25">
        <v>1</v>
      </c>
      <c r="G25">
        <v>1</v>
      </c>
      <c r="H25">
        <v>1</v>
      </c>
      <c r="I25" t="s">
        <v>380</v>
      </c>
      <c r="J25" t="s">
        <v>3</v>
      </c>
      <c r="K25" t="s">
        <v>381</v>
      </c>
      <c r="L25">
        <v>1191</v>
      </c>
      <c r="N25">
        <v>1013</v>
      </c>
      <c r="O25" t="s">
        <v>382</v>
      </c>
      <c r="P25" t="s">
        <v>382</v>
      </c>
      <c r="Q25">
        <v>1</v>
      </c>
      <c r="X25">
        <v>0.02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2</v>
      </c>
      <c r="AF25" t="s">
        <v>3</v>
      </c>
      <c r="AG25">
        <v>0.02</v>
      </c>
      <c r="AH25">
        <v>2</v>
      </c>
      <c r="AI25">
        <v>52718596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ROW(Source!A42)</f>
        <v>42</v>
      </c>
      <c r="B26">
        <v>52718607</v>
      </c>
      <c r="C26">
        <v>52718594</v>
      </c>
      <c r="D26">
        <v>51296566</v>
      </c>
      <c r="E26">
        <v>1</v>
      </c>
      <c r="F26">
        <v>1</v>
      </c>
      <c r="G26">
        <v>1</v>
      </c>
      <c r="H26">
        <v>2</v>
      </c>
      <c r="I26" t="s">
        <v>410</v>
      </c>
      <c r="J26" t="s">
        <v>411</v>
      </c>
      <c r="K26" t="s">
        <v>412</v>
      </c>
      <c r="L26">
        <v>1368</v>
      </c>
      <c r="N26">
        <v>1011</v>
      </c>
      <c r="O26" t="s">
        <v>386</v>
      </c>
      <c r="P26" t="s">
        <v>386</v>
      </c>
      <c r="Q26">
        <v>1</v>
      </c>
      <c r="X26">
        <v>0.01</v>
      </c>
      <c r="Y26">
        <v>0</v>
      </c>
      <c r="Z26">
        <v>1585.56</v>
      </c>
      <c r="AA26">
        <v>982.04</v>
      </c>
      <c r="AB26">
        <v>0</v>
      </c>
      <c r="AC26">
        <v>0</v>
      </c>
      <c r="AD26">
        <v>1</v>
      </c>
      <c r="AE26">
        <v>0</v>
      </c>
      <c r="AF26" t="s">
        <v>3</v>
      </c>
      <c r="AG26">
        <v>0.01</v>
      </c>
      <c r="AH26">
        <v>2</v>
      </c>
      <c r="AI26">
        <v>52718597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ROW(Source!A42)</f>
        <v>42</v>
      </c>
      <c r="B27">
        <v>52718608</v>
      </c>
      <c r="C27">
        <v>52718594</v>
      </c>
      <c r="D27">
        <v>51297468</v>
      </c>
      <c r="E27">
        <v>1</v>
      </c>
      <c r="F27">
        <v>1</v>
      </c>
      <c r="G27">
        <v>1</v>
      </c>
      <c r="H27">
        <v>2</v>
      </c>
      <c r="I27" t="s">
        <v>383</v>
      </c>
      <c r="J27" t="s">
        <v>384</v>
      </c>
      <c r="K27" t="s">
        <v>385</v>
      </c>
      <c r="L27">
        <v>1368</v>
      </c>
      <c r="N27">
        <v>1011</v>
      </c>
      <c r="O27" t="s">
        <v>386</v>
      </c>
      <c r="P27" t="s">
        <v>386</v>
      </c>
      <c r="Q27">
        <v>1</v>
      </c>
      <c r="X27">
        <v>0.01</v>
      </c>
      <c r="Y27">
        <v>0</v>
      </c>
      <c r="Z27">
        <v>544.91999999999996</v>
      </c>
      <c r="AA27">
        <v>731.08</v>
      </c>
      <c r="AB27">
        <v>0</v>
      </c>
      <c r="AC27">
        <v>0</v>
      </c>
      <c r="AD27">
        <v>1</v>
      </c>
      <c r="AE27">
        <v>0</v>
      </c>
      <c r="AF27" t="s">
        <v>3</v>
      </c>
      <c r="AG27">
        <v>0.01</v>
      </c>
      <c r="AH27">
        <v>2</v>
      </c>
      <c r="AI27">
        <v>52718598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ROW(Source!A42)</f>
        <v>42</v>
      </c>
      <c r="B28">
        <v>52718609</v>
      </c>
      <c r="C28">
        <v>52718594</v>
      </c>
      <c r="D28">
        <v>51246841</v>
      </c>
      <c r="E28">
        <v>1</v>
      </c>
      <c r="F28">
        <v>1</v>
      </c>
      <c r="G28">
        <v>1</v>
      </c>
      <c r="H28">
        <v>3</v>
      </c>
      <c r="I28" t="s">
        <v>414</v>
      </c>
      <c r="J28" t="s">
        <v>415</v>
      </c>
      <c r="K28" t="s">
        <v>416</v>
      </c>
      <c r="L28">
        <v>1301</v>
      </c>
      <c r="N28">
        <v>1003</v>
      </c>
      <c r="O28" t="s">
        <v>31</v>
      </c>
      <c r="P28" t="s">
        <v>31</v>
      </c>
      <c r="Q28">
        <v>1</v>
      </c>
      <c r="X28">
        <v>13.33</v>
      </c>
      <c r="Y28">
        <v>5.87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0</v>
      </c>
      <c r="AF28" t="s">
        <v>3</v>
      </c>
      <c r="AG28">
        <v>13.33</v>
      </c>
      <c r="AH28">
        <v>2</v>
      </c>
      <c r="AI28">
        <v>52718599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ROW(Source!A42)</f>
        <v>42</v>
      </c>
      <c r="B29">
        <v>52718610</v>
      </c>
      <c r="C29">
        <v>52718594</v>
      </c>
      <c r="D29">
        <v>51247009</v>
      </c>
      <c r="E29">
        <v>1</v>
      </c>
      <c r="F29">
        <v>1</v>
      </c>
      <c r="G29">
        <v>1</v>
      </c>
      <c r="H29">
        <v>3</v>
      </c>
      <c r="I29" t="s">
        <v>425</v>
      </c>
      <c r="J29" t="s">
        <v>426</v>
      </c>
      <c r="K29" t="s">
        <v>427</v>
      </c>
      <c r="L29">
        <v>1348</v>
      </c>
      <c r="N29">
        <v>1009</v>
      </c>
      <c r="O29" t="s">
        <v>126</v>
      </c>
      <c r="P29" t="s">
        <v>126</v>
      </c>
      <c r="Q29">
        <v>1000</v>
      </c>
      <c r="X29">
        <v>4.2999999999999999E-4</v>
      </c>
      <c r="Y29">
        <v>43821.53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0</v>
      </c>
      <c r="AF29" t="s">
        <v>3</v>
      </c>
      <c r="AG29">
        <v>4.2999999999999999E-4</v>
      </c>
      <c r="AH29">
        <v>2</v>
      </c>
      <c r="AI29">
        <v>52718600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ROW(Source!A42)</f>
        <v>42</v>
      </c>
      <c r="B30">
        <v>52718611</v>
      </c>
      <c r="C30">
        <v>52718594</v>
      </c>
      <c r="D30">
        <v>51265692</v>
      </c>
      <c r="E30">
        <v>1</v>
      </c>
      <c r="F30">
        <v>1</v>
      </c>
      <c r="G30">
        <v>1</v>
      </c>
      <c r="H30">
        <v>3</v>
      </c>
      <c r="I30" t="s">
        <v>421</v>
      </c>
      <c r="J30" t="s">
        <v>422</v>
      </c>
      <c r="K30" t="s">
        <v>423</v>
      </c>
      <c r="L30">
        <v>1346</v>
      </c>
      <c r="N30">
        <v>1009</v>
      </c>
      <c r="O30" t="s">
        <v>424</v>
      </c>
      <c r="P30" t="s">
        <v>424</v>
      </c>
      <c r="Q30">
        <v>1</v>
      </c>
      <c r="X30">
        <v>0.02</v>
      </c>
      <c r="Y30">
        <v>79.88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 t="s">
        <v>3</v>
      </c>
      <c r="AG30">
        <v>0.02</v>
      </c>
      <c r="AH30">
        <v>2</v>
      </c>
      <c r="AI30">
        <v>52718601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ROW(Source!A42)</f>
        <v>42</v>
      </c>
      <c r="B31">
        <v>52718612</v>
      </c>
      <c r="C31">
        <v>52718594</v>
      </c>
      <c r="D31">
        <v>51273630</v>
      </c>
      <c r="E31">
        <v>1</v>
      </c>
      <c r="F31">
        <v>1</v>
      </c>
      <c r="G31">
        <v>1</v>
      </c>
      <c r="H31">
        <v>3</v>
      </c>
      <c r="I31" t="s">
        <v>428</v>
      </c>
      <c r="J31" t="s">
        <v>429</v>
      </c>
      <c r="K31" t="s">
        <v>430</v>
      </c>
      <c r="L31">
        <v>1425</v>
      </c>
      <c r="N31">
        <v>1013</v>
      </c>
      <c r="O31" t="s">
        <v>56</v>
      </c>
      <c r="P31" t="s">
        <v>56</v>
      </c>
      <c r="Q31">
        <v>1</v>
      </c>
      <c r="X31">
        <v>0.05</v>
      </c>
      <c r="Y31">
        <v>412.93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0</v>
      </c>
      <c r="AF31" t="s">
        <v>3</v>
      </c>
      <c r="AG31">
        <v>0.05</v>
      </c>
      <c r="AH31">
        <v>2</v>
      </c>
      <c r="AI31">
        <v>52718602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ROW(Source!A42)</f>
        <v>42</v>
      </c>
      <c r="B32">
        <v>52718613</v>
      </c>
      <c r="C32">
        <v>52718594</v>
      </c>
      <c r="D32">
        <v>51273680</v>
      </c>
      <c r="E32">
        <v>1</v>
      </c>
      <c r="F32">
        <v>1</v>
      </c>
      <c r="G32">
        <v>1</v>
      </c>
      <c r="H32">
        <v>3</v>
      </c>
      <c r="I32" t="s">
        <v>431</v>
      </c>
      <c r="J32" t="s">
        <v>432</v>
      </c>
      <c r="K32" t="s">
        <v>433</v>
      </c>
      <c r="L32">
        <v>1407</v>
      </c>
      <c r="N32">
        <v>1013</v>
      </c>
      <c r="O32" t="s">
        <v>404</v>
      </c>
      <c r="P32" t="s">
        <v>404</v>
      </c>
      <c r="Q32">
        <v>1</v>
      </c>
      <c r="X32">
        <v>1.2200000000000001E-2</v>
      </c>
      <c r="Y32">
        <v>1481.45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 t="s">
        <v>3</v>
      </c>
      <c r="AG32">
        <v>1.2200000000000001E-2</v>
      </c>
      <c r="AH32">
        <v>2</v>
      </c>
      <c r="AI32">
        <v>52718603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ROW(Source!A42)</f>
        <v>42</v>
      </c>
      <c r="B33">
        <v>52718614</v>
      </c>
      <c r="C33">
        <v>52718594</v>
      </c>
      <c r="D33">
        <v>51176163</v>
      </c>
      <c r="E33">
        <v>118</v>
      </c>
      <c r="F33">
        <v>1</v>
      </c>
      <c r="G33">
        <v>1</v>
      </c>
      <c r="H33">
        <v>3</v>
      </c>
      <c r="I33" t="s">
        <v>25</v>
      </c>
      <c r="J33" t="s">
        <v>3</v>
      </c>
      <c r="K33" t="s">
        <v>26</v>
      </c>
      <c r="L33">
        <v>3277935</v>
      </c>
      <c r="N33">
        <v>1013</v>
      </c>
      <c r="O33" t="s">
        <v>27</v>
      </c>
      <c r="P33" t="s">
        <v>27</v>
      </c>
      <c r="Q33">
        <v>1</v>
      </c>
      <c r="X33">
        <v>2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 t="s">
        <v>3</v>
      </c>
      <c r="AG33">
        <v>2</v>
      </c>
      <c r="AH33">
        <v>2</v>
      </c>
      <c r="AI33">
        <v>52718604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ROW(Source!A49)</f>
        <v>49</v>
      </c>
      <c r="B34">
        <v>52718630</v>
      </c>
      <c r="C34">
        <v>52718621</v>
      </c>
      <c r="D34">
        <v>51169938</v>
      </c>
      <c r="E34">
        <v>118</v>
      </c>
      <c r="F34">
        <v>1</v>
      </c>
      <c r="G34">
        <v>1</v>
      </c>
      <c r="H34">
        <v>1</v>
      </c>
      <c r="I34" t="s">
        <v>434</v>
      </c>
      <c r="J34" t="s">
        <v>3</v>
      </c>
      <c r="K34" t="s">
        <v>435</v>
      </c>
      <c r="L34">
        <v>1191</v>
      </c>
      <c r="N34">
        <v>1013</v>
      </c>
      <c r="O34" t="s">
        <v>382</v>
      </c>
      <c r="P34" t="s">
        <v>382</v>
      </c>
      <c r="Q34">
        <v>1</v>
      </c>
      <c r="X34">
        <v>78.56</v>
      </c>
      <c r="Y34">
        <v>0</v>
      </c>
      <c r="Z34">
        <v>0</v>
      </c>
      <c r="AA34">
        <v>0</v>
      </c>
      <c r="AB34">
        <v>752.9</v>
      </c>
      <c r="AC34">
        <v>0</v>
      </c>
      <c r="AD34">
        <v>1</v>
      </c>
      <c r="AE34">
        <v>1</v>
      </c>
      <c r="AF34" t="s">
        <v>3</v>
      </c>
      <c r="AG34">
        <v>78.56</v>
      </c>
      <c r="AH34">
        <v>2</v>
      </c>
      <c r="AI34">
        <v>52718622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ROW(Source!A49)</f>
        <v>49</v>
      </c>
      <c r="B35">
        <v>52718631</v>
      </c>
      <c r="C35">
        <v>52718621</v>
      </c>
      <c r="D35">
        <v>51170109</v>
      </c>
      <c r="E35">
        <v>118</v>
      </c>
      <c r="F35">
        <v>1</v>
      </c>
      <c r="G35">
        <v>1</v>
      </c>
      <c r="H35">
        <v>1</v>
      </c>
      <c r="I35" t="s">
        <v>380</v>
      </c>
      <c r="J35" t="s">
        <v>3</v>
      </c>
      <c r="K35" t="s">
        <v>381</v>
      </c>
      <c r="L35">
        <v>1191</v>
      </c>
      <c r="N35">
        <v>1013</v>
      </c>
      <c r="O35" t="s">
        <v>382</v>
      </c>
      <c r="P35" t="s">
        <v>382</v>
      </c>
      <c r="Q35">
        <v>1</v>
      </c>
      <c r="X35">
        <v>0.4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2</v>
      </c>
      <c r="AF35" t="s">
        <v>3</v>
      </c>
      <c r="AG35">
        <v>0.4</v>
      </c>
      <c r="AH35">
        <v>2</v>
      </c>
      <c r="AI35">
        <v>52718623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ROW(Source!A49)</f>
        <v>49</v>
      </c>
      <c r="B36">
        <v>52718632</v>
      </c>
      <c r="C36">
        <v>52718621</v>
      </c>
      <c r="D36">
        <v>51296566</v>
      </c>
      <c r="E36">
        <v>1</v>
      </c>
      <c r="F36">
        <v>1</v>
      </c>
      <c r="G36">
        <v>1</v>
      </c>
      <c r="H36">
        <v>2</v>
      </c>
      <c r="I36" t="s">
        <v>410</v>
      </c>
      <c r="J36" t="s">
        <v>411</v>
      </c>
      <c r="K36" t="s">
        <v>412</v>
      </c>
      <c r="L36">
        <v>1368</v>
      </c>
      <c r="N36">
        <v>1011</v>
      </c>
      <c r="O36" t="s">
        <v>386</v>
      </c>
      <c r="P36" t="s">
        <v>386</v>
      </c>
      <c r="Q36">
        <v>1</v>
      </c>
      <c r="X36">
        <v>0.2</v>
      </c>
      <c r="Y36">
        <v>0</v>
      </c>
      <c r="Z36">
        <v>1585.56</v>
      </c>
      <c r="AA36">
        <v>982.04</v>
      </c>
      <c r="AB36">
        <v>0</v>
      </c>
      <c r="AC36">
        <v>0</v>
      </c>
      <c r="AD36">
        <v>1</v>
      </c>
      <c r="AE36">
        <v>0</v>
      </c>
      <c r="AF36" t="s">
        <v>3</v>
      </c>
      <c r="AG36">
        <v>0.2</v>
      </c>
      <c r="AH36">
        <v>2</v>
      </c>
      <c r="AI36">
        <v>52718624</v>
      </c>
      <c r="AJ36">
        <v>36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ROW(Source!A49)</f>
        <v>49</v>
      </c>
      <c r="B37">
        <v>52718633</v>
      </c>
      <c r="C37">
        <v>52718621</v>
      </c>
      <c r="D37">
        <v>51297468</v>
      </c>
      <c r="E37">
        <v>1</v>
      </c>
      <c r="F37">
        <v>1</v>
      </c>
      <c r="G37">
        <v>1</v>
      </c>
      <c r="H37">
        <v>2</v>
      </c>
      <c r="I37" t="s">
        <v>383</v>
      </c>
      <c r="J37" t="s">
        <v>384</v>
      </c>
      <c r="K37" t="s">
        <v>385</v>
      </c>
      <c r="L37">
        <v>1368</v>
      </c>
      <c r="N37">
        <v>1011</v>
      </c>
      <c r="O37" t="s">
        <v>386</v>
      </c>
      <c r="P37" t="s">
        <v>386</v>
      </c>
      <c r="Q37">
        <v>1</v>
      </c>
      <c r="X37">
        <v>0.2</v>
      </c>
      <c r="Y37">
        <v>0</v>
      </c>
      <c r="Z37">
        <v>544.91999999999996</v>
      </c>
      <c r="AA37">
        <v>731.08</v>
      </c>
      <c r="AB37">
        <v>0</v>
      </c>
      <c r="AC37">
        <v>0</v>
      </c>
      <c r="AD37">
        <v>1</v>
      </c>
      <c r="AE37">
        <v>0</v>
      </c>
      <c r="AF37" t="s">
        <v>3</v>
      </c>
      <c r="AG37">
        <v>0.2</v>
      </c>
      <c r="AH37">
        <v>2</v>
      </c>
      <c r="AI37">
        <v>52718625</v>
      </c>
      <c r="AJ37">
        <v>37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ROW(Source!A49)</f>
        <v>49</v>
      </c>
      <c r="B38">
        <v>52718634</v>
      </c>
      <c r="C38">
        <v>52718621</v>
      </c>
      <c r="D38">
        <v>51246841</v>
      </c>
      <c r="E38">
        <v>1</v>
      </c>
      <c r="F38">
        <v>1</v>
      </c>
      <c r="G38">
        <v>1</v>
      </c>
      <c r="H38">
        <v>3</v>
      </c>
      <c r="I38" t="s">
        <v>414</v>
      </c>
      <c r="J38" t="s">
        <v>415</v>
      </c>
      <c r="K38" t="s">
        <v>416</v>
      </c>
      <c r="L38">
        <v>1301</v>
      </c>
      <c r="N38">
        <v>1003</v>
      </c>
      <c r="O38" t="s">
        <v>31</v>
      </c>
      <c r="P38" t="s">
        <v>31</v>
      </c>
      <c r="Q38">
        <v>1</v>
      </c>
      <c r="X38">
        <v>17.5</v>
      </c>
      <c r="Y38">
        <v>5.87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0</v>
      </c>
      <c r="AF38" t="s">
        <v>3</v>
      </c>
      <c r="AG38">
        <v>17.5</v>
      </c>
      <c r="AH38">
        <v>2</v>
      </c>
      <c r="AI38">
        <v>52718626</v>
      </c>
      <c r="AJ38">
        <v>38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ROW(Source!A49)</f>
        <v>49</v>
      </c>
      <c r="B39">
        <v>52718635</v>
      </c>
      <c r="C39">
        <v>52718621</v>
      </c>
      <c r="D39">
        <v>51248246</v>
      </c>
      <c r="E39">
        <v>1</v>
      </c>
      <c r="F39">
        <v>1</v>
      </c>
      <c r="G39">
        <v>1</v>
      </c>
      <c r="H39">
        <v>3</v>
      </c>
      <c r="I39" t="s">
        <v>436</v>
      </c>
      <c r="J39" t="s">
        <v>437</v>
      </c>
      <c r="K39" t="s">
        <v>438</v>
      </c>
      <c r="L39">
        <v>1425</v>
      </c>
      <c r="N39">
        <v>1013</v>
      </c>
      <c r="O39" t="s">
        <v>56</v>
      </c>
      <c r="P39" t="s">
        <v>56</v>
      </c>
      <c r="Q39">
        <v>1</v>
      </c>
      <c r="X39">
        <v>4.08</v>
      </c>
      <c r="Y39">
        <v>41.71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 t="s">
        <v>3</v>
      </c>
      <c r="AG39">
        <v>4.08</v>
      </c>
      <c r="AH39">
        <v>2</v>
      </c>
      <c r="AI39">
        <v>52718627</v>
      </c>
      <c r="AJ39">
        <v>39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ROW(Source!A49)</f>
        <v>49</v>
      </c>
      <c r="B40">
        <v>52718636</v>
      </c>
      <c r="C40">
        <v>52718621</v>
      </c>
      <c r="D40">
        <v>51281495</v>
      </c>
      <c r="E40">
        <v>1</v>
      </c>
      <c r="F40">
        <v>1</v>
      </c>
      <c r="G40">
        <v>1</v>
      </c>
      <c r="H40">
        <v>3</v>
      </c>
      <c r="I40" t="s">
        <v>439</v>
      </c>
      <c r="J40" t="s">
        <v>440</v>
      </c>
      <c r="K40" t="s">
        <v>441</v>
      </c>
      <c r="L40">
        <v>1348</v>
      </c>
      <c r="N40">
        <v>1009</v>
      </c>
      <c r="O40" t="s">
        <v>126</v>
      </c>
      <c r="P40" t="s">
        <v>126</v>
      </c>
      <c r="Q40">
        <v>1000</v>
      </c>
      <c r="X40">
        <v>1.5299999999999999E-3</v>
      </c>
      <c r="Y40">
        <v>948687.13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 t="s">
        <v>3</v>
      </c>
      <c r="AG40">
        <v>1.5299999999999999E-3</v>
      </c>
      <c r="AH40">
        <v>2</v>
      </c>
      <c r="AI40">
        <v>52718628</v>
      </c>
      <c r="AJ40">
        <v>40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ROW(Source!A49)</f>
        <v>49</v>
      </c>
      <c r="B41">
        <v>52718637</v>
      </c>
      <c r="C41">
        <v>52718621</v>
      </c>
      <c r="D41">
        <v>51176163</v>
      </c>
      <c r="E41">
        <v>118</v>
      </c>
      <c r="F41">
        <v>1</v>
      </c>
      <c r="G41">
        <v>1</v>
      </c>
      <c r="H41">
        <v>3</v>
      </c>
      <c r="I41" t="s">
        <v>25</v>
      </c>
      <c r="J41" t="s">
        <v>3</v>
      </c>
      <c r="K41" t="s">
        <v>26</v>
      </c>
      <c r="L41">
        <v>3277935</v>
      </c>
      <c r="N41">
        <v>1013</v>
      </c>
      <c r="O41" t="s">
        <v>27</v>
      </c>
      <c r="P41" t="s">
        <v>27</v>
      </c>
      <c r="Q41">
        <v>1</v>
      </c>
      <c r="X41">
        <v>2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 t="s">
        <v>3</v>
      </c>
      <c r="AG41">
        <v>2</v>
      </c>
      <c r="AH41">
        <v>2</v>
      </c>
      <c r="AI41">
        <v>52718629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ROW(Source!A54)</f>
        <v>54</v>
      </c>
      <c r="B42">
        <v>52718648</v>
      </c>
      <c r="C42">
        <v>52718642</v>
      </c>
      <c r="D42">
        <v>51169920</v>
      </c>
      <c r="E42">
        <v>118</v>
      </c>
      <c r="F42">
        <v>1</v>
      </c>
      <c r="G42">
        <v>1</v>
      </c>
      <c r="H42">
        <v>1</v>
      </c>
      <c r="I42" t="s">
        <v>442</v>
      </c>
      <c r="J42" t="s">
        <v>3</v>
      </c>
      <c r="K42" t="s">
        <v>443</v>
      </c>
      <c r="L42">
        <v>1191</v>
      </c>
      <c r="N42">
        <v>1013</v>
      </c>
      <c r="O42" t="s">
        <v>382</v>
      </c>
      <c r="P42" t="s">
        <v>382</v>
      </c>
      <c r="Q42">
        <v>1</v>
      </c>
      <c r="X42">
        <v>10.3</v>
      </c>
      <c r="Y42">
        <v>0</v>
      </c>
      <c r="Z42">
        <v>0</v>
      </c>
      <c r="AA42">
        <v>0</v>
      </c>
      <c r="AB42">
        <v>690.16</v>
      </c>
      <c r="AC42">
        <v>0</v>
      </c>
      <c r="AD42">
        <v>1</v>
      </c>
      <c r="AE42">
        <v>1</v>
      </c>
      <c r="AF42" t="s">
        <v>3</v>
      </c>
      <c r="AG42">
        <v>10.3</v>
      </c>
      <c r="AH42">
        <v>2</v>
      </c>
      <c r="AI42">
        <v>52718643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ROW(Source!A54)</f>
        <v>54</v>
      </c>
      <c r="B43">
        <v>52718649</v>
      </c>
      <c r="C43">
        <v>52718642</v>
      </c>
      <c r="D43">
        <v>51246685</v>
      </c>
      <c r="E43">
        <v>1</v>
      </c>
      <c r="F43">
        <v>1</v>
      </c>
      <c r="G43">
        <v>1</v>
      </c>
      <c r="H43">
        <v>3</v>
      </c>
      <c r="I43" t="s">
        <v>388</v>
      </c>
      <c r="J43" t="s">
        <v>389</v>
      </c>
      <c r="K43" t="s">
        <v>390</v>
      </c>
      <c r="L43">
        <v>1383</v>
      </c>
      <c r="N43">
        <v>1013</v>
      </c>
      <c r="O43" t="s">
        <v>391</v>
      </c>
      <c r="P43" t="s">
        <v>391</v>
      </c>
      <c r="Q43">
        <v>1</v>
      </c>
      <c r="X43">
        <v>0.49</v>
      </c>
      <c r="Y43">
        <v>6.92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 t="s">
        <v>3</v>
      </c>
      <c r="AG43">
        <v>0.49</v>
      </c>
      <c r="AH43">
        <v>2</v>
      </c>
      <c r="AI43">
        <v>52718644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ROW(Source!A54)</f>
        <v>54</v>
      </c>
      <c r="B44">
        <v>52718650</v>
      </c>
      <c r="C44">
        <v>52718642</v>
      </c>
      <c r="D44">
        <v>51176163</v>
      </c>
      <c r="E44">
        <v>118</v>
      </c>
      <c r="F44">
        <v>1</v>
      </c>
      <c r="G44">
        <v>1</v>
      </c>
      <c r="H44">
        <v>3</v>
      </c>
      <c r="I44" t="s">
        <v>25</v>
      </c>
      <c r="J44" t="s">
        <v>3</v>
      </c>
      <c r="K44" t="s">
        <v>26</v>
      </c>
      <c r="L44">
        <v>3277935</v>
      </c>
      <c r="N44">
        <v>1013</v>
      </c>
      <c r="O44" t="s">
        <v>27</v>
      </c>
      <c r="P44" t="s">
        <v>27</v>
      </c>
      <c r="Q44">
        <v>1</v>
      </c>
      <c r="X44">
        <v>2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 t="s">
        <v>3</v>
      </c>
      <c r="AG44">
        <v>2</v>
      </c>
      <c r="AH44">
        <v>2</v>
      </c>
      <c r="AI44">
        <v>52718645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ROW(Source!A54)</f>
        <v>54</v>
      </c>
      <c r="B45">
        <v>52718647</v>
      </c>
      <c r="C45">
        <v>52718642</v>
      </c>
      <c r="D45">
        <v>51176165</v>
      </c>
      <c r="E45">
        <v>118</v>
      </c>
      <c r="F45">
        <v>1</v>
      </c>
      <c r="G45">
        <v>1</v>
      </c>
      <c r="H45">
        <v>3</v>
      </c>
      <c r="I45" t="s">
        <v>124</v>
      </c>
      <c r="J45" t="s">
        <v>3</v>
      </c>
      <c r="K45" t="s">
        <v>125</v>
      </c>
      <c r="L45">
        <v>1348</v>
      </c>
      <c r="N45">
        <v>1009</v>
      </c>
      <c r="O45" t="s">
        <v>126</v>
      </c>
      <c r="P45" t="s">
        <v>126</v>
      </c>
      <c r="Q45">
        <v>1000</v>
      </c>
      <c r="X45">
        <v>5.0000000000000001E-3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 t="s">
        <v>3</v>
      </c>
      <c r="AG45">
        <v>5.0000000000000001E-3</v>
      </c>
      <c r="AH45">
        <v>2</v>
      </c>
      <c r="AI45">
        <v>52718646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ROW(Source!A59)</f>
        <v>59</v>
      </c>
      <c r="B46">
        <v>52718660</v>
      </c>
      <c r="C46">
        <v>52718655</v>
      </c>
      <c r="D46">
        <v>51169920</v>
      </c>
      <c r="E46">
        <v>118</v>
      </c>
      <c r="F46">
        <v>1</v>
      </c>
      <c r="G46">
        <v>1</v>
      </c>
      <c r="H46">
        <v>1</v>
      </c>
      <c r="I46" t="s">
        <v>442</v>
      </c>
      <c r="J46" t="s">
        <v>3</v>
      </c>
      <c r="K46" t="s">
        <v>443</v>
      </c>
      <c r="L46">
        <v>1191</v>
      </c>
      <c r="N46">
        <v>1013</v>
      </c>
      <c r="O46" t="s">
        <v>382</v>
      </c>
      <c r="P46" t="s">
        <v>382</v>
      </c>
      <c r="Q46">
        <v>1</v>
      </c>
      <c r="X46">
        <v>6</v>
      </c>
      <c r="Y46">
        <v>0</v>
      </c>
      <c r="Z46">
        <v>0</v>
      </c>
      <c r="AA46">
        <v>0</v>
      </c>
      <c r="AB46">
        <v>690.16</v>
      </c>
      <c r="AC46">
        <v>0</v>
      </c>
      <c r="AD46">
        <v>1</v>
      </c>
      <c r="AE46">
        <v>1</v>
      </c>
      <c r="AF46" t="s">
        <v>3</v>
      </c>
      <c r="AG46">
        <v>6</v>
      </c>
      <c r="AH46">
        <v>2</v>
      </c>
      <c r="AI46">
        <v>52718656</v>
      </c>
      <c r="AJ46">
        <v>46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ROW(Source!A59)</f>
        <v>59</v>
      </c>
      <c r="B47">
        <v>52718661</v>
      </c>
      <c r="C47">
        <v>52718655</v>
      </c>
      <c r="D47">
        <v>51248185</v>
      </c>
      <c r="E47">
        <v>1</v>
      </c>
      <c r="F47">
        <v>1</v>
      </c>
      <c r="G47">
        <v>1</v>
      </c>
      <c r="H47">
        <v>3</v>
      </c>
      <c r="I47" t="s">
        <v>444</v>
      </c>
      <c r="J47" t="s">
        <v>445</v>
      </c>
      <c r="K47" t="s">
        <v>446</v>
      </c>
      <c r="L47">
        <v>1348</v>
      </c>
      <c r="N47">
        <v>1009</v>
      </c>
      <c r="O47" t="s">
        <v>126</v>
      </c>
      <c r="P47" t="s">
        <v>126</v>
      </c>
      <c r="Q47">
        <v>1000</v>
      </c>
      <c r="X47">
        <v>2.0000000000000001E-4</v>
      </c>
      <c r="Y47">
        <v>127406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 t="s">
        <v>3</v>
      </c>
      <c r="AG47">
        <v>2.0000000000000001E-4</v>
      </c>
      <c r="AH47">
        <v>2</v>
      </c>
      <c r="AI47">
        <v>52718657</v>
      </c>
      <c r="AJ47">
        <v>47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ROW(Source!A59)</f>
        <v>59</v>
      </c>
      <c r="B48">
        <v>52718662</v>
      </c>
      <c r="C48">
        <v>52718655</v>
      </c>
      <c r="D48">
        <v>51176163</v>
      </c>
      <c r="E48">
        <v>118</v>
      </c>
      <c r="F48">
        <v>1</v>
      </c>
      <c r="G48">
        <v>1</v>
      </c>
      <c r="H48">
        <v>3</v>
      </c>
      <c r="I48" t="s">
        <v>25</v>
      </c>
      <c r="J48" t="s">
        <v>3</v>
      </c>
      <c r="K48" t="s">
        <v>26</v>
      </c>
      <c r="L48">
        <v>3277935</v>
      </c>
      <c r="N48">
        <v>1013</v>
      </c>
      <c r="O48" t="s">
        <v>27</v>
      </c>
      <c r="P48" t="s">
        <v>27</v>
      </c>
      <c r="Q48">
        <v>1</v>
      </c>
      <c r="X48">
        <v>2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 t="s">
        <v>3</v>
      </c>
      <c r="AG48">
        <v>2</v>
      </c>
      <c r="AH48">
        <v>2</v>
      </c>
      <c r="AI48">
        <v>52718658</v>
      </c>
      <c r="AJ48">
        <v>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ROW(Source!A59)</f>
        <v>59</v>
      </c>
      <c r="B49">
        <v>52718663</v>
      </c>
      <c r="C49">
        <v>52718655</v>
      </c>
      <c r="D49">
        <v>51176165</v>
      </c>
      <c r="E49">
        <v>118</v>
      </c>
      <c r="F49">
        <v>1</v>
      </c>
      <c r="G49">
        <v>1</v>
      </c>
      <c r="H49">
        <v>3</v>
      </c>
      <c r="I49" t="s">
        <v>124</v>
      </c>
      <c r="J49" t="s">
        <v>3</v>
      </c>
      <c r="K49" t="s">
        <v>125</v>
      </c>
      <c r="L49">
        <v>1348</v>
      </c>
      <c r="N49">
        <v>1009</v>
      </c>
      <c r="O49" t="s">
        <v>126</v>
      </c>
      <c r="P49" t="s">
        <v>126</v>
      </c>
      <c r="Q49">
        <v>1000</v>
      </c>
      <c r="X49">
        <v>0.01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 t="s">
        <v>3</v>
      </c>
      <c r="AG49">
        <v>0.01</v>
      </c>
      <c r="AH49">
        <v>2</v>
      </c>
      <c r="AI49">
        <v>52718659</v>
      </c>
      <c r="AJ49">
        <v>49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ROW(Source!A65)</f>
        <v>65</v>
      </c>
      <c r="B50">
        <v>52718675</v>
      </c>
      <c r="C50">
        <v>52718669</v>
      </c>
      <c r="D50">
        <v>51169936</v>
      </c>
      <c r="E50">
        <v>118</v>
      </c>
      <c r="F50">
        <v>1</v>
      </c>
      <c r="G50">
        <v>1</v>
      </c>
      <c r="H50">
        <v>1</v>
      </c>
      <c r="I50" t="s">
        <v>447</v>
      </c>
      <c r="J50" t="s">
        <v>3</v>
      </c>
      <c r="K50" t="s">
        <v>448</v>
      </c>
      <c r="L50">
        <v>1191</v>
      </c>
      <c r="N50">
        <v>1013</v>
      </c>
      <c r="O50" t="s">
        <v>382</v>
      </c>
      <c r="P50" t="s">
        <v>382</v>
      </c>
      <c r="Q50">
        <v>1</v>
      </c>
      <c r="X50">
        <v>0.5</v>
      </c>
      <c r="Y50">
        <v>0</v>
      </c>
      <c r="Z50">
        <v>0</v>
      </c>
      <c r="AA50">
        <v>0</v>
      </c>
      <c r="AB50">
        <v>741.99</v>
      </c>
      <c r="AC50">
        <v>0</v>
      </c>
      <c r="AD50">
        <v>1</v>
      </c>
      <c r="AE50">
        <v>1</v>
      </c>
      <c r="AF50" t="s">
        <v>3</v>
      </c>
      <c r="AG50">
        <v>0.5</v>
      </c>
      <c r="AH50">
        <v>2</v>
      </c>
      <c r="AI50">
        <v>52718670</v>
      </c>
      <c r="AJ50">
        <v>50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ROW(Source!A65)</f>
        <v>65</v>
      </c>
      <c r="B51">
        <v>52718676</v>
      </c>
      <c r="C51">
        <v>52718669</v>
      </c>
      <c r="D51">
        <v>51248525</v>
      </c>
      <c r="E51">
        <v>1</v>
      </c>
      <c r="F51">
        <v>1</v>
      </c>
      <c r="G51">
        <v>1</v>
      </c>
      <c r="H51">
        <v>3</v>
      </c>
      <c r="I51" t="s">
        <v>405</v>
      </c>
      <c r="J51" t="s">
        <v>406</v>
      </c>
      <c r="K51" t="s">
        <v>407</v>
      </c>
      <c r="L51">
        <v>1348</v>
      </c>
      <c r="N51">
        <v>1009</v>
      </c>
      <c r="O51" t="s">
        <v>126</v>
      </c>
      <c r="P51" t="s">
        <v>126</v>
      </c>
      <c r="Q51">
        <v>1000</v>
      </c>
      <c r="X51">
        <v>1.0000000000000001E-5</v>
      </c>
      <c r="Y51">
        <v>99190.96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 t="s">
        <v>3</v>
      </c>
      <c r="AG51">
        <v>1.0000000000000001E-5</v>
      </c>
      <c r="AH51">
        <v>2</v>
      </c>
      <c r="AI51">
        <v>52718671</v>
      </c>
      <c r="AJ51">
        <v>51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ROW(Source!A65)</f>
        <v>65</v>
      </c>
      <c r="B52">
        <v>52718677</v>
      </c>
      <c r="C52">
        <v>52718669</v>
      </c>
      <c r="D52">
        <v>51250028</v>
      </c>
      <c r="E52">
        <v>1</v>
      </c>
      <c r="F52">
        <v>1</v>
      </c>
      <c r="G52">
        <v>1</v>
      </c>
      <c r="H52">
        <v>3</v>
      </c>
      <c r="I52" t="s">
        <v>449</v>
      </c>
      <c r="J52" t="s">
        <v>450</v>
      </c>
      <c r="K52" t="s">
        <v>451</v>
      </c>
      <c r="L52">
        <v>1348</v>
      </c>
      <c r="N52">
        <v>1009</v>
      </c>
      <c r="O52" t="s">
        <v>126</v>
      </c>
      <c r="P52" t="s">
        <v>126</v>
      </c>
      <c r="Q52">
        <v>1000</v>
      </c>
      <c r="X52">
        <v>5.0000000000000002E-5</v>
      </c>
      <c r="Y52">
        <v>4338.2700000000004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 t="s">
        <v>3</v>
      </c>
      <c r="AG52">
        <v>5.0000000000000002E-5</v>
      </c>
      <c r="AH52">
        <v>2</v>
      </c>
      <c r="AI52">
        <v>52718672</v>
      </c>
      <c r="AJ52">
        <v>52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ROW(Source!A65)</f>
        <v>65</v>
      </c>
      <c r="B53">
        <v>52718678</v>
      </c>
      <c r="C53">
        <v>52718669</v>
      </c>
      <c r="D53">
        <v>51255393</v>
      </c>
      <c r="E53">
        <v>1</v>
      </c>
      <c r="F53">
        <v>1</v>
      </c>
      <c r="G53">
        <v>1</v>
      </c>
      <c r="H53">
        <v>3</v>
      </c>
      <c r="I53" t="s">
        <v>452</v>
      </c>
      <c r="J53" t="s">
        <v>453</v>
      </c>
      <c r="K53" t="s">
        <v>454</v>
      </c>
      <c r="L53">
        <v>1348</v>
      </c>
      <c r="N53">
        <v>1009</v>
      </c>
      <c r="O53" t="s">
        <v>126</v>
      </c>
      <c r="P53" t="s">
        <v>126</v>
      </c>
      <c r="Q53">
        <v>1000</v>
      </c>
      <c r="X53">
        <v>1.0000000000000001E-5</v>
      </c>
      <c r="Y53">
        <v>87245.7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0</v>
      </c>
      <c r="AF53" t="s">
        <v>3</v>
      </c>
      <c r="AG53">
        <v>1.0000000000000001E-5</v>
      </c>
      <c r="AH53">
        <v>2</v>
      </c>
      <c r="AI53">
        <v>52718673</v>
      </c>
      <c r="AJ53">
        <v>53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ROW(Source!A65)</f>
        <v>65</v>
      </c>
      <c r="B54">
        <v>52718679</v>
      </c>
      <c r="C54">
        <v>52718669</v>
      </c>
      <c r="D54">
        <v>51176163</v>
      </c>
      <c r="E54">
        <v>118</v>
      </c>
      <c r="F54">
        <v>1</v>
      </c>
      <c r="G54">
        <v>1</v>
      </c>
      <c r="H54">
        <v>3</v>
      </c>
      <c r="I54" t="s">
        <v>25</v>
      </c>
      <c r="J54" t="s">
        <v>3</v>
      </c>
      <c r="K54" t="s">
        <v>26</v>
      </c>
      <c r="L54">
        <v>3277935</v>
      </c>
      <c r="N54">
        <v>1013</v>
      </c>
      <c r="O54" t="s">
        <v>27</v>
      </c>
      <c r="P54" t="s">
        <v>27</v>
      </c>
      <c r="Q54">
        <v>1</v>
      </c>
      <c r="X54">
        <v>2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 t="s">
        <v>3</v>
      </c>
      <c r="AG54">
        <v>2</v>
      </c>
      <c r="AH54">
        <v>2</v>
      </c>
      <c r="AI54">
        <v>52718674</v>
      </c>
      <c r="AJ54">
        <v>54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ROW(Source!A70)</f>
        <v>70</v>
      </c>
      <c r="B55">
        <v>52718694</v>
      </c>
      <c r="C55">
        <v>52718684</v>
      </c>
      <c r="D55">
        <v>51169938</v>
      </c>
      <c r="E55">
        <v>118</v>
      </c>
      <c r="F55">
        <v>1</v>
      </c>
      <c r="G55">
        <v>1</v>
      </c>
      <c r="H55">
        <v>1</v>
      </c>
      <c r="I55" t="s">
        <v>434</v>
      </c>
      <c r="J55" t="s">
        <v>3</v>
      </c>
      <c r="K55" t="s">
        <v>435</v>
      </c>
      <c r="L55">
        <v>1191</v>
      </c>
      <c r="N55">
        <v>1013</v>
      </c>
      <c r="O55" t="s">
        <v>382</v>
      </c>
      <c r="P55" t="s">
        <v>382</v>
      </c>
      <c r="Q55">
        <v>1</v>
      </c>
      <c r="X55">
        <v>30.48</v>
      </c>
      <c r="Y55">
        <v>0</v>
      </c>
      <c r="Z55">
        <v>0</v>
      </c>
      <c r="AA55">
        <v>0</v>
      </c>
      <c r="AB55">
        <v>752.9</v>
      </c>
      <c r="AC55">
        <v>0</v>
      </c>
      <c r="AD55">
        <v>1</v>
      </c>
      <c r="AE55">
        <v>1</v>
      </c>
      <c r="AF55" t="s">
        <v>3</v>
      </c>
      <c r="AG55">
        <v>30.48</v>
      </c>
      <c r="AH55">
        <v>2</v>
      </c>
      <c r="AI55">
        <v>52718685</v>
      </c>
      <c r="AJ55">
        <v>55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ROW(Source!A70)</f>
        <v>70</v>
      </c>
      <c r="B56">
        <v>52718695</v>
      </c>
      <c r="C56">
        <v>52718684</v>
      </c>
      <c r="D56">
        <v>51170109</v>
      </c>
      <c r="E56">
        <v>118</v>
      </c>
      <c r="F56">
        <v>1</v>
      </c>
      <c r="G56">
        <v>1</v>
      </c>
      <c r="H56">
        <v>1</v>
      </c>
      <c r="I56" t="s">
        <v>380</v>
      </c>
      <c r="J56" t="s">
        <v>3</v>
      </c>
      <c r="K56" t="s">
        <v>381</v>
      </c>
      <c r="L56">
        <v>1191</v>
      </c>
      <c r="N56">
        <v>1013</v>
      </c>
      <c r="O56" t="s">
        <v>382</v>
      </c>
      <c r="P56" t="s">
        <v>382</v>
      </c>
      <c r="Q56">
        <v>1</v>
      </c>
      <c r="X56">
        <v>0.05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2</v>
      </c>
      <c r="AF56" t="s">
        <v>3</v>
      </c>
      <c r="AG56">
        <v>0.05</v>
      </c>
      <c r="AH56">
        <v>2</v>
      </c>
      <c r="AI56">
        <v>52718686</v>
      </c>
      <c r="AJ56">
        <v>56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ROW(Source!A70)</f>
        <v>70</v>
      </c>
      <c r="B57">
        <v>52718696</v>
      </c>
      <c r="C57">
        <v>52718684</v>
      </c>
      <c r="D57">
        <v>51296566</v>
      </c>
      <c r="E57">
        <v>1</v>
      </c>
      <c r="F57">
        <v>1</v>
      </c>
      <c r="G57">
        <v>1</v>
      </c>
      <c r="H57">
        <v>2</v>
      </c>
      <c r="I57" t="s">
        <v>410</v>
      </c>
      <c r="J57" t="s">
        <v>411</v>
      </c>
      <c r="K57" t="s">
        <v>412</v>
      </c>
      <c r="L57">
        <v>1368</v>
      </c>
      <c r="N57">
        <v>1011</v>
      </c>
      <c r="O57" t="s">
        <v>386</v>
      </c>
      <c r="P57" t="s">
        <v>386</v>
      </c>
      <c r="Q57">
        <v>1</v>
      </c>
      <c r="X57">
        <v>0.03</v>
      </c>
      <c r="Y57">
        <v>0</v>
      </c>
      <c r="Z57">
        <v>1585.56</v>
      </c>
      <c r="AA57">
        <v>982.04</v>
      </c>
      <c r="AB57">
        <v>0</v>
      </c>
      <c r="AC57">
        <v>0</v>
      </c>
      <c r="AD57">
        <v>1</v>
      </c>
      <c r="AE57">
        <v>0</v>
      </c>
      <c r="AF57" t="s">
        <v>3</v>
      </c>
      <c r="AG57">
        <v>0.03</v>
      </c>
      <c r="AH57">
        <v>2</v>
      </c>
      <c r="AI57">
        <v>52718687</v>
      </c>
      <c r="AJ57">
        <v>57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ROW(Source!A70)</f>
        <v>70</v>
      </c>
      <c r="B58">
        <v>52718697</v>
      </c>
      <c r="C58">
        <v>52718684</v>
      </c>
      <c r="D58">
        <v>51297468</v>
      </c>
      <c r="E58">
        <v>1</v>
      </c>
      <c r="F58">
        <v>1</v>
      </c>
      <c r="G58">
        <v>1</v>
      </c>
      <c r="H58">
        <v>2</v>
      </c>
      <c r="I58" t="s">
        <v>383</v>
      </c>
      <c r="J58" t="s">
        <v>384</v>
      </c>
      <c r="K58" t="s">
        <v>385</v>
      </c>
      <c r="L58">
        <v>1368</v>
      </c>
      <c r="N58">
        <v>1011</v>
      </c>
      <c r="O58" t="s">
        <v>386</v>
      </c>
      <c r="P58" t="s">
        <v>386</v>
      </c>
      <c r="Q58">
        <v>1</v>
      </c>
      <c r="X58">
        <v>0.02</v>
      </c>
      <c r="Y58">
        <v>0</v>
      </c>
      <c r="Z58">
        <v>544.91999999999996</v>
      </c>
      <c r="AA58">
        <v>731.08</v>
      </c>
      <c r="AB58">
        <v>0</v>
      </c>
      <c r="AC58">
        <v>0</v>
      </c>
      <c r="AD58">
        <v>1</v>
      </c>
      <c r="AE58">
        <v>0</v>
      </c>
      <c r="AF58" t="s">
        <v>3</v>
      </c>
      <c r="AG58">
        <v>0.02</v>
      </c>
      <c r="AH58">
        <v>2</v>
      </c>
      <c r="AI58">
        <v>52718688</v>
      </c>
      <c r="AJ58">
        <v>58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ROW(Source!A70)</f>
        <v>70</v>
      </c>
      <c r="B59">
        <v>52718698</v>
      </c>
      <c r="C59">
        <v>52718684</v>
      </c>
      <c r="D59">
        <v>51246841</v>
      </c>
      <c r="E59">
        <v>1</v>
      </c>
      <c r="F59">
        <v>1</v>
      </c>
      <c r="G59">
        <v>1</v>
      </c>
      <c r="H59">
        <v>3</v>
      </c>
      <c r="I59" t="s">
        <v>414</v>
      </c>
      <c r="J59" t="s">
        <v>415</v>
      </c>
      <c r="K59" t="s">
        <v>416</v>
      </c>
      <c r="L59">
        <v>1301</v>
      </c>
      <c r="N59">
        <v>1003</v>
      </c>
      <c r="O59" t="s">
        <v>31</v>
      </c>
      <c r="P59" t="s">
        <v>31</v>
      </c>
      <c r="Q59">
        <v>1</v>
      </c>
      <c r="X59">
        <v>35</v>
      </c>
      <c r="Y59">
        <v>5.87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0</v>
      </c>
      <c r="AF59" t="s">
        <v>3</v>
      </c>
      <c r="AG59">
        <v>35</v>
      </c>
      <c r="AH59">
        <v>2</v>
      </c>
      <c r="AI59">
        <v>52718689</v>
      </c>
      <c r="AJ59">
        <v>59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ROW(Source!A70)</f>
        <v>70</v>
      </c>
      <c r="B60">
        <v>52718699</v>
      </c>
      <c r="C60">
        <v>52718684</v>
      </c>
      <c r="D60">
        <v>51248180</v>
      </c>
      <c r="E60">
        <v>1</v>
      </c>
      <c r="F60">
        <v>1</v>
      </c>
      <c r="G60">
        <v>1</v>
      </c>
      <c r="H60">
        <v>3</v>
      </c>
      <c r="I60" t="s">
        <v>455</v>
      </c>
      <c r="J60" t="s">
        <v>456</v>
      </c>
      <c r="K60" t="s">
        <v>457</v>
      </c>
      <c r="L60">
        <v>1346</v>
      </c>
      <c r="N60">
        <v>1009</v>
      </c>
      <c r="O60" t="s">
        <v>424</v>
      </c>
      <c r="P60" t="s">
        <v>424</v>
      </c>
      <c r="Q60">
        <v>1</v>
      </c>
      <c r="X60">
        <v>1.5</v>
      </c>
      <c r="Y60">
        <v>174.93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0</v>
      </c>
      <c r="AF60" t="s">
        <v>3</v>
      </c>
      <c r="AG60">
        <v>1.5</v>
      </c>
      <c r="AH60">
        <v>2</v>
      </c>
      <c r="AI60">
        <v>52718690</v>
      </c>
      <c r="AJ60">
        <v>60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ROW(Source!A70)</f>
        <v>70</v>
      </c>
      <c r="B61">
        <v>52718700</v>
      </c>
      <c r="C61">
        <v>52718684</v>
      </c>
      <c r="D61">
        <v>51250028</v>
      </c>
      <c r="E61">
        <v>1</v>
      </c>
      <c r="F61">
        <v>1</v>
      </c>
      <c r="G61">
        <v>1</v>
      </c>
      <c r="H61">
        <v>3</v>
      </c>
      <c r="I61" t="s">
        <v>449</v>
      </c>
      <c r="J61" t="s">
        <v>450</v>
      </c>
      <c r="K61" t="s">
        <v>451</v>
      </c>
      <c r="L61">
        <v>1348</v>
      </c>
      <c r="N61">
        <v>1009</v>
      </c>
      <c r="O61" t="s">
        <v>126</v>
      </c>
      <c r="P61" t="s">
        <v>126</v>
      </c>
      <c r="Q61">
        <v>1000</v>
      </c>
      <c r="X61">
        <v>3.15E-3</v>
      </c>
      <c r="Y61">
        <v>4338.2700000000004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 t="s">
        <v>3</v>
      </c>
      <c r="AG61">
        <v>3.15E-3</v>
      </c>
      <c r="AH61">
        <v>2</v>
      </c>
      <c r="AI61">
        <v>52718691</v>
      </c>
      <c r="AJ61">
        <v>61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ROW(Source!A70)</f>
        <v>70</v>
      </c>
      <c r="B62">
        <v>52718701</v>
      </c>
      <c r="C62">
        <v>52718684</v>
      </c>
      <c r="D62">
        <v>51273688</v>
      </c>
      <c r="E62">
        <v>1</v>
      </c>
      <c r="F62">
        <v>1</v>
      </c>
      <c r="G62">
        <v>1</v>
      </c>
      <c r="H62">
        <v>3</v>
      </c>
      <c r="I62" t="s">
        <v>458</v>
      </c>
      <c r="J62" t="s">
        <v>459</v>
      </c>
      <c r="K62" t="s">
        <v>460</v>
      </c>
      <c r="L62">
        <v>1407</v>
      </c>
      <c r="N62">
        <v>1013</v>
      </c>
      <c r="O62" t="s">
        <v>404</v>
      </c>
      <c r="P62" t="s">
        <v>404</v>
      </c>
      <c r="Q62">
        <v>1</v>
      </c>
      <c r="X62">
        <v>0.10199999999999999</v>
      </c>
      <c r="Y62">
        <v>3658.94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0</v>
      </c>
      <c r="AF62" t="s">
        <v>3</v>
      </c>
      <c r="AG62">
        <v>0.10199999999999999</v>
      </c>
      <c r="AH62">
        <v>2</v>
      </c>
      <c r="AI62">
        <v>52718692</v>
      </c>
      <c r="AJ62">
        <v>62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ROW(Source!A70)</f>
        <v>70</v>
      </c>
      <c r="B63">
        <v>52718702</v>
      </c>
      <c r="C63">
        <v>52718684</v>
      </c>
      <c r="D63">
        <v>51176163</v>
      </c>
      <c r="E63">
        <v>118</v>
      </c>
      <c r="F63">
        <v>1</v>
      </c>
      <c r="G63">
        <v>1</v>
      </c>
      <c r="H63">
        <v>3</v>
      </c>
      <c r="I63" t="s">
        <v>25</v>
      </c>
      <c r="J63" t="s">
        <v>3</v>
      </c>
      <c r="K63" t="s">
        <v>26</v>
      </c>
      <c r="L63">
        <v>3277935</v>
      </c>
      <c r="N63">
        <v>1013</v>
      </c>
      <c r="O63" t="s">
        <v>27</v>
      </c>
      <c r="P63" t="s">
        <v>27</v>
      </c>
      <c r="Q63">
        <v>1</v>
      </c>
      <c r="X63">
        <v>2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 t="s">
        <v>3</v>
      </c>
      <c r="AG63">
        <v>2</v>
      </c>
      <c r="AH63">
        <v>2</v>
      </c>
      <c r="AI63">
        <v>52718693</v>
      </c>
      <c r="AJ63">
        <v>63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ROW(Source!A74)</f>
        <v>74</v>
      </c>
      <c r="B64">
        <v>52718716</v>
      </c>
      <c r="C64">
        <v>52718706</v>
      </c>
      <c r="D64">
        <v>51169926</v>
      </c>
      <c r="E64">
        <v>118</v>
      </c>
      <c r="F64">
        <v>1</v>
      </c>
      <c r="G64">
        <v>1</v>
      </c>
      <c r="H64">
        <v>1</v>
      </c>
      <c r="I64" t="s">
        <v>408</v>
      </c>
      <c r="J64" t="s">
        <v>3</v>
      </c>
      <c r="K64" t="s">
        <v>409</v>
      </c>
      <c r="L64">
        <v>1191</v>
      </c>
      <c r="N64">
        <v>1013</v>
      </c>
      <c r="O64" t="s">
        <v>382</v>
      </c>
      <c r="P64" t="s">
        <v>382</v>
      </c>
      <c r="Q64">
        <v>1</v>
      </c>
      <c r="X64">
        <v>16.5</v>
      </c>
      <c r="Y64">
        <v>0</v>
      </c>
      <c r="Z64">
        <v>0</v>
      </c>
      <c r="AA64">
        <v>0</v>
      </c>
      <c r="AB64">
        <v>714.71</v>
      </c>
      <c r="AC64">
        <v>0</v>
      </c>
      <c r="AD64">
        <v>1</v>
      </c>
      <c r="AE64">
        <v>1</v>
      </c>
      <c r="AF64" t="s">
        <v>3</v>
      </c>
      <c r="AG64">
        <v>16.5</v>
      </c>
      <c r="AH64">
        <v>2</v>
      </c>
      <c r="AI64">
        <v>52718707</v>
      </c>
      <c r="AJ64">
        <v>64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ROW(Source!A74)</f>
        <v>74</v>
      </c>
      <c r="B65">
        <v>52718717</v>
      </c>
      <c r="C65">
        <v>52718706</v>
      </c>
      <c r="D65">
        <v>51170109</v>
      </c>
      <c r="E65">
        <v>118</v>
      </c>
      <c r="F65">
        <v>1</v>
      </c>
      <c r="G65">
        <v>1</v>
      </c>
      <c r="H65">
        <v>1</v>
      </c>
      <c r="I65" t="s">
        <v>380</v>
      </c>
      <c r="J65" t="s">
        <v>3</v>
      </c>
      <c r="K65" t="s">
        <v>381</v>
      </c>
      <c r="L65">
        <v>1191</v>
      </c>
      <c r="N65">
        <v>1013</v>
      </c>
      <c r="O65" t="s">
        <v>382</v>
      </c>
      <c r="P65" t="s">
        <v>382</v>
      </c>
      <c r="Q65">
        <v>1</v>
      </c>
      <c r="X65">
        <v>0.34</v>
      </c>
      <c r="Y65">
        <v>0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2</v>
      </c>
      <c r="AF65" t="s">
        <v>3</v>
      </c>
      <c r="AG65">
        <v>0.34</v>
      </c>
      <c r="AH65">
        <v>2</v>
      </c>
      <c r="AI65">
        <v>52718708</v>
      </c>
      <c r="AJ65">
        <v>65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ROW(Source!A74)</f>
        <v>74</v>
      </c>
      <c r="B66">
        <v>52718718</v>
      </c>
      <c r="C66">
        <v>52718706</v>
      </c>
      <c r="D66">
        <v>51296566</v>
      </c>
      <c r="E66">
        <v>1</v>
      </c>
      <c r="F66">
        <v>1</v>
      </c>
      <c r="G66">
        <v>1</v>
      </c>
      <c r="H66">
        <v>2</v>
      </c>
      <c r="I66" t="s">
        <v>410</v>
      </c>
      <c r="J66" t="s">
        <v>411</v>
      </c>
      <c r="K66" t="s">
        <v>412</v>
      </c>
      <c r="L66">
        <v>1368</v>
      </c>
      <c r="N66">
        <v>1011</v>
      </c>
      <c r="O66" t="s">
        <v>386</v>
      </c>
      <c r="P66" t="s">
        <v>386</v>
      </c>
      <c r="Q66">
        <v>1</v>
      </c>
      <c r="X66">
        <v>0.17</v>
      </c>
      <c r="Y66">
        <v>0</v>
      </c>
      <c r="Z66">
        <v>1585.56</v>
      </c>
      <c r="AA66">
        <v>982.04</v>
      </c>
      <c r="AB66">
        <v>0</v>
      </c>
      <c r="AC66">
        <v>0</v>
      </c>
      <c r="AD66">
        <v>1</v>
      </c>
      <c r="AE66">
        <v>0</v>
      </c>
      <c r="AF66" t="s">
        <v>3</v>
      </c>
      <c r="AG66">
        <v>0.17</v>
      </c>
      <c r="AH66">
        <v>2</v>
      </c>
      <c r="AI66">
        <v>52718709</v>
      </c>
      <c r="AJ66">
        <v>66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ROW(Source!A74)</f>
        <v>74</v>
      </c>
      <c r="B67">
        <v>52718719</v>
      </c>
      <c r="C67">
        <v>52718706</v>
      </c>
      <c r="D67">
        <v>51297468</v>
      </c>
      <c r="E67">
        <v>1</v>
      </c>
      <c r="F67">
        <v>1</v>
      </c>
      <c r="G67">
        <v>1</v>
      </c>
      <c r="H67">
        <v>2</v>
      </c>
      <c r="I67" t="s">
        <v>383</v>
      </c>
      <c r="J67" t="s">
        <v>384</v>
      </c>
      <c r="K67" t="s">
        <v>385</v>
      </c>
      <c r="L67">
        <v>1368</v>
      </c>
      <c r="N67">
        <v>1011</v>
      </c>
      <c r="O67" t="s">
        <v>386</v>
      </c>
      <c r="P67" t="s">
        <v>386</v>
      </c>
      <c r="Q67">
        <v>1</v>
      </c>
      <c r="X67">
        <v>0.17</v>
      </c>
      <c r="Y67">
        <v>0</v>
      </c>
      <c r="Z67">
        <v>544.91999999999996</v>
      </c>
      <c r="AA67">
        <v>731.08</v>
      </c>
      <c r="AB67">
        <v>0</v>
      </c>
      <c r="AC67">
        <v>0</v>
      </c>
      <c r="AD67">
        <v>1</v>
      </c>
      <c r="AE67">
        <v>0</v>
      </c>
      <c r="AF67" t="s">
        <v>3</v>
      </c>
      <c r="AG67">
        <v>0.17</v>
      </c>
      <c r="AH67">
        <v>2</v>
      </c>
      <c r="AI67">
        <v>52718710</v>
      </c>
      <c r="AJ67">
        <v>67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ROW(Source!A74)</f>
        <v>74</v>
      </c>
      <c r="B68">
        <v>52718720</v>
      </c>
      <c r="C68">
        <v>52718706</v>
      </c>
      <c r="D68">
        <v>51297665</v>
      </c>
      <c r="E68">
        <v>1</v>
      </c>
      <c r="F68">
        <v>1</v>
      </c>
      <c r="G68">
        <v>1</v>
      </c>
      <c r="H68">
        <v>2</v>
      </c>
      <c r="I68" t="s">
        <v>461</v>
      </c>
      <c r="J68" t="s">
        <v>462</v>
      </c>
      <c r="K68" t="s">
        <v>463</v>
      </c>
      <c r="L68">
        <v>1368</v>
      </c>
      <c r="N68">
        <v>1011</v>
      </c>
      <c r="O68" t="s">
        <v>386</v>
      </c>
      <c r="P68" t="s">
        <v>386</v>
      </c>
      <c r="Q68">
        <v>1</v>
      </c>
      <c r="X68">
        <v>2.9</v>
      </c>
      <c r="Y68">
        <v>0</v>
      </c>
      <c r="Z68">
        <v>32.24</v>
      </c>
      <c r="AA68">
        <v>0</v>
      </c>
      <c r="AB68">
        <v>0</v>
      </c>
      <c r="AC68">
        <v>0</v>
      </c>
      <c r="AD68">
        <v>1</v>
      </c>
      <c r="AE68">
        <v>0</v>
      </c>
      <c r="AF68" t="s">
        <v>3</v>
      </c>
      <c r="AG68">
        <v>2.9</v>
      </c>
      <c r="AH68">
        <v>2</v>
      </c>
      <c r="AI68">
        <v>52718711</v>
      </c>
      <c r="AJ68">
        <v>68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ROW(Source!A74)</f>
        <v>74</v>
      </c>
      <c r="B69">
        <v>52718721</v>
      </c>
      <c r="C69">
        <v>52718706</v>
      </c>
      <c r="D69">
        <v>51247427</v>
      </c>
      <c r="E69">
        <v>1</v>
      </c>
      <c r="F69">
        <v>1</v>
      </c>
      <c r="G69">
        <v>1</v>
      </c>
      <c r="H69">
        <v>3</v>
      </c>
      <c r="I69" t="s">
        <v>464</v>
      </c>
      <c r="J69" t="s">
        <v>465</v>
      </c>
      <c r="K69" t="s">
        <v>466</v>
      </c>
      <c r="L69">
        <v>1346</v>
      </c>
      <c r="N69">
        <v>1009</v>
      </c>
      <c r="O69" t="s">
        <v>424</v>
      </c>
      <c r="P69" t="s">
        <v>424</v>
      </c>
      <c r="Q69">
        <v>1</v>
      </c>
      <c r="X69">
        <v>0.55000000000000004</v>
      </c>
      <c r="Y69">
        <v>155.63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 t="s">
        <v>3</v>
      </c>
      <c r="AG69">
        <v>0.55000000000000004</v>
      </c>
      <c r="AH69">
        <v>2</v>
      </c>
      <c r="AI69">
        <v>52718712</v>
      </c>
      <c r="AJ69">
        <v>69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ROW(Source!A74)</f>
        <v>74</v>
      </c>
      <c r="B70">
        <v>52718722</v>
      </c>
      <c r="C70">
        <v>52718706</v>
      </c>
      <c r="D70">
        <v>51255512</v>
      </c>
      <c r="E70">
        <v>1</v>
      </c>
      <c r="F70">
        <v>1</v>
      </c>
      <c r="G70">
        <v>1</v>
      </c>
      <c r="H70">
        <v>3</v>
      </c>
      <c r="I70" t="s">
        <v>467</v>
      </c>
      <c r="J70" t="s">
        <v>468</v>
      </c>
      <c r="K70" t="s">
        <v>469</v>
      </c>
      <c r="L70">
        <v>1348</v>
      </c>
      <c r="N70">
        <v>1009</v>
      </c>
      <c r="O70" t="s">
        <v>126</v>
      </c>
      <c r="P70" t="s">
        <v>126</v>
      </c>
      <c r="Q70">
        <v>1000</v>
      </c>
      <c r="X70">
        <v>4.0000000000000001E-3</v>
      </c>
      <c r="Y70">
        <v>46972.89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0</v>
      </c>
      <c r="AF70" t="s">
        <v>3</v>
      </c>
      <c r="AG70">
        <v>4.0000000000000001E-3</v>
      </c>
      <c r="AH70">
        <v>2</v>
      </c>
      <c r="AI70">
        <v>52718713</v>
      </c>
      <c r="AJ70">
        <v>70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ROW(Source!A74)</f>
        <v>74</v>
      </c>
      <c r="B71">
        <v>52718723</v>
      </c>
      <c r="C71">
        <v>52718706</v>
      </c>
      <c r="D71">
        <v>51265635</v>
      </c>
      <c r="E71">
        <v>1</v>
      </c>
      <c r="F71">
        <v>1</v>
      </c>
      <c r="G71">
        <v>1</v>
      </c>
      <c r="H71">
        <v>3</v>
      </c>
      <c r="I71" t="s">
        <v>470</v>
      </c>
      <c r="J71" t="s">
        <v>471</v>
      </c>
      <c r="K71" t="s">
        <v>472</v>
      </c>
      <c r="L71">
        <v>1346</v>
      </c>
      <c r="N71">
        <v>1009</v>
      </c>
      <c r="O71" t="s">
        <v>424</v>
      </c>
      <c r="P71" t="s">
        <v>424</v>
      </c>
      <c r="Q71">
        <v>1</v>
      </c>
      <c r="X71">
        <v>2</v>
      </c>
      <c r="Y71">
        <v>1343.91</v>
      </c>
      <c r="Z71">
        <v>0</v>
      </c>
      <c r="AA71">
        <v>0</v>
      </c>
      <c r="AB71">
        <v>0</v>
      </c>
      <c r="AC71">
        <v>0</v>
      </c>
      <c r="AD71">
        <v>1</v>
      </c>
      <c r="AE71">
        <v>0</v>
      </c>
      <c r="AF71" t="s">
        <v>3</v>
      </c>
      <c r="AG71">
        <v>2</v>
      </c>
      <c r="AH71">
        <v>2</v>
      </c>
      <c r="AI71">
        <v>52718714</v>
      </c>
      <c r="AJ71">
        <v>71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ROW(Source!A74)</f>
        <v>74</v>
      </c>
      <c r="B72">
        <v>52718724</v>
      </c>
      <c r="C72">
        <v>52718706</v>
      </c>
      <c r="D72">
        <v>51176163</v>
      </c>
      <c r="E72">
        <v>118</v>
      </c>
      <c r="F72">
        <v>1</v>
      </c>
      <c r="G72">
        <v>1</v>
      </c>
      <c r="H72">
        <v>3</v>
      </c>
      <c r="I72" t="s">
        <v>25</v>
      </c>
      <c r="J72" t="s">
        <v>3</v>
      </c>
      <c r="K72" t="s">
        <v>26</v>
      </c>
      <c r="L72">
        <v>3277935</v>
      </c>
      <c r="N72">
        <v>1013</v>
      </c>
      <c r="O72" t="s">
        <v>27</v>
      </c>
      <c r="P72" t="s">
        <v>27</v>
      </c>
      <c r="Q72">
        <v>1</v>
      </c>
      <c r="X72">
        <v>2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 t="s">
        <v>3</v>
      </c>
      <c r="AG72">
        <v>2</v>
      </c>
      <c r="AH72">
        <v>2</v>
      </c>
      <c r="AI72">
        <v>52718715</v>
      </c>
      <c r="AJ72">
        <v>72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ROW(Source!A77)</f>
        <v>77</v>
      </c>
      <c r="B73">
        <v>52718743</v>
      </c>
      <c r="C73">
        <v>52718727</v>
      </c>
      <c r="D73">
        <v>51169928</v>
      </c>
      <c r="E73">
        <v>118</v>
      </c>
      <c r="F73">
        <v>1</v>
      </c>
      <c r="G73">
        <v>1</v>
      </c>
      <c r="H73">
        <v>1</v>
      </c>
      <c r="I73" t="s">
        <v>395</v>
      </c>
      <c r="J73" t="s">
        <v>3</v>
      </c>
      <c r="K73" t="s">
        <v>396</v>
      </c>
      <c r="L73">
        <v>1191</v>
      </c>
      <c r="N73">
        <v>1013</v>
      </c>
      <c r="O73" t="s">
        <v>382</v>
      </c>
      <c r="P73" t="s">
        <v>382</v>
      </c>
      <c r="Q73">
        <v>1</v>
      </c>
      <c r="X73">
        <v>1.34</v>
      </c>
      <c r="Y73">
        <v>0</v>
      </c>
      <c r="Z73">
        <v>0</v>
      </c>
      <c r="AA73">
        <v>0</v>
      </c>
      <c r="AB73">
        <v>722.89</v>
      </c>
      <c r="AC73">
        <v>0</v>
      </c>
      <c r="AD73">
        <v>1</v>
      </c>
      <c r="AE73">
        <v>1</v>
      </c>
      <c r="AF73" t="s">
        <v>3</v>
      </c>
      <c r="AG73">
        <v>1.34</v>
      </c>
      <c r="AH73">
        <v>2</v>
      </c>
      <c r="AI73">
        <v>52718739</v>
      </c>
      <c r="AJ73">
        <v>73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ROW(Source!A77)</f>
        <v>77</v>
      </c>
      <c r="B74">
        <v>52718744</v>
      </c>
      <c r="C74">
        <v>52718727</v>
      </c>
      <c r="D74">
        <v>51297665</v>
      </c>
      <c r="E74">
        <v>1</v>
      </c>
      <c r="F74">
        <v>1</v>
      </c>
      <c r="G74">
        <v>1</v>
      </c>
      <c r="H74">
        <v>2</v>
      </c>
      <c r="I74" t="s">
        <v>461</v>
      </c>
      <c r="J74" t="s">
        <v>462</v>
      </c>
      <c r="K74" t="s">
        <v>463</v>
      </c>
      <c r="L74">
        <v>1368</v>
      </c>
      <c r="N74">
        <v>1011</v>
      </c>
      <c r="O74" t="s">
        <v>386</v>
      </c>
      <c r="P74" t="s">
        <v>386</v>
      </c>
      <c r="Q74">
        <v>1</v>
      </c>
      <c r="X74">
        <v>0.108</v>
      </c>
      <c r="Y74">
        <v>0</v>
      </c>
      <c r="Z74">
        <v>32.24</v>
      </c>
      <c r="AA74">
        <v>0</v>
      </c>
      <c r="AB74">
        <v>0</v>
      </c>
      <c r="AC74">
        <v>0</v>
      </c>
      <c r="AD74">
        <v>1</v>
      </c>
      <c r="AE74">
        <v>0</v>
      </c>
      <c r="AF74" t="s">
        <v>3</v>
      </c>
      <c r="AG74">
        <v>0.108</v>
      </c>
      <c r="AH74">
        <v>2</v>
      </c>
      <c r="AI74">
        <v>52718740</v>
      </c>
      <c r="AJ74">
        <v>74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ROW(Source!A77)</f>
        <v>77</v>
      </c>
      <c r="B75">
        <v>52718745</v>
      </c>
      <c r="C75">
        <v>52718727</v>
      </c>
      <c r="D75">
        <v>51244639</v>
      </c>
      <c r="E75">
        <v>1</v>
      </c>
      <c r="F75">
        <v>1</v>
      </c>
      <c r="G75">
        <v>1</v>
      </c>
      <c r="H75">
        <v>3</v>
      </c>
      <c r="I75" t="s">
        <v>473</v>
      </c>
      <c r="J75" t="s">
        <v>474</v>
      </c>
      <c r="K75" t="s">
        <v>475</v>
      </c>
      <c r="L75">
        <v>1346</v>
      </c>
      <c r="N75">
        <v>1009</v>
      </c>
      <c r="O75" t="s">
        <v>424</v>
      </c>
      <c r="P75" t="s">
        <v>424</v>
      </c>
      <c r="Q75">
        <v>1</v>
      </c>
      <c r="X75">
        <v>6.0000000000000001E-3</v>
      </c>
      <c r="Y75">
        <v>150.04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0</v>
      </c>
      <c r="AF75" t="s">
        <v>3</v>
      </c>
      <c r="AG75">
        <v>6.0000000000000001E-3</v>
      </c>
      <c r="AH75">
        <v>2</v>
      </c>
      <c r="AI75">
        <v>52718741</v>
      </c>
      <c r="AJ75">
        <v>75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ROW(Source!A77)</f>
        <v>77</v>
      </c>
      <c r="B76">
        <v>52718746</v>
      </c>
      <c r="C76">
        <v>52718727</v>
      </c>
      <c r="D76">
        <v>51246661</v>
      </c>
      <c r="E76">
        <v>1</v>
      </c>
      <c r="F76">
        <v>1</v>
      </c>
      <c r="G76">
        <v>1</v>
      </c>
      <c r="H76">
        <v>3</v>
      </c>
      <c r="I76" t="s">
        <v>476</v>
      </c>
      <c r="J76" t="s">
        <v>477</v>
      </c>
      <c r="K76" t="s">
        <v>478</v>
      </c>
      <c r="L76">
        <v>1346</v>
      </c>
      <c r="N76">
        <v>1009</v>
      </c>
      <c r="O76" t="s">
        <v>424</v>
      </c>
      <c r="P76" t="s">
        <v>424</v>
      </c>
      <c r="Q76">
        <v>1</v>
      </c>
      <c r="X76">
        <v>1E-3</v>
      </c>
      <c r="Y76">
        <v>187.38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0</v>
      </c>
      <c r="AF76" t="s">
        <v>3</v>
      </c>
      <c r="AG76">
        <v>1E-3</v>
      </c>
      <c r="AH76">
        <v>2</v>
      </c>
      <c r="AI76">
        <v>52718742</v>
      </c>
      <c r="AJ76">
        <v>76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ROW(Source!A77)</f>
        <v>77</v>
      </c>
      <c r="B77">
        <v>52718747</v>
      </c>
      <c r="C77">
        <v>52718727</v>
      </c>
      <c r="D77">
        <v>51246685</v>
      </c>
      <c r="E77">
        <v>1</v>
      </c>
      <c r="F77">
        <v>1</v>
      </c>
      <c r="G77">
        <v>1</v>
      </c>
      <c r="H77">
        <v>3</v>
      </c>
      <c r="I77" t="s">
        <v>388</v>
      </c>
      <c r="J77" t="s">
        <v>389</v>
      </c>
      <c r="K77" t="s">
        <v>390</v>
      </c>
      <c r="L77">
        <v>1383</v>
      </c>
      <c r="N77">
        <v>1013</v>
      </c>
      <c r="O77" t="s">
        <v>391</v>
      </c>
      <c r="P77" t="s">
        <v>391</v>
      </c>
      <c r="Q77">
        <v>1</v>
      </c>
      <c r="X77">
        <v>2.0799999999999999E-2</v>
      </c>
      <c r="Y77">
        <v>6.92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0</v>
      </c>
      <c r="AF77" t="s">
        <v>3</v>
      </c>
      <c r="AG77">
        <v>2.0799999999999999E-2</v>
      </c>
      <c r="AH77">
        <v>2</v>
      </c>
      <c r="AI77">
        <v>52718728</v>
      </c>
      <c r="AJ77">
        <v>77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ROW(Source!A77)</f>
        <v>77</v>
      </c>
      <c r="B78">
        <v>52718748</v>
      </c>
      <c r="C78">
        <v>52718727</v>
      </c>
      <c r="D78">
        <v>51246841</v>
      </c>
      <c r="E78">
        <v>1</v>
      </c>
      <c r="F78">
        <v>1</v>
      </c>
      <c r="G78">
        <v>1</v>
      </c>
      <c r="H78">
        <v>3</v>
      </c>
      <c r="I78" t="s">
        <v>414</v>
      </c>
      <c r="J78" t="s">
        <v>415</v>
      </c>
      <c r="K78" t="s">
        <v>416</v>
      </c>
      <c r="L78">
        <v>1301</v>
      </c>
      <c r="N78">
        <v>1003</v>
      </c>
      <c r="O78" t="s">
        <v>31</v>
      </c>
      <c r="P78" t="s">
        <v>31</v>
      </c>
      <c r="Q78">
        <v>1</v>
      </c>
      <c r="X78">
        <v>1</v>
      </c>
      <c r="Y78">
        <v>5.87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 t="s">
        <v>3</v>
      </c>
      <c r="AG78">
        <v>1</v>
      </c>
      <c r="AH78">
        <v>2</v>
      </c>
      <c r="AI78">
        <v>52718729</v>
      </c>
      <c r="AJ78">
        <v>78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ROW(Source!A77)</f>
        <v>77</v>
      </c>
      <c r="B79">
        <v>52718749</v>
      </c>
      <c r="C79">
        <v>52718727</v>
      </c>
      <c r="D79">
        <v>51247427</v>
      </c>
      <c r="E79">
        <v>1</v>
      </c>
      <c r="F79">
        <v>1</v>
      </c>
      <c r="G79">
        <v>1</v>
      </c>
      <c r="H79">
        <v>3</v>
      </c>
      <c r="I79" t="s">
        <v>464</v>
      </c>
      <c r="J79" t="s">
        <v>465</v>
      </c>
      <c r="K79" t="s">
        <v>466</v>
      </c>
      <c r="L79">
        <v>1346</v>
      </c>
      <c r="N79">
        <v>1009</v>
      </c>
      <c r="O79" t="s">
        <v>424</v>
      </c>
      <c r="P79" t="s">
        <v>424</v>
      </c>
      <c r="Q79">
        <v>1</v>
      </c>
      <c r="X79">
        <v>7.0000000000000007E-2</v>
      </c>
      <c r="Y79">
        <v>155.63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 t="s">
        <v>3</v>
      </c>
      <c r="AG79">
        <v>7.0000000000000007E-2</v>
      </c>
      <c r="AH79">
        <v>2</v>
      </c>
      <c r="AI79">
        <v>52718730</v>
      </c>
      <c r="AJ79">
        <v>79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ROW(Source!A77)</f>
        <v>77</v>
      </c>
      <c r="B80">
        <v>52718750</v>
      </c>
      <c r="C80">
        <v>52718727</v>
      </c>
      <c r="D80">
        <v>51248180</v>
      </c>
      <c r="E80">
        <v>1</v>
      </c>
      <c r="F80">
        <v>1</v>
      </c>
      <c r="G80">
        <v>1</v>
      </c>
      <c r="H80">
        <v>3</v>
      </c>
      <c r="I80" t="s">
        <v>455</v>
      </c>
      <c r="J80" t="s">
        <v>456</v>
      </c>
      <c r="K80" t="s">
        <v>457</v>
      </c>
      <c r="L80">
        <v>1346</v>
      </c>
      <c r="N80">
        <v>1009</v>
      </c>
      <c r="O80" t="s">
        <v>424</v>
      </c>
      <c r="P80" t="s">
        <v>424</v>
      </c>
      <c r="Q80">
        <v>1</v>
      </c>
      <c r="X80">
        <v>4.9000000000000002E-2</v>
      </c>
      <c r="Y80">
        <v>174.93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0</v>
      </c>
      <c r="AF80" t="s">
        <v>3</v>
      </c>
      <c r="AG80">
        <v>4.9000000000000002E-2</v>
      </c>
      <c r="AH80">
        <v>2</v>
      </c>
      <c r="AI80">
        <v>52718731</v>
      </c>
      <c r="AJ80">
        <v>80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ROW(Source!A77)</f>
        <v>77</v>
      </c>
      <c r="B81">
        <v>52718751</v>
      </c>
      <c r="C81">
        <v>52718727</v>
      </c>
      <c r="D81">
        <v>51248246</v>
      </c>
      <c r="E81">
        <v>1</v>
      </c>
      <c r="F81">
        <v>1</v>
      </c>
      <c r="G81">
        <v>1</v>
      </c>
      <c r="H81">
        <v>3</v>
      </c>
      <c r="I81" t="s">
        <v>436</v>
      </c>
      <c r="J81" t="s">
        <v>437</v>
      </c>
      <c r="K81" t="s">
        <v>438</v>
      </c>
      <c r="L81">
        <v>1425</v>
      </c>
      <c r="N81">
        <v>1013</v>
      </c>
      <c r="O81" t="s">
        <v>56</v>
      </c>
      <c r="P81" t="s">
        <v>56</v>
      </c>
      <c r="Q81">
        <v>1</v>
      </c>
      <c r="X81">
        <v>1.4E-2</v>
      </c>
      <c r="Y81">
        <v>41.71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0</v>
      </c>
      <c r="AF81" t="s">
        <v>3</v>
      </c>
      <c r="AG81">
        <v>1.4E-2</v>
      </c>
      <c r="AH81">
        <v>2</v>
      </c>
      <c r="AI81">
        <v>52718732</v>
      </c>
      <c r="AJ81">
        <v>81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ROW(Source!A77)</f>
        <v>77</v>
      </c>
      <c r="B82">
        <v>52718752</v>
      </c>
      <c r="C82">
        <v>52718727</v>
      </c>
      <c r="D82">
        <v>51249297</v>
      </c>
      <c r="E82">
        <v>1</v>
      </c>
      <c r="F82">
        <v>1</v>
      </c>
      <c r="G82">
        <v>1</v>
      </c>
      <c r="H82">
        <v>3</v>
      </c>
      <c r="I82" t="s">
        <v>479</v>
      </c>
      <c r="J82" t="s">
        <v>480</v>
      </c>
      <c r="K82" t="s">
        <v>481</v>
      </c>
      <c r="L82">
        <v>1346</v>
      </c>
      <c r="N82">
        <v>1009</v>
      </c>
      <c r="O82" t="s">
        <v>424</v>
      </c>
      <c r="P82" t="s">
        <v>424</v>
      </c>
      <c r="Q82">
        <v>1</v>
      </c>
      <c r="X82">
        <v>1E-3</v>
      </c>
      <c r="Y82">
        <v>395.65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 t="s">
        <v>3</v>
      </c>
      <c r="AG82">
        <v>1E-3</v>
      </c>
      <c r="AH82">
        <v>2</v>
      </c>
      <c r="AI82">
        <v>52718733</v>
      </c>
      <c r="AJ82">
        <v>82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ROW(Source!A77)</f>
        <v>77</v>
      </c>
      <c r="B83">
        <v>52718753</v>
      </c>
      <c r="C83">
        <v>52718727</v>
      </c>
      <c r="D83">
        <v>51253318</v>
      </c>
      <c r="E83">
        <v>1</v>
      </c>
      <c r="F83">
        <v>1</v>
      </c>
      <c r="G83">
        <v>1</v>
      </c>
      <c r="H83">
        <v>3</v>
      </c>
      <c r="I83" t="s">
        <v>482</v>
      </c>
      <c r="J83" t="s">
        <v>483</v>
      </c>
      <c r="K83" t="s">
        <v>484</v>
      </c>
      <c r="L83">
        <v>1348</v>
      </c>
      <c r="N83">
        <v>1009</v>
      </c>
      <c r="O83" t="s">
        <v>126</v>
      </c>
      <c r="P83" t="s">
        <v>126</v>
      </c>
      <c r="Q83">
        <v>1000</v>
      </c>
      <c r="X83">
        <v>1E-3</v>
      </c>
      <c r="Y83">
        <v>105278.81</v>
      </c>
      <c r="Z83">
        <v>0</v>
      </c>
      <c r="AA83">
        <v>0</v>
      </c>
      <c r="AB83">
        <v>0</v>
      </c>
      <c r="AC83">
        <v>0</v>
      </c>
      <c r="AD83">
        <v>1</v>
      </c>
      <c r="AE83">
        <v>0</v>
      </c>
      <c r="AF83" t="s">
        <v>3</v>
      </c>
      <c r="AG83">
        <v>1E-3</v>
      </c>
      <c r="AH83">
        <v>2</v>
      </c>
      <c r="AI83">
        <v>52718734</v>
      </c>
      <c r="AJ83">
        <v>83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ROW(Source!A77)</f>
        <v>77</v>
      </c>
      <c r="B84">
        <v>52718754</v>
      </c>
      <c r="C84">
        <v>52718727</v>
      </c>
      <c r="D84">
        <v>51265692</v>
      </c>
      <c r="E84">
        <v>1</v>
      </c>
      <c r="F84">
        <v>1</v>
      </c>
      <c r="G84">
        <v>1</v>
      </c>
      <c r="H84">
        <v>3</v>
      </c>
      <c r="I84" t="s">
        <v>421</v>
      </c>
      <c r="J84" t="s">
        <v>422</v>
      </c>
      <c r="K84" t="s">
        <v>423</v>
      </c>
      <c r="L84">
        <v>1346</v>
      </c>
      <c r="N84">
        <v>1009</v>
      </c>
      <c r="O84" t="s">
        <v>424</v>
      </c>
      <c r="P84" t="s">
        <v>424</v>
      </c>
      <c r="Q84">
        <v>1</v>
      </c>
      <c r="X84">
        <v>3.5999999999999997E-2</v>
      </c>
      <c r="Y84">
        <v>79.88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0</v>
      </c>
      <c r="AF84" t="s">
        <v>3</v>
      </c>
      <c r="AG84">
        <v>3.5999999999999997E-2</v>
      </c>
      <c r="AH84">
        <v>2</v>
      </c>
      <c r="AI84">
        <v>52718735</v>
      </c>
      <c r="AJ84">
        <v>84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ROW(Source!A77)</f>
        <v>77</v>
      </c>
      <c r="B85">
        <v>52718755</v>
      </c>
      <c r="C85">
        <v>52718727</v>
      </c>
      <c r="D85">
        <v>51265738</v>
      </c>
      <c r="E85">
        <v>1</v>
      </c>
      <c r="F85">
        <v>1</v>
      </c>
      <c r="G85">
        <v>1</v>
      </c>
      <c r="H85">
        <v>3</v>
      </c>
      <c r="I85" t="s">
        <v>485</v>
      </c>
      <c r="J85" t="s">
        <v>486</v>
      </c>
      <c r="K85" t="s">
        <v>487</v>
      </c>
      <c r="L85">
        <v>1346</v>
      </c>
      <c r="N85">
        <v>1009</v>
      </c>
      <c r="O85" t="s">
        <v>424</v>
      </c>
      <c r="P85" t="s">
        <v>424</v>
      </c>
      <c r="Q85">
        <v>1</v>
      </c>
      <c r="X85">
        <v>6.0000000000000001E-3</v>
      </c>
      <c r="Y85">
        <v>157.44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0</v>
      </c>
      <c r="AF85" t="s">
        <v>3</v>
      </c>
      <c r="AG85">
        <v>6.0000000000000001E-3</v>
      </c>
      <c r="AH85">
        <v>2</v>
      </c>
      <c r="AI85">
        <v>52718736</v>
      </c>
      <c r="AJ85">
        <v>85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ROW(Source!A77)</f>
        <v>77</v>
      </c>
      <c r="B86">
        <v>52718756</v>
      </c>
      <c r="C86">
        <v>52718727</v>
      </c>
      <c r="D86">
        <v>51273566</v>
      </c>
      <c r="E86">
        <v>1</v>
      </c>
      <c r="F86">
        <v>1</v>
      </c>
      <c r="G86">
        <v>1</v>
      </c>
      <c r="H86">
        <v>3</v>
      </c>
      <c r="I86" t="s">
        <v>488</v>
      </c>
      <c r="J86" t="s">
        <v>489</v>
      </c>
      <c r="K86" t="s">
        <v>490</v>
      </c>
      <c r="L86">
        <v>1455</v>
      </c>
      <c r="N86">
        <v>1013</v>
      </c>
      <c r="O86" t="s">
        <v>39</v>
      </c>
      <c r="P86" t="s">
        <v>39</v>
      </c>
      <c r="Q86">
        <v>1</v>
      </c>
      <c r="X86">
        <v>0.1</v>
      </c>
      <c r="Y86">
        <v>944.69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0</v>
      </c>
      <c r="AF86" t="s">
        <v>3</v>
      </c>
      <c r="AG86">
        <v>0.1</v>
      </c>
      <c r="AH86">
        <v>2</v>
      </c>
      <c r="AI86">
        <v>52718737</v>
      </c>
      <c r="AJ86">
        <v>86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ROW(Source!A77)</f>
        <v>77</v>
      </c>
      <c r="B87">
        <v>52718757</v>
      </c>
      <c r="C87">
        <v>52718727</v>
      </c>
      <c r="D87">
        <v>51176163</v>
      </c>
      <c r="E87">
        <v>118</v>
      </c>
      <c r="F87">
        <v>1</v>
      </c>
      <c r="G87">
        <v>1</v>
      </c>
      <c r="H87">
        <v>3</v>
      </c>
      <c r="I87" t="s">
        <v>25</v>
      </c>
      <c r="J87" t="s">
        <v>3</v>
      </c>
      <c r="K87" t="s">
        <v>26</v>
      </c>
      <c r="L87">
        <v>3277935</v>
      </c>
      <c r="N87">
        <v>1013</v>
      </c>
      <c r="O87" t="s">
        <v>27</v>
      </c>
      <c r="P87" t="s">
        <v>27</v>
      </c>
      <c r="Q87">
        <v>1</v>
      </c>
      <c r="X87">
        <v>2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 t="s">
        <v>3</v>
      </c>
      <c r="AG87">
        <v>2</v>
      </c>
      <c r="AH87">
        <v>2</v>
      </c>
      <c r="AI87">
        <v>52718738</v>
      </c>
      <c r="AJ87">
        <v>87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ROW(Source!A118)</f>
        <v>118</v>
      </c>
      <c r="B88">
        <v>52718776</v>
      </c>
      <c r="C88">
        <v>52718763</v>
      </c>
      <c r="D88">
        <v>51169926</v>
      </c>
      <c r="E88">
        <v>118</v>
      </c>
      <c r="F88">
        <v>1</v>
      </c>
      <c r="G88">
        <v>1</v>
      </c>
      <c r="H88">
        <v>1</v>
      </c>
      <c r="I88" t="s">
        <v>408</v>
      </c>
      <c r="J88" t="s">
        <v>3</v>
      </c>
      <c r="K88" t="s">
        <v>409</v>
      </c>
      <c r="L88">
        <v>1191</v>
      </c>
      <c r="N88">
        <v>1013</v>
      </c>
      <c r="O88" t="s">
        <v>382</v>
      </c>
      <c r="P88" t="s">
        <v>382</v>
      </c>
      <c r="Q88">
        <v>1</v>
      </c>
      <c r="X88">
        <v>132.53</v>
      </c>
      <c r="Y88">
        <v>0</v>
      </c>
      <c r="Z88">
        <v>0</v>
      </c>
      <c r="AA88">
        <v>0</v>
      </c>
      <c r="AB88">
        <v>714.71</v>
      </c>
      <c r="AC88">
        <v>0</v>
      </c>
      <c r="AD88">
        <v>1</v>
      </c>
      <c r="AE88">
        <v>1</v>
      </c>
      <c r="AF88" t="s">
        <v>3</v>
      </c>
      <c r="AG88">
        <v>132.53</v>
      </c>
      <c r="AH88">
        <v>2</v>
      </c>
      <c r="AI88">
        <v>52718764</v>
      </c>
      <c r="AJ88">
        <v>88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ROW(Source!A118)</f>
        <v>118</v>
      </c>
      <c r="B89">
        <v>52718777</v>
      </c>
      <c r="C89">
        <v>52718763</v>
      </c>
      <c r="D89">
        <v>51170109</v>
      </c>
      <c r="E89">
        <v>118</v>
      </c>
      <c r="F89">
        <v>1</v>
      </c>
      <c r="G89">
        <v>1</v>
      </c>
      <c r="H89">
        <v>1</v>
      </c>
      <c r="I89" t="s">
        <v>380</v>
      </c>
      <c r="J89" t="s">
        <v>3</v>
      </c>
      <c r="K89" t="s">
        <v>381</v>
      </c>
      <c r="L89">
        <v>1191</v>
      </c>
      <c r="N89">
        <v>1013</v>
      </c>
      <c r="O89" t="s">
        <v>382</v>
      </c>
      <c r="P89" t="s">
        <v>382</v>
      </c>
      <c r="Q89">
        <v>1</v>
      </c>
      <c r="X89">
        <v>1.08</v>
      </c>
      <c r="Y89">
        <v>0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2</v>
      </c>
      <c r="AF89" t="s">
        <v>3</v>
      </c>
      <c r="AG89">
        <v>1.08</v>
      </c>
      <c r="AH89">
        <v>2</v>
      </c>
      <c r="AI89">
        <v>52718765</v>
      </c>
      <c r="AJ89">
        <v>89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ROW(Source!A118)</f>
        <v>118</v>
      </c>
      <c r="B90">
        <v>52718778</v>
      </c>
      <c r="C90">
        <v>52718763</v>
      </c>
      <c r="D90">
        <v>51296566</v>
      </c>
      <c r="E90">
        <v>1</v>
      </c>
      <c r="F90">
        <v>1</v>
      </c>
      <c r="G90">
        <v>1</v>
      </c>
      <c r="H90">
        <v>2</v>
      </c>
      <c r="I90" t="s">
        <v>410</v>
      </c>
      <c r="J90" t="s">
        <v>411</v>
      </c>
      <c r="K90" t="s">
        <v>412</v>
      </c>
      <c r="L90">
        <v>1368</v>
      </c>
      <c r="N90">
        <v>1011</v>
      </c>
      <c r="O90" t="s">
        <v>386</v>
      </c>
      <c r="P90" t="s">
        <v>386</v>
      </c>
      <c r="Q90">
        <v>1</v>
      </c>
      <c r="X90">
        <v>0.22</v>
      </c>
      <c r="Y90">
        <v>0</v>
      </c>
      <c r="Z90">
        <v>1585.56</v>
      </c>
      <c r="AA90">
        <v>982.04</v>
      </c>
      <c r="AB90">
        <v>0</v>
      </c>
      <c r="AC90">
        <v>0</v>
      </c>
      <c r="AD90">
        <v>1</v>
      </c>
      <c r="AE90">
        <v>0</v>
      </c>
      <c r="AF90" t="s">
        <v>3</v>
      </c>
      <c r="AG90">
        <v>0.22</v>
      </c>
      <c r="AH90">
        <v>2</v>
      </c>
      <c r="AI90">
        <v>52718766</v>
      </c>
      <c r="AJ90">
        <v>90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ROW(Source!A118)</f>
        <v>118</v>
      </c>
      <c r="B91">
        <v>52718779</v>
      </c>
      <c r="C91">
        <v>52718763</v>
      </c>
      <c r="D91">
        <v>51296753</v>
      </c>
      <c r="E91">
        <v>1</v>
      </c>
      <c r="F91">
        <v>1</v>
      </c>
      <c r="G91">
        <v>1</v>
      </c>
      <c r="H91">
        <v>2</v>
      </c>
      <c r="I91" t="s">
        <v>397</v>
      </c>
      <c r="J91" t="s">
        <v>398</v>
      </c>
      <c r="K91" t="s">
        <v>399</v>
      </c>
      <c r="L91">
        <v>1368</v>
      </c>
      <c r="N91">
        <v>1011</v>
      </c>
      <c r="O91" t="s">
        <v>386</v>
      </c>
      <c r="P91" t="s">
        <v>386</v>
      </c>
      <c r="Q91">
        <v>1</v>
      </c>
      <c r="X91">
        <v>0.56999999999999995</v>
      </c>
      <c r="Y91">
        <v>0</v>
      </c>
      <c r="Z91">
        <v>37.32</v>
      </c>
      <c r="AA91">
        <v>649.24</v>
      </c>
      <c r="AB91">
        <v>0</v>
      </c>
      <c r="AC91">
        <v>0</v>
      </c>
      <c r="AD91">
        <v>1</v>
      </c>
      <c r="AE91">
        <v>0</v>
      </c>
      <c r="AF91" t="s">
        <v>3</v>
      </c>
      <c r="AG91">
        <v>0.56999999999999995</v>
      </c>
      <c r="AH91">
        <v>2</v>
      </c>
      <c r="AI91">
        <v>52718767</v>
      </c>
      <c r="AJ91">
        <v>91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ROW(Source!A118)</f>
        <v>118</v>
      </c>
      <c r="B92">
        <v>52718780</v>
      </c>
      <c r="C92">
        <v>52718763</v>
      </c>
      <c r="D92">
        <v>51297468</v>
      </c>
      <c r="E92">
        <v>1</v>
      </c>
      <c r="F92">
        <v>1</v>
      </c>
      <c r="G92">
        <v>1</v>
      </c>
      <c r="H92">
        <v>2</v>
      </c>
      <c r="I92" t="s">
        <v>383</v>
      </c>
      <c r="J92" t="s">
        <v>384</v>
      </c>
      <c r="K92" t="s">
        <v>385</v>
      </c>
      <c r="L92">
        <v>1368</v>
      </c>
      <c r="N92">
        <v>1011</v>
      </c>
      <c r="O92" t="s">
        <v>386</v>
      </c>
      <c r="P92" t="s">
        <v>386</v>
      </c>
      <c r="Q92">
        <v>1</v>
      </c>
      <c r="X92">
        <v>0.28999999999999998</v>
      </c>
      <c r="Y92">
        <v>0</v>
      </c>
      <c r="Z92">
        <v>544.91999999999996</v>
      </c>
      <c r="AA92">
        <v>731.08</v>
      </c>
      <c r="AB92">
        <v>0</v>
      </c>
      <c r="AC92">
        <v>0</v>
      </c>
      <c r="AD92">
        <v>1</v>
      </c>
      <c r="AE92">
        <v>0</v>
      </c>
      <c r="AF92" t="s">
        <v>3</v>
      </c>
      <c r="AG92">
        <v>0.28999999999999998</v>
      </c>
      <c r="AH92">
        <v>2</v>
      </c>
      <c r="AI92">
        <v>52718768</v>
      </c>
      <c r="AJ92">
        <v>92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ROW(Source!A118)</f>
        <v>118</v>
      </c>
      <c r="B93">
        <v>52718781</v>
      </c>
      <c r="C93">
        <v>52718763</v>
      </c>
      <c r="D93">
        <v>51246685</v>
      </c>
      <c r="E93">
        <v>1</v>
      </c>
      <c r="F93">
        <v>1</v>
      </c>
      <c r="G93">
        <v>1</v>
      </c>
      <c r="H93">
        <v>3</v>
      </c>
      <c r="I93" t="s">
        <v>388</v>
      </c>
      <c r="J93" t="s">
        <v>389</v>
      </c>
      <c r="K93" t="s">
        <v>390</v>
      </c>
      <c r="L93">
        <v>1383</v>
      </c>
      <c r="N93">
        <v>1013</v>
      </c>
      <c r="O93" t="s">
        <v>391</v>
      </c>
      <c r="P93" t="s">
        <v>391</v>
      </c>
      <c r="Q93">
        <v>1</v>
      </c>
      <c r="X93">
        <v>6.9</v>
      </c>
      <c r="Y93">
        <v>6.92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0</v>
      </c>
      <c r="AF93" t="s">
        <v>3</v>
      </c>
      <c r="AG93">
        <v>6.9</v>
      </c>
      <c r="AH93">
        <v>2</v>
      </c>
      <c r="AI93">
        <v>52718769</v>
      </c>
      <c r="AJ93">
        <v>93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ROW(Source!A118)</f>
        <v>118</v>
      </c>
      <c r="B94">
        <v>52718782</v>
      </c>
      <c r="C94">
        <v>52718763</v>
      </c>
      <c r="D94">
        <v>51246815</v>
      </c>
      <c r="E94">
        <v>1</v>
      </c>
      <c r="F94">
        <v>1</v>
      </c>
      <c r="G94">
        <v>1</v>
      </c>
      <c r="H94">
        <v>3</v>
      </c>
      <c r="I94" t="s">
        <v>491</v>
      </c>
      <c r="J94" t="s">
        <v>492</v>
      </c>
      <c r="K94" t="s">
        <v>493</v>
      </c>
      <c r="L94">
        <v>1301</v>
      </c>
      <c r="N94">
        <v>1003</v>
      </c>
      <c r="O94" t="s">
        <v>31</v>
      </c>
      <c r="P94" t="s">
        <v>31</v>
      </c>
      <c r="Q94">
        <v>1</v>
      </c>
      <c r="X94">
        <v>218.4</v>
      </c>
      <c r="Y94">
        <v>24.39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0</v>
      </c>
      <c r="AF94" t="s">
        <v>3</v>
      </c>
      <c r="AG94">
        <v>218.4</v>
      </c>
      <c r="AH94">
        <v>2</v>
      </c>
      <c r="AI94">
        <v>52718770</v>
      </c>
      <c r="AJ94">
        <v>94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ROW(Source!A118)</f>
        <v>118</v>
      </c>
      <c r="B95">
        <v>52718783</v>
      </c>
      <c r="C95">
        <v>52718763</v>
      </c>
      <c r="D95">
        <v>51246886</v>
      </c>
      <c r="E95">
        <v>1</v>
      </c>
      <c r="F95">
        <v>1</v>
      </c>
      <c r="G95">
        <v>1</v>
      </c>
      <c r="H95">
        <v>3</v>
      </c>
      <c r="I95" t="s">
        <v>494</v>
      </c>
      <c r="J95" t="s">
        <v>495</v>
      </c>
      <c r="K95" t="s">
        <v>496</v>
      </c>
      <c r="L95">
        <v>1302</v>
      </c>
      <c r="N95">
        <v>1003</v>
      </c>
      <c r="O95" t="s">
        <v>420</v>
      </c>
      <c r="P95" t="s">
        <v>420</v>
      </c>
      <c r="Q95">
        <v>10</v>
      </c>
      <c r="X95">
        <v>21.84</v>
      </c>
      <c r="Y95">
        <v>158.82</v>
      </c>
      <c r="Z95">
        <v>0</v>
      </c>
      <c r="AA95">
        <v>0</v>
      </c>
      <c r="AB95">
        <v>0</v>
      </c>
      <c r="AC95">
        <v>0</v>
      </c>
      <c r="AD95">
        <v>1</v>
      </c>
      <c r="AE95">
        <v>0</v>
      </c>
      <c r="AF95" t="s">
        <v>3</v>
      </c>
      <c r="AG95">
        <v>21.84</v>
      </c>
      <c r="AH95">
        <v>2</v>
      </c>
      <c r="AI95">
        <v>52718771</v>
      </c>
      <c r="AJ95">
        <v>95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ROW(Source!A118)</f>
        <v>118</v>
      </c>
      <c r="B96">
        <v>52718784</v>
      </c>
      <c r="C96">
        <v>52718763</v>
      </c>
      <c r="D96">
        <v>51247842</v>
      </c>
      <c r="E96">
        <v>1</v>
      </c>
      <c r="F96">
        <v>1</v>
      </c>
      <c r="G96">
        <v>1</v>
      </c>
      <c r="H96">
        <v>3</v>
      </c>
      <c r="I96" t="s">
        <v>497</v>
      </c>
      <c r="J96" t="s">
        <v>498</v>
      </c>
      <c r="K96" t="s">
        <v>499</v>
      </c>
      <c r="L96">
        <v>1371</v>
      </c>
      <c r="N96">
        <v>1013</v>
      </c>
      <c r="O96" t="s">
        <v>108</v>
      </c>
      <c r="P96" t="s">
        <v>108</v>
      </c>
      <c r="Q96">
        <v>1</v>
      </c>
      <c r="X96">
        <v>37.68</v>
      </c>
      <c r="Y96">
        <v>257.70999999999998</v>
      </c>
      <c r="Z96">
        <v>0</v>
      </c>
      <c r="AA96">
        <v>0</v>
      </c>
      <c r="AB96">
        <v>0</v>
      </c>
      <c r="AC96">
        <v>0</v>
      </c>
      <c r="AD96">
        <v>1</v>
      </c>
      <c r="AE96">
        <v>0</v>
      </c>
      <c r="AF96" t="s">
        <v>3</v>
      </c>
      <c r="AG96">
        <v>37.68</v>
      </c>
      <c r="AH96">
        <v>2</v>
      </c>
      <c r="AI96">
        <v>52718772</v>
      </c>
      <c r="AJ96">
        <v>96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ROW(Source!A118)</f>
        <v>118</v>
      </c>
      <c r="B97">
        <v>52718785</v>
      </c>
      <c r="C97">
        <v>52718763</v>
      </c>
      <c r="D97">
        <v>51248256</v>
      </c>
      <c r="E97">
        <v>1</v>
      </c>
      <c r="F97">
        <v>1</v>
      </c>
      <c r="G97">
        <v>1</v>
      </c>
      <c r="H97">
        <v>3</v>
      </c>
      <c r="I97" t="s">
        <v>500</v>
      </c>
      <c r="J97" t="s">
        <v>501</v>
      </c>
      <c r="K97" t="s">
        <v>502</v>
      </c>
      <c r="L97">
        <v>1425</v>
      </c>
      <c r="N97">
        <v>1013</v>
      </c>
      <c r="O97" t="s">
        <v>56</v>
      </c>
      <c r="P97" t="s">
        <v>56</v>
      </c>
      <c r="Q97">
        <v>1</v>
      </c>
      <c r="X97">
        <v>4.1176500000000003</v>
      </c>
      <c r="Y97">
        <v>178.64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0</v>
      </c>
      <c r="AF97" t="s">
        <v>3</v>
      </c>
      <c r="AG97">
        <v>4.1176500000000003</v>
      </c>
      <c r="AH97">
        <v>2</v>
      </c>
      <c r="AI97">
        <v>52718773</v>
      </c>
      <c r="AJ97">
        <v>97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ROW(Source!A118)</f>
        <v>118</v>
      </c>
      <c r="B98">
        <v>52718786</v>
      </c>
      <c r="C98">
        <v>52718763</v>
      </c>
      <c r="D98">
        <v>51170991</v>
      </c>
      <c r="E98">
        <v>118</v>
      </c>
      <c r="F98">
        <v>1</v>
      </c>
      <c r="G98">
        <v>1</v>
      </c>
      <c r="H98">
        <v>3</v>
      </c>
      <c r="I98" t="s">
        <v>282</v>
      </c>
      <c r="J98" t="s">
        <v>3</v>
      </c>
      <c r="K98" t="s">
        <v>283</v>
      </c>
      <c r="L98">
        <v>1371</v>
      </c>
      <c r="N98">
        <v>1013</v>
      </c>
      <c r="O98" t="s">
        <v>108</v>
      </c>
      <c r="P98" t="s">
        <v>108</v>
      </c>
      <c r="Q98">
        <v>1</v>
      </c>
      <c r="X98">
        <v>0</v>
      </c>
      <c r="Y98">
        <v>0</v>
      </c>
      <c r="Z98">
        <v>0</v>
      </c>
      <c r="AA98">
        <v>0</v>
      </c>
      <c r="AB98">
        <v>0</v>
      </c>
      <c r="AC98">
        <v>1</v>
      </c>
      <c r="AD98">
        <v>0</v>
      </c>
      <c r="AE98">
        <v>0</v>
      </c>
      <c r="AF98" t="s">
        <v>3</v>
      </c>
      <c r="AG98">
        <v>0</v>
      </c>
      <c r="AH98">
        <v>2</v>
      </c>
      <c r="AI98">
        <v>52718774</v>
      </c>
      <c r="AJ98">
        <v>98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ROW(Source!A118)</f>
        <v>118</v>
      </c>
      <c r="B99">
        <v>52718787</v>
      </c>
      <c r="C99">
        <v>52718763</v>
      </c>
      <c r="D99">
        <v>51173039</v>
      </c>
      <c r="E99">
        <v>118</v>
      </c>
      <c r="F99">
        <v>1</v>
      </c>
      <c r="G99">
        <v>1</v>
      </c>
      <c r="H99">
        <v>3</v>
      </c>
      <c r="I99" t="s">
        <v>285</v>
      </c>
      <c r="J99" t="s">
        <v>3</v>
      </c>
      <c r="K99" t="s">
        <v>286</v>
      </c>
      <c r="L99">
        <v>1327</v>
      </c>
      <c r="N99">
        <v>1005</v>
      </c>
      <c r="O99" t="s">
        <v>287</v>
      </c>
      <c r="P99" t="s">
        <v>287</v>
      </c>
      <c r="Q99">
        <v>1</v>
      </c>
      <c r="X99">
        <v>100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 t="s">
        <v>3</v>
      </c>
      <c r="AG99">
        <v>100</v>
      </c>
      <c r="AH99">
        <v>2</v>
      </c>
      <c r="AI99">
        <v>52718775</v>
      </c>
      <c r="AJ99">
        <v>99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9.140625" defaultRowHeight="12.75" x14ac:dyDescent="0.2"/>
  <cols>
    <col min="1" max="256" width="9.140625" customWidth="1"/>
  </cols>
  <sheetData/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75564</v>
      </c>
      <c r="M1">
        <v>10</v>
      </c>
      <c r="N1">
        <v>12</v>
      </c>
      <c r="O1">
        <v>1</v>
      </c>
      <c r="P1">
        <v>0</v>
      </c>
      <c r="Q1">
        <v>4</v>
      </c>
    </row>
    <row r="12" spans="1:103" x14ac:dyDescent="0.2">
      <c r="F12" t="str">
        <f>Source!F12</f>
        <v/>
      </c>
      <c r="G12" t="str">
        <f>Source!G12</f>
        <v>Электрика,(КДО каб. 34, 2-ой эт)_(06/07/26)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Смета по ФСНБ 421+557прРИМ</vt:lpstr>
      <vt:lpstr>Дефектная ведомость</vt:lpstr>
      <vt:lpstr>Source</vt:lpstr>
      <vt:lpstr>SourceObSm</vt:lpstr>
      <vt:lpstr>SmtRes</vt:lpstr>
      <vt:lpstr>EtalonRes</vt:lpstr>
      <vt:lpstr>SrcPoprs</vt:lpstr>
      <vt:lpstr>SrcKA</vt:lpstr>
      <vt:lpstr>'Дефектная ведомость'!Заголовки_для_печати</vt:lpstr>
      <vt:lpstr>'Смета по ФСНБ 421+557прРИМ'!Заголовки_для_печати</vt:lpstr>
      <vt:lpstr>'Дефектная ведомость'!Область_печати</vt:lpstr>
      <vt:lpstr>'Смета по ФСНБ 421+557прРИМ'!Область_печати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Писарев Александр Николаевич</cp:lastModifiedBy>
  <cp:lastPrinted>2026-07-06T08:57:43Z</cp:lastPrinted>
  <dcterms:created xsi:type="dcterms:W3CDTF">2026-07-06T06:53:47Z</dcterms:created>
  <dcterms:modified xsi:type="dcterms:W3CDTF">2026-07-06T08:59:14Z</dcterms:modified>
</cp:coreProperties>
</file>