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Поставка материальных запасов (МО, г. Бронницы, ул. Заводской проезд, д. 1)\Закупочная сессия\"/>
    </mc:Choice>
  </mc:AlternateContent>
  <xr:revisionPtr revIDLastSave="0" documentId="13_ncr:1_{34E7FF43-CB46-4990-8F56-882071F8AD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O29" i="1" s="1"/>
  <c r="E16" i="1"/>
  <c r="O16" i="1" s="1"/>
  <c r="G16" i="1"/>
  <c r="G29" i="1"/>
  <c r="J29" i="1" s="1"/>
  <c r="L29" i="1" s="1"/>
  <c r="M29" i="1" s="1"/>
  <c r="G25" i="1"/>
  <c r="Q25" i="1" s="1"/>
  <c r="G24" i="1"/>
  <c r="Q24" i="1" s="1"/>
  <c r="G28" i="1"/>
  <c r="Q28" i="1" s="1"/>
  <c r="G27" i="1"/>
  <c r="Q27" i="1" s="1"/>
  <c r="G26" i="1"/>
  <c r="Q26" i="1" s="1"/>
  <c r="G23" i="1"/>
  <c r="Q23" i="1" s="1"/>
  <c r="G22" i="1"/>
  <c r="Q22" i="1" s="1"/>
  <c r="G21" i="1"/>
  <c r="Q21" i="1" s="1"/>
  <c r="G20" i="1"/>
  <c r="G19" i="1"/>
  <c r="Q19" i="1" s="1"/>
  <c r="G18" i="1"/>
  <c r="Q18" i="1" s="1"/>
  <c r="G17" i="1"/>
  <c r="Q17" i="1" s="1"/>
  <c r="P17" i="1"/>
  <c r="E28" i="1"/>
  <c r="O28" i="1" s="1"/>
  <c r="E27" i="1"/>
  <c r="E26" i="1"/>
  <c r="O26" i="1" s="1"/>
  <c r="E25" i="1"/>
  <c r="O25" i="1" s="1"/>
  <c r="E24" i="1"/>
  <c r="E23" i="1"/>
  <c r="O23" i="1" s="1"/>
  <c r="E22" i="1"/>
  <c r="O22" i="1" s="1"/>
  <c r="E21" i="1"/>
  <c r="O21" i="1" s="1"/>
  <c r="E20" i="1"/>
  <c r="O20" i="1" s="1"/>
  <c r="E19" i="1"/>
  <c r="O19" i="1" s="1"/>
  <c r="E18" i="1"/>
  <c r="E17" i="1"/>
  <c r="O17" i="1" s="1"/>
  <c r="P29" i="1"/>
  <c r="P28" i="1"/>
  <c r="P27" i="1"/>
  <c r="O27" i="1"/>
  <c r="P26" i="1"/>
  <c r="P25" i="1"/>
  <c r="P24" i="1"/>
  <c r="P23" i="1"/>
  <c r="P22" i="1"/>
  <c r="P21" i="1"/>
  <c r="P20" i="1"/>
  <c r="P19" i="1"/>
  <c r="P18" i="1"/>
  <c r="O18" i="1"/>
  <c r="J17" i="1"/>
  <c r="L17" i="1" s="1"/>
  <c r="M17" i="1" s="1"/>
  <c r="Q14" i="1"/>
  <c r="P14" i="1"/>
  <c r="O14" i="1"/>
  <c r="J28" i="1" l="1"/>
  <c r="L28" i="1" s="1"/>
  <c r="M28" i="1" s="1"/>
  <c r="J27" i="1"/>
  <c r="L27" i="1" s="1"/>
  <c r="M27" i="1" s="1"/>
  <c r="H24" i="1"/>
  <c r="I24" i="1" s="1"/>
  <c r="H17" i="1"/>
  <c r="I17" i="1" s="1"/>
  <c r="H20" i="1"/>
  <c r="I20" i="1" s="1"/>
  <c r="O24" i="1"/>
  <c r="J23" i="1"/>
  <c r="L23" i="1" s="1"/>
  <c r="M23" i="1" s="1"/>
  <c r="J25" i="1"/>
  <c r="L25" i="1" s="1"/>
  <c r="M25" i="1" s="1"/>
  <c r="J19" i="1"/>
  <c r="L19" i="1" s="1"/>
  <c r="M19" i="1" s="1"/>
  <c r="H26" i="1"/>
  <c r="I26" i="1" s="1"/>
  <c r="J20" i="1"/>
  <c r="L20" i="1" s="1"/>
  <c r="M20" i="1" s="1"/>
  <c r="N20" i="1" s="1"/>
  <c r="J24" i="1"/>
  <c r="L24" i="1" s="1"/>
  <c r="M24" i="1" s="1"/>
  <c r="N24" i="1" s="1"/>
  <c r="H25" i="1"/>
  <c r="I25" i="1" s="1"/>
  <c r="J21" i="1"/>
  <c r="L21" i="1" s="1"/>
  <c r="M21" i="1" s="1"/>
  <c r="J18" i="1"/>
  <c r="L18" i="1" s="1"/>
  <c r="M18" i="1" s="1"/>
  <c r="O30" i="1"/>
  <c r="J26" i="1"/>
  <c r="L26" i="1" s="1"/>
  <c r="M26" i="1" s="1"/>
  <c r="N26" i="1" s="1"/>
  <c r="H23" i="1"/>
  <c r="I23" i="1" s="1"/>
  <c r="H21" i="1"/>
  <c r="I21" i="1" s="1"/>
  <c r="Q20" i="1"/>
  <c r="H27" i="1"/>
  <c r="I27" i="1" s="1"/>
  <c r="H16" i="1"/>
  <c r="H22" i="1"/>
  <c r="I22" i="1" s="1"/>
  <c r="H18" i="1"/>
  <c r="I18" i="1" s="1"/>
  <c r="J22" i="1"/>
  <c r="L22" i="1" s="1"/>
  <c r="M22" i="1" s="1"/>
  <c r="H28" i="1"/>
  <c r="I28" i="1" s="1"/>
  <c r="Q29" i="1"/>
  <c r="H29" i="1"/>
  <c r="I29" i="1" s="1"/>
  <c r="H19" i="1"/>
  <c r="I19" i="1" s="1"/>
  <c r="N17" i="1"/>
  <c r="J16" i="1"/>
  <c r="N22" i="1" l="1"/>
  <c r="N25" i="1"/>
  <c r="N21" i="1"/>
  <c r="N23" i="1"/>
  <c r="N27" i="1"/>
  <c r="N28" i="1"/>
  <c r="N18" i="1"/>
  <c r="N29" i="1"/>
  <c r="N19" i="1"/>
  <c r="Q16" i="1"/>
  <c r="Q30" i="1" s="1"/>
  <c r="P16" i="1"/>
  <c r="P30" i="1" s="1"/>
  <c r="L16" i="1"/>
  <c r="M16" i="1" s="1"/>
  <c r="I16" i="1" l="1"/>
  <c r="I31" i="1" s="1"/>
  <c r="N16" i="1"/>
</calcChain>
</file>

<file path=xl/sharedStrings.xml><?xml version="1.0" encoding="utf-8"?>
<sst xmlns="http://schemas.openxmlformats.org/spreadsheetml/2006/main" count="70" uniqueCount="55">
  <si>
    <t>«УТВЕРЖДАЮ»</t>
  </si>
  <si>
    <t>Внутренний номер:</t>
  </si>
  <si>
    <r>
      <rPr>
        <b/>
        <sz val="11"/>
        <color indexed="64"/>
        <rFont val="Times New Roman"/>
        <family val="1"/>
        <charset val="204"/>
      </rPr>
      <t xml:space="preserve">Обоснование начальной максимальной цены контракта (договора)
</t>
    </r>
    <r>
      <rPr>
        <sz val="11"/>
        <color indexed="64"/>
        <rFont val="Times New Roman"/>
        <family val="1"/>
        <charset val="204"/>
      </rPr>
      <t xml:space="preserve">
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поставщиков.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
</t>
    </r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</si>
  <si>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</si>
  <si>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</si>
  <si>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</si>
  <si>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</si>
  <si>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</si>
  <si>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</si>
  <si>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</si>
  <si>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</si>
  <si>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</si>
  <si>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</si>
  <si>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</si>
  <si>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</si>
  <si>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</si>
  <si>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</si>
  <si>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</si>
  <si>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>На основании вышеизложенного установлена начальная (максимальная) цена контракта (договора), которая составляет:</t>
  </si>
  <si>
    <t xml:space="preserve">                                       
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</si>
  <si>
    <t>________________/И. О. Фамилия</t>
  </si>
  <si>
    <t>Специалист</t>
  </si>
  <si>
    <t>по закупкам</t>
  </si>
  <si>
    <t xml:space="preserve"> </t>
  </si>
  <si>
    <t xml:space="preserve">Специалист по закупкам </t>
  </si>
  <si>
    <t>Расчет подготовил: Инженер энергетик                             _______________/Акуфенко Р.В.</t>
  </si>
  <si>
    <t>"______"_____________________2026 г.</t>
  </si>
  <si>
    <t>________________ /______________________</t>
  </si>
  <si>
    <t>_____________________________________Е.Н. Астудина</t>
  </si>
  <si>
    <t xml:space="preserve">   </t>
  </si>
  <si>
    <t xml:space="preserve">Замок навесной всепогодный 80 мм с защитным клапаном      </t>
  </si>
  <si>
    <t>ШТ.</t>
  </si>
  <si>
    <t xml:space="preserve">Замок навесной всепогодный 45 мм с защитным клапаном </t>
  </si>
  <si>
    <t xml:space="preserve">Навесной замок </t>
  </si>
  <si>
    <t>Круг отрезной по металлу 125x1.0x22.2 мм</t>
  </si>
  <si>
    <t xml:space="preserve">Катушка для триммера </t>
  </si>
  <si>
    <t>Набор отверток с магнитным наконечником  GSS 11</t>
  </si>
  <si>
    <r>
      <t xml:space="preserve">Набор электромонтажника </t>
    </r>
    <r>
      <rPr>
        <sz val="11"/>
        <color indexed="64"/>
        <rFont val="Calibri"/>
        <family val="2"/>
        <charset val="204"/>
      </rPr>
      <t xml:space="preserve"> </t>
    </r>
    <r>
      <rPr>
        <sz val="11"/>
        <color indexed="64"/>
        <rFont val="Times New Roman"/>
        <family val="1"/>
        <charset val="204"/>
      </rPr>
      <t>КВТ НИЭ-02</t>
    </r>
  </si>
  <si>
    <t>Пояс страховочный</t>
  </si>
  <si>
    <t>пешня разборная</t>
  </si>
  <si>
    <t>Полукомбенизон</t>
  </si>
  <si>
    <t>Донная коса</t>
  </si>
  <si>
    <t>Кнопка в сборе Отис 2000 и GEN2 D посадка 27.5 мм синий ореол шлифованная нержа АМР для МСS220</t>
  </si>
  <si>
    <t>Клемма</t>
  </si>
  <si>
    <t>С учетом особеной определения НМЦК, установленого пп. "в" п.7 постановления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</t>
  </si>
  <si>
    <t>упак</t>
  </si>
  <si>
    <r>
      <t>n1</t>
    </r>
    <r>
      <rPr>
        <b/>
        <vertAlign val="subscript"/>
        <sz val="10"/>
        <color indexed="64"/>
        <rFont val="Times New Roman"/>
        <family val="1"/>
        <charset val="204"/>
      </rPr>
      <t xml:space="preserve">  
</t>
    </r>
    <r>
      <rPr>
        <b/>
        <sz val="10"/>
        <color indexed="64"/>
        <rFont val="Times New Roman"/>
        <family val="1"/>
        <charset val="204"/>
      </rPr>
      <t xml:space="preserve">Поставщик 1
вх. 723 от 25.03. 2026 г. </t>
    </r>
  </si>
  <si>
    <t xml:space="preserve">n3
Поставщик 3
вх.724 от 25.03. 2026 г.  </t>
  </si>
  <si>
    <r>
      <t>n2</t>
    </r>
    <r>
      <rPr>
        <b/>
        <vertAlign val="subscript"/>
        <sz val="10"/>
        <color indexed="64"/>
        <rFont val="Times New Roman"/>
        <family val="1"/>
        <charset val="204"/>
      </rPr>
      <t xml:space="preserve"> 
</t>
    </r>
    <r>
      <rPr>
        <b/>
        <sz val="10"/>
        <color indexed="64"/>
        <rFont val="Times New Roman"/>
        <family val="1"/>
        <charset val="204"/>
      </rPr>
      <t xml:space="preserve">Поставщик 2
вх. 725 от 25.03. 2026 г.  </t>
    </r>
  </si>
  <si>
    <t>Специалист закупок</t>
  </si>
  <si>
    <t xml:space="preserve">275 676,82(Двести семьдеся пять тысяч шестьсот семьдесят шесть рублей  82 копеек), в том числе НДС </t>
  </si>
  <si>
    <r>
      <t>Заказчик принимает в работу наименьшую сумму из представленных ценовых предложений, которая составляет: 260 606,64</t>
    </r>
    <r>
      <rPr>
        <b/>
        <sz val="10"/>
        <rFont val="Times New Roman"/>
        <family val="1"/>
        <charset val="204"/>
      </rPr>
      <t xml:space="preserve"> (Двести шестьдесят тысяч шестьсот шесть  рублей 64 копеек), </t>
    </r>
    <r>
      <rPr>
        <b/>
        <sz val="10"/>
        <color indexed="64"/>
        <rFont val="Times New Roman"/>
        <family val="1"/>
        <charset val="204"/>
      </rPr>
      <t xml:space="preserve">в том числе НДС </t>
    </r>
  </si>
  <si>
    <t>(утверждено установленным порядком)</t>
  </si>
  <si>
    <t>/Е. Н. Астудина/</t>
  </si>
  <si>
    <t>(подписано установленным порядком)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</si>
</sst>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0.000"/>
  </numFmts>
  <fonts count="15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vertAlign val="subscript"/>
      <sz val="10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b/>
      <sz val="10"/>
      <name val="Times New Roman"/>
      <family val="1"/>
      <charset val="204"/>
    </font>
    <font>
      <b/>
      <sz val="9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2" fontId="1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/>
    <xf numFmtId="0" fontId="0" fillId="0" borderId="0" xfId="0" applyFill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59"/>
  <sheetViews>
    <sheetView tabSelected="1" topLeftCell="A24" zoomScaleNormal="100" workbookViewId="0">
      <selection activeCell="I47" sqref="I47"/>
    </sheetView>
  </sheetViews>
  <sheetFormatPr defaultRowHeight="15" x14ac:dyDescent="0.25"/>
  <cols>
    <col min="1" max="1" width="5.28515625" style="1" bestFit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7" style="1" bestFit="1" customWidth="1"/>
    <col min="13" max="13" width="11.4257812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22" x14ac:dyDescent="0.25">
      <c r="L3" s="38" t="s">
        <v>0</v>
      </c>
      <c r="M3" s="38"/>
      <c r="N3" s="38"/>
      <c r="O3" s="38"/>
      <c r="P3" s="38"/>
      <c r="Q3" s="38"/>
    </row>
    <row r="4" spans="1:22" x14ac:dyDescent="0.25">
      <c r="L4" s="38" t="s">
        <v>49</v>
      </c>
      <c r="M4" s="38"/>
      <c r="N4" s="38"/>
      <c r="O4" s="38"/>
      <c r="P4" s="38"/>
      <c r="Q4" s="38"/>
    </row>
    <row r="5" spans="1:22" x14ac:dyDescent="0.25">
      <c r="L5" s="38" t="s">
        <v>28</v>
      </c>
      <c r="M5" s="38"/>
      <c r="N5" s="38"/>
      <c r="O5" s="38"/>
      <c r="P5" s="38"/>
      <c r="Q5" s="38"/>
    </row>
    <row r="6" spans="1:22" x14ac:dyDescent="0.25">
      <c r="L6" s="2"/>
      <c r="M6" s="2"/>
      <c r="N6" s="54"/>
      <c r="O6" s="54"/>
      <c r="P6" s="55" t="s">
        <v>52</v>
      </c>
      <c r="Q6" s="54"/>
      <c r="R6" s="56"/>
      <c r="S6" s="1" t="s">
        <v>23</v>
      </c>
    </row>
    <row r="7" spans="1:22" x14ac:dyDescent="0.25">
      <c r="L7" s="38" t="s">
        <v>26</v>
      </c>
      <c r="M7" s="38"/>
      <c r="N7" s="38"/>
      <c r="O7" s="38"/>
      <c r="P7" s="38"/>
      <c r="Q7" s="38"/>
    </row>
    <row r="9" spans="1:22" x14ac:dyDescent="0.25">
      <c r="H9" s="2"/>
      <c r="I9" s="2"/>
      <c r="J9" s="2"/>
      <c r="K9" s="2"/>
      <c r="L9" s="2"/>
      <c r="M9" s="2"/>
    </row>
    <row r="10" spans="1:22" x14ac:dyDescent="0.25">
      <c r="A10" s="39" t="s">
        <v>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22" ht="111" customHeight="1" x14ac:dyDescent="0.25">
      <c r="A11" s="44" t="s">
        <v>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V11" s="1" t="s">
        <v>29</v>
      </c>
    </row>
    <row r="13" spans="1:22" ht="30.75" customHeight="1" x14ac:dyDescent="0.25">
      <c r="A13" s="45" t="s">
        <v>3</v>
      </c>
      <c r="B13" s="45" t="s">
        <v>4</v>
      </c>
      <c r="C13" s="46" t="s">
        <v>5</v>
      </c>
      <c r="D13" s="46" t="s">
        <v>6</v>
      </c>
      <c r="E13" s="46" t="s">
        <v>7</v>
      </c>
      <c r="F13" s="46"/>
      <c r="G13" s="46"/>
      <c r="H13" s="46" t="s">
        <v>8</v>
      </c>
      <c r="I13" s="46" t="s">
        <v>9</v>
      </c>
      <c r="J13" s="46" t="s">
        <v>10</v>
      </c>
      <c r="K13" s="46"/>
      <c r="L13" s="46"/>
      <c r="M13" s="46"/>
      <c r="N13" s="46"/>
      <c r="O13" s="47"/>
      <c r="P13" s="48"/>
      <c r="Q13" s="48"/>
    </row>
    <row r="14" spans="1:22" ht="52.5" x14ac:dyDescent="0.25">
      <c r="A14" s="45"/>
      <c r="B14" s="45"/>
      <c r="C14" s="46"/>
      <c r="D14" s="46"/>
      <c r="E14" s="49" t="s">
        <v>46</v>
      </c>
      <c r="F14" s="49" t="s">
        <v>48</v>
      </c>
      <c r="G14" s="49" t="s">
        <v>47</v>
      </c>
      <c r="H14" s="46"/>
      <c r="I14" s="46"/>
      <c r="J14" s="49" t="s">
        <v>11</v>
      </c>
      <c r="K14" s="49" t="s">
        <v>12</v>
      </c>
      <c r="L14" s="49" t="s">
        <v>13</v>
      </c>
      <c r="M14" s="49" t="s">
        <v>14</v>
      </c>
      <c r="N14" s="49" t="s">
        <v>15</v>
      </c>
      <c r="O14" s="49" t="str">
        <f>E14</f>
        <v xml:space="preserve">n1  
Поставщик 1
вх. 723 от 25.03. 2026 г. </v>
      </c>
      <c r="P14" s="49" t="str">
        <f>F14</f>
        <v xml:space="preserve">n2 
Поставщик 2
вх. 725 от 25.03. 2026 г.  </v>
      </c>
      <c r="Q14" s="49" t="str">
        <f>G14</f>
        <v xml:space="preserve">n3
Поставщик 3
вх.724 от 25.03. 2026 г.  </v>
      </c>
    </row>
    <row r="15" spans="1:22" x14ac:dyDescent="0.25">
      <c r="A15" s="5">
        <v>1</v>
      </c>
      <c r="B15" s="22">
        <v>2</v>
      </c>
      <c r="C15" s="5">
        <v>3</v>
      </c>
      <c r="D15" s="5">
        <v>4</v>
      </c>
      <c r="E15" s="5">
        <v>5</v>
      </c>
      <c r="F15" s="5">
        <v>6</v>
      </c>
      <c r="G15" s="5">
        <v>7</v>
      </c>
      <c r="H15" s="5">
        <v>8</v>
      </c>
      <c r="I15" s="5">
        <v>9</v>
      </c>
      <c r="J15" s="5">
        <v>10</v>
      </c>
      <c r="K15" s="5">
        <v>11</v>
      </c>
      <c r="L15" s="5">
        <v>12</v>
      </c>
      <c r="M15" s="5">
        <v>13</v>
      </c>
      <c r="N15" s="5">
        <v>14</v>
      </c>
      <c r="O15" s="3"/>
      <c r="P15" s="4"/>
      <c r="Q15" s="4"/>
    </row>
    <row r="16" spans="1:22" ht="47.25" x14ac:dyDescent="0.25">
      <c r="A16" s="6">
        <v>1</v>
      </c>
      <c r="B16" s="23" t="s">
        <v>30</v>
      </c>
      <c r="C16" s="21" t="s">
        <v>31</v>
      </c>
      <c r="D16" s="19">
        <v>15</v>
      </c>
      <c r="E16" s="7">
        <f>15079.2/D16</f>
        <v>1005.2800000000001</v>
      </c>
      <c r="F16" s="8">
        <v>1130.3499999999999</v>
      </c>
      <c r="G16" s="9">
        <f>16909.2/D16</f>
        <v>1127.28</v>
      </c>
      <c r="H16" s="10">
        <f>ROUND((E16+F16+G16)/3,2)</f>
        <v>1087.6400000000001</v>
      </c>
      <c r="I16" s="10">
        <f t="shared" ref="I16" si="0">D16*H16</f>
        <v>16314.600000000002</v>
      </c>
      <c r="J16" s="11">
        <f>DEVSQ(E16:G16)</f>
        <v>10178.643266666641</v>
      </c>
      <c r="K16" s="11">
        <v>2</v>
      </c>
      <c r="L16" s="12">
        <f t="shared" ref="L16" si="1">J16/K16</f>
        <v>5089.3216333333203</v>
      </c>
      <c r="M16" s="12">
        <f t="shared" ref="M16" si="2">SQRT(L16)</f>
        <v>71.339481588621879</v>
      </c>
      <c r="N16" s="12">
        <f>M16/H16*100</f>
        <v>6.5591079390811187</v>
      </c>
      <c r="O16" s="13">
        <f>D16*E16</f>
        <v>15079.2</v>
      </c>
      <c r="P16" s="13">
        <f t="shared" ref="P16" si="3">D16*F16</f>
        <v>16955.25</v>
      </c>
      <c r="Q16" s="13">
        <f t="shared" ref="Q16" si="4">D16*G16</f>
        <v>16909.2</v>
      </c>
    </row>
    <row r="17" spans="1:17" ht="47.25" x14ac:dyDescent="0.25">
      <c r="A17" s="6">
        <v>2</v>
      </c>
      <c r="B17" s="23" t="s">
        <v>32</v>
      </c>
      <c r="C17" s="21" t="s">
        <v>31</v>
      </c>
      <c r="D17" s="19">
        <v>15</v>
      </c>
      <c r="E17" s="7">
        <f>7686/15</f>
        <v>512.4</v>
      </c>
      <c r="F17" s="8">
        <v>555.66999999999996</v>
      </c>
      <c r="G17" s="9">
        <f>8235/D17</f>
        <v>549</v>
      </c>
      <c r="H17" s="10">
        <f t="shared" ref="H17:H23" si="5">ROUND((E17+F17+G17)/3,2)</f>
        <v>539.02</v>
      </c>
      <c r="I17" s="10">
        <f t="shared" ref="I17:I23" si="6">D17*H17</f>
        <v>8085.2999999999993</v>
      </c>
      <c r="J17" s="11">
        <f t="shared" ref="J17:J23" si="7">DEVSQ(E17:G17)</f>
        <v>1085.4472666666663</v>
      </c>
      <c r="K17" s="11">
        <v>2</v>
      </c>
      <c r="L17" s="12">
        <f t="shared" ref="L17:L23" si="8">J17/K17</f>
        <v>542.72363333333317</v>
      </c>
      <c r="M17" s="12">
        <f t="shared" ref="M17:M23" si="9">SQRT(L17)</f>
        <v>23.296429626303965</v>
      </c>
      <c r="N17" s="12">
        <f t="shared" ref="N17:N23" si="10">M17/H17*100</f>
        <v>4.3219972591562401</v>
      </c>
      <c r="O17" s="13">
        <f t="shared" ref="O17:O23" si="11">D17*E17</f>
        <v>7686</v>
      </c>
      <c r="P17" s="13">
        <f t="shared" ref="P17:P23" si="12">D17*F17</f>
        <v>8335.0499999999993</v>
      </c>
      <c r="Q17" s="13">
        <f t="shared" ref="Q17:Q23" si="13">D17*G17</f>
        <v>8235</v>
      </c>
    </row>
    <row r="18" spans="1:17" ht="15.75" x14ac:dyDescent="0.25">
      <c r="A18" s="6">
        <v>3</v>
      </c>
      <c r="B18" s="25" t="s">
        <v>33</v>
      </c>
      <c r="C18" s="26" t="s">
        <v>31</v>
      </c>
      <c r="D18" s="27">
        <v>10</v>
      </c>
      <c r="E18" s="7">
        <f>8588.8/D18</f>
        <v>858.87999999999988</v>
      </c>
      <c r="F18" s="8">
        <v>874.5</v>
      </c>
      <c r="G18" s="9">
        <f>8845/D18</f>
        <v>884.5</v>
      </c>
      <c r="H18" s="10">
        <f t="shared" si="5"/>
        <v>872.63</v>
      </c>
      <c r="I18" s="10">
        <f t="shared" si="6"/>
        <v>8726.2999999999993</v>
      </c>
      <c r="J18" s="11">
        <f t="shared" si="7"/>
        <v>333.45626666666993</v>
      </c>
      <c r="K18" s="11">
        <v>2</v>
      </c>
      <c r="L18" s="12">
        <f t="shared" si="8"/>
        <v>166.72813333333497</v>
      </c>
      <c r="M18" s="12">
        <f t="shared" si="9"/>
        <v>12.912324861671308</v>
      </c>
      <c r="N18" s="12">
        <f t="shared" si="10"/>
        <v>1.4797021488685134</v>
      </c>
      <c r="O18" s="13">
        <f t="shared" si="11"/>
        <v>8588.7999999999993</v>
      </c>
      <c r="P18" s="13">
        <f t="shared" si="12"/>
        <v>8745</v>
      </c>
      <c r="Q18" s="13">
        <f t="shared" si="13"/>
        <v>8845</v>
      </c>
    </row>
    <row r="19" spans="1:17" ht="31.5" x14ac:dyDescent="0.25">
      <c r="A19" s="6">
        <v>4</v>
      </c>
      <c r="B19" s="30" t="s">
        <v>34</v>
      </c>
      <c r="C19" s="31" t="s">
        <v>31</v>
      </c>
      <c r="D19" s="31">
        <v>150</v>
      </c>
      <c r="E19" s="7">
        <f>14640/D19</f>
        <v>97.6</v>
      </c>
      <c r="F19" s="8">
        <v>101.13</v>
      </c>
      <c r="G19" s="9">
        <f>16470/D19</f>
        <v>109.8</v>
      </c>
      <c r="H19" s="10">
        <f t="shared" si="5"/>
        <v>102.84</v>
      </c>
      <c r="I19" s="10">
        <f t="shared" si="6"/>
        <v>15426</v>
      </c>
      <c r="J19" s="11">
        <f t="shared" si="7"/>
        <v>78.823266666666711</v>
      </c>
      <c r="K19" s="11">
        <v>2</v>
      </c>
      <c r="L19" s="12">
        <f t="shared" si="8"/>
        <v>39.411633333333356</v>
      </c>
      <c r="M19" s="12">
        <f t="shared" si="9"/>
        <v>6.2778685342505662</v>
      </c>
      <c r="N19" s="12">
        <f t="shared" si="10"/>
        <v>6.104500713973712</v>
      </c>
      <c r="O19" s="13">
        <f t="shared" si="11"/>
        <v>14640</v>
      </c>
      <c r="P19" s="13">
        <f t="shared" si="12"/>
        <v>15169.5</v>
      </c>
      <c r="Q19" s="13">
        <f t="shared" si="13"/>
        <v>16470</v>
      </c>
    </row>
    <row r="20" spans="1:17" x14ac:dyDescent="0.25">
      <c r="A20" s="6">
        <v>5</v>
      </c>
      <c r="B20" s="33" t="s">
        <v>35</v>
      </c>
      <c r="C20" s="31" t="s">
        <v>31</v>
      </c>
      <c r="D20" s="31">
        <v>5</v>
      </c>
      <c r="E20" s="7">
        <f>3141.5/D20</f>
        <v>628.29999999999995</v>
      </c>
      <c r="F20" s="8">
        <v>700.5</v>
      </c>
      <c r="G20" s="9">
        <f>3202.5/D20</f>
        <v>640.5</v>
      </c>
      <c r="H20" s="10">
        <f t="shared" si="5"/>
        <v>656.43</v>
      </c>
      <c r="I20" s="10">
        <f t="shared" si="6"/>
        <v>3282.1499999999996</v>
      </c>
      <c r="J20" s="11">
        <f t="shared" si="7"/>
        <v>2987.2266666666692</v>
      </c>
      <c r="K20" s="11">
        <v>2</v>
      </c>
      <c r="L20" s="12">
        <f t="shared" si="8"/>
        <v>1493.6133333333346</v>
      </c>
      <c r="M20" s="12">
        <f t="shared" si="9"/>
        <v>38.647293997553497</v>
      </c>
      <c r="N20" s="12">
        <f t="shared" si="10"/>
        <v>5.8874966100808157</v>
      </c>
      <c r="O20" s="13">
        <f t="shared" si="11"/>
        <v>3141.5</v>
      </c>
      <c r="P20" s="13">
        <f t="shared" si="12"/>
        <v>3502.5</v>
      </c>
      <c r="Q20" s="13">
        <f t="shared" si="13"/>
        <v>3202.5</v>
      </c>
    </row>
    <row r="21" spans="1:17" ht="47.25" x14ac:dyDescent="0.25">
      <c r="A21" s="6">
        <v>6</v>
      </c>
      <c r="B21" s="23" t="s">
        <v>36</v>
      </c>
      <c r="C21" s="31" t="s">
        <v>31</v>
      </c>
      <c r="D21" s="31">
        <v>5</v>
      </c>
      <c r="E21" s="7">
        <f>9406.2/D21</f>
        <v>1881.2400000000002</v>
      </c>
      <c r="F21" s="8">
        <v>2015.84</v>
      </c>
      <c r="G21" s="9">
        <f>10077.2/D21</f>
        <v>2015.44</v>
      </c>
      <c r="H21" s="10">
        <f t="shared" si="5"/>
        <v>1970.84</v>
      </c>
      <c r="I21" s="10">
        <f t="shared" si="6"/>
        <v>9854.1999999999989</v>
      </c>
      <c r="J21" s="11">
        <f t="shared" si="7"/>
        <v>12042.319999999956</v>
      </c>
      <c r="K21" s="11">
        <v>2</v>
      </c>
      <c r="L21" s="12">
        <f t="shared" si="8"/>
        <v>6021.159999999978</v>
      </c>
      <c r="M21" s="12">
        <f t="shared" si="9"/>
        <v>77.596133924313378</v>
      </c>
      <c r="N21" s="12">
        <f t="shared" si="10"/>
        <v>3.9372112360370899</v>
      </c>
      <c r="O21" s="13">
        <f t="shared" si="11"/>
        <v>9406.2000000000007</v>
      </c>
      <c r="P21" s="13">
        <f t="shared" si="12"/>
        <v>10079.199999999999</v>
      </c>
      <c r="Q21" s="13">
        <f t="shared" si="13"/>
        <v>10077.200000000001</v>
      </c>
    </row>
    <row r="22" spans="1:17" ht="30" x14ac:dyDescent="0.25">
      <c r="A22" s="6">
        <v>7</v>
      </c>
      <c r="B22" s="34" t="s">
        <v>37</v>
      </c>
      <c r="C22" s="31" t="s">
        <v>31</v>
      </c>
      <c r="D22" s="31">
        <v>5</v>
      </c>
      <c r="E22" s="7">
        <f>69448.5/D22</f>
        <v>13889.7</v>
      </c>
      <c r="F22" s="8">
        <v>14396</v>
      </c>
      <c r="G22" s="9">
        <f>82960/D22</f>
        <v>16592</v>
      </c>
      <c r="H22" s="10">
        <f t="shared" si="5"/>
        <v>14959.23</v>
      </c>
      <c r="I22" s="10">
        <f t="shared" si="6"/>
        <v>74796.149999999994</v>
      </c>
      <c r="J22" s="11">
        <f t="shared" si="7"/>
        <v>4127060.3266666653</v>
      </c>
      <c r="K22" s="11">
        <v>2</v>
      </c>
      <c r="L22" s="12">
        <f t="shared" si="8"/>
        <v>2063530.1633333326</v>
      </c>
      <c r="M22" s="12">
        <f t="shared" si="9"/>
        <v>1436.4992736974609</v>
      </c>
      <c r="N22" s="12">
        <f t="shared" si="10"/>
        <v>9.6027621321248553</v>
      </c>
      <c r="O22" s="13">
        <f t="shared" si="11"/>
        <v>69448.5</v>
      </c>
      <c r="P22" s="13">
        <f t="shared" si="12"/>
        <v>71980</v>
      </c>
      <c r="Q22" s="13">
        <f t="shared" si="13"/>
        <v>82960</v>
      </c>
    </row>
    <row r="23" spans="1:17" ht="15.75" x14ac:dyDescent="0.25">
      <c r="A23" s="6">
        <v>8</v>
      </c>
      <c r="B23" s="23" t="s">
        <v>38</v>
      </c>
      <c r="C23" s="31" t="s">
        <v>31</v>
      </c>
      <c r="D23" s="31">
        <v>2</v>
      </c>
      <c r="E23" s="7">
        <f>3801.52/D23</f>
        <v>1900.76</v>
      </c>
      <c r="F23" s="8">
        <v>1977</v>
      </c>
      <c r="G23" s="9">
        <f>3904/D23</f>
        <v>1952</v>
      </c>
      <c r="H23" s="10">
        <f t="shared" si="5"/>
        <v>1943.25</v>
      </c>
      <c r="I23" s="10">
        <f t="shared" si="6"/>
        <v>3886.5</v>
      </c>
      <c r="J23" s="11">
        <f t="shared" si="7"/>
        <v>3021.0250666666675</v>
      </c>
      <c r="K23" s="11">
        <v>2</v>
      </c>
      <c r="L23" s="12">
        <f t="shared" si="8"/>
        <v>1510.5125333333337</v>
      </c>
      <c r="M23" s="12">
        <f t="shared" si="9"/>
        <v>38.865312726560347</v>
      </c>
      <c r="N23" s="12">
        <f t="shared" si="10"/>
        <v>2.0000160929659256</v>
      </c>
      <c r="O23" s="13">
        <f t="shared" si="11"/>
        <v>3801.52</v>
      </c>
      <c r="P23" s="13">
        <f t="shared" si="12"/>
        <v>3954</v>
      </c>
      <c r="Q23" s="13">
        <f t="shared" si="13"/>
        <v>3904</v>
      </c>
    </row>
    <row r="24" spans="1:17" ht="15.75" x14ac:dyDescent="0.25">
      <c r="A24" s="6">
        <v>9</v>
      </c>
      <c r="B24" s="23" t="s">
        <v>39</v>
      </c>
      <c r="C24" s="31" t="s">
        <v>31</v>
      </c>
      <c r="D24" s="31">
        <v>2</v>
      </c>
      <c r="E24" s="7">
        <f>7649.4/D24</f>
        <v>3824.7</v>
      </c>
      <c r="F24" s="8">
        <v>3981.1</v>
      </c>
      <c r="G24" s="9">
        <f>7942.2/D24</f>
        <v>3971.1</v>
      </c>
      <c r="H24" s="10">
        <f t="shared" ref="H24:H27" si="14">ROUND((E24+F24+G24)/3,2)</f>
        <v>3925.63</v>
      </c>
      <c r="I24" s="10">
        <f t="shared" ref="I24:I27" si="15">D24*H24</f>
        <v>7851.26</v>
      </c>
      <c r="J24" s="11">
        <f t="shared" ref="J24:J27" si="16">DEVSQ(E24:G24)</f>
        <v>15331.306666666685</v>
      </c>
      <c r="K24" s="11">
        <v>2</v>
      </c>
      <c r="L24" s="12">
        <f t="shared" ref="L24:L27" si="17">J24/K24</f>
        <v>7665.6533333333427</v>
      </c>
      <c r="M24" s="12">
        <f t="shared" ref="M24:M27" si="18">SQRT(L24)</f>
        <v>87.553716844765319</v>
      </c>
      <c r="N24" s="12">
        <f t="shared" ref="N24:N27" si="19">M24/H24*100</f>
        <v>2.2303099590324433</v>
      </c>
      <c r="O24" s="13">
        <f t="shared" ref="O24:O27" si="20">D24*E24</f>
        <v>7649.4</v>
      </c>
      <c r="P24" s="13">
        <f t="shared" ref="P24:P27" si="21">D24*F24</f>
        <v>7962.2</v>
      </c>
      <c r="Q24" s="13">
        <f t="shared" ref="Q24:Q27" si="22">D24*G24</f>
        <v>7942.2</v>
      </c>
    </row>
    <row r="25" spans="1:17" x14ac:dyDescent="0.25">
      <c r="A25" s="6">
        <v>10</v>
      </c>
      <c r="B25" s="34" t="s">
        <v>40</v>
      </c>
      <c r="C25" s="31" t="s">
        <v>45</v>
      </c>
      <c r="D25" s="31">
        <v>2</v>
      </c>
      <c r="E25" s="7">
        <f>19764/D25</f>
        <v>9882</v>
      </c>
      <c r="F25" s="8">
        <v>10176</v>
      </c>
      <c r="G25" s="9">
        <f>20252/D25</f>
        <v>10126</v>
      </c>
      <c r="H25" s="10">
        <f t="shared" si="14"/>
        <v>10061.33</v>
      </c>
      <c r="I25" s="10">
        <f t="shared" si="15"/>
        <v>20122.66</v>
      </c>
      <c r="J25" s="11">
        <f t="shared" si="16"/>
        <v>49490.666666666672</v>
      </c>
      <c r="K25" s="11">
        <v>2</v>
      </c>
      <c r="L25" s="12">
        <f t="shared" si="17"/>
        <v>24745.333333333336</v>
      </c>
      <c r="M25" s="12">
        <f t="shared" si="18"/>
        <v>157.3064948860451</v>
      </c>
      <c r="N25" s="12">
        <f t="shared" si="19"/>
        <v>1.5634761496347411</v>
      </c>
      <c r="O25" s="13">
        <f t="shared" si="20"/>
        <v>19764</v>
      </c>
      <c r="P25" s="13">
        <f t="shared" si="21"/>
        <v>20352</v>
      </c>
      <c r="Q25" s="13">
        <f t="shared" si="22"/>
        <v>20252</v>
      </c>
    </row>
    <row r="26" spans="1:17" x14ac:dyDescent="0.25">
      <c r="A26" s="6">
        <v>11</v>
      </c>
      <c r="B26" s="34" t="s">
        <v>41</v>
      </c>
      <c r="C26" s="31" t="s">
        <v>31</v>
      </c>
      <c r="D26" s="31">
        <v>2</v>
      </c>
      <c r="E26" s="7">
        <f>3886.92/D26</f>
        <v>1943.46</v>
      </c>
      <c r="F26" s="8">
        <v>2060.6999999999998</v>
      </c>
      <c r="G26" s="9">
        <f>4111.4/D26</f>
        <v>2055.6999999999998</v>
      </c>
      <c r="H26" s="10">
        <f t="shared" si="14"/>
        <v>2019.95</v>
      </c>
      <c r="I26" s="10">
        <f t="shared" si="15"/>
        <v>4039.9</v>
      </c>
      <c r="J26" s="11">
        <f t="shared" si="16"/>
        <v>8789.345066666634</v>
      </c>
      <c r="K26" s="11">
        <v>2</v>
      </c>
      <c r="L26" s="12">
        <f t="shared" si="17"/>
        <v>4394.672533333317</v>
      </c>
      <c r="M26" s="12">
        <f t="shared" si="18"/>
        <v>66.292326353306663</v>
      </c>
      <c r="N26" s="12">
        <f t="shared" si="19"/>
        <v>3.2818795689649081</v>
      </c>
      <c r="O26" s="13">
        <f t="shared" si="20"/>
        <v>3886.92</v>
      </c>
      <c r="P26" s="13">
        <f t="shared" si="21"/>
        <v>4121.3999999999996</v>
      </c>
      <c r="Q26" s="13">
        <f t="shared" si="22"/>
        <v>4111.3999999999996</v>
      </c>
    </row>
    <row r="27" spans="1:17" ht="63" x14ac:dyDescent="0.25">
      <c r="A27" s="6">
        <v>12</v>
      </c>
      <c r="B27" s="23" t="s">
        <v>42</v>
      </c>
      <c r="C27" s="31" t="s">
        <v>31</v>
      </c>
      <c r="D27" s="31">
        <v>10</v>
      </c>
      <c r="E27" s="7">
        <f>11992.6/D27</f>
        <v>1199.26</v>
      </c>
      <c r="F27" s="8">
        <v>1022.2</v>
      </c>
      <c r="G27" s="9">
        <f>12017/D27</f>
        <v>1201.7</v>
      </c>
      <c r="H27" s="10">
        <f t="shared" si="14"/>
        <v>1141.05</v>
      </c>
      <c r="I27" s="10">
        <f t="shared" si="15"/>
        <v>11410.5</v>
      </c>
      <c r="J27" s="11">
        <f t="shared" si="16"/>
        <v>21192.149066666661</v>
      </c>
      <c r="K27" s="11">
        <v>2</v>
      </c>
      <c r="L27" s="12">
        <f t="shared" si="17"/>
        <v>10596.074533333331</v>
      </c>
      <c r="M27" s="12">
        <f t="shared" si="18"/>
        <v>102.937235893205</v>
      </c>
      <c r="N27" s="12">
        <f t="shared" si="19"/>
        <v>9.0212730286319633</v>
      </c>
      <c r="O27" s="13">
        <f t="shared" si="20"/>
        <v>11992.6</v>
      </c>
      <c r="P27" s="13">
        <f t="shared" si="21"/>
        <v>10222</v>
      </c>
      <c r="Q27" s="13">
        <f t="shared" si="22"/>
        <v>12017</v>
      </c>
    </row>
    <row r="28" spans="1:17" ht="15.75" x14ac:dyDescent="0.25">
      <c r="A28" s="6">
        <v>13</v>
      </c>
      <c r="B28" s="32" t="s">
        <v>43</v>
      </c>
      <c r="C28" s="28" t="s">
        <v>31</v>
      </c>
      <c r="D28" s="29">
        <v>20</v>
      </c>
      <c r="E28" s="7">
        <f>51484/D28</f>
        <v>2574.1999999999998</v>
      </c>
      <c r="F28" s="8">
        <v>2595</v>
      </c>
      <c r="G28" s="9">
        <f>53192/D28</f>
        <v>2659.6</v>
      </c>
      <c r="H28" s="10">
        <f t="shared" ref="H28:H29" si="23">ROUND((E28+F28+G28)/3,2)</f>
        <v>2609.6</v>
      </c>
      <c r="I28" s="10">
        <f t="shared" ref="I28:I29" si="24">D28*H28</f>
        <v>52192</v>
      </c>
      <c r="J28" s="11">
        <f t="shared" ref="J28:J29" si="25">DEVSQ(E28:G28)</f>
        <v>3966.3200000000038</v>
      </c>
      <c r="K28" s="11">
        <v>2</v>
      </c>
      <c r="L28" s="12">
        <f t="shared" ref="L28:L29" si="26">J28/K28</f>
        <v>1983.1600000000019</v>
      </c>
      <c r="M28" s="12">
        <f t="shared" ref="M28:M29" si="27">SQRT(L28)</f>
        <v>44.532684626013754</v>
      </c>
      <c r="N28" s="12">
        <f t="shared" ref="N28:N29" si="28">M28/H28*100</f>
        <v>1.7064946591820107</v>
      </c>
      <c r="O28" s="13">
        <f t="shared" ref="O28:O29" si="29">D28*E28</f>
        <v>51484</v>
      </c>
      <c r="P28" s="13">
        <f t="shared" ref="P28:P29" si="30">D28*F28</f>
        <v>51900</v>
      </c>
      <c r="Q28" s="13">
        <f t="shared" ref="Q28:Q29" si="31">D28*G28</f>
        <v>53192</v>
      </c>
    </row>
    <row r="29" spans="1:17" ht="15.75" x14ac:dyDescent="0.25">
      <c r="A29" s="6">
        <v>14</v>
      </c>
      <c r="B29" s="23" t="s">
        <v>43</v>
      </c>
      <c r="C29" s="21" t="s">
        <v>31</v>
      </c>
      <c r="D29" s="19">
        <v>10</v>
      </c>
      <c r="E29" s="7">
        <f>34038/D29</f>
        <v>3403.8</v>
      </c>
      <c r="F29" s="8">
        <v>4050</v>
      </c>
      <c r="G29" s="9">
        <f>44530/D29</f>
        <v>4453</v>
      </c>
      <c r="H29" s="10">
        <f t="shared" si="23"/>
        <v>3968.93</v>
      </c>
      <c r="I29" s="10">
        <f t="shared" si="24"/>
        <v>39689.299999999996</v>
      </c>
      <c r="J29" s="11">
        <f t="shared" si="25"/>
        <v>560268.02666666638</v>
      </c>
      <c r="K29" s="11">
        <v>2</v>
      </c>
      <c r="L29" s="12">
        <f t="shared" si="26"/>
        <v>280134.01333333319</v>
      </c>
      <c r="M29" s="12">
        <f t="shared" si="27"/>
        <v>529.27687776185087</v>
      </c>
      <c r="N29" s="12">
        <f t="shared" si="28"/>
        <v>13.335505482884576</v>
      </c>
      <c r="O29" s="13">
        <f t="shared" si="29"/>
        <v>34038</v>
      </c>
      <c r="P29" s="13">
        <f t="shared" si="30"/>
        <v>40500</v>
      </c>
      <c r="Q29" s="13">
        <f t="shared" si="31"/>
        <v>44530</v>
      </c>
    </row>
    <row r="30" spans="1:17" ht="15" customHeight="1" x14ac:dyDescent="0.25">
      <c r="A30" s="40" t="s">
        <v>16</v>
      </c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  <c r="O30" s="13">
        <f>SUM(O16:O29)</f>
        <v>260606.64</v>
      </c>
      <c r="P30" s="13">
        <f>SUM(P16:P29)</f>
        <v>273778.09999999998</v>
      </c>
      <c r="Q30" s="13">
        <f>SUM(Q16:Q29)</f>
        <v>292647.5</v>
      </c>
    </row>
    <row r="31" spans="1:17" ht="18.75" x14ac:dyDescent="0.3">
      <c r="A31" s="35" t="s">
        <v>17</v>
      </c>
      <c r="B31" s="35"/>
      <c r="C31" s="35"/>
      <c r="D31" s="35"/>
      <c r="E31" s="35"/>
      <c r="F31" s="35"/>
      <c r="G31" s="35"/>
      <c r="H31" s="35"/>
      <c r="I31" s="36">
        <f>SUM(I16:I29)</f>
        <v>275676.82</v>
      </c>
      <c r="J31" s="36"/>
      <c r="K31" s="36"/>
      <c r="L31" s="36"/>
      <c r="M31" s="36"/>
      <c r="N31" s="36"/>
    </row>
    <row r="33" spans="1:257" x14ac:dyDescent="0.25">
      <c r="A33" s="14" t="s">
        <v>18</v>
      </c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5"/>
      <c r="O33" s="15"/>
      <c r="P33" s="15"/>
      <c r="Q33" s="15"/>
    </row>
    <row r="34" spans="1:257" s="53" customFormat="1" x14ac:dyDescent="0.25">
      <c r="A34" s="50" t="s">
        <v>50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1"/>
      <c r="O34" s="51"/>
      <c r="P34" s="51"/>
      <c r="Q34" s="51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2"/>
      <c r="IP34" s="52"/>
      <c r="IQ34" s="52"/>
      <c r="IR34" s="52"/>
      <c r="IS34" s="52"/>
      <c r="IT34" s="52"/>
      <c r="IU34" s="52"/>
      <c r="IV34" s="52"/>
      <c r="IW34" s="52"/>
    </row>
    <row r="35" spans="1:257" x14ac:dyDescent="0.25">
      <c r="A35" s="24" t="s">
        <v>51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15"/>
      <c r="O35" s="15"/>
      <c r="P35" s="15"/>
      <c r="Q35" s="15"/>
    </row>
    <row r="36" spans="1:257" ht="129" customHeight="1" x14ac:dyDescent="0.25">
      <c r="A36" s="37" t="s">
        <v>19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1:257" ht="24.75" customHeight="1" x14ac:dyDescent="0.25">
      <c r="A37" s="37" t="s">
        <v>44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</row>
    <row r="38" spans="1:257" x14ac:dyDescent="0.25">
      <c r="B38" s="1" t="s">
        <v>25</v>
      </c>
    </row>
    <row r="39" spans="1:257" s="15" customFormat="1" hidden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257" s="15" customFormat="1" hidden="1" x14ac:dyDescent="0.25">
      <c r="A40" s="1"/>
      <c r="B40" s="1" t="s">
        <v>21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257" ht="97.5" hidden="1" customHeight="1" x14ac:dyDescent="0.25">
      <c r="B41" s="16" t="s">
        <v>22</v>
      </c>
      <c r="C41" s="17"/>
      <c r="D41" s="16"/>
      <c r="E41" s="16" t="s">
        <v>20</v>
      </c>
      <c r="F41" s="16"/>
    </row>
    <row r="42" spans="1:257" ht="11.25" customHeight="1" x14ac:dyDescent="0.25">
      <c r="B42" s="16"/>
      <c r="C42" s="17"/>
      <c r="D42" s="57"/>
      <c r="E42" s="57" t="s">
        <v>54</v>
      </c>
      <c r="F42" s="57"/>
      <c r="G42" s="56"/>
    </row>
    <row r="43" spans="1:257" ht="18.75" customHeight="1" x14ac:dyDescent="0.25">
      <c r="B43" s="1" t="s">
        <v>24</v>
      </c>
      <c r="E43" s="1" t="s">
        <v>27</v>
      </c>
      <c r="F43" s="1" t="s">
        <v>53</v>
      </c>
    </row>
    <row r="44" spans="1:257" ht="12.75" customHeight="1" x14ac:dyDescent="0.25">
      <c r="E44" s="56" t="s">
        <v>54</v>
      </c>
      <c r="F44" s="56"/>
      <c r="G44" s="56"/>
      <c r="S44" s="18"/>
    </row>
    <row r="45" spans="1:257" x14ac:dyDescent="0.25">
      <c r="E45" s="56"/>
      <c r="F45" s="56"/>
      <c r="G45" s="56"/>
    </row>
    <row r="59" spans="9:9" x14ac:dyDescent="0.25">
      <c r="I59" s="1" t="s">
        <v>23</v>
      </c>
    </row>
  </sheetData>
  <mergeCells count="20">
    <mergeCell ref="A30:N30"/>
    <mergeCell ref="A11:Q11"/>
    <mergeCell ref="A13:A14"/>
    <mergeCell ref="B13:B14"/>
    <mergeCell ref="C13:C14"/>
    <mergeCell ref="D13:D14"/>
    <mergeCell ref="E13:G13"/>
    <mergeCell ref="H13:H14"/>
    <mergeCell ref="I13:I14"/>
    <mergeCell ref="J13:N13"/>
    <mergeCell ref="L3:Q3"/>
    <mergeCell ref="L4:Q4"/>
    <mergeCell ref="L5:Q5"/>
    <mergeCell ref="L7:Q7"/>
    <mergeCell ref="A10:Q10"/>
    <mergeCell ref="A31:H31"/>
    <mergeCell ref="I31:N31"/>
    <mergeCell ref="A34:M34"/>
    <mergeCell ref="A36:M36"/>
    <mergeCell ref="A37:M37"/>
  </mergeCells>
  <printOptions horizontalCentered="1" gridLines="1"/>
  <pageMargins left="0.11811023622047245" right="0" top="0.15748031496062992" bottom="0.15748031496062992" header="0" footer="0"/>
  <pageSetup paperSize="9" scale="54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2026-03-27T12:30:43Z</cp:lastPrinted>
  <dcterms:created xsi:type="dcterms:W3CDTF">2015-06-24T18:33:10Z</dcterms:created>
  <dcterms:modified xsi:type="dcterms:W3CDTF">2026-04-13T06:41:00Z</dcterms:modified>
  <dc:language>en-US</dc:language>
</cp:coreProperties>
</file>