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0D6143B-5F36-431F-9036-C8A326E0FC04}" xr6:coauthVersionLast="47" xr6:coauthVersionMax="47" xr10:uidLastSave="{00000000-0000-0000-0000-000000000000}"/>
  <bookViews>
    <workbookView xWindow="-103" yWindow="-103" windowWidth="29692" windowHeight="11829" xr2:uid="{CA4EC38D-A9C3-4DB7-BDD3-724B652DC302}"/>
  </bookViews>
  <sheets>
    <sheet name="Смета СН-2012 по гл. 1-5,7" sheetId="7" r:id="rId1"/>
    <sheet name="Дефектная ведомость" sheetId="8" r:id="rId2"/>
    <sheet name="Source" sheetId="1" r:id="rId3"/>
    <sheet name="SourceObSm" sheetId="2" r:id="rId4"/>
    <sheet name="SmtRes" sheetId="3" r:id="rId5"/>
    <sheet name="EtalonRes" sheetId="4" r:id="rId6"/>
    <sheet name="SrcPoprs" sheetId="5" r:id="rId7"/>
    <sheet name="SrcKA" sheetId="6" r:id="rId8"/>
  </sheets>
  <definedNames>
    <definedName name="_xlnm.Print_Titles" localSheetId="1">'Дефектная ведомость'!$18:$18</definedName>
    <definedName name="_xlnm.Print_Titles" localSheetId="0">'Смета СН-2012 по гл. 1-5,7'!$31:$31</definedName>
    <definedName name="_xlnm.Print_Area" localSheetId="1">'Дефектная ведомость'!$A$1:$E$36</definedName>
    <definedName name="_xlnm.Print_Area" localSheetId="0">'Смета СН-2012 по гл. 1-5,7'!$A$1:$K$111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8" l="1"/>
  <c r="C31" i="8"/>
  <c r="B31" i="8"/>
  <c r="D30" i="8"/>
  <c r="C30" i="8"/>
  <c r="B30" i="8"/>
  <c r="D29" i="8"/>
  <c r="C29" i="8"/>
  <c r="B29" i="8"/>
  <c r="A28" i="8"/>
  <c r="D27" i="8"/>
  <c r="C27" i="8"/>
  <c r="B27" i="8"/>
  <c r="D26" i="8"/>
  <c r="C26" i="8"/>
  <c r="B26" i="8"/>
  <c r="D25" i="8"/>
  <c r="C25" i="8"/>
  <c r="B25" i="8"/>
  <c r="A24" i="8"/>
  <c r="D23" i="8"/>
  <c r="C23" i="8"/>
  <c r="B23" i="8"/>
  <c r="D22" i="8"/>
  <c r="C22" i="8"/>
  <c r="B22" i="8"/>
  <c r="D21" i="8"/>
  <c r="C21" i="8"/>
  <c r="B21" i="8"/>
  <c r="A20" i="8"/>
  <c r="A19" i="8"/>
  <c r="A12" i="8"/>
  <c r="A11" i="8"/>
  <c r="A1" i="8"/>
  <c r="H109" i="7"/>
  <c r="H106" i="7"/>
  <c r="C109" i="7"/>
  <c r="C106" i="7"/>
  <c r="I103" i="7"/>
  <c r="C103" i="7"/>
  <c r="I26" i="7"/>
  <c r="I25" i="7"/>
  <c r="I24" i="7"/>
  <c r="I23" i="7"/>
  <c r="I22" i="7"/>
  <c r="I21" i="7" s="1"/>
  <c r="A102" i="7"/>
  <c r="A99" i="7"/>
  <c r="K96" i="7"/>
  <c r="H96" i="7"/>
  <c r="G96" i="7"/>
  <c r="E96" i="7"/>
  <c r="E95" i="7"/>
  <c r="E94" i="7"/>
  <c r="E93" i="7"/>
  <c r="J92" i="7"/>
  <c r="I92" i="7"/>
  <c r="H92" i="7"/>
  <c r="F92" i="7"/>
  <c r="V92" i="7"/>
  <c r="T92" i="7"/>
  <c r="R92" i="7"/>
  <c r="U92" i="7"/>
  <c r="S92" i="7"/>
  <c r="Q92" i="7"/>
  <c r="E92" i="7"/>
  <c r="D92" i="7"/>
  <c r="B92" i="7"/>
  <c r="J91" i="7"/>
  <c r="I91" i="7"/>
  <c r="H91" i="7"/>
  <c r="G91" i="7"/>
  <c r="F91" i="7"/>
  <c r="J90" i="7"/>
  <c r="I90" i="7"/>
  <c r="H90" i="7"/>
  <c r="G90" i="7"/>
  <c r="F90" i="7"/>
  <c r="J89" i="7"/>
  <c r="I89" i="7"/>
  <c r="H89" i="7"/>
  <c r="G89" i="7"/>
  <c r="F89" i="7"/>
  <c r="J88" i="7"/>
  <c r="I88" i="7"/>
  <c r="H88" i="7"/>
  <c r="G88" i="7"/>
  <c r="F88" i="7"/>
  <c r="V87" i="7"/>
  <c r="T87" i="7"/>
  <c r="R87" i="7"/>
  <c r="U87" i="7"/>
  <c r="S87" i="7"/>
  <c r="Q87" i="7"/>
  <c r="E87" i="7"/>
  <c r="D87" i="7"/>
  <c r="C87" i="7"/>
  <c r="B87" i="7"/>
  <c r="K85" i="7"/>
  <c r="H85" i="7"/>
  <c r="G85" i="7"/>
  <c r="E85" i="7"/>
  <c r="E84" i="7"/>
  <c r="E83" i="7"/>
  <c r="J82" i="7"/>
  <c r="I82" i="7"/>
  <c r="H82" i="7"/>
  <c r="G82" i="7"/>
  <c r="F82" i="7"/>
  <c r="J81" i="7"/>
  <c r="I81" i="7"/>
  <c r="H81" i="7"/>
  <c r="G81" i="7"/>
  <c r="F81" i="7"/>
  <c r="V80" i="7"/>
  <c r="T80" i="7"/>
  <c r="J84" i="7" s="1"/>
  <c r="R80" i="7"/>
  <c r="J83" i="7" s="1"/>
  <c r="U80" i="7"/>
  <c r="S80" i="7"/>
  <c r="Q80" i="7"/>
  <c r="E80" i="7"/>
  <c r="D80" i="7"/>
  <c r="C80" i="7"/>
  <c r="B80" i="7"/>
  <c r="A79" i="7"/>
  <c r="A77" i="7"/>
  <c r="K74" i="7"/>
  <c r="H74" i="7"/>
  <c r="G74" i="7"/>
  <c r="E74" i="7"/>
  <c r="E73" i="7"/>
  <c r="E72" i="7"/>
  <c r="E71" i="7"/>
  <c r="J70" i="7"/>
  <c r="I70" i="7"/>
  <c r="H70" i="7"/>
  <c r="F70" i="7"/>
  <c r="V70" i="7"/>
  <c r="T70" i="7"/>
  <c r="R70" i="7"/>
  <c r="U70" i="7"/>
  <c r="S70" i="7"/>
  <c r="Q70" i="7"/>
  <c r="E70" i="7"/>
  <c r="D70" i="7"/>
  <c r="B70" i="7"/>
  <c r="J69" i="7"/>
  <c r="I69" i="7"/>
  <c r="H69" i="7"/>
  <c r="G69" i="7"/>
  <c r="F69" i="7"/>
  <c r="J68" i="7"/>
  <c r="I68" i="7"/>
  <c r="H68" i="7"/>
  <c r="G68" i="7"/>
  <c r="F68" i="7"/>
  <c r="J67" i="7"/>
  <c r="I67" i="7"/>
  <c r="H67" i="7"/>
  <c r="G67" i="7"/>
  <c r="F67" i="7"/>
  <c r="J66" i="7"/>
  <c r="I66" i="7"/>
  <c r="H66" i="7"/>
  <c r="G66" i="7"/>
  <c r="F66" i="7"/>
  <c r="V65" i="7"/>
  <c r="T65" i="7"/>
  <c r="R65" i="7"/>
  <c r="U65" i="7"/>
  <c r="S65" i="7"/>
  <c r="Q65" i="7"/>
  <c r="E65" i="7"/>
  <c r="D65" i="7"/>
  <c r="C65" i="7"/>
  <c r="B65" i="7"/>
  <c r="K63" i="7"/>
  <c r="H63" i="7"/>
  <c r="G63" i="7"/>
  <c r="E63" i="7"/>
  <c r="J62" i="7"/>
  <c r="E62" i="7"/>
  <c r="E61" i="7"/>
  <c r="J60" i="7"/>
  <c r="I60" i="7"/>
  <c r="H60" i="7"/>
  <c r="G60" i="7"/>
  <c r="F60" i="7"/>
  <c r="J59" i="7"/>
  <c r="I59" i="7"/>
  <c r="H59" i="7"/>
  <c r="G59" i="7"/>
  <c r="F59" i="7"/>
  <c r="V58" i="7"/>
  <c r="T58" i="7"/>
  <c r="R58" i="7"/>
  <c r="J61" i="7" s="1"/>
  <c r="U58" i="7"/>
  <c r="S58" i="7"/>
  <c r="Q58" i="7"/>
  <c r="E58" i="7"/>
  <c r="D58" i="7"/>
  <c r="C58" i="7"/>
  <c r="B58" i="7"/>
  <c r="A57" i="7"/>
  <c r="A55" i="7"/>
  <c r="K52" i="7"/>
  <c r="H52" i="7"/>
  <c r="G52" i="7"/>
  <c r="E52" i="7"/>
  <c r="E51" i="7"/>
  <c r="E50" i="7"/>
  <c r="E49" i="7"/>
  <c r="J48" i="7"/>
  <c r="I48" i="7"/>
  <c r="H48" i="7"/>
  <c r="F48" i="7"/>
  <c r="V48" i="7"/>
  <c r="T48" i="7"/>
  <c r="R48" i="7"/>
  <c r="U48" i="7"/>
  <c r="S48" i="7"/>
  <c r="Q48" i="7"/>
  <c r="E48" i="7"/>
  <c r="D48" i="7"/>
  <c r="B48" i="7"/>
  <c r="J47" i="7"/>
  <c r="I47" i="7"/>
  <c r="H47" i="7"/>
  <c r="G47" i="7"/>
  <c r="F47" i="7"/>
  <c r="J46" i="7"/>
  <c r="I46" i="7"/>
  <c r="H46" i="7"/>
  <c r="G46" i="7"/>
  <c r="F46" i="7"/>
  <c r="J45" i="7"/>
  <c r="I45" i="7"/>
  <c r="H45" i="7"/>
  <c r="G45" i="7"/>
  <c r="F45" i="7"/>
  <c r="J44" i="7"/>
  <c r="I44" i="7"/>
  <c r="H44" i="7"/>
  <c r="G44" i="7"/>
  <c r="F44" i="7"/>
  <c r="V43" i="7"/>
  <c r="T43" i="7"/>
  <c r="R43" i="7"/>
  <c r="U43" i="7"/>
  <c r="S43" i="7"/>
  <c r="Q43" i="7"/>
  <c r="E43" i="7"/>
  <c r="D43" i="7"/>
  <c r="C43" i="7"/>
  <c r="B43" i="7"/>
  <c r="K41" i="7"/>
  <c r="H41" i="7"/>
  <c r="G41" i="7"/>
  <c r="E41" i="7"/>
  <c r="E40" i="7"/>
  <c r="E39" i="7"/>
  <c r="J38" i="7"/>
  <c r="I38" i="7"/>
  <c r="H38" i="7"/>
  <c r="G38" i="7"/>
  <c r="F38" i="7"/>
  <c r="J37" i="7"/>
  <c r="I37" i="7"/>
  <c r="H37" i="7"/>
  <c r="G37" i="7"/>
  <c r="F37" i="7"/>
  <c r="V36" i="7"/>
  <c r="T36" i="7"/>
  <c r="J40" i="7" s="1"/>
  <c r="R36" i="7"/>
  <c r="J39" i="7" s="1"/>
  <c r="U36" i="7"/>
  <c r="S36" i="7"/>
  <c r="Q36" i="7"/>
  <c r="E36" i="7"/>
  <c r="D36" i="7"/>
  <c r="C36" i="7"/>
  <c r="B36" i="7"/>
  <c r="A35" i="7"/>
  <c r="A33" i="7"/>
  <c r="A19" i="7"/>
  <c r="A16" i="7"/>
  <c r="A13" i="7"/>
  <c r="A10" i="7"/>
  <c r="G6" i="7"/>
  <c r="B6" i="7"/>
  <c r="A1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" i="3"/>
  <c r="Y1" i="3"/>
  <c r="CU1" i="3"/>
  <c r="CV1" i="3"/>
  <c r="CX1" i="3"/>
  <c r="CY1" i="3"/>
  <c r="CZ1" i="3"/>
  <c r="DB1" i="3" s="1"/>
  <c r="DA1" i="3"/>
  <c r="DC1" i="3"/>
  <c r="DF1" i="3"/>
  <c r="DG1" i="3"/>
  <c r="DH1" i="3"/>
  <c r="DI1" i="3"/>
  <c r="DJ1" i="3"/>
  <c r="A2" i="3"/>
  <c r="Y2" i="3"/>
  <c r="CX2" i="3" s="1"/>
  <c r="CY2" i="3"/>
  <c r="CZ2" i="3"/>
  <c r="DA2" i="3"/>
  <c r="DB2" i="3"/>
  <c r="DC2" i="3"/>
  <c r="A3" i="3"/>
  <c r="Y3" i="3"/>
  <c r="CX3" i="3"/>
  <c r="DI3" i="3" s="1"/>
  <c r="CY3" i="3"/>
  <c r="CZ3" i="3"/>
  <c r="DB3" i="3" s="1"/>
  <c r="DA3" i="3"/>
  <c r="DC3" i="3"/>
  <c r="DH3" i="3"/>
  <c r="A4" i="3"/>
  <c r="Y4" i="3"/>
  <c r="CV4" i="3" s="1"/>
  <c r="CU4" i="3"/>
  <c r="CX4" i="3"/>
  <c r="DF4" i="3" s="1"/>
  <c r="CY4" i="3"/>
  <c r="CZ4" i="3"/>
  <c r="DB4" i="3" s="1"/>
  <c r="DA4" i="3"/>
  <c r="DC4" i="3"/>
  <c r="DH4" i="3"/>
  <c r="DI4" i="3"/>
  <c r="DJ4" i="3" s="1"/>
  <c r="A5" i="3"/>
  <c r="Y5" i="3"/>
  <c r="CW5" i="3"/>
  <c r="CX5" i="3"/>
  <c r="DF5" i="3" s="1"/>
  <c r="CY5" i="3"/>
  <c r="CZ5" i="3"/>
  <c r="DA5" i="3"/>
  <c r="DB5" i="3"/>
  <c r="DC5" i="3"/>
  <c r="DG5" i="3"/>
  <c r="DH5" i="3"/>
  <c r="DJ5" i="3"/>
  <c r="A6" i="3"/>
  <c r="Y6" i="3"/>
  <c r="CX6" i="3" s="1"/>
  <c r="CY6" i="3"/>
  <c r="CZ6" i="3"/>
  <c r="DB6" i="3" s="1"/>
  <c r="DA6" i="3"/>
  <c r="DC6" i="3"/>
  <c r="A7" i="3"/>
  <c r="Y7" i="3"/>
  <c r="CX7" i="3"/>
  <c r="DF7" i="3" s="1"/>
  <c r="DJ7" i="3" s="1"/>
  <c r="CY7" i="3"/>
  <c r="CZ7" i="3"/>
  <c r="DB7" i="3" s="1"/>
  <c r="DA7" i="3"/>
  <c r="DC7" i="3"/>
  <c r="DH7" i="3"/>
  <c r="DI7" i="3"/>
  <c r="A8" i="3"/>
  <c r="Y8" i="3"/>
  <c r="CU8" i="3"/>
  <c r="CV8" i="3"/>
  <c r="CX8" i="3"/>
  <c r="CY8" i="3"/>
  <c r="CZ8" i="3"/>
  <c r="DB8" i="3" s="1"/>
  <c r="DA8" i="3"/>
  <c r="DC8" i="3"/>
  <c r="DF8" i="3"/>
  <c r="DG8" i="3"/>
  <c r="DH8" i="3"/>
  <c r="DI8" i="3"/>
  <c r="DJ8" i="3"/>
  <c r="A9" i="3"/>
  <c r="Y9" i="3"/>
  <c r="CX9" i="3" s="1"/>
  <c r="CY9" i="3"/>
  <c r="CZ9" i="3"/>
  <c r="DA9" i="3"/>
  <c r="DB9" i="3"/>
  <c r="DC9" i="3"/>
  <c r="A10" i="3"/>
  <c r="Y10" i="3"/>
  <c r="CX10" i="3"/>
  <c r="DI10" i="3" s="1"/>
  <c r="CY10" i="3"/>
  <c r="CZ10" i="3"/>
  <c r="DB10" i="3" s="1"/>
  <c r="DA10" i="3"/>
  <c r="DC10" i="3"/>
  <c r="DH10" i="3"/>
  <c r="A11" i="3"/>
  <c r="Y11" i="3"/>
  <c r="CV11" i="3" s="1"/>
  <c r="CU11" i="3"/>
  <c r="CX11" i="3"/>
  <c r="DF11" i="3" s="1"/>
  <c r="CY11" i="3"/>
  <c r="CZ11" i="3"/>
  <c r="DB11" i="3" s="1"/>
  <c r="DA11" i="3"/>
  <c r="DC11" i="3"/>
  <c r="DH11" i="3"/>
  <c r="DI11" i="3"/>
  <c r="DJ11" i="3" s="1"/>
  <c r="A12" i="3"/>
  <c r="Y12" i="3"/>
  <c r="CW12" i="3"/>
  <c r="CX12" i="3"/>
  <c r="DF12" i="3" s="1"/>
  <c r="CY12" i="3"/>
  <c r="CZ12" i="3"/>
  <c r="DA12" i="3"/>
  <c r="DB12" i="3"/>
  <c r="DC12" i="3"/>
  <c r="DG12" i="3"/>
  <c r="DH12" i="3"/>
  <c r="DJ12" i="3"/>
  <c r="A13" i="3"/>
  <c r="Y13" i="3"/>
  <c r="CX13" i="3" s="1"/>
  <c r="CY13" i="3"/>
  <c r="CZ13" i="3"/>
  <c r="DB13" i="3" s="1"/>
  <c r="DA13" i="3"/>
  <c r="DC13" i="3"/>
  <c r="A14" i="3"/>
  <c r="Y14" i="3"/>
  <c r="CX14" i="3"/>
  <c r="DF14" i="3" s="1"/>
  <c r="DJ14" i="3" s="1"/>
  <c r="CY14" i="3"/>
  <c r="CZ14" i="3"/>
  <c r="DB14" i="3" s="1"/>
  <c r="DA14" i="3"/>
  <c r="DC14" i="3"/>
  <c r="DH14" i="3"/>
  <c r="DI14" i="3"/>
  <c r="A15" i="3"/>
  <c r="Y15" i="3"/>
  <c r="CU15" i="3"/>
  <c r="CV15" i="3"/>
  <c r="CX15" i="3"/>
  <c r="CY15" i="3"/>
  <c r="CZ15" i="3"/>
  <c r="DB15" i="3" s="1"/>
  <c r="DA15" i="3"/>
  <c r="DC15" i="3"/>
  <c r="DF15" i="3"/>
  <c r="DG15" i="3"/>
  <c r="DH15" i="3"/>
  <c r="DI15" i="3"/>
  <c r="DJ15" i="3"/>
  <c r="A16" i="3"/>
  <c r="Y16" i="3"/>
  <c r="CX16" i="3" s="1"/>
  <c r="CY16" i="3"/>
  <c r="CZ16" i="3"/>
  <c r="DA16" i="3"/>
  <c r="DB16" i="3"/>
  <c r="DC16" i="3"/>
  <c r="A17" i="3"/>
  <c r="Y17" i="3"/>
  <c r="CX17" i="3"/>
  <c r="DI17" i="3" s="1"/>
  <c r="CY17" i="3"/>
  <c r="CZ17" i="3"/>
  <c r="DB17" i="3" s="1"/>
  <c r="DA17" i="3"/>
  <c r="DC17" i="3"/>
  <c r="DH17" i="3"/>
  <c r="A18" i="3"/>
  <c r="Y18" i="3"/>
  <c r="CV18" i="3" s="1"/>
  <c r="CU18" i="3"/>
  <c r="CX18" i="3"/>
  <c r="DF18" i="3" s="1"/>
  <c r="CY18" i="3"/>
  <c r="CZ18" i="3"/>
  <c r="DB18" i="3" s="1"/>
  <c r="DA18" i="3"/>
  <c r="DC18" i="3"/>
  <c r="DH18" i="3"/>
  <c r="DI18" i="3"/>
  <c r="DJ18" i="3" s="1"/>
  <c r="A19" i="3"/>
  <c r="Y19" i="3"/>
  <c r="CW19" i="3"/>
  <c r="CX19" i="3"/>
  <c r="DF19" i="3" s="1"/>
  <c r="CY19" i="3"/>
  <c r="CZ19" i="3"/>
  <c r="DA19" i="3"/>
  <c r="DB19" i="3"/>
  <c r="DC19" i="3"/>
  <c r="DG19" i="3"/>
  <c r="DH19" i="3"/>
  <c r="DJ19" i="3"/>
  <c r="A20" i="3"/>
  <c r="Y20" i="3"/>
  <c r="CX20" i="3" s="1"/>
  <c r="CY20" i="3"/>
  <c r="CZ20" i="3"/>
  <c r="DB20" i="3" s="1"/>
  <c r="DA20" i="3"/>
  <c r="DC20" i="3"/>
  <c r="A21" i="3"/>
  <c r="Y21" i="3"/>
  <c r="CX21" i="3"/>
  <c r="DF21" i="3" s="1"/>
  <c r="DJ21" i="3" s="1"/>
  <c r="CY21" i="3"/>
  <c r="CZ21" i="3"/>
  <c r="DB21" i="3" s="1"/>
  <c r="DA21" i="3"/>
  <c r="DC21" i="3"/>
  <c r="DH21" i="3"/>
  <c r="DI21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B26" i="1"/>
  <c r="E26" i="1"/>
  <c r="F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V28" i="1"/>
  <c r="AC28" i="1"/>
  <c r="AB28" i="1" s="1"/>
  <c r="AD28" i="1"/>
  <c r="AE28" i="1"/>
  <c r="AF28" i="1"/>
  <c r="CT28" i="1" s="1"/>
  <c r="S28" i="1" s="1"/>
  <c r="AG28" i="1"/>
  <c r="CU28" i="1" s="1"/>
  <c r="T28" i="1" s="1"/>
  <c r="AH28" i="1"/>
  <c r="CV28" i="1" s="1"/>
  <c r="U28" i="1" s="1"/>
  <c r="AI28" i="1"/>
  <c r="AJ28" i="1"/>
  <c r="CR28" i="1"/>
  <c r="Q28" i="1" s="1"/>
  <c r="AD32" i="1" s="1"/>
  <c r="CS28" i="1"/>
  <c r="R28" i="1" s="1"/>
  <c r="CW28" i="1"/>
  <c r="CX28" i="1"/>
  <c r="W28" i="1" s="1"/>
  <c r="GL28" i="1"/>
  <c r="GN28" i="1"/>
  <c r="GO28" i="1"/>
  <c r="GV28" i="1"/>
  <c r="HC28" i="1"/>
  <c r="GX28" i="1" s="1"/>
  <c r="CJ32" i="1" s="1"/>
  <c r="C29" i="1"/>
  <c r="D29" i="1"/>
  <c r="Q29" i="1"/>
  <c r="AC29" i="1"/>
  <c r="AD29" i="1"/>
  <c r="AB29" i="1" s="1"/>
  <c r="AE29" i="1"/>
  <c r="CS29" i="1" s="1"/>
  <c r="R29" i="1" s="1"/>
  <c r="GK29" i="1" s="1"/>
  <c r="AF29" i="1"/>
  <c r="CT29" i="1" s="1"/>
  <c r="S29" i="1" s="1"/>
  <c r="AG29" i="1"/>
  <c r="CU29" i="1" s="1"/>
  <c r="T29" i="1" s="1"/>
  <c r="AH29" i="1"/>
  <c r="AI29" i="1"/>
  <c r="CW29" i="1" s="1"/>
  <c r="V29" i="1" s="1"/>
  <c r="AJ29" i="1"/>
  <c r="CX29" i="1" s="1"/>
  <c r="W29" i="1" s="1"/>
  <c r="CQ29" i="1"/>
  <c r="P29" i="1" s="1"/>
  <c r="CP29" i="1" s="1"/>
  <c r="O29" i="1" s="1"/>
  <c r="CR29" i="1"/>
  <c r="CV29" i="1"/>
  <c r="U29" i="1" s="1"/>
  <c r="GL29" i="1"/>
  <c r="GN29" i="1"/>
  <c r="GO29" i="1"/>
  <c r="GV29" i="1"/>
  <c r="HC29" i="1" s="1"/>
  <c r="GX29" i="1" s="1"/>
  <c r="I30" i="1"/>
  <c r="Q30" i="1"/>
  <c r="AC30" i="1"/>
  <c r="CQ30" i="1" s="1"/>
  <c r="P30" i="1" s="1"/>
  <c r="AD30" i="1"/>
  <c r="AE30" i="1"/>
  <c r="CS30" i="1" s="1"/>
  <c r="R30" i="1" s="1"/>
  <c r="GK30" i="1" s="1"/>
  <c r="AF30" i="1"/>
  <c r="CT30" i="1" s="1"/>
  <c r="S30" i="1" s="1"/>
  <c r="AG30" i="1"/>
  <c r="AH30" i="1"/>
  <c r="CV30" i="1" s="1"/>
  <c r="U30" i="1" s="1"/>
  <c r="AI30" i="1"/>
  <c r="CW30" i="1" s="1"/>
  <c r="V30" i="1" s="1"/>
  <c r="AJ30" i="1"/>
  <c r="CR30" i="1"/>
  <c r="CU30" i="1"/>
  <c r="T30" i="1" s="1"/>
  <c r="CX30" i="1"/>
  <c r="W30" i="1" s="1"/>
  <c r="AJ32" i="1" s="1"/>
  <c r="GL30" i="1"/>
  <c r="GN30" i="1"/>
  <c r="GO30" i="1"/>
  <c r="GV30" i="1"/>
  <c r="HC30" i="1" s="1"/>
  <c r="GX30" i="1" s="1"/>
  <c r="B32" i="1"/>
  <c r="C32" i="1"/>
  <c r="C26" i="1" s="1"/>
  <c r="D32" i="1"/>
  <c r="D26" i="1" s="1"/>
  <c r="F32" i="1"/>
  <c r="G32" i="1"/>
  <c r="G26" i="1" s="1"/>
  <c r="AZ32" i="1"/>
  <c r="BX32" i="1"/>
  <c r="CG32" i="1" s="1"/>
  <c r="BY32" i="1"/>
  <c r="AP32" i="1" s="1"/>
  <c r="AP26" i="1" s="1"/>
  <c r="BZ32" i="1"/>
  <c r="AQ32" i="1" s="1"/>
  <c r="CB32" i="1"/>
  <c r="CB26" i="1" s="1"/>
  <c r="CC32" i="1"/>
  <c r="CC26" i="1" s="1"/>
  <c r="CI32" i="1"/>
  <c r="CI26" i="1" s="1"/>
  <c r="CK32" i="1"/>
  <c r="CK26" i="1" s="1"/>
  <c r="CL32" i="1"/>
  <c r="CL26" i="1" s="1"/>
  <c r="CM32" i="1"/>
  <c r="CM26" i="1" s="1"/>
  <c r="D65" i="1"/>
  <c r="B67" i="1"/>
  <c r="E67" i="1"/>
  <c r="Z67" i="1"/>
  <c r="AA67" i="1"/>
  <c r="AM67" i="1"/>
  <c r="AN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CK67" i="1"/>
  <c r="CN67" i="1"/>
  <c r="CO67" i="1"/>
  <c r="CP67" i="1"/>
  <c r="CQ67" i="1"/>
  <c r="CR67" i="1"/>
  <c r="CS67" i="1"/>
  <c r="CT67" i="1"/>
  <c r="CU67" i="1"/>
  <c r="CV67" i="1"/>
  <c r="CW67" i="1"/>
  <c r="CX67" i="1"/>
  <c r="CY67" i="1"/>
  <c r="CZ67" i="1"/>
  <c r="DA67" i="1"/>
  <c r="DB67" i="1"/>
  <c r="DC67" i="1"/>
  <c r="DD67" i="1"/>
  <c r="DE67" i="1"/>
  <c r="DF67" i="1"/>
  <c r="DG67" i="1"/>
  <c r="DH67" i="1"/>
  <c r="DI67" i="1"/>
  <c r="DJ67" i="1"/>
  <c r="DK67" i="1"/>
  <c r="DL67" i="1"/>
  <c r="DM67" i="1"/>
  <c r="DN67" i="1"/>
  <c r="DO67" i="1"/>
  <c r="DP67" i="1"/>
  <c r="DQ67" i="1"/>
  <c r="DR67" i="1"/>
  <c r="DS67" i="1"/>
  <c r="DT67" i="1"/>
  <c r="DU67" i="1"/>
  <c r="DV67" i="1"/>
  <c r="DW67" i="1"/>
  <c r="DX67" i="1"/>
  <c r="DY67" i="1"/>
  <c r="DZ67" i="1"/>
  <c r="EA67" i="1"/>
  <c r="EB67" i="1"/>
  <c r="EC67" i="1"/>
  <c r="ED67" i="1"/>
  <c r="EE67" i="1"/>
  <c r="EF67" i="1"/>
  <c r="EG67" i="1"/>
  <c r="EH67" i="1"/>
  <c r="EI67" i="1"/>
  <c r="EJ67" i="1"/>
  <c r="EK67" i="1"/>
  <c r="EL67" i="1"/>
  <c r="EM67" i="1"/>
  <c r="EN67" i="1"/>
  <c r="EO67" i="1"/>
  <c r="EP67" i="1"/>
  <c r="EQ67" i="1"/>
  <c r="ER67" i="1"/>
  <c r="ES67" i="1"/>
  <c r="ET67" i="1"/>
  <c r="EU67" i="1"/>
  <c r="EV67" i="1"/>
  <c r="EW67" i="1"/>
  <c r="EX67" i="1"/>
  <c r="EY67" i="1"/>
  <c r="EZ67" i="1"/>
  <c r="FA67" i="1"/>
  <c r="FB67" i="1"/>
  <c r="FC67" i="1"/>
  <c r="FD67" i="1"/>
  <c r="FE67" i="1"/>
  <c r="FF67" i="1"/>
  <c r="FG67" i="1"/>
  <c r="FH67" i="1"/>
  <c r="FI67" i="1"/>
  <c r="FJ67" i="1"/>
  <c r="FK67" i="1"/>
  <c r="FL67" i="1"/>
  <c r="FM67" i="1"/>
  <c r="FN67" i="1"/>
  <c r="FO67" i="1"/>
  <c r="FP67" i="1"/>
  <c r="FQ67" i="1"/>
  <c r="FR67" i="1"/>
  <c r="FS67" i="1"/>
  <c r="FT67" i="1"/>
  <c r="FU67" i="1"/>
  <c r="FV67" i="1"/>
  <c r="FW67" i="1"/>
  <c r="FX67" i="1"/>
  <c r="FY67" i="1"/>
  <c r="FZ67" i="1"/>
  <c r="GA67" i="1"/>
  <c r="GB67" i="1"/>
  <c r="GC67" i="1"/>
  <c r="GD67" i="1"/>
  <c r="GE67" i="1"/>
  <c r="GF67" i="1"/>
  <c r="GG67" i="1"/>
  <c r="GH67" i="1"/>
  <c r="GI67" i="1"/>
  <c r="GJ67" i="1"/>
  <c r="GK67" i="1"/>
  <c r="GL67" i="1"/>
  <c r="GM67" i="1"/>
  <c r="GN67" i="1"/>
  <c r="GO67" i="1"/>
  <c r="GP67" i="1"/>
  <c r="GQ67" i="1"/>
  <c r="GR67" i="1"/>
  <c r="GS67" i="1"/>
  <c r="GT67" i="1"/>
  <c r="GU67" i="1"/>
  <c r="GV67" i="1"/>
  <c r="GW67" i="1"/>
  <c r="GX67" i="1"/>
  <c r="C69" i="1"/>
  <c r="D69" i="1"/>
  <c r="S69" i="1"/>
  <c r="CY69" i="1" s="1"/>
  <c r="X69" i="1" s="1"/>
  <c r="U69" i="1"/>
  <c r="W69" i="1"/>
  <c r="AC69" i="1"/>
  <c r="AD69" i="1"/>
  <c r="AE69" i="1"/>
  <c r="CS69" i="1" s="1"/>
  <c r="R69" i="1" s="1"/>
  <c r="GK69" i="1" s="1"/>
  <c r="AF69" i="1"/>
  <c r="AG69" i="1"/>
  <c r="CU69" i="1" s="1"/>
  <c r="T69" i="1" s="1"/>
  <c r="AG73" i="1" s="1"/>
  <c r="AH69" i="1"/>
  <c r="AI69" i="1"/>
  <c r="CW69" i="1" s="1"/>
  <c r="V69" i="1" s="1"/>
  <c r="AJ69" i="1"/>
  <c r="CR69" i="1"/>
  <c r="Q69" i="1" s="1"/>
  <c r="CT69" i="1"/>
  <c r="CV69" i="1"/>
  <c r="CX69" i="1"/>
  <c r="CZ69" i="1"/>
  <c r="Y69" i="1" s="1"/>
  <c r="AL73" i="1" s="1"/>
  <c r="Y73" i="1" s="1"/>
  <c r="Y67" i="1" s="1"/>
  <c r="GL69" i="1"/>
  <c r="BZ73" i="1" s="1"/>
  <c r="GN69" i="1"/>
  <c r="GO69" i="1"/>
  <c r="GV69" i="1"/>
  <c r="HC69" i="1" s="1"/>
  <c r="GX69" i="1" s="1"/>
  <c r="C70" i="1"/>
  <c r="D70" i="1"/>
  <c r="S70" i="1"/>
  <c r="CY70" i="1" s="1"/>
  <c r="X70" i="1" s="1"/>
  <c r="Y70" i="1"/>
  <c r="AC70" i="1"/>
  <c r="CQ70" i="1" s="1"/>
  <c r="P70" i="1" s="1"/>
  <c r="AE70" i="1"/>
  <c r="AF70" i="1"/>
  <c r="AG70" i="1"/>
  <c r="CU70" i="1" s="1"/>
  <c r="T70" i="1" s="1"/>
  <c r="AH70" i="1"/>
  <c r="AI70" i="1"/>
  <c r="CW70" i="1" s="1"/>
  <c r="V70" i="1" s="1"/>
  <c r="AJ70" i="1"/>
  <c r="CX70" i="1" s="1"/>
  <c r="W70" i="1" s="1"/>
  <c r="CT70" i="1"/>
  <c r="CV70" i="1"/>
  <c r="U70" i="1" s="1"/>
  <c r="CZ70" i="1"/>
  <c r="GL70" i="1"/>
  <c r="GN70" i="1"/>
  <c r="GO70" i="1"/>
  <c r="GV70" i="1"/>
  <c r="HC70" i="1" s="1"/>
  <c r="GX70" i="1" s="1"/>
  <c r="I71" i="1"/>
  <c r="Q71" i="1"/>
  <c r="R71" i="1"/>
  <c r="GK71" i="1" s="1"/>
  <c r="Y71" i="1"/>
  <c r="AC71" i="1"/>
  <c r="AD71" i="1"/>
  <c r="AB71" i="1" s="1"/>
  <c r="AE71" i="1"/>
  <c r="AF71" i="1"/>
  <c r="CT71" i="1" s="1"/>
  <c r="S71" i="1" s="1"/>
  <c r="CZ71" i="1" s="1"/>
  <c r="AG71" i="1"/>
  <c r="AH71" i="1"/>
  <c r="AI71" i="1"/>
  <c r="AJ71" i="1"/>
  <c r="CQ71" i="1"/>
  <c r="P71" i="1" s="1"/>
  <c r="CP71" i="1" s="1"/>
  <c r="O71" i="1" s="1"/>
  <c r="CR71" i="1"/>
  <c r="CS71" i="1"/>
  <c r="CU71" i="1"/>
  <c r="T71" i="1" s="1"/>
  <c r="CV71" i="1"/>
  <c r="U71" i="1" s="1"/>
  <c r="CW71" i="1"/>
  <c r="V71" i="1" s="1"/>
  <c r="CX71" i="1"/>
  <c r="W71" i="1" s="1"/>
  <c r="GL71" i="1"/>
  <c r="GN71" i="1"/>
  <c r="GO71" i="1"/>
  <c r="GV71" i="1"/>
  <c r="HC71" i="1" s="1"/>
  <c r="GX71" i="1" s="1"/>
  <c r="B73" i="1"/>
  <c r="C73" i="1"/>
  <c r="C67" i="1" s="1"/>
  <c r="D73" i="1"/>
  <c r="D67" i="1" s="1"/>
  <c r="F73" i="1"/>
  <c r="F67" i="1" s="1"/>
  <c r="G73" i="1"/>
  <c r="G67" i="1" s="1"/>
  <c r="AF73" i="1"/>
  <c r="AF67" i="1" s="1"/>
  <c r="BX73" i="1"/>
  <c r="BX67" i="1" s="1"/>
  <c r="BY73" i="1"/>
  <c r="CK73" i="1"/>
  <c r="BB73" i="1" s="1"/>
  <c r="F86" i="1" s="1"/>
  <c r="CL73" i="1"/>
  <c r="CL67" i="1" s="1"/>
  <c r="CM73" i="1"/>
  <c r="CM67" i="1" s="1"/>
  <c r="D106" i="1"/>
  <c r="C108" i="1"/>
  <c r="E108" i="1"/>
  <c r="Z108" i="1"/>
  <c r="AA108" i="1"/>
  <c r="AM108" i="1"/>
  <c r="AN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CK108" i="1"/>
  <c r="CN108" i="1"/>
  <c r="CO108" i="1"/>
  <c r="CP108" i="1"/>
  <c r="CQ108" i="1"/>
  <c r="CR108" i="1"/>
  <c r="CS108" i="1"/>
  <c r="CT108" i="1"/>
  <c r="CU108" i="1"/>
  <c r="CV108" i="1"/>
  <c r="CW108" i="1"/>
  <c r="CX108" i="1"/>
  <c r="CY108" i="1"/>
  <c r="CZ108" i="1"/>
  <c r="DA108" i="1"/>
  <c r="DB108" i="1"/>
  <c r="DC108" i="1"/>
  <c r="DD108" i="1"/>
  <c r="DE108" i="1"/>
  <c r="DF108" i="1"/>
  <c r="DG108" i="1"/>
  <c r="DH108" i="1"/>
  <c r="DI108" i="1"/>
  <c r="DJ108" i="1"/>
  <c r="DK108" i="1"/>
  <c r="DL108" i="1"/>
  <c r="DM108" i="1"/>
  <c r="DN108" i="1"/>
  <c r="DO108" i="1"/>
  <c r="DP108" i="1"/>
  <c r="DQ108" i="1"/>
  <c r="DR108" i="1"/>
  <c r="DS108" i="1"/>
  <c r="DT108" i="1"/>
  <c r="DU108" i="1"/>
  <c r="DV108" i="1"/>
  <c r="DW108" i="1"/>
  <c r="DX108" i="1"/>
  <c r="DY108" i="1"/>
  <c r="DZ108" i="1"/>
  <c r="EA108" i="1"/>
  <c r="EB108" i="1"/>
  <c r="EC108" i="1"/>
  <c r="ED108" i="1"/>
  <c r="EE108" i="1"/>
  <c r="EF108" i="1"/>
  <c r="EG108" i="1"/>
  <c r="EH108" i="1"/>
  <c r="EI108" i="1"/>
  <c r="EJ108" i="1"/>
  <c r="EK108" i="1"/>
  <c r="EL108" i="1"/>
  <c r="EM108" i="1"/>
  <c r="EN108" i="1"/>
  <c r="EO108" i="1"/>
  <c r="EP108" i="1"/>
  <c r="EQ108" i="1"/>
  <c r="ER108" i="1"/>
  <c r="ES108" i="1"/>
  <c r="ET108" i="1"/>
  <c r="EU108" i="1"/>
  <c r="EV108" i="1"/>
  <c r="EW108" i="1"/>
  <c r="EX108" i="1"/>
  <c r="EY108" i="1"/>
  <c r="EZ108" i="1"/>
  <c r="FA108" i="1"/>
  <c r="FB108" i="1"/>
  <c r="FC108" i="1"/>
  <c r="FD108" i="1"/>
  <c r="FE108" i="1"/>
  <c r="FF108" i="1"/>
  <c r="FG108" i="1"/>
  <c r="FH108" i="1"/>
  <c r="FI108" i="1"/>
  <c r="FJ108" i="1"/>
  <c r="FK108" i="1"/>
  <c r="FL108" i="1"/>
  <c r="FM108" i="1"/>
  <c r="FN108" i="1"/>
  <c r="FO108" i="1"/>
  <c r="FP108" i="1"/>
  <c r="FQ108" i="1"/>
  <c r="FR108" i="1"/>
  <c r="FS108" i="1"/>
  <c r="FT108" i="1"/>
  <c r="FU108" i="1"/>
  <c r="FV108" i="1"/>
  <c r="FW108" i="1"/>
  <c r="FX108" i="1"/>
  <c r="FY108" i="1"/>
  <c r="FZ108" i="1"/>
  <c r="GA108" i="1"/>
  <c r="GB108" i="1"/>
  <c r="GC108" i="1"/>
  <c r="GD108" i="1"/>
  <c r="GE108" i="1"/>
  <c r="GF108" i="1"/>
  <c r="GG108" i="1"/>
  <c r="GH108" i="1"/>
  <c r="GI108" i="1"/>
  <c r="GJ108" i="1"/>
  <c r="GK108" i="1"/>
  <c r="GL108" i="1"/>
  <c r="GM108" i="1"/>
  <c r="GN108" i="1"/>
  <c r="GO108" i="1"/>
  <c r="GP108" i="1"/>
  <c r="GQ108" i="1"/>
  <c r="GR108" i="1"/>
  <c r="GS108" i="1"/>
  <c r="GT108" i="1"/>
  <c r="GU108" i="1"/>
  <c r="GV108" i="1"/>
  <c r="GW108" i="1"/>
  <c r="GX108" i="1"/>
  <c r="C110" i="1"/>
  <c r="D110" i="1"/>
  <c r="P110" i="1"/>
  <c r="Q110" i="1"/>
  <c r="R110" i="1"/>
  <c r="GK110" i="1" s="1"/>
  <c r="V110" i="1"/>
  <c r="AI114" i="1" s="1"/>
  <c r="AC110" i="1"/>
  <c r="AE110" i="1"/>
  <c r="AD110" i="1" s="1"/>
  <c r="AF110" i="1"/>
  <c r="AB110" i="1" s="1"/>
  <c r="AG110" i="1"/>
  <c r="CU110" i="1" s="1"/>
  <c r="T110" i="1" s="1"/>
  <c r="AG114" i="1" s="1"/>
  <c r="AH110" i="1"/>
  <c r="AI110" i="1"/>
  <c r="AJ110" i="1"/>
  <c r="CX110" i="1" s="1"/>
  <c r="W110" i="1" s="1"/>
  <c r="AJ114" i="1" s="1"/>
  <c r="CQ110" i="1"/>
  <c r="CR110" i="1"/>
  <c r="CS110" i="1"/>
  <c r="CT110" i="1"/>
  <c r="S110" i="1" s="1"/>
  <c r="CV110" i="1"/>
  <c r="U110" i="1" s="1"/>
  <c r="CW110" i="1"/>
  <c r="GL110" i="1"/>
  <c r="GN110" i="1"/>
  <c r="CB114" i="1" s="1"/>
  <c r="GO110" i="1"/>
  <c r="CC114" i="1" s="1"/>
  <c r="GV110" i="1"/>
  <c r="GX110" i="1"/>
  <c r="HC110" i="1"/>
  <c r="C111" i="1"/>
  <c r="D111" i="1"/>
  <c r="T111" i="1"/>
  <c r="AC111" i="1"/>
  <c r="AE111" i="1"/>
  <c r="AD111" i="1" s="1"/>
  <c r="AF111" i="1"/>
  <c r="CT111" i="1" s="1"/>
  <c r="S111" i="1" s="1"/>
  <c r="AG111" i="1"/>
  <c r="CU111" i="1" s="1"/>
  <c r="AH111" i="1"/>
  <c r="AI111" i="1"/>
  <c r="AJ111" i="1"/>
  <c r="CQ111" i="1"/>
  <c r="P111" i="1" s="1"/>
  <c r="CP111" i="1" s="1"/>
  <c r="O111" i="1" s="1"/>
  <c r="CR111" i="1"/>
  <c r="Q111" i="1" s="1"/>
  <c r="CS111" i="1"/>
  <c r="R111" i="1" s="1"/>
  <c r="CV111" i="1"/>
  <c r="U111" i="1" s="1"/>
  <c r="CW111" i="1"/>
  <c r="V111" i="1" s="1"/>
  <c r="CX111" i="1"/>
  <c r="W111" i="1" s="1"/>
  <c r="GK111" i="1"/>
  <c r="GL111" i="1"/>
  <c r="GN111" i="1"/>
  <c r="GO111" i="1"/>
  <c r="GV111" i="1"/>
  <c r="HC111" i="1"/>
  <c r="GX111" i="1" s="1"/>
  <c r="I112" i="1"/>
  <c r="T112" i="1"/>
  <c r="U112" i="1"/>
  <c r="AC112" i="1"/>
  <c r="AE112" i="1"/>
  <c r="AF112" i="1"/>
  <c r="CT112" i="1" s="1"/>
  <c r="S112" i="1" s="1"/>
  <c r="CY112" i="1" s="1"/>
  <c r="X112" i="1" s="1"/>
  <c r="AG112" i="1"/>
  <c r="AH112" i="1"/>
  <c r="AI112" i="1"/>
  <c r="CW112" i="1" s="1"/>
  <c r="V112" i="1" s="1"/>
  <c r="AJ112" i="1"/>
  <c r="CQ112" i="1"/>
  <c r="P112" i="1" s="1"/>
  <c r="CU112" i="1"/>
  <c r="CV112" i="1"/>
  <c r="CX112" i="1"/>
  <c r="W112" i="1" s="1"/>
  <c r="GL112" i="1"/>
  <c r="GN112" i="1"/>
  <c r="GO112" i="1"/>
  <c r="GV112" i="1"/>
  <c r="HC112" i="1" s="1"/>
  <c r="GX112" i="1"/>
  <c r="B114" i="1"/>
  <c r="B108" i="1" s="1"/>
  <c r="C114" i="1"/>
  <c r="D114" i="1"/>
  <c r="D108" i="1" s="1"/>
  <c r="F114" i="1"/>
  <c r="F108" i="1" s="1"/>
  <c r="G114" i="1"/>
  <c r="G108" i="1" s="1"/>
  <c r="AH114" i="1"/>
  <c r="BX114" i="1"/>
  <c r="BX108" i="1" s="1"/>
  <c r="BY114" i="1"/>
  <c r="BY108" i="1" s="1"/>
  <c r="BZ114" i="1"/>
  <c r="BZ108" i="1" s="1"/>
  <c r="CI114" i="1"/>
  <c r="CI108" i="1" s="1"/>
  <c r="CK114" i="1"/>
  <c r="BB114" i="1" s="1"/>
  <c r="BB108" i="1" s="1"/>
  <c r="CL114" i="1"/>
  <c r="BC114" i="1" s="1"/>
  <c r="CM114" i="1"/>
  <c r="BD114" i="1" s="1"/>
  <c r="B147" i="1"/>
  <c r="B22" i="1" s="1"/>
  <c r="C147" i="1"/>
  <c r="C22" i="1" s="1"/>
  <c r="D147" i="1"/>
  <c r="D22" i="1" s="1"/>
  <c r="F147" i="1"/>
  <c r="F22" i="1" s="1"/>
  <c r="G147" i="1"/>
  <c r="G22" i="1" s="1"/>
  <c r="B177" i="1"/>
  <c r="B18" i="1" s="1"/>
  <c r="C177" i="1"/>
  <c r="C18" i="1" s="1"/>
  <c r="D177" i="1"/>
  <c r="D18" i="1" s="1"/>
  <c r="F177" i="1"/>
  <c r="F18" i="1" s="1"/>
  <c r="G177" i="1"/>
  <c r="G18" i="1" s="1"/>
  <c r="F12" i="6"/>
  <c r="G12" i="6"/>
  <c r="J94" i="7" l="1"/>
  <c r="J71" i="7"/>
  <c r="J95" i="7"/>
  <c r="J49" i="7"/>
  <c r="J72" i="7"/>
  <c r="J50" i="7"/>
  <c r="J73" i="7"/>
  <c r="I75" i="7" s="1"/>
  <c r="J51" i="7"/>
  <c r="I86" i="7"/>
  <c r="P86" i="7" s="1"/>
  <c r="I42" i="7"/>
  <c r="K42" i="7" s="1"/>
  <c r="I64" i="7"/>
  <c r="K64" i="7" s="1"/>
  <c r="J93" i="7"/>
  <c r="P42" i="7"/>
  <c r="K86" i="7"/>
  <c r="AG108" i="1"/>
  <c r="T114" i="1"/>
  <c r="AG67" i="1"/>
  <c r="T73" i="1"/>
  <c r="AI108" i="1"/>
  <c r="V114" i="1"/>
  <c r="CJ26" i="1"/>
  <c r="BA32" i="1"/>
  <c r="AH108" i="1"/>
  <c r="U114" i="1"/>
  <c r="CS112" i="1"/>
  <c r="R112" i="1" s="1"/>
  <c r="GK112" i="1" s="1"/>
  <c r="AD112" i="1"/>
  <c r="W32" i="1"/>
  <c r="AJ26" i="1"/>
  <c r="CP112" i="1"/>
  <c r="O112" i="1" s="1"/>
  <c r="GM112" i="1" s="1"/>
  <c r="GP112" i="1" s="1"/>
  <c r="AJ108" i="1"/>
  <c r="W114" i="1"/>
  <c r="BC108" i="1"/>
  <c r="F130" i="1"/>
  <c r="AD114" i="1"/>
  <c r="CJ73" i="1"/>
  <c r="AQ73" i="1"/>
  <c r="BZ67" i="1"/>
  <c r="CR112" i="1"/>
  <c r="Q112" i="1" s="1"/>
  <c r="CZ112" i="1"/>
  <c r="Y112" i="1" s="1"/>
  <c r="CJ114" i="1"/>
  <c r="AF114" i="1"/>
  <c r="CY111" i="1"/>
  <c r="X111" i="1" s="1"/>
  <c r="GM111" i="1" s="1"/>
  <c r="GP111" i="1" s="1"/>
  <c r="CZ111" i="1"/>
  <c r="Y111" i="1" s="1"/>
  <c r="AB69" i="1"/>
  <c r="CQ69" i="1"/>
  <c r="P69" i="1" s="1"/>
  <c r="AS114" i="1"/>
  <c r="CB108" i="1"/>
  <c r="F100" i="1"/>
  <c r="AB112" i="1"/>
  <c r="F127" i="1"/>
  <c r="BD108" i="1"/>
  <c r="F139" i="1"/>
  <c r="AZ114" i="1"/>
  <c r="AT114" i="1"/>
  <c r="CC108" i="1"/>
  <c r="AL67" i="1"/>
  <c r="AQ114" i="1"/>
  <c r="CY110" i="1"/>
  <c r="X110" i="1" s="1"/>
  <c r="AK114" i="1" s="1"/>
  <c r="CZ110" i="1"/>
  <c r="Y110" i="1" s="1"/>
  <c r="S73" i="1"/>
  <c r="AD70" i="1"/>
  <c r="CS70" i="1"/>
  <c r="R70" i="1" s="1"/>
  <c r="AJ73" i="1"/>
  <c r="F43" i="1"/>
  <c r="AZ26" i="1"/>
  <c r="CY29" i="1"/>
  <c r="X29" i="1" s="1"/>
  <c r="GM29" i="1" s="1"/>
  <c r="GP29" i="1" s="1"/>
  <c r="CZ29" i="1"/>
  <c r="Y29" i="1" s="1"/>
  <c r="DF6" i="3"/>
  <c r="DJ6" i="3" s="1"/>
  <c r="DG6" i="3"/>
  <c r="DH6" i="3"/>
  <c r="DI6" i="3"/>
  <c r="CY30" i="1"/>
  <c r="X30" i="1" s="1"/>
  <c r="CZ30" i="1"/>
  <c r="Y30" i="1" s="1"/>
  <c r="CG114" i="1"/>
  <c r="AP114" i="1"/>
  <c r="CI73" i="1"/>
  <c r="CC73" i="1"/>
  <c r="AH73" i="1"/>
  <c r="BY67" i="1"/>
  <c r="DF16" i="3"/>
  <c r="DJ16" i="3" s="1"/>
  <c r="DG16" i="3"/>
  <c r="DH16" i="3"/>
  <c r="DI16" i="3"/>
  <c r="Q32" i="1"/>
  <c r="AD26" i="1"/>
  <c r="CM108" i="1"/>
  <c r="CR70" i="1"/>
  <c r="Q70" i="1" s="1"/>
  <c r="AD73" i="1" s="1"/>
  <c r="AI73" i="1"/>
  <c r="AO114" i="1"/>
  <c r="AE114" i="1"/>
  <c r="AB111" i="1"/>
  <c r="CP110" i="1"/>
  <c r="O110" i="1" s="1"/>
  <c r="CL108" i="1"/>
  <c r="CB73" i="1"/>
  <c r="AB70" i="1"/>
  <c r="AQ26" i="1"/>
  <c r="F42" i="1"/>
  <c r="AT32" i="1"/>
  <c r="CP30" i="1"/>
  <c r="O30" i="1" s="1"/>
  <c r="GM30" i="1" s="1"/>
  <c r="GP30" i="1" s="1"/>
  <c r="AH32" i="1"/>
  <c r="AC114" i="1"/>
  <c r="CG73" i="1"/>
  <c r="BC73" i="1"/>
  <c r="AO73" i="1"/>
  <c r="AX32" i="1"/>
  <c r="CG26" i="1"/>
  <c r="AF32" i="1"/>
  <c r="CY28" i="1"/>
  <c r="X28" i="1" s="1"/>
  <c r="CZ28" i="1"/>
  <c r="Y28" i="1" s="1"/>
  <c r="DF20" i="3"/>
  <c r="DJ20" i="3" s="1"/>
  <c r="DG20" i="3"/>
  <c r="DH20" i="3"/>
  <c r="DI20" i="3"/>
  <c r="BD73" i="1"/>
  <c r="AP73" i="1"/>
  <c r="AS32" i="1"/>
  <c r="AG32" i="1"/>
  <c r="DF9" i="3"/>
  <c r="DJ9" i="3" s="1"/>
  <c r="DG9" i="3"/>
  <c r="DH9" i="3"/>
  <c r="DI9" i="3"/>
  <c r="CY71" i="1"/>
  <c r="X71" i="1" s="1"/>
  <c r="AK73" i="1" s="1"/>
  <c r="F41" i="1"/>
  <c r="BD32" i="1"/>
  <c r="AI32" i="1"/>
  <c r="DF2" i="3"/>
  <c r="DJ2" i="3" s="1"/>
  <c r="DG2" i="3"/>
  <c r="DH2" i="3"/>
  <c r="DI2" i="3"/>
  <c r="BB67" i="1"/>
  <c r="BB32" i="1"/>
  <c r="GK28" i="1"/>
  <c r="AE32" i="1"/>
  <c r="DF13" i="3"/>
  <c r="DJ13" i="3" s="1"/>
  <c r="DG13" i="3"/>
  <c r="DH13" i="3"/>
  <c r="DI13" i="3"/>
  <c r="AO32" i="1"/>
  <c r="AB30" i="1"/>
  <c r="DG17" i="3"/>
  <c r="DG10" i="3"/>
  <c r="DG3" i="3"/>
  <c r="CQ28" i="1"/>
  <c r="P28" i="1" s="1"/>
  <c r="BZ26" i="1"/>
  <c r="DG21" i="3"/>
  <c r="DI19" i="3"/>
  <c r="DG18" i="3"/>
  <c r="DF17" i="3"/>
  <c r="DJ17" i="3" s="1"/>
  <c r="DG14" i="3"/>
  <c r="DI12" i="3"/>
  <c r="DG11" i="3"/>
  <c r="DF10" i="3"/>
  <c r="DJ10" i="3" s="1"/>
  <c r="DG7" i="3"/>
  <c r="DI5" i="3"/>
  <c r="DG4" i="3"/>
  <c r="DF3" i="3"/>
  <c r="DJ3" i="3" s="1"/>
  <c r="BC32" i="1"/>
  <c r="BY26" i="1"/>
  <c r="BX26" i="1"/>
  <c r="I53" i="7" l="1"/>
  <c r="I97" i="7"/>
  <c r="P97" i="7" s="1"/>
  <c r="I99" i="7" s="1"/>
  <c r="P64" i="7"/>
  <c r="I77" i="7" s="1"/>
  <c r="K53" i="7"/>
  <c r="P53" i="7"/>
  <c r="I55" i="7" s="1"/>
  <c r="P75" i="7"/>
  <c r="K75" i="7"/>
  <c r="K97" i="7"/>
  <c r="X73" i="1"/>
  <c r="AK67" i="1"/>
  <c r="AX26" i="1"/>
  <c r="F39" i="1"/>
  <c r="F118" i="1"/>
  <c r="AO108" i="1"/>
  <c r="GM71" i="1"/>
  <c r="GP71" i="1" s="1"/>
  <c r="BC67" i="1"/>
  <c r="F89" i="1"/>
  <c r="Q73" i="1"/>
  <c r="AD67" i="1"/>
  <c r="AJ67" i="1"/>
  <c r="W73" i="1"/>
  <c r="CP70" i="1"/>
  <c r="O70" i="1" s="1"/>
  <c r="GM70" i="1" s="1"/>
  <c r="GP70" i="1" s="1"/>
  <c r="AF108" i="1"/>
  <c r="S114" i="1"/>
  <c r="F56" i="1"/>
  <c r="W26" i="1"/>
  <c r="AT26" i="1"/>
  <c r="F50" i="1"/>
  <c r="AT147" i="1"/>
  <c r="AD108" i="1"/>
  <c r="Q114" i="1"/>
  <c r="Q147" i="1" s="1"/>
  <c r="T67" i="1"/>
  <c r="F94" i="1"/>
  <c r="AE108" i="1"/>
  <c r="R114" i="1"/>
  <c r="AK108" i="1"/>
  <c r="X114" i="1"/>
  <c r="AQ67" i="1"/>
  <c r="F83" i="1"/>
  <c r="AQ147" i="1"/>
  <c r="F52" i="1"/>
  <c r="BA26" i="1"/>
  <c r="AI67" i="1"/>
  <c r="V73" i="1"/>
  <c r="V108" i="1"/>
  <c r="F137" i="1"/>
  <c r="V32" i="1"/>
  <c r="AI26" i="1"/>
  <c r="AG26" i="1"/>
  <c r="T32" i="1"/>
  <c r="AS73" i="1"/>
  <c r="CB67" i="1"/>
  <c r="AH67" i="1"/>
  <c r="U73" i="1"/>
  <c r="BA114" i="1"/>
  <c r="CJ108" i="1"/>
  <c r="AL32" i="1"/>
  <c r="AT73" i="1"/>
  <c r="CC67" i="1"/>
  <c r="AT108" i="1"/>
  <c r="F132" i="1"/>
  <c r="BD67" i="1"/>
  <c r="F98" i="1"/>
  <c r="CG108" i="1"/>
  <c r="AX114" i="1"/>
  <c r="AQ108" i="1"/>
  <c r="F124" i="1"/>
  <c r="BA73" i="1"/>
  <c r="CJ67" i="1"/>
  <c r="CP28" i="1"/>
  <c r="O28" i="1" s="1"/>
  <c r="AC32" i="1"/>
  <c r="F77" i="1"/>
  <c r="AO67" i="1"/>
  <c r="F48" i="1"/>
  <c r="BC26" i="1"/>
  <c r="BC147" i="1"/>
  <c r="R32" i="1"/>
  <c r="AE26" i="1"/>
  <c r="AX73" i="1"/>
  <c r="AX147" i="1" s="1"/>
  <c r="CG67" i="1"/>
  <c r="GK70" i="1"/>
  <c r="AE73" i="1"/>
  <c r="BD26" i="1"/>
  <c r="F57" i="1"/>
  <c r="BD147" i="1"/>
  <c r="AC108" i="1"/>
  <c r="CE114" i="1"/>
  <c r="CF114" i="1"/>
  <c r="CH114" i="1"/>
  <c r="P114" i="1"/>
  <c r="BB26" i="1"/>
  <c r="F45" i="1"/>
  <c r="BB147" i="1"/>
  <c r="AS26" i="1"/>
  <c r="F49" i="1"/>
  <c r="AK32" i="1"/>
  <c r="AH26" i="1"/>
  <c r="U32" i="1"/>
  <c r="AB114" i="1"/>
  <c r="GM110" i="1"/>
  <c r="Q26" i="1"/>
  <c r="F44" i="1"/>
  <c r="AZ73" i="1"/>
  <c r="CI67" i="1"/>
  <c r="S67" i="1"/>
  <c r="F88" i="1"/>
  <c r="F125" i="1"/>
  <c r="AZ108" i="1"/>
  <c r="AS108" i="1"/>
  <c r="F131" i="1"/>
  <c r="U108" i="1"/>
  <c r="F136" i="1"/>
  <c r="T108" i="1"/>
  <c r="F135" i="1"/>
  <c r="AO26" i="1"/>
  <c r="F36" i="1"/>
  <c r="AO147" i="1"/>
  <c r="AP67" i="1"/>
  <c r="F82" i="1"/>
  <c r="AP147" i="1"/>
  <c r="AF26" i="1"/>
  <c r="S32" i="1"/>
  <c r="AP108" i="1"/>
  <c r="F123" i="1"/>
  <c r="AL114" i="1"/>
  <c r="AC73" i="1"/>
  <c r="CP69" i="1"/>
  <c r="O69" i="1" s="1"/>
  <c r="W108" i="1"/>
  <c r="F138" i="1"/>
  <c r="I102" i="7" l="1"/>
  <c r="AX22" i="1"/>
  <c r="AX177" i="1"/>
  <c r="F154" i="1"/>
  <c r="Q22" i="1"/>
  <c r="F159" i="1"/>
  <c r="Q177" i="1"/>
  <c r="BD22" i="1"/>
  <c r="F172" i="1"/>
  <c r="BD177" i="1"/>
  <c r="F93" i="1"/>
  <c r="BA67" i="1"/>
  <c r="X108" i="1"/>
  <c r="F140" i="1"/>
  <c r="F90" i="1"/>
  <c r="AS67" i="1"/>
  <c r="AP22" i="1"/>
  <c r="F156" i="1"/>
  <c r="G16" i="2" s="1"/>
  <c r="AP177" i="1"/>
  <c r="F117" i="1"/>
  <c r="P108" i="1"/>
  <c r="R73" i="1"/>
  <c r="AE67" i="1"/>
  <c r="F91" i="1"/>
  <c r="AT67" i="1"/>
  <c r="T26" i="1"/>
  <c r="T147" i="1"/>
  <c r="F53" i="1"/>
  <c r="BA147" i="1"/>
  <c r="R108" i="1"/>
  <c r="F128" i="1"/>
  <c r="GP110" i="1"/>
  <c r="CD114" i="1" s="1"/>
  <c r="CA114" i="1"/>
  <c r="AB73" i="1"/>
  <c r="GM69" i="1"/>
  <c r="AZ67" i="1"/>
  <c r="F84" i="1"/>
  <c r="AZ147" i="1"/>
  <c r="Y32" i="1"/>
  <c r="AL26" i="1"/>
  <c r="CF108" i="1"/>
  <c r="AW114" i="1"/>
  <c r="Q67" i="1"/>
  <c r="F85" i="1"/>
  <c r="R26" i="1"/>
  <c r="F46" i="1"/>
  <c r="R147" i="1"/>
  <c r="O114" i="1"/>
  <c r="AB108" i="1"/>
  <c r="BC22" i="1"/>
  <c r="F163" i="1"/>
  <c r="BC177" i="1"/>
  <c r="AT22" i="1"/>
  <c r="F165" i="1"/>
  <c r="F16" i="2" s="1"/>
  <c r="AT177" i="1"/>
  <c r="U26" i="1"/>
  <c r="U147" i="1"/>
  <c r="F54" i="1"/>
  <c r="F97" i="1"/>
  <c r="W67" i="1"/>
  <c r="X32" i="1"/>
  <c r="AK26" i="1"/>
  <c r="CH108" i="1"/>
  <c r="AY114" i="1"/>
  <c r="F121" i="1"/>
  <c r="AX108" i="1"/>
  <c r="W147" i="1"/>
  <c r="P73" i="1"/>
  <c r="CE73" i="1"/>
  <c r="CF73" i="1"/>
  <c r="CH73" i="1"/>
  <c r="AC67" i="1"/>
  <c r="AL108" i="1"/>
  <c r="Y114" i="1"/>
  <c r="AO22" i="1"/>
  <c r="F151" i="1"/>
  <c r="AO177" i="1"/>
  <c r="AS147" i="1"/>
  <c r="CE108" i="1"/>
  <c r="AV114" i="1"/>
  <c r="F80" i="1"/>
  <c r="AX67" i="1"/>
  <c r="CH32" i="1"/>
  <c r="P32" i="1"/>
  <c r="AC26" i="1"/>
  <c r="CF32" i="1"/>
  <c r="CE32" i="1"/>
  <c r="BA108" i="1"/>
  <c r="F134" i="1"/>
  <c r="V26" i="1"/>
  <c r="F55" i="1"/>
  <c r="V147" i="1"/>
  <c r="AQ22" i="1"/>
  <c r="F157" i="1"/>
  <c r="AQ177" i="1"/>
  <c r="BB22" i="1"/>
  <c r="BB177" i="1"/>
  <c r="F160" i="1"/>
  <c r="S26" i="1"/>
  <c r="S147" i="1"/>
  <c r="F47" i="1"/>
  <c r="F96" i="1"/>
  <c r="V67" i="1"/>
  <c r="GM28" i="1"/>
  <c r="AB32" i="1"/>
  <c r="F95" i="1"/>
  <c r="U67" i="1"/>
  <c r="F126" i="1"/>
  <c r="Q108" i="1"/>
  <c r="S108" i="1"/>
  <c r="F129" i="1"/>
  <c r="X67" i="1"/>
  <c r="F99" i="1"/>
  <c r="BB18" i="1" l="1"/>
  <c r="F190" i="1"/>
  <c r="AV108" i="1"/>
  <c r="F119" i="1"/>
  <c r="O108" i="1"/>
  <c r="F116" i="1"/>
  <c r="AQ18" i="1"/>
  <c r="F187" i="1"/>
  <c r="AY73" i="1"/>
  <c r="CH67" i="1"/>
  <c r="AT18" i="1"/>
  <c r="F195" i="1"/>
  <c r="AS22" i="1"/>
  <c r="F164" i="1"/>
  <c r="E16" i="2" s="1"/>
  <c r="AS177" i="1"/>
  <c r="CF67" i="1"/>
  <c r="AW73" i="1"/>
  <c r="AZ22" i="1"/>
  <c r="AZ177" i="1"/>
  <c r="F158" i="1"/>
  <c r="F87" i="1"/>
  <c r="R67" i="1"/>
  <c r="CA108" i="1"/>
  <c r="AR114" i="1"/>
  <c r="AU114" i="1"/>
  <c r="CD108" i="1"/>
  <c r="F59" i="1"/>
  <c r="Y26" i="1"/>
  <c r="Y147" i="1"/>
  <c r="CF26" i="1"/>
  <c r="AW32" i="1"/>
  <c r="AO18" i="1"/>
  <c r="F181" i="1"/>
  <c r="V22" i="1"/>
  <c r="V177" i="1"/>
  <c r="F170" i="1"/>
  <c r="P67" i="1"/>
  <c r="F76" i="1"/>
  <c r="BC18" i="1"/>
  <c r="F193" i="1"/>
  <c r="O32" i="1"/>
  <c r="AB26" i="1"/>
  <c r="U22" i="1"/>
  <c r="U177" i="1"/>
  <c r="F169" i="1"/>
  <c r="F122" i="1"/>
  <c r="AY108" i="1"/>
  <c r="CE26" i="1"/>
  <c r="AV32" i="1"/>
  <c r="Q18" i="1"/>
  <c r="F189" i="1"/>
  <c r="X26" i="1"/>
  <c r="F58" i="1"/>
  <c r="X147" i="1"/>
  <c r="BA22" i="1"/>
  <c r="BA177" i="1"/>
  <c r="F167" i="1"/>
  <c r="S22" i="1"/>
  <c r="S177" i="1"/>
  <c r="F162" i="1"/>
  <c r="J16" i="2" s="1"/>
  <c r="P26" i="1"/>
  <c r="F35" i="1"/>
  <c r="P147" i="1"/>
  <c r="AY32" i="1"/>
  <c r="CH26" i="1"/>
  <c r="W22" i="1"/>
  <c r="F171" i="1"/>
  <c r="W177" i="1"/>
  <c r="CA73" i="1"/>
  <c r="GP69" i="1"/>
  <c r="CD73" i="1" s="1"/>
  <c r="T22" i="1"/>
  <c r="F168" i="1"/>
  <c r="T177" i="1"/>
  <c r="AP18" i="1"/>
  <c r="F186" i="1"/>
  <c r="AX18" i="1"/>
  <c r="F184" i="1"/>
  <c r="GP28" i="1"/>
  <c r="CD32" i="1" s="1"/>
  <c r="CA32" i="1"/>
  <c r="R22" i="1"/>
  <c r="F161" i="1"/>
  <c r="R177" i="1"/>
  <c r="CE67" i="1"/>
  <c r="AV73" i="1"/>
  <c r="Y108" i="1"/>
  <c r="F141" i="1"/>
  <c r="F120" i="1"/>
  <c r="AW108" i="1"/>
  <c r="AB67" i="1"/>
  <c r="O73" i="1"/>
  <c r="BD18" i="1"/>
  <c r="F202" i="1"/>
  <c r="AY26" i="1" l="1"/>
  <c r="F40" i="1"/>
  <c r="AY147" i="1"/>
  <c r="AR108" i="1"/>
  <c r="F142" i="1"/>
  <c r="F143" i="1" s="1"/>
  <c r="CD26" i="1"/>
  <c r="AU32" i="1"/>
  <c r="X22" i="1"/>
  <c r="X177" i="1"/>
  <c r="F173" i="1"/>
  <c r="AR73" i="1"/>
  <c r="CA67" i="1"/>
  <c r="Y22" i="1"/>
  <c r="F174" i="1"/>
  <c r="Y177" i="1"/>
  <c r="CA26" i="1"/>
  <c r="AR32" i="1"/>
  <c r="AS18" i="1"/>
  <c r="F194" i="1"/>
  <c r="AV67" i="1"/>
  <c r="F78" i="1"/>
  <c r="U18" i="1"/>
  <c r="F199" i="1"/>
  <c r="S18" i="1"/>
  <c r="F192" i="1"/>
  <c r="AZ18" i="1"/>
  <c r="F188" i="1"/>
  <c r="BA18" i="1"/>
  <c r="F197" i="1"/>
  <c r="CD67" i="1"/>
  <c r="AU73" i="1"/>
  <c r="V18" i="1"/>
  <c r="F200" i="1"/>
  <c r="O67" i="1"/>
  <c r="F75" i="1"/>
  <c r="R18" i="1"/>
  <c r="F191" i="1"/>
  <c r="P22" i="1"/>
  <c r="F150" i="1"/>
  <c r="P177" i="1"/>
  <c r="AW26" i="1"/>
  <c r="AW147" i="1"/>
  <c r="F38" i="1"/>
  <c r="W18" i="1"/>
  <c r="F201" i="1"/>
  <c r="T18" i="1"/>
  <c r="F198" i="1"/>
  <c r="AV26" i="1"/>
  <c r="AV147" i="1"/>
  <c r="F37" i="1"/>
  <c r="O26" i="1"/>
  <c r="F34" i="1"/>
  <c r="O147" i="1"/>
  <c r="AU108" i="1"/>
  <c r="F133" i="1"/>
  <c r="F79" i="1"/>
  <c r="AW67" i="1"/>
  <c r="AY67" i="1"/>
  <c r="F81" i="1"/>
  <c r="F51" i="1" l="1"/>
  <c r="AU26" i="1"/>
  <c r="AU147" i="1"/>
  <c r="F144" i="1"/>
  <c r="F145" i="1"/>
  <c r="F92" i="1"/>
  <c r="AU67" i="1"/>
  <c r="Y18" i="1"/>
  <c r="F204" i="1"/>
  <c r="AR67" i="1"/>
  <c r="F101" i="1"/>
  <c r="F102" i="1" s="1"/>
  <c r="AY22" i="1"/>
  <c r="F155" i="1"/>
  <c r="AY177" i="1"/>
  <c r="O22" i="1"/>
  <c r="F149" i="1"/>
  <c r="O177" i="1"/>
  <c r="AW22" i="1"/>
  <c r="AW177" i="1"/>
  <c r="F153" i="1"/>
  <c r="AV22" i="1"/>
  <c r="AV177" i="1"/>
  <c r="F152" i="1"/>
  <c r="P18" i="1"/>
  <c r="F180" i="1"/>
  <c r="F60" i="1"/>
  <c r="F61" i="1" s="1"/>
  <c r="AR26" i="1"/>
  <c r="AR147" i="1"/>
  <c r="X18" i="1"/>
  <c r="F203" i="1"/>
  <c r="AY18" i="1" l="1"/>
  <c r="F185" i="1"/>
  <c r="AU22" i="1"/>
  <c r="F166" i="1"/>
  <c r="H16" i="2" s="1"/>
  <c r="I16" i="2" s="1"/>
  <c r="N16" i="2" s="1"/>
  <c r="AU177" i="1"/>
  <c r="O18" i="1"/>
  <c r="F179" i="1"/>
  <c r="AV18" i="1"/>
  <c r="F182" i="1"/>
  <c r="AR22" i="1"/>
  <c r="AR177" i="1"/>
  <c r="F175" i="1"/>
  <c r="AW18" i="1"/>
  <c r="F183" i="1"/>
  <c r="F103" i="1"/>
  <c r="F104" i="1" s="1"/>
  <c r="F62" i="1"/>
  <c r="F63" i="1" s="1"/>
  <c r="AR18" i="1" l="1"/>
  <c r="F205" i="1"/>
  <c r="F206" i="1" s="1"/>
  <c r="AU18" i="1"/>
  <c r="F196" i="1"/>
  <c r="F207" i="1" l="1"/>
  <c r="F208" i="1" s="1"/>
</calcChain>
</file>

<file path=xl/sharedStrings.xml><?xml version="1.0" encoding="utf-8"?>
<sst xmlns="http://schemas.openxmlformats.org/spreadsheetml/2006/main" count="1635" uniqueCount="173">
  <si>
    <t>Smeta.RU  (495) 974-1589</t>
  </si>
  <si>
    <t>_PS_</t>
  </si>
  <si>
    <t>Smeta.RU</t>
  </si>
  <si>
    <t/>
  </si>
  <si>
    <t>Новый объект</t>
  </si>
  <si>
    <t>ИФП РАН - Ремонт теплообменников</t>
  </si>
  <si>
    <t>Сметные нормы списания</t>
  </si>
  <si>
    <t>Коды ОКП для СН-2012 Выпуск № 8 (в ценах на 01.07.2026 г)</t>
  </si>
  <si>
    <t>СН-2012 Выпуск № 8. (в ценах на 01.07.2026) глава_1-5, 7</t>
  </si>
  <si>
    <t>Типовой расчет для СН-2012 Выпуск №8 (в ценах на 01.07.2026 г)</t>
  </si>
  <si>
    <t>СН-2012 Выпуск № 8. База данных "Сборник стоимостных нормативов" в текущих ценах по состоянию на 01.07.2026 года</t>
  </si>
  <si>
    <t>Поправки для СН-2012 Выпуск № 8 в ценах на 01.07.2026 г от 02.07.2026</t>
  </si>
  <si>
    <t>Новая локальная смета</t>
  </si>
  <si>
    <t>Москва, Косыгина 2 стр 1</t>
  </si>
  <si>
    <t>Новый раздел</t>
  </si>
  <si>
    <t>ЦО - Q030 - 87 пластин - вес 756 кг.</t>
  </si>
  <si>
    <t>1</t>
  </si>
  <si>
    <t>1.17-3101-8-3/1</t>
  </si>
  <si>
    <t>Ремонт разборных пластинчатых теплообменников - тип М15, замена дефектной пластины</t>
  </si>
  <si>
    <t>шт.</t>
  </si>
  <si>
    <t>СН-2012.1 Выпуск № 8 (в текущих ценах по состоянию на 01.07.2026 г.). 1.17-3101-8-3/1</t>
  </si>
  <si>
    <t>СН-2012</t>
  </si>
  <si>
    <t>Подрядные работы, гл. 1-5,7</t>
  </si>
  <si>
    <t>работа</t>
  </si>
  <si>
    <t>2</t>
  </si>
  <si>
    <t>1.17-3101-8-6/1</t>
  </si>
  <si>
    <t>Ремонт разборных пластинчатых теплообменников - тип М15, добавлять на снятие и установку каждой пластины до дефектной к 1.17-3101-8-3/1</t>
  </si>
  <si>
    <t>СН-2012.1 Выпуск № 8 (в текущих ценах по состоянию на 01.07.2026 г.). 1.17-3101-8-6/1</t>
  </si>
  <si>
    <t>2,1</t>
  </si>
  <si>
    <t>Цена поставщика</t>
  </si>
  <si>
    <t>Уплотнитель Q030</t>
  </si>
  <si>
    <t>[1 650 / 1,22]</t>
  </si>
  <si>
    <t>0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</si>
  <si>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</si>
  <si>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</si>
  <si>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</si>
  <si>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</si>
  <si>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</si>
  <si>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</si>
  <si>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</si>
  <si>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</si>
  <si>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</si>
  <si>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</si>
  <si>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</si>
  <si>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</si>
  <si>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</si>
  <si>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</si>
  <si>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</si>
  <si>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</si>
  <si>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</si>
  <si>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</si>
  <si>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</si>
  <si>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</si>
  <si>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</si>
  <si>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</si>
  <si>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</si>
  <si>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</si>
  <si>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</si>
  <si>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</si>
  <si>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</si>
  <si>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</si>
  <si>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</si>
  <si>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</si>
  <si>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</si>
  <si>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</si>
  <si>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</si>
  <si>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</si>
  <si>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</si>
  <si>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</si>
  <si>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</si>
  <si>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</si>
  <si>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</si>
  <si>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</si>
  <si>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</si>
  <si>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</si>
  <si>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</si>
  <si>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</si>
  <si>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</si>
  <si>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</si>
  <si>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</si>
  <si>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</si>
  <si>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</si>
  <si>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</si>
  <si>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</si>
  <si>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</si>
  <si>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</si>
  <si>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</si>
  <si>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и1</t>
  </si>
  <si>
    <t>Итого</t>
  </si>
  <si>
    <t>и2</t>
  </si>
  <si>
    <t>НДС 22%</t>
  </si>
  <si>
    <t>и3</t>
  </si>
  <si>
    <t>ГВС I - N35 - 23 пластинs - вес 446 кг.</t>
  </si>
  <si>
    <t>3</t>
  </si>
  <si>
    <t>4</t>
  </si>
  <si>
    <t>4,1</t>
  </si>
  <si>
    <t>Уплотнитель N35</t>
  </si>
  <si>
    <t>[790 / 1,22]</t>
  </si>
  <si>
    <t>ГВС II - H17 - 37 пластин - вес 346 кг.</t>
  </si>
  <si>
    <t>5</t>
  </si>
  <si>
    <t>6</t>
  </si>
  <si>
    <t>6,1</t>
  </si>
  <si>
    <t>Уплотнитель H17</t>
  </si>
  <si>
    <t>[720 / 1,22]</t>
  </si>
  <si>
    <t>Уровень цен</t>
  </si>
  <si>
    <t>_OBSM_</t>
  </si>
  <si>
    <t>9999990008</t>
  </si>
  <si>
    <t>Трудозатраты рабочих</t>
  </si>
  <si>
    <t>чел.-ч.</t>
  </si>
  <si>
    <t>21.33-5-287</t>
  </si>
  <si>
    <t>СН-2012.21 Выпуск № 8 (в текущих ценах по состоянию на 01.07.2026 г.). 21.33-5-287</t>
  </si>
  <si>
    <t>Пластины теплообменников из нержавеющей стали толщина 0,5 мм, типа М15-В</t>
  </si>
  <si>
    <t>21.33-5-290</t>
  </si>
  <si>
    <t>СН-2012.21 Выпуск № 8 (в текущих ценах по состоянию на 01.07.2026 г.). 21.33-5-290</t>
  </si>
  <si>
    <t>Прокладки уплотнительные ЕПДМ для пластин теплообменников типа М15-В, тип крепления Клип-Он</t>
  </si>
  <si>
    <t>22.1-17-213</t>
  </si>
  <si>
    <t>СН-2012.22 Выпуск № 8 (в текущих ценах по состоянию на 01.07.2026 г.). 22.1-17-213</t>
  </si>
  <si>
    <t>Мойки высокого давления импортного производства, расход воды 650 л/ч, мощность 3,3 кВт</t>
  </si>
  <si>
    <t>маш.-ч</t>
  </si>
  <si>
    <t>"СОГЛАСОВАНО"</t>
  </si>
  <si>
    <t>"УТВЕРЖДАЮ"</t>
  </si>
  <si>
    <t>Форма № 1а (глава 1-5)</t>
  </si>
  <si>
    <t>"_____"________________ 2026 г.</t>
  </si>
  <si>
    <t>(наименование объекта)</t>
  </si>
  <si>
    <t>(локальный сметный расчет)</t>
  </si>
  <si>
    <t>(наименование работ и затрат, наименование объекта)</t>
  </si>
  <si>
    <t>Сметная стоимость</t>
  </si>
  <si>
    <t>тыс.руб</t>
  </si>
  <si>
    <t>Строительные работы</t>
  </si>
  <si>
    <t>Монтажные работы</t>
  </si>
  <si>
    <t>Оборудование</t>
  </si>
  <si>
    <t>Прочие работы</t>
  </si>
  <si>
    <t>Средства на оплату труда</t>
  </si>
  <si>
    <t>№№ п/п</t>
  </si>
  <si>
    <t>Шифр стоимостного норматива и коды ресурсов</t>
  </si>
  <si>
    <t>Наименование работ и затрат</t>
  </si>
  <si>
    <t>Единица измерения</t>
  </si>
  <si>
    <t>Кол-во единиц</t>
  </si>
  <si>
    <t>Цена на ед. изм. руб.</t>
  </si>
  <si>
    <t>Попра-вочные коэфф.</t>
  </si>
  <si>
    <t>Коэфф. зимних удоро-жаний</t>
  </si>
  <si>
    <t>Коэфф. пересчета</t>
  </si>
  <si>
    <t>ВСЕГО затрат, руб.</t>
  </si>
  <si>
    <t>Справочно</t>
  </si>
  <si>
    <t xml:space="preserve">ЗТР, всего чел.-час
</t>
  </si>
  <si>
    <t xml:space="preserve">Ст-ть ед. с начислен.
</t>
  </si>
  <si>
    <t>Составлен(а) в уровне текущих (прогнозных) цен на июль 2026 года</t>
  </si>
  <si>
    <t>ЗП</t>
  </si>
  <si>
    <t>МР</t>
  </si>
  <si>
    <t>НР от ЗП</t>
  </si>
  <si>
    <t>%</t>
  </si>
  <si>
    <t>НП от ЗП</t>
  </si>
  <si>
    <t>ЗТР</t>
  </si>
  <si>
    <t>чел-ч</t>
  </si>
  <si>
    <t>ЭМ</t>
  </si>
  <si>
    <t>в т.ч. ЗПМ</t>
  </si>
  <si>
    <r>
      <t>Уплотнитель Q030</t>
    </r>
    <r>
      <rPr>
        <i/>
        <sz val="10"/>
        <rFont val="Arial"/>
        <family val="2"/>
        <charset val="204"/>
      </rPr>
      <t xml:space="preserve">
1 352,46 = [1 650 / 1,22]</t>
    </r>
  </si>
  <si>
    <t>НР и НП от ЗПМ</t>
  </si>
  <si>
    <r>
      <t>Уплотнитель N35</t>
    </r>
    <r>
      <rPr>
        <i/>
        <sz val="10"/>
        <rFont val="Arial"/>
        <family val="2"/>
        <charset val="204"/>
      </rPr>
      <t xml:space="preserve">
647,54 = [790 / 1,22]</t>
    </r>
  </si>
  <si>
    <r>
      <t>Уплотнитель H17</t>
    </r>
    <r>
      <rPr>
        <i/>
        <sz val="10"/>
        <rFont val="Arial"/>
        <family val="2"/>
        <charset val="204"/>
      </rPr>
      <t xml:space="preserve">
590,16 = [720 / 1,22]</t>
    </r>
  </si>
  <si>
    <t xml:space="preserve">Составил   </t>
  </si>
  <si>
    <t>[должность,подпись(инициалы,фамилия)]</t>
  </si>
  <si>
    <t xml:space="preserve">Проверил   </t>
  </si>
  <si>
    <t>___________________________</t>
  </si>
  <si>
    <t>" ___ " ___________ 20 ___ г.</t>
  </si>
  <si>
    <t xml:space="preserve">Мы, нижеподписавшиеся, произвели осмотр объекта </t>
  </si>
  <si>
    <t xml:space="preserve">и постановили произвести ремонт объекта в </t>
  </si>
  <si>
    <t>следующем объеме:</t>
  </si>
  <si>
    <t>№ п/п</t>
  </si>
  <si>
    <t>Количество</t>
  </si>
  <si>
    <t>Примечание</t>
  </si>
  <si>
    <t>Заказчик _________________</t>
  </si>
  <si>
    <t>Подрядчик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</si>
</sst>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"/>
    <numFmt numFmtId="165" formatCode="#,##0.00;[Red]\-\ #,##0.00"/>
  </numFmts>
  <fonts count="16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1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/>
    <xf numFmtId="164" fontId="8" fillId="0" borderId="0" xfId="0" applyNumberFormat="1" applyFont="1"/>
    <xf numFmtId="1" fontId="8" fillId="0" borderId="0" xfId="0" applyNumberFormat="1" applyFont="1"/>
    <xf numFmtId="0" fontId="8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Alignment="1">
      <alignment horizontal="right"/>
    </xf>
    <xf numFmtId="165" fontId="0" fillId="0" borderId="0" xfId="0" applyNumberFormat="1"/>
    <xf numFmtId="165" fontId="8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0" fillId="0" borderId="6" xfId="0" applyBorder="1"/>
    <xf numFmtId="165" fontId="14" fillId="0" borderId="6" xfId="0" applyNumberFormat="1" applyFont="1" applyBorder="1" applyAlignment="1">
      <alignment horizontal="right"/>
    </xf>
    <xf numFmtId="165" fontId="14" fillId="0" borderId="6" xfId="0" applyNumberFormat="1" applyFont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 wrapText="1"/>
    </xf>
    <xf numFmtId="0" fontId="8" fillId="0" borderId="0" xfId="0" applyFont="1" applyAlignment="1">
      <alignment horizontal="right" vertical="center"/>
    </xf>
    <xf numFmtId="0" fontId="8" fillId="0" borderId="1" xfId="0" applyFont="1" applyBorder="1"/>
    <xf numFmtId="0" fontId="1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right" wrapText="1"/>
    </xf>
    <xf numFmtId="0" fontId="8" fillId="0" borderId="4" xfId="0" applyFont="1" applyBorder="1" applyAlignment="1">
      <alignment horizontal="right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right" wrapText="1"/>
    </xf>
    <xf numFmtId="0" fontId="8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49763-0567-45AA-843A-C618F7DE89A4}">
  <sheetPr>
    <pageSetUpPr fitToPage="1"/>
  </sheetPr>
  <dimension ref="A1:V110"/>
  <sheetViews>
    <sheetView tabSelected="1" topLeftCell="A65" zoomScale="60" zoomScaleNormal="60" workbookViewId="0">
      <selection activeCell="I110" sqref="I110"/>
    </sheetView>
  </sheetViews>
  <sheetFormatPr defaultRowHeight="12.45" x14ac:dyDescent="0.3"/>
  <cols>
    <col min="1" max="1" width="5.69140625" customWidth="1"/>
    <col min="2" max="2" width="11.69140625" customWidth="1"/>
    <col min="3" max="3" width="40.69140625" customWidth="1"/>
    <col min="4" max="6" width="11.69140625" customWidth="1"/>
    <col min="7" max="11" width="12.69140625" customWidth="1"/>
    <col min="15" max="36" width="0" hidden="1" customWidth="1"/>
  </cols>
  <sheetData>
    <row r="1" spans="1:11" x14ac:dyDescent="0.3">
      <c r="A1" s="7" t="str">
        <f>CONCATENATE(Source!B1, "     СН-2012 (© ГБУ «Аналитический центр», ", "2026", ")")</f>
        <v>Smeta.RU  (495) 974-1589     СН-2012 (© ГБУ «Аналитический центр», 2026)</v>
      </c>
    </row>
    <row r="2" spans="1:11" ht="14.15" x14ac:dyDescent="0.35">
      <c r="A2" s="8"/>
      <c r="B2" s="8"/>
      <c r="C2" s="8"/>
      <c r="D2" s="8"/>
      <c r="E2" s="8"/>
      <c r="F2" s="8"/>
      <c r="G2" s="8"/>
      <c r="H2" s="8"/>
      <c r="I2" s="8"/>
      <c r="J2" s="16" t="s">
        <v>121</v>
      </c>
      <c r="K2" s="16"/>
    </row>
    <row r="3" spans="1:11" ht="16.3" x14ac:dyDescent="0.4">
      <c r="A3" s="10"/>
      <c r="B3" s="11" t="s">
        <v>119</v>
      </c>
      <c r="C3" s="11"/>
      <c r="D3" s="11"/>
      <c r="E3" s="11"/>
      <c r="F3" s="9"/>
      <c r="G3" s="11" t="s">
        <v>120</v>
      </c>
      <c r="H3" s="11"/>
      <c r="I3" s="11"/>
      <c r="J3" s="11"/>
      <c r="K3" s="11"/>
    </row>
    <row r="4" spans="1:11" ht="14.15" x14ac:dyDescent="0.35">
      <c r="A4" s="9"/>
      <c r="B4" s="12"/>
      <c r="C4" s="12"/>
      <c r="D4" s="12"/>
      <c r="E4" s="12"/>
      <c r="F4" s="9"/>
      <c r="G4" s="12"/>
      <c r="H4" s="12"/>
      <c r="I4" s="12"/>
      <c r="J4" s="12"/>
      <c r="K4" s="12"/>
    </row>
    <row r="5" spans="1:11" ht="14.15" x14ac:dyDescent="0.35">
      <c r="A5" s="9"/>
      <c r="B5" s="9"/>
      <c r="C5" s="13"/>
      <c r="D5" s="13"/>
      <c r="E5" s="13"/>
      <c r="F5" s="9"/>
      <c r="G5" s="13"/>
      <c r="H5" s="13"/>
      <c r="I5" s="13"/>
      <c r="J5" s="13"/>
      <c r="K5" s="13"/>
    </row>
    <row r="6" spans="1:11" ht="14.15" x14ac:dyDescent="0.35">
      <c r="A6" s="13"/>
      <c r="B6" s="12" t="str">
        <f>CONCATENATE("______________________ ", IF(Source!AL12&lt;&gt;"", Source!AL12, ""))</f>
        <v xml:space="preserve">______________________ </v>
      </c>
      <c r="C6" s="12"/>
      <c r="D6" s="12"/>
      <c r="E6" s="12"/>
      <c r="F6" s="9"/>
      <c r="G6" s="12" t="str">
        <f>CONCATENATE("______________________ ", IF(Source!AH12&lt;&gt;"", Source!AH12, ""))</f>
        <v xml:space="preserve">______________________ </v>
      </c>
      <c r="H6" s="12"/>
      <c r="I6" s="12"/>
      <c r="J6" s="12"/>
      <c r="K6" s="12"/>
    </row>
    <row r="7" spans="1:11" ht="14.15" x14ac:dyDescent="0.35">
      <c r="A7" s="14"/>
      <c r="B7" s="15" t="s">
        <v>122</v>
      </c>
      <c r="C7" s="15"/>
      <c r="D7" s="15"/>
      <c r="E7" s="15"/>
      <c r="F7" s="9"/>
      <c r="G7" s="15" t="s">
        <v>122</v>
      </c>
      <c r="H7" s="15"/>
      <c r="I7" s="15"/>
      <c r="J7" s="15"/>
      <c r="K7" s="15"/>
    </row>
    <row r="9" spans="1:11" ht="14.15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7.600000000000001" hidden="1" x14ac:dyDescent="0.4">
      <c r="A10" s="17" t="str">
        <f>IF(Source!G12&lt;&gt;"Новый объект", Source!G12, "")</f>
        <v>ИФП РАН - Ремонт теплообменников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idden="1" x14ac:dyDescent="0.3">
      <c r="A11" s="18" t="s">
        <v>123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ht="14.15" hidden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15.45" x14ac:dyDescent="0.4">
      <c r="A13" s="19" t="str">
        <f>CONCATENATE( "ЛОКАЛЬНАЯ СМЕТА № ",IF(Source!F12&lt;&gt;"Новый объект", Source!F12, ""))</f>
        <v xml:space="preserve">ЛОКАЛЬНАЯ СМЕТА № 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x14ac:dyDescent="0.3">
      <c r="A14" s="21" t="s">
        <v>124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ht="17.600000000000001" x14ac:dyDescent="0.4">
      <c r="A16" s="17" t="str">
        <f>IF(Source!G12&lt;&gt;"Новый объект", Source!G12, "")</f>
        <v>ИФП РАН - Ремонт теплообменников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3">
      <c r="A17" s="21" t="s">
        <v>125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15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4.15" x14ac:dyDescent="0.35">
      <c r="A19" s="15" t="str">
        <f>CONCATENATE( "Основание: чертежи № ", Source!J12)</f>
        <v xml:space="preserve">Основание: чертежи № 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15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15" x14ac:dyDescent="0.35">
      <c r="A21" s="9"/>
      <c r="B21" s="9"/>
      <c r="C21" s="9"/>
      <c r="D21" s="9"/>
      <c r="E21" s="9"/>
      <c r="F21" s="12" t="s">
        <v>126</v>
      </c>
      <c r="G21" s="12"/>
      <c r="H21" s="12"/>
      <c r="I21" s="36">
        <f>I22+I23+I24+I25</f>
        <v>534.25</v>
      </c>
      <c r="J21" s="16"/>
      <c r="K21" s="9" t="s">
        <v>127</v>
      </c>
    </row>
    <row r="22" spans="1:11" ht="14.15" hidden="1" x14ac:dyDescent="0.35">
      <c r="A22" s="9"/>
      <c r="B22" s="9"/>
      <c r="C22" s="9"/>
      <c r="D22" s="9"/>
      <c r="E22" s="9"/>
      <c r="F22" s="12" t="s">
        <v>128</v>
      </c>
      <c r="G22" s="12"/>
      <c r="H22" s="12"/>
      <c r="I22" s="36">
        <f>ROUND((Source!F194)/1000, 2)</f>
        <v>0</v>
      </c>
      <c r="J22" s="16"/>
      <c r="K22" s="9" t="s">
        <v>127</v>
      </c>
    </row>
    <row r="23" spans="1:11" ht="14.15" hidden="1" x14ac:dyDescent="0.35">
      <c r="A23" s="9"/>
      <c r="B23" s="9"/>
      <c r="C23" s="9"/>
      <c r="D23" s="9"/>
      <c r="E23" s="9"/>
      <c r="F23" s="12" t="s">
        <v>129</v>
      </c>
      <c r="G23" s="12"/>
      <c r="H23" s="12"/>
      <c r="I23" s="36">
        <f>ROUND((Source!F195)/1000, 2)</f>
        <v>0</v>
      </c>
      <c r="J23" s="16"/>
      <c r="K23" s="9" t="s">
        <v>127</v>
      </c>
    </row>
    <row r="24" spans="1:11" ht="14.15" hidden="1" x14ac:dyDescent="0.35">
      <c r="A24" s="9"/>
      <c r="B24" s="9"/>
      <c r="C24" s="9"/>
      <c r="D24" s="9"/>
      <c r="E24" s="9"/>
      <c r="F24" s="12" t="s">
        <v>130</v>
      </c>
      <c r="G24" s="12"/>
      <c r="H24" s="12"/>
      <c r="I24" s="36">
        <f>ROUND((Source!F186)/1000, 2)</f>
        <v>0</v>
      </c>
      <c r="J24" s="16"/>
      <c r="K24" s="9" t="s">
        <v>127</v>
      </c>
    </row>
    <row r="25" spans="1:11" ht="14.15" hidden="1" x14ac:dyDescent="0.35">
      <c r="A25" s="9"/>
      <c r="B25" s="9"/>
      <c r="C25" s="9"/>
      <c r="D25" s="9"/>
      <c r="E25" s="9"/>
      <c r="F25" s="12" t="s">
        <v>131</v>
      </c>
      <c r="G25" s="12"/>
      <c r="H25" s="12"/>
      <c r="I25" s="36">
        <f>ROUND((Source!F196+Source!F197)/1000, 2)</f>
        <v>534.25</v>
      </c>
      <c r="J25" s="16"/>
      <c r="K25" s="9" t="s">
        <v>127</v>
      </c>
    </row>
    <row r="26" spans="1:11" ht="14.15" x14ac:dyDescent="0.35">
      <c r="A26" s="9"/>
      <c r="B26" s="9"/>
      <c r="C26" s="9"/>
      <c r="D26" s="9"/>
      <c r="E26" s="9"/>
      <c r="F26" s="12" t="s">
        <v>132</v>
      </c>
      <c r="G26" s="12"/>
      <c r="H26" s="12"/>
      <c r="I26" s="36">
        <f>(Source!F192+ Source!F191)/1000</f>
        <v>70.76639999999999</v>
      </c>
      <c r="J26" s="16"/>
      <c r="K26" s="9" t="s">
        <v>127</v>
      </c>
    </row>
    <row r="27" spans="1:11" ht="14.15" x14ac:dyDescent="0.35">
      <c r="A27" s="9" t="s">
        <v>146</v>
      </c>
      <c r="B27" s="9"/>
      <c r="C27" s="9"/>
      <c r="D27" s="24"/>
      <c r="E27" s="25"/>
      <c r="F27" s="9"/>
      <c r="G27" s="9"/>
      <c r="H27" s="9"/>
      <c r="I27" s="9"/>
      <c r="J27" s="9"/>
      <c r="K27" s="9"/>
    </row>
    <row r="28" spans="1:11" ht="14.15" x14ac:dyDescent="0.3">
      <c r="A28" s="26" t="s">
        <v>133</v>
      </c>
      <c r="B28" s="26" t="s">
        <v>134</v>
      </c>
      <c r="C28" s="26" t="s">
        <v>135</v>
      </c>
      <c r="D28" s="26" t="s">
        <v>136</v>
      </c>
      <c r="E28" s="26" t="s">
        <v>137</v>
      </c>
      <c r="F28" s="26" t="s">
        <v>138</v>
      </c>
      <c r="G28" s="26" t="s">
        <v>139</v>
      </c>
      <c r="H28" s="26" t="s">
        <v>140</v>
      </c>
      <c r="I28" s="26" t="s">
        <v>141</v>
      </c>
      <c r="J28" s="26" t="s">
        <v>142</v>
      </c>
      <c r="K28" s="27" t="s">
        <v>143</v>
      </c>
    </row>
    <row r="29" spans="1:11" ht="42.45" x14ac:dyDescent="0.3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9" t="s">
        <v>144</v>
      </c>
    </row>
    <row r="30" spans="1:11" ht="42.45" x14ac:dyDescent="0.3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9" t="s">
        <v>145</v>
      </c>
    </row>
    <row r="31" spans="1:11" ht="14.15" x14ac:dyDescent="0.3">
      <c r="A31" s="29">
        <v>1</v>
      </c>
      <c r="B31" s="29">
        <v>2</v>
      </c>
      <c r="C31" s="29">
        <v>3</v>
      </c>
      <c r="D31" s="29">
        <v>4</v>
      </c>
      <c r="E31" s="29">
        <v>5</v>
      </c>
      <c r="F31" s="29">
        <v>6</v>
      </c>
      <c r="G31" s="29">
        <v>7</v>
      </c>
      <c r="H31" s="29">
        <v>8</v>
      </c>
      <c r="I31" s="29">
        <v>9</v>
      </c>
      <c r="J31" s="29">
        <v>10</v>
      </c>
      <c r="K31" s="29">
        <v>11</v>
      </c>
    </row>
    <row r="33" spans="1:22" ht="16.3" x14ac:dyDescent="0.4">
      <c r="A33" s="30" t="str">
        <f>CONCATENATE("Локальная смета: ",IF(Source!G20&lt;&gt;"Новая локальная смета", Source!G20, ""))</f>
        <v>Локальная смета: Москва, Косыгина 2 стр 1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5" spans="1:22" ht="16.3" x14ac:dyDescent="0.4">
      <c r="A35" s="30" t="str">
        <f>CONCATENATE("Раздел: ",IF(Source!G24&lt;&gt;"Новый раздел", Source!G24, ""))</f>
        <v>Раздел: ЦО - Q030 - 87 пластин - вес 756 кг.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22" ht="42.45" x14ac:dyDescent="0.35">
      <c r="A36" s="31">
        <v>1</v>
      </c>
      <c r="B36" s="31" t="str">
        <f>Source!F28</f>
        <v>1.17-3101-8-3/1</v>
      </c>
      <c r="C36" s="31" t="str">
        <f>Source!G28</f>
        <v>Ремонт разборных пластинчатых теплообменников - тип М15, замена дефектной пластины</v>
      </c>
      <c r="D36" s="32" t="str">
        <f>Source!H28</f>
        <v>шт.</v>
      </c>
      <c r="E36" s="8">
        <f>Source!I28</f>
        <v>1</v>
      </c>
      <c r="F36" s="34"/>
      <c r="G36" s="33"/>
      <c r="H36" s="8"/>
      <c r="I36" s="8"/>
      <c r="J36" s="34"/>
      <c r="K36" s="34"/>
      <c r="Q36">
        <f>ROUND((Source!BZ28/100)*ROUND((Source!AF28*Source!AV28)*Source!I28, 2), 2)</f>
        <v>1180.06</v>
      </c>
      <c r="R36">
        <f>Source!X28</f>
        <v>1180.06</v>
      </c>
      <c r="S36">
        <f>ROUND((Source!CA28/100)*ROUND((Source!AF28*Source!AV28)*Source!I28, 2), 2)</f>
        <v>168.58</v>
      </c>
      <c r="T36">
        <f>Source!Y28</f>
        <v>168.58</v>
      </c>
      <c r="U36">
        <f>ROUND((175/100)*ROUND((Source!AE28*Source!AV28)*Source!I28, 2), 2)</f>
        <v>0</v>
      </c>
      <c r="V36">
        <f>ROUND((108/100)*ROUND(Source!CS28*Source!I28, 2), 2)</f>
        <v>0</v>
      </c>
    </row>
    <row r="37" spans="1:22" ht="14.15" x14ac:dyDescent="0.35">
      <c r="A37" s="31"/>
      <c r="B37" s="31"/>
      <c r="C37" s="31" t="s">
        <v>147</v>
      </c>
      <c r="D37" s="32"/>
      <c r="E37" s="8"/>
      <c r="F37" s="34">
        <f>Source!AO28</f>
        <v>1685.8</v>
      </c>
      <c r="G37" s="33" t="str">
        <f>Source!DG28</f>
        <v/>
      </c>
      <c r="H37" s="8">
        <f>Source!AV28</f>
        <v>1</v>
      </c>
      <c r="I37" s="8">
        <f>IF(Source!BA28&lt;&gt; 0, Source!BA28, 1)</f>
        <v>1</v>
      </c>
      <c r="J37" s="34">
        <f>Source!S28</f>
        <v>1685.8</v>
      </c>
      <c r="K37" s="34"/>
    </row>
    <row r="38" spans="1:22" ht="14.15" x14ac:dyDescent="0.35">
      <c r="A38" s="31"/>
      <c r="B38" s="31"/>
      <c r="C38" s="31" t="s">
        <v>148</v>
      </c>
      <c r="D38" s="32"/>
      <c r="E38" s="8"/>
      <c r="F38" s="34">
        <f>Source!AL28</f>
        <v>8472.85</v>
      </c>
      <c r="G38" s="33" t="str">
        <f>Source!DD28</f>
        <v/>
      </c>
      <c r="H38" s="8">
        <f>Source!AW28</f>
        <v>1</v>
      </c>
      <c r="I38" s="8">
        <f>IF(Source!BC28&lt;&gt; 0, Source!BC28, 1)</f>
        <v>1</v>
      </c>
      <c r="J38" s="34">
        <f>Source!P28</f>
        <v>8472.85</v>
      </c>
      <c r="K38" s="34"/>
    </row>
    <row r="39" spans="1:22" ht="14.15" x14ac:dyDescent="0.35">
      <c r="A39" s="31"/>
      <c r="B39" s="31"/>
      <c r="C39" s="31" t="s">
        <v>149</v>
      </c>
      <c r="D39" s="32" t="s">
        <v>150</v>
      </c>
      <c r="E39" s="8">
        <f>Source!AT28</f>
        <v>70</v>
      </c>
      <c r="F39" s="34"/>
      <c r="G39" s="33"/>
      <c r="H39" s="8"/>
      <c r="I39" s="8"/>
      <c r="J39" s="34">
        <f>SUM(R36:R38)</f>
        <v>1180.06</v>
      </c>
      <c r="K39" s="34"/>
    </row>
    <row r="40" spans="1:22" ht="14.15" x14ac:dyDescent="0.35">
      <c r="A40" s="31"/>
      <c r="B40" s="31"/>
      <c r="C40" s="31" t="s">
        <v>151</v>
      </c>
      <c r="D40" s="32" t="s">
        <v>150</v>
      </c>
      <c r="E40" s="8">
        <f>Source!AU28</f>
        <v>10</v>
      </c>
      <c r="F40" s="34"/>
      <c r="G40" s="33"/>
      <c r="H40" s="8"/>
      <c r="I40" s="8"/>
      <c r="J40" s="34">
        <f>SUM(T36:T39)</f>
        <v>168.58</v>
      </c>
      <c r="K40" s="34"/>
    </row>
    <row r="41" spans="1:22" ht="14.15" x14ac:dyDescent="0.35">
      <c r="A41" s="31"/>
      <c r="B41" s="31"/>
      <c r="C41" s="31" t="s">
        <v>152</v>
      </c>
      <c r="D41" s="32" t="s">
        <v>153</v>
      </c>
      <c r="E41" s="8">
        <f>Source!AQ28</f>
        <v>2.64</v>
      </c>
      <c r="F41" s="34"/>
      <c r="G41" s="33" t="str">
        <f>Source!DI28</f>
        <v/>
      </c>
      <c r="H41" s="8">
        <f>Source!AV28</f>
        <v>1</v>
      </c>
      <c r="I41" s="8"/>
      <c r="J41" s="34"/>
      <c r="K41" s="34">
        <f>Source!U28</f>
        <v>2.64</v>
      </c>
    </row>
    <row r="42" spans="1:22" ht="14.15" x14ac:dyDescent="0.35">
      <c r="A42" s="39"/>
      <c r="B42" s="39"/>
      <c r="C42" s="39"/>
      <c r="D42" s="39"/>
      <c r="E42" s="39"/>
      <c r="F42" s="39"/>
      <c r="G42" s="39"/>
      <c r="H42" s="39"/>
      <c r="I42" s="40">
        <f>J37+J38+J39+J40</f>
        <v>11507.289999999999</v>
      </c>
      <c r="J42" s="40"/>
      <c r="K42" s="41">
        <f>IF(Source!I28&lt;&gt;0, ROUND(I42/Source!I28, 2), 0)</f>
        <v>11507.29</v>
      </c>
      <c r="P42" s="35">
        <f>I42</f>
        <v>11507.289999999999</v>
      </c>
    </row>
    <row r="43" spans="1:22" ht="56.6" x14ac:dyDescent="0.35">
      <c r="A43" s="31">
        <v>2</v>
      </c>
      <c r="B43" s="31" t="str">
        <f>Source!F29</f>
        <v>1.17-3101-8-6/1</v>
      </c>
      <c r="C43" s="31" t="str">
        <f>Source!G29</f>
        <v>Ремонт разборных пластинчатых теплообменников - тип М15, добавлять на снятие и установку каждой пластины до дефектной к 1.17-3101-8-3/1</v>
      </c>
      <c r="D43" s="32" t="str">
        <f>Source!H29</f>
        <v>шт.</v>
      </c>
      <c r="E43" s="8">
        <f>Source!I29</f>
        <v>87</v>
      </c>
      <c r="F43" s="34"/>
      <c r="G43" s="33"/>
      <c r="H43" s="8"/>
      <c r="I43" s="8"/>
      <c r="J43" s="34"/>
      <c r="K43" s="34"/>
      <c r="Q43">
        <f>ROUND((Source!BZ29/100)*ROUND((Source!AF29*Source!AV29)*Source!I29, 2), 2)</f>
        <v>27221.69</v>
      </c>
      <c r="R43">
        <f>Source!X29</f>
        <v>27221.69</v>
      </c>
      <c r="S43">
        <f>ROUND((Source!CA29/100)*ROUND((Source!AF29*Source!AV29)*Source!I29, 2), 2)</f>
        <v>3888.81</v>
      </c>
      <c r="T43">
        <f>Source!Y29</f>
        <v>3888.81</v>
      </c>
      <c r="U43">
        <f>ROUND((175/100)*ROUND((Source!AE29*Source!AV29)*Source!I29, 2), 2)</f>
        <v>1.52</v>
      </c>
      <c r="V43">
        <f>ROUND((108/100)*ROUND(Source!CS29*Source!I29, 2), 2)</f>
        <v>0.94</v>
      </c>
    </row>
    <row r="44" spans="1:22" ht="14.15" x14ac:dyDescent="0.35">
      <c r="A44" s="31"/>
      <c r="B44" s="31"/>
      <c r="C44" s="31" t="s">
        <v>147</v>
      </c>
      <c r="D44" s="32"/>
      <c r="E44" s="8"/>
      <c r="F44" s="34">
        <f>Source!AO29</f>
        <v>446.99</v>
      </c>
      <c r="G44" s="33" t="str">
        <f>Source!DG29</f>
        <v/>
      </c>
      <c r="H44" s="8">
        <f>Source!AV29</f>
        <v>1</v>
      </c>
      <c r="I44" s="8">
        <f>IF(Source!BA29&lt;&gt; 0, Source!BA29, 1)</f>
        <v>1</v>
      </c>
      <c r="J44" s="34">
        <f>Source!S29</f>
        <v>38888.129999999997</v>
      </c>
      <c r="K44" s="34"/>
    </row>
    <row r="45" spans="1:22" ht="14.15" x14ac:dyDescent="0.35">
      <c r="A45" s="31"/>
      <c r="B45" s="31"/>
      <c r="C45" s="31" t="s">
        <v>154</v>
      </c>
      <c r="D45" s="32"/>
      <c r="E45" s="8"/>
      <c r="F45" s="34">
        <f>Source!AM29</f>
        <v>1.1100000000000001</v>
      </c>
      <c r="G45" s="33" t="str">
        <f>Source!DE29</f>
        <v/>
      </c>
      <c r="H45" s="8">
        <f>Source!AV29</f>
        <v>1</v>
      </c>
      <c r="I45" s="8">
        <f>IF(Source!BB29&lt;&gt; 0, Source!BB29, 1)</f>
        <v>1</v>
      </c>
      <c r="J45" s="34">
        <f>Source!Q29</f>
        <v>96.57</v>
      </c>
      <c r="K45" s="34"/>
    </row>
    <row r="46" spans="1:22" ht="14.15" x14ac:dyDescent="0.35">
      <c r="A46" s="31"/>
      <c r="B46" s="31"/>
      <c r="C46" s="31" t="s">
        <v>155</v>
      </c>
      <c r="D46" s="32"/>
      <c r="E46" s="8"/>
      <c r="F46" s="34">
        <f>Source!AN29</f>
        <v>0.01</v>
      </c>
      <c r="G46" s="33" t="str">
        <f>Source!DF29</f>
        <v/>
      </c>
      <c r="H46" s="8">
        <f>Source!AV29</f>
        <v>1</v>
      </c>
      <c r="I46" s="8">
        <f>IF(Source!BS29&lt;&gt; 0, Source!BS29, 1)</f>
        <v>1</v>
      </c>
      <c r="J46" s="42">
        <f>Source!R29</f>
        <v>0.87</v>
      </c>
      <c r="K46" s="34"/>
    </row>
    <row r="47" spans="1:22" ht="14.15" x14ac:dyDescent="0.35">
      <c r="A47" s="31"/>
      <c r="B47" s="31"/>
      <c r="C47" s="31" t="s">
        <v>148</v>
      </c>
      <c r="D47" s="32"/>
      <c r="E47" s="8"/>
      <c r="F47" s="34">
        <f>Source!AL29</f>
        <v>1525.87</v>
      </c>
      <c r="G47" s="33" t="str">
        <f>Source!DD29</f>
        <v/>
      </c>
      <c r="H47" s="8">
        <f>Source!AW29</f>
        <v>1</v>
      </c>
      <c r="I47" s="8">
        <f>IF(Source!BC29&lt;&gt; 0, Source!BC29, 1)</f>
        <v>1</v>
      </c>
      <c r="J47" s="34">
        <f>Source!P29</f>
        <v>132750.69</v>
      </c>
      <c r="K47" s="34"/>
    </row>
    <row r="48" spans="1:22" ht="42.45" x14ac:dyDescent="0.35">
      <c r="A48" s="31" t="s">
        <v>28</v>
      </c>
      <c r="B48" s="31" t="str">
        <f>Source!F30</f>
        <v>Цена поставщика</v>
      </c>
      <c r="C48" s="31" t="s">
        <v>156</v>
      </c>
      <c r="D48" s="32" t="str">
        <f>Source!H30</f>
        <v>шт.</v>
      </c>
      <c r="E48" s="8">
        <f>Source!I30</f>
        <v>88.000000000000014</v>
      </c>
      <c r="F48" s="34">
        <f>Source!AK30</f>
        <v>1352.46</v>
      </c>
      <c r="G48" s="43" t="s">
        <v>3</v>
      </c>
      <c r="H48" s="8">
        <f>Source!AW30</f>
        <v>1</v>
      </c>
      <c r="I48" s="8">
        <f>IF(Source!BC30&lt;&gt; 0, Source!BC30, 1)</f>
        <v>1</v>
      </c>
      <c r="J48" s="34">
        <f>Source!O30</f>
        <v>119016.48</v>
      </c>
      <c r="K48" s="34"/>
      <c r="Q48">
        <f>ROUND((Source!BZ30/100)*ROUND((Source!AF30*Source!AV30)*Source!I30, 2), 2)</f>
        <v>0</v>
      </c>
      <c r="R48">
        <f>Source!X30</f>
        <v>0</v>
      </c>
      <c r="S48">
        <f>ROUND((Source!CA30/100)*ROUND((Source!AF30*Source!AV30)*Source!I30, 2), 2)</f>
        <v>0</v>
      </c>
      <c r="T48">
        <f>Source!Y30</f>
        <v>0</v>
      </c>
      <c r="U48">
        <f>ROUND((175/100)*ROUND((Source!AE30*Source!AV30)*Source!I30, 2), 2)</f>
        <v>0</v>
      </c>
      <c r="V48">
        <f>ROUND((108/100)*ROUND(Source!CS30*Source!I30, 2), 2)</f>
        <v>0</v>
      </c>
    </row>
    <row r="49" spans="1:22" ht="14.15" x14ac:dyDescent="0.35">
      <c r="A49" s="31"/>
      <c r="B49" s="31"/>
      <c r="C49" s="31" t="s">
        <v>149</v>
      </c>
      <c r="D49" s="32" t="s">
        <v>150</v>
      </c>
      <c r="E49" s="8">
        <f>Source!AT29</f>
        <v>70</v>
      </c>
      <c r="F49" s="34"/>
      <c r="G49" s="33"/>
      <c r="H49" s="8"/>
      <c r="I49" s="8"/>
      <c r="J49" s="34">
        <f>SUM(R43:R48)</f>
        <v>27221.69</v>
      </c>
      <c r="K49" s="34"/>
    </row>
    <row r="50" spans="1:22" ht="14.15" x14ac:dyDescent="0.35">
      <c r="A50" s="31"/>
      <c r="B50" s="31"/>
      <c r="C50" s="31" t="s">
        <v>151</v>
      </c>
      <c r="D50" s="32" t="s">
        <v>150</v>
      </c>
      <c r="E50" s="8">
        <f>Source!AU29</f>
        <v>10</v>
      </c>
      <c r="F50" s="34"/>
      <c r="G50" s="33"/>
      <c r="H50" s="8"/>
      <c r="I50" s="8"/>
      <c r="J50" s="34">
        <f>SUM(T43:T49)</f>
        <v>3888.81</v>
      </c>
      <c r="K50" s="34"/>
    </row>
    <row r="51" spans="1:22" ht="14.15" x14ac:dyDescent="0.35">
      <c r="A51" s="31"/>
      <c r="B51" s="31"/>
      <c r="C51" s="31" t="s">
        <v>157</v>
      </c>
      <c r="D51" s="32" t="s">
        <v>150</v>
      </c>
      <c r="E51" s="8">
        <f>108</f>
        <v>108</v>
      </c>
      <c r="F51" s="34"/>
      <c r="G51" s="33"/>
      <c r="H51" s="8"/>
      <c r="I51" s="8"/>
      <c r="J51" s="34">
        <f>SUM(V43:V50)</f>
        <v>0.94</v>
      </c>
      <c r="K51" s="34"/>
    </row>
    <row r="52" spans="1:22" ht="14.15" x14ac:dyDescent="0.35">
      <c r="A52" s="31"/>
      <c r="B52" s="31"/>
      <c r="C52" s="31" t="s">
        <v>152</v>
      </c>
      <c r="D52" s="32" t="s">
        <v>153</v>
      </c>
      <c r="E52" s="8">
        <f>Source!AQ29</f>
        <v>0.7</v>
      </c>
      <c r="F52" s="34"/>
      <c r="G52" s="33" t="str">
        <f>Source!DI29</f>
        <v/>
      </c>
      <c r="H52" s="8">
        <f>Source!AV29</f>
        <v>1</v>
      </c>
      <c r="I52" s="8"/>
      <c r="J52" s="34"/>
      <c r="K52" s="34">
        <f>Source!U29</f>
        <v>60.9</v>
      </c>
    </row>
    <row r="53" spans="1:22" ht="14.15" x14ac:dyDescent="0.35">
      <c r="A53" s="39"/>
      <c r="B53" s="39"/>
      <c r="C53" s="39"/>
      <c r="D53" s="39"/>
      <c r="E53" s="39"/>
      <c r="F53" s="39"/>
      <c r="G53" s="39"/>
      <c r="H53" s="39"/>
      <c r="I53" s="40">
        <f>J44+J45+J47+J49+J50+J51+SUM(J48:J48)</f>
        <v>321863.31</v>
      </c>
      <c r="J53" s="40"/>
      <c r="K53" s="41">
        <f>IF(Source!I29&lt;&gt;0, ROUND(I53/Source!I29, 2), 0)</f>
        <v>3699.58</v>
      </c>
      <c r="P53" s="35">
        <f>I53</f>
        <v>321863.31</v>
      </c>
    </row>
    <row r="55" spans="1:22" ht="14.15" x14ac:dyDescent="0.35">
      <c r="A55" s="46" t="str">
        <f>CONCATENATE("Итого по разделу: ",IF(Source!G32&lt;&gt;"Новый раздел", Source!G32, ""))</f>
        <v>Итого по разделу: ЦО - Q030 - 87 пластин - вес 756 кг.</v>
      </c>
      <c r="B55" s="46"/>
      <c r="C55" s="46"/>
      <c r="D55" s="46"/>
      <c r="E55" s="46"/>
      <c r="F55" s="46"/>
      <c r="G55" s="46"/>
      <c r="H55" s="46"/>
      <c r="I55" s="37">
        <f>SUM(P35:P54)</f>
        <v>333370.59999999998</v>
      </c>
      <c r="J55" s="45"/>
      <c r="K55" s="44"/>
    </row>
    <row r="57" spans="1:22" ht="16.3" x14ac:dyDescent="0.4">
      <c r="A57" s="30" t="str">
        <f>CONCATENATE("Раздел: ",IF(Source!G65&lt;&gt;"Новый раздел", Source!G65, ""))</f>
        <v>Раздел: ГВС I - N35 - 23 пластинs - вес 446 кг.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1:22" ht="42.45" x14ac:dyDescent="0.35">
      <c r="A58" s="31">
        <v>3</v>
      </c>
      <c r="B58" s="31" t="str">
        <f>Source!F69</f>
        <v>1.17-3101-8-3/1</v>
      </c>
      <c r="C58" s="31" t="str">
        <f>Source!G69</f>
        <v>Ремонт разборных пластинчатых теплообменников - тип М15, замена дефектной пластины</v>
      </c>
      <c r="D58" s="32" t="str">
        <f>Source!H69</f>
        <v>шт.</v>
      </c>
      <c r="E58" s="8">
        <f>Source!I69</f>
        <v>1</v>
      </c>
      <c r="F58" s="34"/>
      <c r="G58" s="33"/>
      <c r="H58" s="8"/>
      <c r="I58" s="8"/>
      <c r="J58" s="34"/>
      <c r="K58" s="34"/>
      <c r="Q58">
        <f>ROUND((Source!BZ69/100)*ROUND((Source!AF69*Source!AV69)*Source!I69, 2), 2)</f>
        <v>1180.06</v>
      </c>
      <c r="R58">
        <f>Source!X69</f>
        <v>1180.06</v>
      </c>
      <c r="S58">
        <f>ROUND((Source!CA69/100)*ROUND((Source!AF69*Source!AV69)*Source!I69, 2), 2)</f>
        <v>168.58</v>
      </c>
      <c r="T58">
        <f>Source!Y69</f>
        <v>168.58</v>
      </c>
      <c r="U58">
        <f>ROUND((175/100)*ROUND((Source!AE69*Source!AV69)*Source!I69, 2), 2)</f>
        <v>0</v>
      </c>
      <c r="V58">
        <f>ROUND((108/100)*ROUND(Source!CS69*Source!I69, 2), 2)</f>
        <v>0</v>
      </c>
    </row>
    <row r="59" spans="1:22" ht="14.15" x14ac:dyDescent="0.35">
      <c r="A59" s="31"/>
      <c r="B59" s="31"/>
      <c r="C59" s="31" t="s">
        <v>147</v>
      </c>
      <c r="D59" s="32"/>
      <c r="E59" s="8"/>
      <c r="F59" s="34">
        <f>Source!AO69</f>
        <v>1685.8</v>
      </c>
      <c r="G59" s="33" t="str">
        <f>Source!DG69</f>
        <v/>
      </c>
      <c r="H59" s="8">
        <f>Source!AV69</f>
        <v>1</v>
      </c>
      <c r="I59" s="8">
        <f>IF(Source!BA69&lt;&gt; 0, Source!BA69, 1)</f>
        <v>1</v>
      </c>
      <c r="J59" s="34">
        <f>Source!S69</f>
        <v>1685.8</v>
      </c>
      <c r="K59" s="34"/>
    </row>
    <row r="60" spans="1:22" ht="14.15" x14ac:dyDescent="0.35">
      <c r="A60" s="31"/>
      <c r="B60" s="31"/>
      <c r="C60" s="31" t="s">
        <v>148</v>
      </c>
      <c r="D60" s="32"/>
      <c r="E60" s="8"/>
      <c r="F60" s="34">
        <f>Source!AL69</f>
        <v>8472.85</v>
      </c>
      <c r="G60" s="33" t="str">
        <f>Source!DD69</f>
        <v/>
      </c>
      <c r="H60" s="8">
        <f>Source!AW69</f>
        <v>1</v>
      </c>
      <c r="I60" s="8">
        <f>IF(Source!BC69&lt;&gt; 0, Source!BC69, 1)</f>
        <v>1</v>
      </c>
      <c r="J60" s="34">
        <f>Source!P69</f>
        <v>8472.85</v>
      </c>
      <c r="K60" s="34"/>
    </row>
    <row r="61" spans="1:22" ht="14.15" x14ac:dyDescent="0.35">
      <c r="A61" s="31"/>
      <c r="B61" s="31"/>
      <c r="C61" s="31" t="s">
        <v>149</v>
      </c>
      <c r="D61" s="32" t="s">
        <v>150</v>
      </c>
      <c r="E61" s="8">
        <f>Source!AT69</f>
        <v>70</v>
      </c>
      <c r="F61" s="34"/>
      <c r="G61" s="33"/>
      <c r="H61" s="8"/>
      <c r="I61" s="8"/>
      <c r="J61" s="34">
        <f>SUM(R58:R60)</f>
        <v>1180.06</v>
      </c>
      <c r="K61" s="34"/>
    </row>
    <row r="62" spans="1:22" ht="14.15" x14ac:dyDescent="0.35">
      <c r="A62" s="31"/>
      <c r="B62" s="31"/>
      <c r="C62" s="31" t="s">
        <v>151</v>
      </c>
      <c r="D62" s="32" t="s">
        <v>150</v>
      </c>
      <c r="E62" s="8">
        <f>Source!AU69</f>
        <v>10</v>
      </c>
      <c r="F62" s="34"/>
      <c r="G62" s="33"/>
      <c r="H62" s="8"/>
      <c r="I62" s="8"/>
      <c r="J62" s="34">
        <f>SUM(T58:T61)</f>
        <v>168.58</v>
      </c>
      <c r="K62" s="34"/>
    </row>
    <row r="63" spans="1:22" ht="14.15" x14ac:dyDescent="0.35">
      <c r="A63" s="31"/>
      <c r="B63" s="31"/>
      <c r="C63" s="31" t="s">
        <v>152</v>
      </c>
      <c r="D63" s="32" t="s">
        <v>153</v>
      </c>
      <c r="E63" s="8">
        <f>Source!AQ69</f>
        <v>2.64</v>
      </c>
      <c r="F63" s="34"/>
      <c r="G63" s="33" t="str">
        <f>Source!DI69</f>
        <v/>
      </c>
      <c r="H63" s="8">
        <f>Source!AV69</f>
        <v>1</v>
      </c>
      <c r="I63" s="8"/>
      <c r="J63" s="34"/>
      <c r="K63" s="34">
        <f>Source!U69</f>
        <v>2.64</v>
      </c>
    </row>
    <row r="64" spans="1:22" ht="14.15" x14ac:dyDescent="0.35">
      <c r="A64" s="39"/>
      <c r="B64" s="39"/>
      <c r="C64" s="39"/>
      <c r="D64" s="39"/>
      <c r="E64" s="39"/>
      <c r="F64" s="39"/>
      <c r="G64" s="39"/>
      <c r="H64" s="39"/>
      <c r="I64" s="40">
        <f>J59+J60+J61+J62</f>
        <v>11507.289999999999</v>
      </c>
      <c r="J64" s="40"/>
      <c r="K64" s="41">
        <f>IF(Source!I69&lt;&gt;0, ROUND(I64/Source!I69, 2), 0)</f>
        <v>11507.29</v>
      </c>
      <c r="P64" s="35">
        <f>I64</f>
        <v>11507.289999999999</v>
      </c>
    </row>
    <row r="65" spans="1:22" ht="56.6" x14ac:dyDescent="0.35">
      <c r="A65" s="31">
        <v>4</v>
      </c>
      <c r="B65" s="31" t="str">
        <f>Source!F70</f>
        <v>1.17-3101-8-6/1</v>
      </c>
      <c r="C65" s="31" t="str">
        <f>Source!G70</f>
        <v>Ремонт разборных пластинчатых теплообменников - тип М15, добавлять на снятие и установку каждой пластины до дефектной к 1.17-3101-8-3/1</v>
      </c>
      <c r="D65" s="32" t="str">
        <f>Source!H70</f>
        <v>шт.</v>
      </c>
      <c r="E65" s="8">
        <f>Source!I70</f>
        <v>23</v>
      </c>
      <c r="F65" s="34"/>
      <c r="G65" s="33"/>
      <c r="H65" s="8"/>
      <c r="I65" s="8"/>
      <c r="J65" s="34"/>
      <c r="K65" s="34"/>
      <c r="Q65">
        <f>ROUND((Source!BZ70/100)*ROUND((Source!AF70*Source!AV70)*Source!I70, 2), 2)</f>
        <v>7196.54</v>
      </c>
      <c r="R65">
        <f>Source!X70</f>
        <v>7196.54</v>
      </c>
      <c r="S65">
        <f>ROUND((Source!CA70/100)*ROUND((Source!AF70*Source!AV70)*Source!I70, 2), 2)</f>
        <v>1028.08</v>
      </c>
      <c r="T65">
        <f>Source!Y70</f>
        <v>1028.08</v>
      </c>
      <c r="U65">
        <f>ROUND((175/100)*ROUND((Source!AE70*Source!AV70)*Source!I70, 2), 2)</f>
        <v>0.4</v>
      </c>
      <c r="V65">
        <f>ROUND((108/100)*ROUND(Source!CS70*Source!I70, 2), 2)</f>
        <v>0.25</v>
      </c>
    </row>
    <row r="66" spans="1:22" ht="14.15" x14ac:dyDescent="0.35">
      <c r="A66" s="31"/>
      <c r="B66" s="31"/>
      <c r="C66" s="31" t="s">
        <v>147</v>
      </c>
      <c r="D66" s="32"/>
      <c r="E66" s="8"/>
      <c r="F66" s="34">
        <f>Source!AO70</f>
        <v>446.99</v>
      </c>
      <c r="G66" s="33" t="str">
        <f>Source!DG70</f>
        <v/>
      </c>
      <c r="H66" s="8">
        <f>Source!AV70</f>
        <v>1</v>
      </c>
      <c r="I66" s="8">
        <f>IF(Source!BA70&lt;&gt; 0, Source!BA70, 1)</f>
        <v>1</v>
      </c>
      <c r="J66" s="34">
        <f>Source!S70</f>
        <v>10280.77</v>
      </c>
      <c r="K66" s="34"/>
    </row>
    <row r="67" spans="1:22" ht="14.15" x14ac:dyDescent="0.35">
      <c r="A67" s="31"/>
      <c r="B67" s="31"/>
      <c r="C67" s="31" t="s">
        <v>154</v>
      </c>
      <c r="D67" s="32"/>
      <c r="E67" s="8"/>
      <c r="F67" s="34">
        <f>Source!AM70</f>
        <v>1.1100000000000001</v>
      </c>
      <c r="G67" s="33" t="str">
        <f>Source!DE70</f>
        <v/>
      </c>
      <c r="H67" s="8">
        <f>Source!AV70</f>
        <v>1</v>
      </c>
      <c r="I67" s="8">
        <f>IF(Source!BB70&lt;&gt; 0, Source!BB70, 1)</f>
        <v>1</v>
      </c>
      <c r="J67" s="34">
        <f>Source!Q70</f>
        <v>25.53</v>
      </c>
      <c r="K67" s="34"/>
    </row>
    <row r="68" spans="1:22" ht="14.15" x14ac:dyDescent="0.35">
      <c r="A68" s="31"/>
      <c r="B68" s="31"/>
      <c r="C68" s="31" t="s">
        <v>155</v>
      </c>
      <c r="D68" s="32"/>
      <c r="E68" s="8"/>
      <c r="F68" s="34">
        <f>Source!AN70</f>
        <v>0.01</v>
      </c>
      <c r="G68" s="33" t="str">
        <f>Source!DF70</f>
        <v/>
      </c>
      <c r="H68" s="8">
        <f>Source!AV70</f>
        <v>1</v>
      </c>
      <c r="I68" s="8">
        <f>IF(Source!BS70&lt;&gt; 0, Source!BS70, 1)</f>
        <v>1</v>
      </c>
      <c r="J68" s="42">
        <f>Source!R70</f>
        <v>0.23</v>
      </c>
      <c r="K68" s="34"/>
    </row>
    <row r="69" spans="1:22" ht="14.15" x14ac:dyDescent="0.35">
      <c r="A69" s="31"/>
      <c r="B69" s="31"/>
      <c r="C69" s="31" t="s">
        <v>148</v>
      </c>
      <c r="D69" s="32"/>
      <c r="E69" s="8"/>
      <c r="F69" s="34">
        <f>Source!AL70</f>
        <v>1525.87</v>
      </c>
      <c r="G69" s="33" t="str">
        <f>Source!DD70</f>
        <v/>
      </c>
      <c r="H69" s="8">
        <f>Source!AW70</f>
        <v>1</v>
      </c>
      <c r="I69" s="8">
        <f>IF(Source!BC70&lt;&gt; 0, Source!BC70, 1)</f>
        <v>1</v>
      </c>
      <c r="J69" s="34">
        <f>Source!P70</f>
        <v>35095.01</v>
      </c>
      <c r="K69" s="34"/>
    </row>
    <row r="70" spans="1:22" ht="42.45" x14ac:dyDescent="0.35">
      <c r="A70" s="31" t="s">
        <v>95</v>
      </c>
      <c r="B70" s="31" t="str">
        <f>Source!F71</f>
        <v>Цена поставщика</v>
      </c>
      <c r="C70" s="31" t="s">
        <v>158</v>
      </c>
      <c r="D70" s="32" t="str">
        <f>Source!H71</f>
        <v>шт.</v>
      </c>
      <c r="E70" s="8">
        <f>Source!I71</f>
        <v>24</v>
      </c>
      <c r="F70" s="34">
        <f>Source!AK71</f>
        <v>647.54</v>
      </c>
      <c r="G70" s="43" t="s">
        <v>3</v>
      </c>
      <c r="H70" s="8">
        <f>Source!AW71</f>
        <v>1</v>
      </c>
      <c r="I70" s="8">
        <f>IF(Source!BC71&lt;&gt; 0, Source!BC71, 1)</f>
        <v>1</v>
      </c>
      <c r="J70" s="34">
        <f>Source!O71</f>
        <v>15540.96</v>
      </c>
      <c r="K70" s="34"/>
      <c r="Q70">
        <f>ROUND((Source!BZ71/100)*ROUND((Source!AF71*Source!AV71)*Source!I71, 2), 2)</f>
        <v>0</v>
      </c>
      <c r="R70">
        <f>Source!X71</f>
        <v>0</v>
      </c>
      <c r="S70">
        <f>ROUND((Source!CA71/100)*ROUND((Source!AF71*Source!AV71)*Source!I71, 2), 2)</f>
        <v>0</v>
      </c>
      <c r="T70">
        <f>Source!Y71</f>
        <v>0</v>
      </c>
      <c r="U70">
        <f>ROUND((175/100)*ROUND((Source!AE71*Source!AV71)*Source!I71, 2), 2)</f>
        <v>0</v>
      </c>
      <c r="V70">
        <f>ROUND((108/100)*ROUND(Source!CS71*Source!I71, 2), 2)</f>
        <v>0</v>
      </c>
    </row>
    <row r="71" spans="1:22" ht="14.15" x14ac:dyDescent="0.35">
      <c r="A71" s="31"/>
      <c r="B71" s="31"/>
      <c r="C71" s="31" t="s">
        <v>149</v>
      </c>
      <c r="D71" s="32" t="s">
        <v>150</v>
      </c>
      <c r="E71" s="8">
        <f>Source!AT70</f>
        <v>70</v>
      </c>
      <c r="F71" s="34"/>
      <c r="G71" s="33"/>
      <c r="H71" s="8"/>
      <c r="I71" s="8"/>
      <c r="J71" s="34">
        <f>SUM(R65:R70)</f>
        <v>7196.54</v>
      </c>
      <c r="K71" s="34"/>
    </row>
    <row r="72" spans="1:22" ht="14.15" x14ac:dyDescent="0.35">
      <c r="A72" s="31"/>
      <c r="B72" s="31"/>
      <c r="C72" s="31" t="s">
        <v>151</v>
      </c>
      <c r="D72" s="32" t="s">
        <v>150</v>
      </c>
      <c r="E72" s="8">
        <f>Source!AU70</f>
        <v>10</v>
      </c>
      <c r="F72" s="34"/>
      <c r="G72" s="33"/>
      <c r="H72" s="8"/>
      <c r="I72" s="8"/>
      <c r="J72" s="34">
        <f>SUM(T65:T71)</f>
        <v>1028.08</v>
      </c>
      <c r="K72" s="34"/>
    </row>
    <row r="73" spans="1:22" ht="14.15" x14ac:dyDescent="0.35">
      <c r="A73" s="31"/>
      <c r="B73" s="31"/>
      <c r="C73" s="31" t="s">
        <v>157</v>
      </c>
      <c r="D73" s="32" t="s">
        <v>150</v>
      </c>
      <c r="E73" s="8">
        <f>108</f>
        <v>108</v>
      </c>
      <c r="F73" s="34"/>
      <c r="G73" s="33"/>
      <c r="H73" s="8"/>
      <c r="I73" s="8"/>
      <c r="J73" s="34">
        <f>SUM(V65:V72)</f>
        <v>0.25</v>
      </c>
      <c r="K73" s="34"/>
    </row>
    <row r="74" spans="1:22" ht="14.15" x14ac:dyDescent="0.35">
      <c r="A74" s="31"/>
      <c r="B74" s="31"/>
      <c r="C74" s="31" t="s">
        <v>152</v>
      </c>
      <c r="D74" s="32" t="s">
        <v>153</v>
      </c>
      <c r="E74" s="8">
        <f>Source!AQ70</f>
        <v>0.7</v>
      </c>
      <c r="F74" s="34"/>
      <c r="G74" s="33" t="str">
        <f>Source!DI70</f>
        <v/>
      </c>
      <c r="H74" s="8">
        <f>Source!AV70</f>
        <v>1</v>
      </c>
      <c r="I74" s="8"/>
      <c r="J74" s="34"/>
      <c r="K74" s="34">
        <f>Source!U70</f>
        <v>16.099999999999998</v>
      </c>
    </row>
    <row r="75" spans="1:22" ht="14.15" x14ac:dyDescent="0.35">
      <c r="A75" s="39"/>
      <c r="B75" s="39"/>
      <c r="C75" s="39"/>
      <c r="D75" s="39"/>
      <c r="E75" s="39"/>
      <c r="F75" s="39"/>
      <c r="G75" s="39"/>
      <c r="H75" s="39"/>
      <c r="I75" s="40">
        <f>J66+J67+J69+J71+J72+J73+SUM(J70:J70)</f>
        <v>69167.140000000014</v>
      </c>
      <c r="J75" s="40"/>
      <c r="K75" s="41">
        <f>IF(Source!I70&lt;&gt;0, ROUND(I75/Source!I70, 2), 0)</f>
        <v>3007.27</v>
      </c>
      <c r="P75" s="35">
        <f>I75</f>
        <v>69167.140000000014</v>
      </c>
    </row>
    <row r="77" spans="1:22" ht="14.15" x14ac:dyDescent="0.35">
      <c r="A77" s="46" t="str">
        <f>CONCATENATE("Итого по разделу: ",IF(Source!G73&lt;&gt;"Новый раздел", Source!G73, ""))</f>
        <v>Итого по разделу: ГВС I - N35 - 23 пластинs - вес 446 кг.</v>
      </c>
      <c r="B77" s="46"/>
      <c r="C77" s="46"/>
      <c r="D77" s="46"/>
      <c r="E77" s="46"/>
      <c r="F77" s="46"/>
      <c r="G77" s="46"/>
      <c r="H77" s="46"/>
      <c r="I77" s="37">
        <f>SUM(P57:P76)</f>
        <v>80674.430000000008</v>
      </c>
      <c r="J77" s="45"/>
      <c r="K77" s="44"/>
    </row>
    <row r="79" spans="1:22" ht="16.3" x14ac:dyDescent="0.4">
      <c r="A79" s="30" t="str">
        <f>CONCATENATE("Раздел: ",IF(Source!G106&lt;&gt;"Новый раздел", Source!G106, ""))</f>
        <v>Раздел: ГВС II - H17 - 37 пластин - вес 346 кг.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</row>
    <row r="80" spans="1:22" ht="42.45" x14ac:dyDescent="0.35">
      <c r="A80" s="31">
        <v>5</v>
      </c>
      <c r="B80" s="31" t="str">
        <f>Source!F110</f>
        <v>1.17-3101-8-3/1</v>
      </c>
      <c r="C80" s="31" t="str">
        <f>Source!G110</f>
        <v>Ремонт разборных пластинчатых теплообменников - тип М15, замена дефектной пластины</v>
      </c>
      <c r="D80" s="32" t="str">
        <f>Source!H110</f>
        <v>шт.</v>
      </c>
      <c r="E80" s="8">
        <f>Source!I110</f>
        <v>1</v>
      </c>
      <c r="F80" s="34"/>
      <c r="G80" s="33"/>
      <c r="H80" s="8"/>
      <c r="I80" s="8"/>
      <c r="J80" s="34"/>
      <c r="K80" s="34"/>
      <c r="Q80">
        <f>ROUND((Source!BZ110/100)*ROUND((Source!AF110*Source!AV110)*Source!I110, 2), 2)</f>
        <v>1180.06</v>
      </c>
      <c r="R80">
        <f>Source!X110</f>
        <v>1180.06</v>
      </c>
      <c r="S80">
        <f>ROUND((Source!CA110/100)*ROUND((Source!AF110*Source!AV110)*Source!I110, 2), 2)</f>
        <v>168.58</v>
      </c>
      <c r="T80">
        <f>Source!Y110</f>
        <v>168.58</v>
      </c>
      <c r="U80">
        <f>ROUND((175/100)*ROUND((Source!AE110*Source!AV110)*Source!I110, 2), 2)</f>
        <v>0</v>
      </c>
      <c r="V80">
        <f>ROUND((108/100)*ROUND(Source!CS110*Source!I110, 2), 2)</f>
        <v>0</v>
      </c>
    </row>
    <row r="81" spans="1:22" ht="14.15" x14ac:dyDescent="0.35">
      <c r="A81" s="31"/>
      <c r="B81" s="31"/>
      <c r="C81" s="31" t="s">
        <v>147</v>
      </c>
      <c r="D81" s="32"/>
      <c r="E81" s="8"/>
      <c r="F81" s="34">
        <f>Source!AO110</f>
        <v>1685.8</v>
      </c>
      <c r="G81" s="33" t="str">
        <f>Source!DG110</f>
        <v/>
      </c>
      <c r="H81" s="8">
        <f>Source!AV110</f>
        <v>1</v>
      </c>
      <c r="I81" s="8">
        <f>IF(Source!BA110&lt;&gt; 0, Source!BA110, 1)</f>
        <v>1</v>
      </c>
      <c r="J81" s="34">
        <f>Source!S110</f>
        <v>1685.8</v>
      </c>
      <c r="K81" s="34"/>
    </row>
    <row r="82" spans="1:22" ht="14.15" x14ac:dyDescent="0.35">
      <c r="A82" s="31"/>
      <c r="B82" s="31"/>
      <c r="C82" s="31" t="s">
        <v>148</v>
      </c>
      <c r="D82" s="32"/>
      <c r="E82" s="8"/>
      <c r="F82" s="34">
        <f>Source!AL110</f>
        <v>8472.85</v>
      </c>
      <c r="G82" s="33" t="str">
        <f>Source!DD110</f>
        <v/>
      </c>
      <c r="H82" s="8">
        <f>Source!AW110</f>
        <v>1</v>
      </c>
      <c r="I82" s="8">
        <f>IF(Source!BC110&lt;&gt; 0, Source!BC110, 1)</f>
        <v>1</v>
      </c>
      <c r="J82" s="34">
        <f>Source!P110</f>
        <v>8472.85</v>
      </c>
      <c r="K82" s="34"/>
    </row>
    <row r="83" spans="1:22" ht="14.15" x14ac:dyDescent="0.35">
      <c r="A83" s="31"/>
      <c r="B83" s="31"/>
      <c r="C83" s="31" t="s">
        <v>149</v>
      </c>
      <c r="D83" s="32" t="s">
        <v>150</v>
      </c>
      <c r="E83" s="8">
        <f>Source!AT110</f>
        <v>70</v>
      </c>
      <c r="F83" s="34"/>
      <c r="G83" s="33"/>
      <c r="H83" s="8"/>
      <c r="I83" s="8"/>
      <c r="J83" s="34">
        <f>SUM(R80:R82)</f>
        <v>1180.06</v>
      </c>
      <c r="K83" s="34"/>
    </row>
    <row r="84" spans="1:22" ht="14.15" x14ac:dyDescent="0.35">
      <c r="A84" s="31"/>
      <c r="B84" s="31"/>
      <c r="C84" s="31" t="s">
        <v>151</v>
      </c>
      <c r="D84" s="32" t="s">
        <v>150</v>
      </c>
      <c r="E84" s="8">
        <f>Source!AU110</f>
        <v>10</v>
      </c>
      <c r="F84" s="34"/>
      <c r="G84" s="33"/>
      <c r="H84" s="8"/>
      <c r="I84" s="8"/>
      <c r="J84" s="34">
        <f>SUM(T80:T83)</f>
        <v>168.58</v>
      </c>
      <c r="K84" s="34"/>
    </row>
    <row r="85" spans="1:22" ht="14.15" x14ac:dyDescent="0.35">
      <c r="A85" s="31"/>
      <c r="B85" s="31"/>
      <c r="C85" s="31" t="s">
        <v>152</v>
      </c>
      <c r="D85" s="32" t="s">
        <v>153</v>
      </c>
      <c r="E85" s="8">
        <f>Source!AQ110</f>
        <v>2.64</v>
      </c>
      <c r="F85" s="34"/>
      <c r="G85" s="33" t="str">
        <f>Source!DI110</f>
        <v/>
      </c>
      <c r="H85" s="8">
        <f>Source!AV110</f>
        <v>1</v>
      </c>
      <c r="I85" s="8"/>
      <c r="J85" s="34"/>
      <c r="K85" s="34">
        <f>Source!U110</f>
        <v>2.64</v>
      </c>
    </row>
    <row r="86" spans="1:22" ht="14.15" x14ac:dyDescent="0.35">
      <c r="A86" s="39"/>
      <c r="B86" s="39"/>
      <c r="C86" s="39"/>
      <c r="D86" s="39"/>
      <c r="E86" s="39"/>
      <c r="F86" s="39"/>
      <c r="G86" s="39"/>
      <c r="H86" s="39"/>
      <c r="I86" s="40">
        <f>J81+J82+J83+J84</f>
        <v>11507.289999999999</v>
      </c>
      <c r="J86" s="40"/>
      <c r="K86" s="41">
        <f>IF(Source!I110&lt;&gt;0, ROUND(I86/Source!I110, 2), 0)</f>
        <v>11507.29</v>
      </c>
      <c r="P86" s="35">
        <f>I86</f>
        <v>11507.289999999999</v>
      </c>
    </row>
    <row r="87" spans="1:22" ht="56.6" x14ac:dyDescent="0.35">
      <c r="A87" s="31">
        <v>6</v>
      </c>
      <c r="B87" s="31" t="str">
        <f>Source!F111</f>
        <v>1.17-3101-8-6/1</v>
      </c>
      <c r="C87" s="31" t="str">
        <f>Source!G111</f>
        <v>Ремонт разборных пластинчатых теплообменников - тип М15, добавлять на снятие и установку каждой пластины до дефектной к 1.17-3101-8-3/1</v>
      </c>
      <c r="D87" s="32" t="str">
        <f>Source!H111</f>
        <v>шт.</v>
      </c>
      <c r="E87" s="8">
        <f>Source!I111</f>
        <v>37</v>
      </c>
      <c r="F87" s="34"/>
      <c r="G87" s="33"/>
      <c r="H87" s="8"/>
      <c r="I87" s="8"/>
      <c r="J87" s="34"/>
      <c r="K87" s="34"/>
      <c r="Q87">
        <f>ROUND((Source!BZ111/100)*ROUND((Source!AF111*Source!AV111)*Source!I111, 2), 2)</f>
        <v>11577.04</v>
      </c>
      <c r="R87">
        <f>Source!X111</f>
        <v>11577.04</v>
      </c>
      <c r="S87">
        <f>ROUND((Source!CA111/100)*ROUND((Source!AF111*Source!AV111)*Source!I111, 2), 2)</f>
        <v>1653.86</v>
      </c>
      <c r="T87">
        <f>Source!Y111</f>
        <v>1653.86</v>
      </c>
      <c r="U87">
        <f>ROUND((175/100)*ROUND((Source!AE111*Source!AV111)*Source!I111, 2), 2)</f>
        <v>0.65</v>
      </c>
      <c r="V87">
        <f>ROUND((108/100)*ROUND(Source!CS111*Source!I111, 2), 2)</f>
        <v>0.4</v>
      </c>
    </row>
    <row r="88" spans="1:22" ht="14.15" x14ac:dyDescent="0.35">
      <c r="A88" s="31"/>
      <c r="B88" s="31"/>
      <c r="C88" s="31" t="s">
        <v>147</v>
      </c>
      <c r="D88" s="32"/>
      <c r="E88" s="8"/>
      <c r="F88" s="34">
        <f>Source!AO111</f>
        <v>446.99</v>
      </c>
      <c r="G88" s="33" t="str">
        <f>Source!DG111</f>
        <v/>
      </c>
      <c r="H88" s="8">
        <f>Source!AV111</f>
        <v>1</v>
      </c>
      <c r="I88" s="8">
        <f>IF(Source!BA111&lt;&gt; 0, Source!BA111, 1)</f>
        <v>1</v>
      </c>
      <c r="J88" s="34">
        <f>Source!S111</f>
        <v>16538.63</v>
      </c>
      <c r="K88" s="34"/>
    </row>
    <row r="89" spans="1:22" ht="14.15" x14ac:dyDescent="0.35">
      <c r="A89" s="31"/>
      <c r="B89" s="31"/>
      <c r="C89" s="31" t="s">
        <v>154</v>
      </c>
      <c r="D89" s="32"/>
      <c r="E89" s="8"/>
      <c r="F89" s="34">
        <f>Source!AM111</f>
        <v>1.1100000000000001</v>
      </c>
      <c r="G89" s="33" t="str">
        <f>Source!DE111</f>
        <v/>
      </c>
      <c r="H89" s="8">
        <f>Source!AV111</f>
        <v>1</v>
      </c>
      <c r="I89" s="8">
        <f>IF(Source!BB111&lt;&gt; 0, Source!BB111, 1)</f>
        <v>1</v>
      </c>
      <c r="J89" s="34">
        <f>Source!Q111</f>
        <v>41.07</v>
      </c>
      <c r="K89" s="34"/>
    </row>
    <row r="90" spans="1:22" ht="14.15" x14ac:dyDescent="0.35">
      <c r="A90" s="31"/>
      <c r="B90" s="31"/>
      <c r="C90" s="31" t="s">
        <v>155</v>
      </c>
      <c r="D90" s="32"/>
      <c r="E90" s="8"/>
      <c r="F90" s="34">
        <f>Source!AN111</f>
        <v>0.01</v>
      </c>
      <c r="G90" s="33" t="str">
        <f>Source!DF111</f>
        <v/>
      </c>
      <c r="H90" s="8">
        <f>Source!AV111</f>
        <v>1</v>
      </c>
      <c r="I90" s="8">
        <f>IF(Source!BS111&lt;&gt; 0, Source!BS111, 1)</f>
        <v>1</v>
      </c>
      <c r="J90" s="42">
        <f>Source!R111</f>
        <v>0.37</v>
      </c>
      <c r="K90" s="34"/>
    </row>
    <row r="91" spans="1:22" ht="14.15" x14ac:dyDescent="0.35">
      <c r="A91" s="31"/>
      <c r="B91" s="31"/>
      <c r="C91" s="31" t="s">
        <v>148</v>
      </c>
      <c r="D91" s="32"/>
      <c r="E91" s="8"/>
      <c r="F91" s="34">
        <f>Source!AL111</f>
        <v>1525.87</v>
      </c>
      <c r="G91" s="33" t="str">
        <f>Source!DD111</f>
        <v/>
      </c>
      <c r="H91" s="8">
        <f>Source!AW111</f>
        <v>1</v>
      </c>
      <c r="I91" s="8">
        <f>IF(Source!BC111&lt;&gt; 0, Source!BC111, 1)</f>
        <v>1</v>
      </c>
      <c r="J91" s="34">
        <f>Source!P111</f>
        <v>56457.19</v>
      </c>
      <c r="K91" s="34"/>
    </row>
    <row r="92" spans="1:22" ht="42.45" x14ac:dyDescent="0.35">
      <c r="A92" s="31" t="s">
        <v>101</v>
      </c>
      <c r="B92" s="31" t="str">
        <f>Source!F112</f>
        <v>Цена поставщика</v>
      </c>
      <c r="C92" s="31" t="s">
        <v>159</v>
      </c>
      <c r="D92" s="32" t="str">
        <f>Source!H112</f>
        <v>шт.</v>
      </c>
      <c r="E92" s="8">
        <f>Source!I112</f>
        <v>38</v>
      </c>
      <c r="F92" s="34">
        <f>Source!AK112</f>
        <v>590.16</v>
      </c>
      <c r="G92" s="43" t="s">
        <v>3</v>
      </c>
      <c r="H92" s="8">
        <f>Source!AW112</f>
        <v>1</v>
      </c>
      <c r="I92" s="8">
        <f>IF(Source!BC112&lt;&gt; 0, Source!BC112, 1)</f>
        <v>1</v>
      </c>
      <c r="J92" s="34">
        <f>Source!O112</f>
        <v>22426.080000000002</v>
      </c>
      <c r="K92" s="34"/>
      <c r="Q92">
        <f>ROUND((Source!BZ112/100)*ROUND((Source!AF112*Source!AV112)*Source!I112, 2), 2)</f>
        <v>0</v>
      </c>
      <c r="R92">
        <f>Source!X112</f>
        <v>0</v>
      </c>
      <c r="S92">
        <f>ROUND((Source!CA112/100)*ROUND((Source!AF112*Source!AV112)*Source!I112, 2), 2)</f>
        <v>0</v>
      </c>
      <c r="T92">
        <f>Source!Y112</f>
        <v>0</v>
      </c>
      <c r="U92">
        <f>ROUND((175/100)*ROUND((Source!AE112*Source!AV112)*Source!I112, 2), 2)</f>
        <v>0</v>
      </c>
      <c r="V92">
        <f>ROUND((108/100)*ROUND(Source!CS112*Source!I112, 2), 2)</f>
        <v>0</v>
      </c>
    </row>
    <row r="93" spans="1:22" ht="14.15" x14ac:dyDescent="0.35">
      <c r="A93" s="31"/>
      <c r="B93" s="31"/>
      <c r="C93" s="31" t="s">
        <v>149</v>
      </c>
      <c r="D93" s="32" t="s">
        <v>150</v>
      </c>
      <c r="E93" s="8">
        <f>Source!AT111</f>
        <v>70</v>
      </c>
      <c r="F93" s="34"/>
      <c r="G93" s="33"/>
      <c r="H93" s="8"/>
      <c r="I93" s="8"/>
      <c r="J93" s="34">
        <f>SUM(R87:R92)</f>
        <v>11577.04</v>
      </c>
      <c r="K93" s="34"/>
    </row>
    <row r="94" spans="1:22" ht="14.15" x14ac:dyDescent="0.35">
      <c r="A94" s="31"/>
      <c r="B94" s="31"/>
      <c r="C94" s="31" t="s">
        <v>151</v>
      </c>
      <c r="D94" s="32" t="s">
        <v>150</v>
      </c>
      <c r="E94" s="8">
        <f>Source!AU111</f>
        <v>10</v>
      </c>
      <c r="F94" s="34"/>
      <c r="G94" s="33"/>
      <c r="H94" s="8"/>
      <c r="I94" s="8"/>
      <c r="J94" s="34">
        <f>SUM(T87:T93)</f>
        <v>1653.86</v>
      </c>
      <c r="K94" s="34"/>
    </row>
    <row r="95" spans="1:22" ht="14.15" x14ac:dyDescent="0.35">
      <c r="A95" s="31"/>
      <c r="B95" s="31"/>
      <c r="C95" s="31" t="s">
        <v>157</v>
      </c>
      <c r="D95" s="32" t="s">
        <v>150</v>
      </c>
      <c r="E95" s="8">
        <f>108</f>
        <v>108</v>
      </c>
      <c r="F95" s="34"/>
      <c r="G95" s="33"/>
      <c r="H95" s="8"/>
      <c r="I95" s="8"/>
      <c r="J95" s="34">
        <f>SUM(V87:V94)</f>
        <v>0.4</v>
      </c>
      <c r="K95" s="34"/>
    </row>
    <row r="96" spans="1:22" ht="14.15" x14ac:dyDescent="0.35">
      <c r="A96" s="31"/>
      <c r="B96" s="31"/>
      <c r="C96" s="31" t="s">
        <v>152</v>
      </c>
      <c r="D96" s="32" t="s">
        <v>153</v>
      </c>
      <c r="E96" s="8">
        <f>Source!AQ111</f>
        <v>0.7</v>
      </c>
      <c r="F96" s="34"/>
      <c r="G96" s="33" t="str">
        <f>Source!DI111</f>
        <v/>
      </c>
      <c r="H96" s="8">
        <f>Source!AV111</f>
        <v>1</v>
      </c>
      <c r="I96" s="8"/>
      <c r="J96" s="34"/>
      <c r="K96" s="34">
        <f>Source!U111</f>
        <v>25.9</v>
      </c>
    </row>
    <row r="97" spans="1:16" ht="14.15" x14ac:dyDescent="0.35">
      <c r="A97" s="39"/>
      <c r="B97" s="39"/>
      <c r="C97" s="39"/>
      <c r="D97" s="39"/>
      <c r="E97" s="39"/>
      <c r="F97" s="39"/>
      <c r="G97" s="39"/>
      <c r="H97" s="39"/>
      <c r="I97" s="40">
        <f>J88+J89+J91+J93+J94+J95+SUM(J92:J92)</f>
        <v>108694.26999999999</v>
      </c>
      <c r="J97" s="40"/>
      <c r="K97" s="41">
        <f>IF(Source!I111&lt;&gt;0, ROUND(I97/Source!I111, 2), 0)</f>
        <v>2937.68</v>
      </c>
      <c r="P97" s="35">
        <f>I97</f>
        <v>108694.26999999999</v>
      </c>
    </row>
    <row r="99" spans="1:16" ht="14.15" x14ac:dyDescent="0.35">
      <c r="A99" s="46" t="str">
        <f>CONCATENATE("Итого по разделу: ",IF(Source!G114&lt;&gt;"Новый раздел", Source!G114, ""))</f>
        <v>Итого по разделу: ГВС II - H17 - 37 пластин - вес 346 кг.</v>
      </c>
      <c r="B99" s="46"/>
      <c r="C99" s="46"/>
      <c r="D99" s="46"/>
      <c r="E99" s="46"/>
      <c r="F99" s="46"/>
      <c r="G99" s="46"/>
      <c r="H99" s="46"/>
      <c r="I99" s="37">
        <f>SUM(P79:P98)</f>
        <v>120201.55999999998</v>
      </c>
      <c r="J99" s="45"/>
      <c r="K99" s="44"/>
    </row>
    <row r="102" spans="1:16" ht="14.15" x14ac:dyDescent="0.35">
      <c r="A102" s="46" t="str">
        <f>CONCATENATE("Итого по смете: ",IF(Source!G177&lt;&gt;"Новый объект", Source!G177, ""))</f>
        <v>Итого по смете: ИФП РАН - Ремонт теплообменников</v>
      </c>
      <c r="B102" s="46"/>
      <c r="C102" s="46"/>
      <c r="D102" s="46"/>
      <c r="E102" s="46"/>
      <c r="F102" s="46"/>
      <c r="G102" s="46"/>
      <c r="H102" s="46"/>
      <c r="I102" s="37">
        <f>SUM(P1:P101)</f>
        <v>534246.59</v>
      </c>
      <c r="J102" s="45"/>
      <c r="K102" s="44"/>
    </row>
    <row r="103" spans="1:16" ht="14.15" x14ac:dyDescent="0.35">
      <c r="C103" s="15" t="str">
        <f>Source!H206</f>
        <v>Итого</v>
      </c>
      <c r="D103" s="15"/>
      <c r="E103" s="15"/>
      <c r="F103" s="15"/>
      <c r="G103" s="15"/>
      <c r="H103" s="15"/>
      <c r="I103" s="36">
        <f>IF(Source!F206=0, "", Source!F206)</f>
        <v>534246.59</v>
      </c>
      <c r="J103" s="36"/>
    </row>
    <row r="106" spans="1:16" ht="14.15" x14ac:dyDescent="0.35">
      <c r="A106" s="47" t="s">
        <v>160</v>
      </c>
      <c r="B106" s="47"/>
      <c r="C106" s="48" t="str">
        <f>IF(Source!AC12&lt;&gt;"", Source!AC12," ")</f>
        <v xml:space="preserve"> </v>
      </c>
      <c r="D106" s="48"/>
      <c r="E106" s="48"/>
      <c r="F106" s="48"/>
      <c r="G106" s="48"/>
      <c r="H106" s="9" t="str">
        <f>IF(Source!AB12&lt;&gt;"", Source!AB12," ")</f>
        <v xml:space="preserve"> </v>
      </c>
      <c r="I106" s="9"/>
      <c r="J106" s="9"/>
      <c r="K106" s="9"/>
    </row>
    <row r="107" spans="1:16" ht="14.15" x14ac:dyDescent="0.35">
      <c r="A107" s="9"/>
      <c r="B107" s="9"/>
      <c r="C107" s="18" t="s">
        <v>161</v>
      </c>
      <c r="D107" s="18"/>
      <c r="E107" s="18"/>
      <c r="F107" s="18"/>
      <c r="G107" s="18"/>
      <c r="H107" s="9"/>
      <c r="I107" s="9"/>
      <c r="J107" s="9"/>
      <c r="K107" s="9"/>
    </row>
    <row r="108" spans="1:16" ht="14.15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1:16" ht="14.15" x14ac:dyDescent="0.35">
      <c r="A109" s="47" t="s">
        <v>162</v>
      </c>
      <c r="B109" s="47"/>
      <c r="C109" s="48" t="str">
        <f>IF(Source!AE12&lt;&gt;"", Source!AE12," ")</f>
        <v xml:space="preserve"> </v>
      </c>
      <c r="D109" s="48"/>
      <c r="E109" s="48"/>
      <c r="F109" s="48"/>
      <c r="G109" s="48"/>
      <c r="H109" s="9" t="str">
        <f>IF(Source!AD12&lt;&gt;"", Source!AD12," ")</f>
        <v xml:space="preserve"> </v>
      </c>
      <c r="I109" s="9"/>
      <c r="J109" s="9"/>
      <c r="K109" s="9"/>
    </row>
    <row r="110" spans="1:16" ht="14.15" x14ac:dyDescent="0.35">
      <c r="A110" s="9"/>
      <c r="B110" s="9"/>
      <c r="C110" s="18" t="s">
        <v>161</v>
      </c>
      <c r="D110" s="18"/>
      <c r="E110" s="18"/>
      <c r="F110" s="18"/>
      <c r="G110" s="18"/>
      <c r="H110" s="9"/>
      <c r="I110" s="9"/>
      <c r="J110" s="9"/>
      <c r="K110" s="9"/>
    </row>
  </sheetData>
  <mergeCells count="62">
    <mergeCell ref="A109:B109"/>
    <mergeCell ref="C110:G110"/>
    <mergeCell ref="A106:B106"/>
    <mergeCell ref="C107:G107"/>
    <mergeCell ref="I102:J102"/>
    <mergeCell ref="A102:H102"/>
    <mergeCell ref="C103:H103"/>
    <mergeCell ref="I103:J103"/>
    <mergeCell ref="A79:K79"/>
    <mergeCell ref="I86:J86"/>
    <mergeCell ref="I97:J97"/>
    <mergeCell ref="I99:J99"/>
    <mergeCell ref="A99:H99"/>
    <mergeCell ref="I75:J75"/>
    <mergeCell ref="I77:J77"/>
    <mergeCell ref="A77:H77"/>
    <mergeCell ref="A57:K57"/>
    <mergeCell ref="I64:J64"/>
    <mergeCell ref="I42:J42"/>
    <mergeCell ref="I53:J53"/>
    <mergeCell ref="I55:J55"/>
    <mergeCell ref="A55:H55"/>
    <mergeCell ref="G28:G30"/>
    <mergeCell ref="H28:H30"/>
    <mergeCell ref="I28:I30"/>
    <mergeCell ref="J28:J30"/>
    <mergeCell ref="A33:K33"/>
    <mergeCell ref="A35:K35"/>
    <mergeCell ref="F25:H25"/>
    <mergeCell ref="I25:J25"/>
    <mergeCell ref="F26:H26"/>
    <mergeCell ref="I26:J26"/>
    <mergeCell ref="A28:A30"/>
    <mergeCell ref="B28:B30"/>
    <mergeCell ref="C28:C30"/>
    <mergeCell ref="D28:D30"/>
    <mergeCell ref="E28:E30"/>
    <mergeCell ref="F28:F30"/>
    <mergeCell ref="F22:H22"/>
    <mergeCell ref="I22:J22"/>
    <mergeCell ref="F23:H23"/>
    <mergeCell ref="I23:J23"/>
    <mergeCell ref="F24:H24"/>
    <mergeCell ref="I24:J24"/>
    <mergeCell ref="A14:K14"/>
    <mergeCell ref="A16:K16"/>
    <mergeCell ref="A17:K17"/>
    <mergeCell ref="A19:K19"/>
    <mergeCell ref="F21:H21"/>
    <mergeCell ref="I21:J21"/>
    <mergeCell ref="B7:E7"/>
    <mergeCell ref="G7:K7"/>
    <mergeCell ref="J2:K2"/>
    <mergeCell ref="A10:K10"/>
    <mergeCell ref="A11:K11"/>
    <mergeCell ref="A13:K13"/>
    <mergeCell ref="B3:E3"/>
    <mergeCell ref="G3:K3"/>
    <mergeCell ref="B4:E4"/>
    <mergeCell ref="G4:K4"/>
    <mergeCell ref="B6:E6"/>
    <mergeCell ref="G6:K6"/>
  </mergeCells>
  <pageMargins left="0.4" right="0.2" top="0.2" bottom="0.4" header="0.2" footer="0.2"/>
  <pageSetup paperSize="9" scale="63" fitToHeight="0" orientation="portrait" horizontalDpi="0" verticalDpi="0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D83C-8145-4A45-AB46-D95AD80B6F0D}">
  <sheetPr>
    <pageSetUpPr fitToPage="1"/>
  </sheetPr>
  <dimension ref="A1:E34"/>
  <sheetViews>
    <sheetView zoomScaleNormal="100" workbookViewId="0"/>
  </sheetViews>
  <sheetFormatPr defaultRowHeight="12.45" x14ac:dyDescent="0.3"/>
  <cols>
    <col min="1" max="1" width="6.69140625" customWidth="1"/>
    <col min="2" max="2" width="75.69140625" customWidth="1"/>
    <col min="3" max="5" width="15.69140625" customWidth="1"/>
    <col min="30" max="32" width="0" hidden="1" customWidth="1"/>
  </cols>
  <sheetData>
    <row r="1" spans="1:5" x14ac:dyDescent="0.3">
      <c r="A1" s="7" t="str">
        <f>Source!B1</f>
        <v>Smeta.RU  (495) 974-1589</v>
      </c>
    </row>
    <row r="2" spans="1:5" ht="14.15" x14ac:dyDescent="0.35">
      <c r="C2" s="9"/>
      <c r="D2" s="9"/>
    </row>
    <row r="3" spans="1:5" ht="14.15" x14ac:dyDescent="0.35">
      <c r="C3" s="9"/>
      <c r="D3" s="38" t="s">
        <v>120</v>
      </c>
    </row>
    <row r="4" spans="1:5" ht="14.15" x14ac:dyDescent="0.35">
      <c r="C4" s="38"/>
      <c r="D4" s="38"/>
    </row>
    <row r="5" spans="1:5" ht="14.15" x14ac:dyDescent="0.35">
      <c r="C5" s="45" t="s">
        <v>163</v>
      </c>
      <c r="D5" s="45"/>
    </row>
    <row r="6" spans="1:5" ht="14.15" x14ac:dyDescent="0.35">
      <c r="C6" s="38"/>
      <c r="D6" s="38"/>
    </row>
    <row r="7" spans="1:5" ht="14.15" x14ac:dyDescent="0.35">
      <c r="C7" s="45" t="s">
        <v>163</v>
      </c>
      <c r="D7" s="45"/>
    </row>
    <row r="8" spans="1:5" ht="14.15" x14ac:dyDescent="0.35">
      <c r="C8" s="38"/>
      <c r="D8" s="38"/>
    </row>
    <row r="9" spans="1:5" ht="14.15" x14ac:dyDescent="0.35">
      <c r="C9" s="38" t="s">
        <v>164</v>
      </c>
      <c r="D9" s="9"/>
    </row>
    <row r="10" spans="1:5" ht="14.15" x14ac:dyDescent="0.35">
      <c r="A10" s="9"/>
      <c r="B10" s="9"/>
      <c r="C10" s="9"/>
      <c r="D10" s="9"/>
      <c r="E10" s="9"/>
    </row>
    <row r="11" spans="1:5" ht="15.45" x14ac:dyDescent="0.4">
      <c r="A11" s="49" t="str">
        <f>CONCATENATE("Дефектный акт ", IF(Source!AN15&lt;&gt;"", Source!AN15," "))</f>
        <v xml:space="preserve">Дефектный акт  </v>
      </c>
      <c r="B11" s="49"/>
      <c r="C11" s="49"/>
      <c r="D11" s="49"/>
      <c r="E11" s="9"/>
    </row>
    <row r="12" spans="1:5" ht="14.15" x14ac:dyDescent="0.35">
      <c r="A12" s="50" t="str">
        <f>CONCATENATE("На капитальный ремонт ", Source!G12)</f>
        <v>На капитальный ремонт ИФП РАН - Ремонт теплообменников</v>
      </c>
      <c r="B12" s="50"/>
      <c r="C12" s="50"/>
      <c r="D12" s="50"/>
      <c r="E12" s="9"/>
    </row>
    <row r="13" spans="1:5" ht="14.15" x14ac:dyDescent="0.35">
      <c r="A13" s="9"/>
      <c r="B13" s="9"/>
      <c r="C13" s="9"/>
      <c r="D13" s="9"/>
      <c r="E13" s="9"/>
    </row>
    <row r="14" spans="1:5" ht="14.15" x14ac:dyDescent="0.35">
      <c r="A14" s="9"/>
      <c r="B14" s="51" t="s">
        <v>165</v>
      </c>
      <c r="C14" s="9"/>
      <c r="D14" s="9"/>
      <c r="E14" s="9"/>
    </row>
    <row r="15" spans="1:5" ht="14.15" x14ac:dyDescent="0.35">
      <c r="A15" s="9"/>
      <c r="B15" s="51" t="s">
        <v>166</v>
      </c>
      <c r="C15" s="9"/>
      <c r="D15" s="9"/>
      <c r="E15" s="9"/>
    </row>
    <row r="16" spans="1:5" ht="14.15" x14ac:dyDescent="0.35">
      <c r="A16" s="9"/>
      <c r="B16" s="51" t="s">
        <v>167</v>
      </c>
      <c r="C16" s="9"/>
      <c r="D16" s="9"/>
      <c r="E16" s="9"/>
    </row>
    <row r="17" spans="1:5" ht="28.3" x14ac:dyDescent="0.3">
      <c r="A17" s="29" t="s">
        <v>168</v>
      </c>
      <c r="B17" s="29" t="s">
        <v>135</v>
      </c>
      <c r="C17" s="29" t="s">
        <v>136</v>
      </c>
      <c r="D17" s="29" t="s">
        <v>169</v>
      </c>
      <c r="E17" s="52" t="s">
        <v>170</v>
      </c>
    </row>
    <row r="18" spans="1:5" ht="14.15" x14ac:dyDescent="0.35">
      <c r="A18" s="53">
        <v>1</v>
      </c>
      <c r="B18" s="53">
        <v>2</v>
      </c>
      <c r="C18" s="53">
        <v>3</v>
      </c>
      <c r="D18" s="53">
        <v>4</v>
      </c>
      <c r="E18" s="53">
        <v>5</v>
      </c>
    </row>
    <row r="19" spans="1:5" ht="16.3" x14ac:dyDescent="0.4">
      <c r="A19" s="54" t="str">
        <f>CONCATENATE("Локальная смета: ", Source!G20)</f>
        <v>Локальная смета: Москва, Косыгина 2 стр 1</v>
      </c>
      <c r="B19" s="54"/>
      <c r="C19" s="54"/>
      <c r="D19" s="54"/>
      <c r="E19" s="54"/>
    </row>
    <row r="20" spans="1:5" ht="16.3" x14ac:dyDescent="0.4">
      <c r="A20" s="54" t="str">
        <f>CONCATENATE("Раздел: ", Source!G24)</f>
        <v>Раздел: ЦО - Q030 - 87 пластин - вес 756 кг.</v>
      </c>
      <c r="B20" s="54"/>
      <c r="C20" s="54"/>
      <c r="D20" s="54"/>
      <c r="E20" s="54"/>
    </row>
    <row r="21" spans="1:5" ht="28.3" x14ac:dyDescent="0.35">
      <c r="A21" s="59">
        <v>1</v>
      </c>
      <c r="B21" s="60" t="str">
        <f>Source!G28</f>
        <v>Ремонт разборных пластинчатых теплообменников - тип М15, замена дефектной пластины</v>
      </c>
      <c r="C21" s="61" t="str">
        <f>Source!H28</f>
        <v>шт.</v>
      </c>
      <c r="D21" s="62">
        <f>Source!I28</f>
        <v>1</v>
      </c>
      <c r="E21" s="60"/>
    </row>
    <row r="22" spans="1:5" ht="28.3" x14ac:dyDescent="0.35">
      <c r="A22" s="59">
        <v>2</v>
      </c>
      <c r="B22" s="60" t="str">
        <f>Source!G29</f>
        <v>Ремонт разборных пластинчатых теплообменников - тип М15, добавлять на снятие и установку каждой пластины до дефектной к 1.17-3101-8-3/1</v>
      </c>
      <c r="C22" s="61" t="str">
        <f>Source!H29</f>
        <v>шт.</v>
      </c>
      <c r="D22" s="62">
        <f>Source!I29</f>
        <v>87</v>
      </c>
      <c r="E22" s="60"/>
    </row>
    <row r="23" spans="1:5" ht="14.15" x14ac:dyDescent="0.35">
      <c r="A23" s="59">
        <v>2.1</v>
      </c>
      <c r="B23" s="60" t="str">
        <f>Source!G30</f>
        <v>Уплотнитель Q030</v>
      </c>
      <c r="C23" s="61" t="str">
        <f>Source!H30</f>
        <v>шт.</v>
      </c>
      <c r="D23" s="62">
        <f>Source!I30</f>
        <v>88.000000000000014</v>
      </c>
      <c r="E23" s="60"/>
    </row>
    <row r="24" spans="1:5" ht="16.3" x14ac:dyDescent="0.4">
      <c r="A24" s="54" t="str">
        <f>CONCATENATE("Раздел: ", Source!G65)</f>
        <v>Раздел: ГВС I - N35 - 23 пластинs - вес 446 кг.</v>
      </c>
      <c r="B24" s="54"/>
      <c r="C24" s="54"/>
      <c r="D24" s="54"/>
      <c r="E24" s="54"/>
    </row>
    <row r="25" spans="1:5" ht="28.3" x14ac:dyDescent="0.35">
      <c r="A25" s="59">
        <v>3</v>
      </c>
      <c r="B25" s="60" t="str">
        <f>Source!G69</f>
        <v>Ремонт разборных пластинчатых теплообменников - тип М15, замена дефектной пластины</v>
      </c>
      <c r="C25" s="61" t="str">
        <f>Source!H69</f>
        <v>шт.</v>
      </c>
      <c r="D25" s="62">
        <f>Source!I69</f>
        <v>1</v>
      </c>
      <c r="E25" s="60"/>
    </row>
    <row r="26" spans="1:5" ht="28.3" x14ac:dyDescent="0.35">
      <c r="A26" s="59">
        <v>4</v>
      </c>
      <c r="B26" s="60" t="str">
        <f>Source!G70</f>
        <v>Ремонт разборных пластинчатых теплообменников - тип М15, добавлять на снятие и установку каждой пластины до дефектной к 1.17-3101-8-3/1</v>
      </c>
      <c r="C26" s="61" t="str">
        <f>Source!H70</f>
        <v>шт.</v>
      </c>
      <c r="D26" s="62">
        <f>Source!I70</f>
        <v>23</v>
      </c>
      <c r="E26" s="60"/>
    </row>
    <row r="27" spans="1:5" ht="14.15" x14ac:dyDescent="0.35">
      <c r="A27" s="59">
        <v>4.0999999999999996</v>
      </c>
      <c r="B27" s="60" t="str">
        <f>Source!G71</f>
        <v>Уплотнитель N35</v>
      </c>
      <c r="C27" s="61" t="str">
        <f>Source!H71</f>
        <v>шт.</v>
      </c>
      <c r="D27" s="62">
        <f>Source!I71</f>
        <v>24</v>
      </c>
      <c r="E27" s="60"/>
    </row>
    <row r="28" spans="1:5" ht="16.3" x14ac:dyDescent="0.4">
      <c r="A28" s="54" t="str">
        <f>CONCATENATE("Раздел: ", Source!G106)</f>
        <v>Раздел: ГВС II - H17 - 37 пластин - вес 346 кг.</v>
      </c>
      <c r="B28" s="54"/>
      <c r="C28" s="54"/>
      <c r="D28" s="54"/>
      <c r="E28" s="54"/>
    </row>
    <row r="29" spans="1:5" ht="28.3" x14ac:dyDescent="0.35">
      <c r="A29" s="59">
        <v>5</v>
      </c>
      <c r="B29" s="60" t="str">
        <f>Source!G110</f>
        <v>Ремонт разборных пластинчатых теплообменников - тип М15, замена дефектной пластины</v>
      </c>
      <c r="C29" s="61" t="str">
        <f>Source!H110</f>
        <v>шт.</v>
      </c>
      <c r="D29" s="62">
        <f>Source!I110</f>
        <v>1</v>
      </c>
      <c r="E29" s="60"/>
    </row>
    <row r="30" spans="1:5" ht="28.3" x14ac:dyDescent="0.35">
      <c r="A30" s="59">
        <v>6</v>
      </c>
      <c r="B30" s="60" t="str">
        <f>Source!G111</f>
        <v>Ремонт разборных пластинчатых теплообменников - тип М15, добавлять на снятие и установку каждой пластины до дефектной к 1.17-3101-8-3/1</v>
      </c>
      <c r="C30" s="61" t="str">
        <f>Source!H111</f>
        <v>шт.</v>
      </c>
      <c r="D30" s="62">
        <f>Source!I111</f>
        <v>37</v>
      </c>
      <c r="E30" s="60"/>
    </row>
    <row r="31" spans="1:5" ht="14.15" x14ac:dyDescent="0.35">
      <c r="A31" s="55">
        <v>6.1</v>
      </c>
      <c r="B31" s="56" t="str">
        <f>Source!G112</f>
        <v>Уплотнитель H17</v>
      </c>
      <c r="C31" s="57" t="str">
        <f>Source!H112</f>
        <v>шт.</v>
      </c>
      <c r="D31" s="58">
        <f>Source!I112</f>
        <v>38</v>
      </c>
      <c r="E31" s="56"/>
    </row>
    <row r="34" spans="1:5" ht="14.15" x14ac:dyDescent="0.35">
      <c r="A34" s="44" t="s">
        <v>171</v>
      </c>
      <c r="B34" s="44"/>
      <c r="C34" s="44" t="s">
        <v>172</v>
      </c>
      <c r="D34" s="44"/>
      <c r="E34" s="44"/>
    </row>
  </sheetData>
  <mergeCells count="8">
    <mergeCell ref="A24:E24"/>
    <mergeCell ref="A28:E28"/>
    <mergeCell ref="C5:D5"/>
    <mergeCell ref="C7:D7"/>
    <mergeCell ref="A11:D11"/>
    <mergeCell ref="A12:D12"/>
    <mergeCell ref="A19:E19"/>
    <mergeCell ref="A20:E20"/>
  </mergeCells>
  <pageMargins left="0.4" right="0.2" top="0.2" bottom="0.4" header="0.2" footer="0.2"/>
  <pageSetup paperSize="9" scale="77" fitToHeight="0" orientation="portrait" horizontalDpi="0" verticalDpi="0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D84C-B794-49B2-8D55-8C3B1C7D22CC}">
  <dimension ref="A1:IK217"/>
  <sheetViews>
    <sheetView workbookViewId="0">
      <selection activeCell="A213" sqref="A213:O213"/>
    </sheetView>
  </sheetViews>
  <sheetFormatPr defaultColWidth="9.15234375" defaultRowHeight="12.45" x14ac:dyDescent="0.3"/>
  <cols>
    <col min="1" max="256" width="9.15234375" customWidth="1"/>
  </cols>
  <sheetData>
    <row r="1" spans="1:133" x14ac:dyDescent="0.3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64472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33" x14ac:dyDescent="0.3">
      <c r="A12" s="1">
        <v>1</v>
      </c>
      <c r="B12" s="1">
        <v>213</v>
      </c>
      <c r="C12" s="1">
        <v>0</v>
      </c>
      <c r="D12" s="1">
        <f>ROW(A177)</f>
        <v>177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1</v>
      </c>
      <c r="BU12" s="1">
        <v>0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32776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3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3">
      <c r="A18" s="2">
        <v>52</v>
      </c>
      <c r="B18" s="2">
        <f t="shared" ref="B18:G18" si="0">B177</f>
        <v>213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Новый объект</v>
      </c>
      <c r="G18" s="2" t="str">
        <f t="shared" si="0"/>
        <v>ИФП РАН - Ремонт теплообменников</v>
      </c>
      <c r="H18" s="2"/>
      <c r="I18" s="2"/>
      <c r="J18" s="2"/>
      <c r="K18" s="2"/>
      <c r="L18" s="2"/>
      <c r="M18" s="2"/>
      <c r="N18" s="2"/>
      <c r="O18" s="2">
        <f t="shared" ref="O18:AT18" si="1">O177</f>
        <v>477633.06</v>
      </c>
      <c r="P18" s="2">
        <f t="shared" si="1"/>
        <v>406704.96</v>
      </c>
      <c r="Q18" s="2">
        <f t="shared" si="1"/>
        <v>163.16999999999999</v>
      </c>
      <c r="R18" s="2">
        <f t="shared" si="1"/>
        <v>1.47</v>
      </c>
      <c r="S18" s="2">
        <f t="shared" si="1"/>
        <v>70764.929999999993</v>
      </c>
      <c r="T18" s="2">
        <f t="shared" si="1"/>
        <v>0</v>
      </c>
      <c r="U18" s="2">
        <f t="shared" si="1"/>
        <v>110.82</v>
      </c>
      <c r="V18" s="2">
        <f t="shared" si="1"/>
        <v>0</v>
      </c>
      <c r="W18" s="2">
        <f t="shared" si="1"/>
        <v>0</v>
      </c>
      <c r="X18" s="2">
        <f t="shared" si="1"/>
        <v>49535.45</v>
      </c>
      <c r="Y18" s="2">
        <f t="shared" si="1"/>
        <v>7076.49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534246.59</v>
      </c>
      <c r="AS18" s="2">
        <f t="shared" si="1"/>
        <v>0</v>
      </c>
      <c r="AT18" s="2">
        <f t="shared" si="1"/>
        <v>0</v>
      </c>
      <c r="AU18" s="2">
        <f t="shared" ref="AU18:BZ18" si="2">AU177</f>
        <v>534246.59</v>
      </c>
      <c r="AV18" s="2">
        <f t="shared" si="2"/>
        <v>406704.96</v>
      </c>
      <c r="AW18" s="2">
        <f t="shared" si="2"/>
        <v>406704.96</v>
      </c>
      <c r="AX18" s="2">
        <f t="shared" si="2"/>
        <v>0</v>
      </c>
      <c r="AY18" s="2">
        <f t="shared" si="2"/>
        <v>406704.96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0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CA177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DG177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EM177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FS177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3">
      <c r="A20" s="1">
        <v>3</v>
      </c>
      <c r="B20" s="1">
        <v>1</v>
      </c>
      <c r="C20" s="1"/>
      <c r="D20" s="1">
        <f>ROW(A147)</f>
        <v>147</v>
      </c>
      <c r="E20" s="1"/>
      <c r="F20" s="1" t="s">
        <v>12</v>
      </c>
      <c r="G20" s="1" t="s">
        <v>13</v>
      </c>
      <c r="H20" s="1" t="s">
        <v>3</v>
      </c>
      <c r="I20" s="1">
        <v>0</v>
      </c>
      <c r="J20" s="1" t="s">
        <v>3</v>
      </c>
      <c r="K20" s="1">
        <v>0</v>
      </c>
      <c r="L20" s="1" t="s">
        <v>12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3">
      <c r="A22" s="2">
        <v>52</v>
      </c>
      <c r="B22" s="2">
        <f t="shared" ref="B22:G22" si="7">B147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Новая локальная смета</v>
      </c>
      <c r="G22" s="2" t="str">
        <f t="shared" si="7"/>
        <v>Москва, Косыгина 2 стр 1</v>
      </c>
      <c r="H22" s="2"/>
      <c r="I22" s="2"/>
      <c r="J22" s="2"/>
      <c r="K22" s="2"/>
      <c r="L22" s="2"/>
      <c r="M22" s="2"/>
      <c r="N22" s="2"/>
      <c r="O22" s="2">
        <f t="shared" ref="O22:AT22" si="8">O147</f>
        <v>477633.06</v>
      </c>
      <c r="P22" s="2">
        <f t="shared" si="8"/>
        <v>406704.96</v>
      </c>
      <c r="Q22" s="2">
        <f t="shared" si="8"/>
        <v>163.16999999999999</v>
      </c>
      <c r="R22" s="2">
        <f t="shared" si="8"/>
        <v>1.47</v>
      </c>
      <c r="S22" s="2">
        <f t="shared" si="8"/>
        <v>70764.929999999993</v>
      </c>
      <c r="T22" s="2">
        <f t="shared" si="8"/>
        <v>0</v>
      </c>
      <c r="U22" s="2">
        <f t="shared" si="8"/>
        <v>110.82</v>
      </c>
      <c r="V22" s="2">
        <f t="shared" si="8"/>
        <v>0</v>
      </c>
      <c r="W22" s="2">
        <f t="shared" si="8"/>
        <v>0</v>
      </c>
      <c r="X22" s="2">
        <f t="shared" si="8"/>
        <v>49535.45</v>
      </c>
      <c r="Y22" s="2">
        <f t="shared" si="8"/>
        <v>7076.49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534246.59</v>
      </c>
      <c r="AS22" s="2">
        <f t="shared" si="8"/>
        <v>0</v>
      </c>
      <c r="AT22" s="2">
        <f t="shared" si="8"/>
        <v>0</v>
      </c>
      <c r="AU22" s="2">
        <f t="shared" ref="AU22:BZ22" si="9">AU147</f>
        <v>534246.59</v>
      </c>
      <c r="AV22" s="2">
        <f t="shared" si="9"/>
        <v>406704.96</v>
      </c>
      <c r="AW22" s="2">
        <f t="shared" si="9"/>
        <v>406704.96</v>
      </c>
      <c r="AX22" s="2">
        <f t="shared" si="9"/>
        <v>0</v>
      </c>
      <c r="AY22" s="2">
        <f t="shared" si="9"/>
        <v>406704.96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0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CA147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DG147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EM147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FS147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3">
      <c r="A24" s="1">
        <v>4</v>
      </c>
      <c r="B24" s="1">
        <v>1</v>
      </c>
      <c r="C24" s="1"/>
      <c r="D24" s="1">
        <f>ROW(A32)</f>
        <v>32</v>
      </c>
      <c r="E24" s="1"/>
      <c r="F24" s="1" t="s">
        <v>14</v>
      </c>
      <c r="G24" s="1" t="s">
        <v>15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x14ac:dyDescent="0.3">
      <c r="A26" s="2">
        <v>52</v>
      </c>
      <c r="B26" s="2">
        <f t="shared" ref="B26:G26" si="14">B32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Новый раздел</v>
      </c>
      <c r="G26" s="2" t="str">
        <f t="shared" si="14"/>
        <v>ЦО - Q030 - 87 пластин - вес 756 кг.</v>
      </c>
      <c r="H26" s="2"/>
      <c r="I26" s="2"/>
      <c r="J26" s="2"/>
      <c r="K26" s="2"/>
      <c r="L26" s="2"/>
      <c r="M26" s="2"/>
      <c r="N26" s="2"/>
      <c r="O26" s="2">
        <f t="shared" ref="O26:AT26" si="15">O32</f>
        <v>300910.52</v>
      </c>
      <c r="P26" s="2">
        <f t="shared" si="15"/>
        <v>260240.02</v>
      </c>
      <c r="Q26" s="2">
        <f t="shared" si="15"/>
        <v>96.57</v>
      </c>
      <c r="R26" s="2">
        <f t="shared" si="15"/>
        <v>0.87</v>
      </c>
      <c r="S26" s="2">
        <f t="shared" si="15"/>
        <v>40573.93</v>
      </c>
      <c r="T26" s="2">
        <f t="shared" si="15"/>
        <v>0</v>
      </c>
      <c r="U26" s="2">
        <f t="shared" si="15"/>
        <v>63.54</v>
      </c>
      <c r="V26" s="2">
        <f t="shared" si="15"/>
        <v>0</v>
      </c>
      <c r="W26" s="2">
        <f t="shared" si="15"/>
        <v>0</v>
      </c>
      <c r="X26" s="2">
        <f t="shared" si="15"/>
        <v>28401.75</v>
      </c>
      <c r="Y26" s="2">
        <f t="shared" si="15"/>
        <v>4057.39</v>
      </c>
      <c r="Z26" s="2">
        <f t="shared" si="15"/>
        <v>0</v>
      </c>
      <c r="AA26" s="2">
        <f t="shared" si="15"/>
        <v>0</v>
      </c>
      <c r="AB26" s="2">
        <f t="shared" si="15"/>
        <v>300910.52</v>
      </c>
      <c r="AC26" s="2">
        <f t="shared" si="15"/>
        <v>260240.02</v>
      </c>
      <c r="AD26" s="2">
        <f t="shared" si="15"/>
        <v>96.57</v>
      </c>
      <c r="AE26" s="2">
        <f t="shared" si="15"/>
        <v>0.87</v>
      </c>
      <c r="AF26" s="2">
        <f t="shared" si="15"/>
        <v>40573.93</v>
      </c>
      <c r="AG26" s="2">
        <f t="shared" si="15"/>
        <v>0</v>
      </c>
      <c r="AH26" s="2">
        <f t="shared" si="15"/>
        <v>63.54</v>
      </c>
      <c r="AI26" s="2">
        <f t="shared" si="15"/>
        <v>0</v>
      </c>
      <c r="AJ26" s="2">
        <f t="shared" si="15"/>
        <v>0</v>
      </c>
      <c r="AK26" s="2">
        <f t="shared" si="15"/>
        <v>28401.75</v>
      </c>
      <c r="AL26" s="2">
        <f t="shared" si="15"/>
        <v>4057.39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333370.59999999998</v>
      </c>
      <c r="AS26" s="2">
        <f t="shared" si="15"/>
        <v>0</v>
      </c>
      <c r="AT26" s="2">
        <f t="shared" si="15"/>
        <v>0</v>
      </c>
      <c r="AU26" s="2">
        <f t="shared" ref="AU26:BZ26" si="16">AU32</f>
        <v>333370.59999999998</v>
      </c>
      <c r="AV26" s="2">
        <f t="shared" si="16"/>
        <v>260240.02</v>
      </c>
      <c r="AW26" s="2">
        <f t="shared" si="16"/>
        <v>260240.02</v>
      </c>
      <c r="AX26" s="2">
        <f t="shared" si="16"/>
        <v>0</v>
      </c>
      <c r="AY26" s="2">
        <f t="shared" si="16"/>
        <v>260240.02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CA32</f>
        <v>333370.59999999998</v>
      </c>
      <c r="CB26" s="2">
        <f t="shared" si="17"/>
        <v>0</v>
      </c>
      <c r="CC26" s="2">
        <f t="shared" si="17"/>
        <v>0</v>
      </c>
      <c r="CD26" s="2">
        <f t="shared" si="17"/>
        <v>333370.59999999998</v>
      </c>
      <c r="CE26" s="2">
        <f t="shared" si="17"/>
        <v>260240.02</v>
      </c>
      <c r="CF26" s="2">
        <f t="shared" si="17"/>
        <v>260240.02</v>
      </c>
      <c r="CG26" s="2">
        <f t="shared" si="17"/>
        <v>0</v>
      </c>
      <c r="CH26" s="2">
        <f t="shared" si="17"/>
        <v>260240.02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DG32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EM32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FS32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45" x14ac:dyDescent="0.3">
      <c r="A28">
        <v>17</v>
      </c>
      <c r="B28">
        <v>1</v>
      </c>
      <c r="C28">
        <f>ROW(SmtRes!A3)</f>
        <v>3</v>
      </c>
      <c r="D28">
        <f>ROW(EtalonRes!A3)</f>
        <v>3</v>
      </c>
      <c r="E28" t="s">
        <v>16</v>
      </c>
      <c r="F28" t="s">
        <v>17</v>
      </c>
      <c r="G28" t="s">
        <v>18</v>
      </c>
      <c r="H28" t="s">
        <v>19</v>
      </c>
      <c r="I28">
        <v>1</v>
      </c>
      <c r="J28">
        <v>0</v>
      </c>
      <c r="K28">
        <v>1</v>
      </c>
      <c r="O28">
        <f>ROUND(CP28,2)</f>
        <v>10158.65</v>
      </c>
      <c r="P28">
        <f>ROUND(CQ28*I28,2)</f>
        <v>8472.85</v>
      </c>
      <c r="Q28">
        <f>ROUND(CR28*I28,2)</f>
        <v>0</v>
      </c>
      <c r="R28">
        <f>ROUND(CS28*I28,2)</f>
        <v>0</v>
      </c>
      <c r="S28">
        <f>ROUND(CT28*I28,2)</f>
        <v>1685.8</v>
      </c>
      <c r="T28">
        <f>ROUND(CU28*I28,2)</f>
        <v>0</v>
      </c>
      <c r="U28">
        <f>CV28*I28</f>
        <v>2.64</v>
      </c>
      <c r="V28">
        <f>CW28*I28</f>
        <v>0</v>
      </c>
      <c r="W28">
        <f>ROUND(CX28*I28,2)</f>
        <v>0</v>
      </c>
      <c r="X28">
        <f t="shared" ref="X28:Y30" si="21">ROUND(CY28,2)</f>
        <v>1180.06</v>
      </c>
      <c r="Y28">
        <f t="shared" si="21"/>
        <v>168.58</v>
      </c>
      <c r="AA28">
        <v>66366214</v>
      </c>
      <c r="AB28">
        <f>ROUND((AC28+AD28+AF28),6)</f>
        <v>10158.65</v>
      </c>
      <c r="AC28">
        <f>ROUND((ES28),6)</f>
        <v>8472.85</v>
      </c>
      <c r="AD28">
        <f>ROUND((((ET28)-(EU28))+AE28),6)</f>
        <v>0</v>
      </c>
      <c r="AE28">
        <f t="shared" ref="AE28:AF30" si="22">ROUND((EU28),6)</f>
        <v>0</v>
      </c>
      <c r="AF28">
        <f t="shared" si="22"/>
        <v>1685.8</v>
      </c>
      <c r="AG28">
        <f>ROUND((AP28),6)</f>
        <v>0</v>
      </c>
      <c r="AH28">
        <f t="shared" ref="AH28:AI30" si="23">(EW28)</f>
        <v>2.64</v>
      </c>
      <c r="AI28">
        <f t="shared" si="23"/>
        <v>0</v>
      </c>
      <c r="AJ28">
        <f>(AS28)</f>
        <v>0</v>
      </c>
      <c r="AK28">
        <v>10158.65</v>
      </c>
      <c r="AL28">
        <v>8472.85</v>
      </c>
      <c r="AM28">
        <v>0</v>
      </c>
      <c r="AN28">
        <v>0</v>
      </c>
      <c r="AO28">
        <v>1685.8</v>
      </c>
      <c r="AP28">
        <v>0</v>
      </c>
      <c r="AQ28">
        <v>2.64</v>
      </c>
      <c r="AR28">
        <v>0</v>
      </c>
      <c r="AS28">
        <v>0</v>
      </c>
      <c r="AT28">
        <v>70</v>
      </c>
      <c r="AU28">
        <v>10</v>
      </c>
      <c r="AV28">
        <v>1</v>
      </c>
      <c r="AW28">
        <v>1</v>
      </c>
      <c r="AZ28">
        <v>1</v>
      </c>
      <c r="BA28">
        <v>1</v>
      </c>
      <c r="BB28">
        <v>1</v>
      </c>
      <c r="BC28">
        <v>1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4</v>
      </c>
      <c r="BJ28" t="s">
        <v>20</v>
      </c>
      <c r="BM28">
        <v>0</v>
      </c>
      <c r="BN28">
        <v>0</v>
      </c>
      <c r="BO28" t="s">
        <v>3</v>
      </c>
      <c r="BP28">
        <v>0</v>
      </c>
      <c r="BQ28">
        <v>1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70</v>
      </c>
      <c r="CA28">
        <v>10</v>
      </c>
      <c r="CB28" t="s">
        <v>3</v>
      </c>
      <c r="CE28">
        <v>0</v>
      </c>
      <c r="CF28">
        <v>0</v>
      </c>
      <c r="CG28">
        <v>0</v>
      </c>
      <c r="CM28">
        <v>0</v>
      </c>
      <c r="CN28" t="s">
        <v>3</v>
      </c>
      <c r="CO28">
        <v>0</v>
      </c>
      <c r="CP28">
        <f>(P28+Q28+S28)</f>
        <v>10158.65</v>
      </c>
      <c r="CQ28">
        <f>(AC28*BC28*AW28)</f>
        <v>8472.85</v>
      </c>
      <c r="CR28">
        <f>((((ET28)*BB28-(EU28)*BS28)+AE28*BS28)*AV28)</f>
        <v>0</v>
      </c>
      <c r="CS28">
        <f>(AE28*BS28*AV28)</f>
        <v>0</v>
      </c>
      <c r="CT28">
        <f>(AF28*BA28*AV28)</f>
        <v>1685.8</v>
      </c>
      <c r="CU28">
        <f>AG28</f>
        <v>0</v>
      </c>
      <c r="CV28">
        <f>(AH28*AV28)</f>
        <v>2.64</v>
      </c>
      <c r="CW28">
        <f t="shared" ref="CW28:CX30" si="24">AI28</f>
        <v>0</v>
      </c>
      <c r="CX28">
        <f t="shared" si="24"/>
        <v>0</v>
      </c>
      <c r="CY28">
        <f>((S28*BZ28)/100)</f>
        <v>1180.06</v>
      </c>
      <c r="CZ28">
        <f>((S28*CA28)/100)</f>
        <v>168.58</v>
      </c>
      <c r="DC28" t="s">
        <v>3</v>
      </c>
      <c r="DD28" t="s">
        <v>3</v>
      </c>
      <c r="DE28" t="s">
        <v>3</v>
      </c>
      <c r="DF28" t="s">
        <v>3</v>
      </c>
      <c r="DG28" t="s">
        <v>3</v>
      </c>
      <c r="DH28" t="s">
        <v>3</v>
      </c>
      <c r="DI28" t="s">
        <v>3</v>
      </c>
      <c r="DJ28" t="s">
        <v>3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1010</v>
      </c>
      <c r="DV28" t="s">
        <v>19</v>
      </c>
      <c r="DW28" t="s">
        <v>19</v>
      </c>
      <c r="DX28">
        <v>1</v>
      </c>
      <c r="DZ28" t="s">
        <v>3</v>
      </c>
      <c r="EA28" t="s">
        <v>3</v>
      </c>
      <c r="EB28" t="s">
        <v>3</v>
      </c>
      <c r="EC28" t="s">
        <v>3</v>
      </c>
      <c r="EE28">
        <v>66091114</v>
      </c>
      <c r="EF28">
        <v>1</v>
      </c>
      <c r="EG28" t="s">
        <v>21</v>
      </c>
      <c r="EH28">
        <v>0</v>
      </c>
      <c r="EI28" t="s">
        <v>3</v>
      </c>
      <c r="EJ28">
        <v>4</v>
      </c>
      <c r="EK28">
        <v>0</v>
      </c>
      <c r="EL28" t="s">
        <v>22</v>
      </c>
      <c r="EM28" t="s">
        <v>23</v>
      </c>
      <c r="EO28" t="s">
        <v>3</v>
      </c>
      <c r="EQ28">
        <v>0</v>
      </c>
      <c r="ER28">
        <v>10158.65</v>
      </c>
      <c r="ES28">
        <v>8472.85</v>
      </c>
      <c r="ET28">
        <v>0</v>
      </c>
      <c r="EU28">
        <v>0</v>
      </c>
      <c r="EV28">
        <v>1685.8</v>
      </c>
      <c r="EW28">
        <v>2.64</v>
      </c>
      <c r="EX28">
        <v>0</v>
      </c>
      <c r="EY28">
        <v>0</v>
      </c>
      <c r="FQ28">
        <v>0</v>
      </c>
      <c r="FR28">
        <v>0</v>
      </c>
      <c r="FS28">
        <v>0</v>
      </c>
      <c r="FX28">
        <v>70</v>
      </c>
      <c r="FY28">
        <v>10</v>
      </c>
      <c r="GA28" t="s">
        <v>3</v>
      </c>
      <c r="GD28">
        <v>0</v>
      </c>
      <c r="GF28">
        <v>1067523615</v>
      </c>
      <c r="GG28">
        <v>2</v>
      </c>
      <c r="GH28">
        <v>1</v>
      </c>
      <c r="GI28">
        <v>-2</v>
      </c>
      <c r="GJ28">
        <v>0</v>
      </c>
      <c r="GK28">
        <f>ROUND(R28*(R12)/100,2)</f>
        <v>0</v>
      </c>
      <c r="GL28">
        <f>ROUND(IF(AND(BH28=3,BI28=3,FS28&lt;&gt;0),P28,0),2)</f>
        <v>0</v>
      </c>
      <c r="GM28">
        <f>ROUND(O28+X28+Y28+GK28,2)+GX28</f>
        <v>11507.29</v>
      </c>
      <c r="GN28">
        <f>IF(OR(BI28=0,BI28=1),GM28-GX28,0)</f>
        <v>0</v>
      </c>
      <c r="GO28">
        <f>IF(BI28=2,GM28-GX28,0)</f>
        <v>0</v>
      </c>
      <c r="GP28">
        <f>IF(BI28=4,GM28-GX28,0)</f>
        <v>11507.29</v>
      </c>
      <c r="GR28">
        <v>0</v>
      </c>
      <c r="GS28">
        <v>3</v>
      </c>
      <c r="GT28">
        <v>0</v>
      </c>
      <c r="GU28" t="s">
        <v>3</v>
      </c>
      <c r="GV28">
        <f>ROUND((GT28),6)</f>
        <v>0</v>
      </c>
      <c r="GW28">
        <v>1</v>
      </c>
      <c r="GX28">
        <f>ROUND(HC28*I28,2)</f>
        <v>0</v>
      </c>
      <c r="HA28">
        <v>0</v>
      </c>
      <c r="HB28">
        <v>0</v>
      </c>
      <c r="HC28">
        <f>GV28*GW28</f>
        <v>0</v>
      </c>
      <c r="HE28" t="s">
        <v>3</v>
      </c>
      <c r="HF28" t="s">
        <v>3</v>
      </c>
      <c r="HM28" t="s">
        <v>3</v>
      </c>
      <c r="HN28" t="s">
        <v>3</v>
      </c>
      <c r="HO28" t="s">
        <v>3</v>
      </c>
      <c r="HP28" t="s">
        <v>3</v>
      </c>
      <c r="HQ28" t="s">
        <v>3</v>
      </c>
      <c r="HS28">
        <v>0</v>
      </c>
      <c r="IK28">
        <v>0</v>
      </c>
    </row>
    <row r="29" spans="1:245" x14ac:dyDescent="0.3">
      <c r="A29">
        <v>17</v>
      </c>
      <c r="B29">
        <v>1</v>
      </c>
      <c r="C29">
        <f>ROW(SmtRes!A7)</f>
        <v>7</v>
      </c>
      <c r="D29">
        <f>ROW(EtalonRes!A6)</f>
        <v>6</v>
      </c>
      <c r="E29" t="s">
        <v>24</v>
      </c>
      <c r="F29" t="s">
        <v>25</v>
      </c>
      <c r="G29" t="s">
        <v>26</v>
      </c>
      <c r="H29" t="s">
        <v>19</v>
      </c>
      <c r="I29">
        <v>87</v>
      </c>
      <c r="J29">
        <v>0</v>
      </c>
      <c r="K29">
        <v>87</v>
      </c>
      <c r="O29">
        <f>ROUND(CP29,2)</f>
        <v>171735.39</v>
      </c>
      <c r="P29">
        <f>ROUND(CQ29*I29,2)</f>
        <v>132750.69</v>
      </c>
      <c r="Q29">
        <f>ROUND(CR29*I29,2)</f>
        <v>96.57</v>
      </c>
      <c r="R29">
        <f>ROUND(CS29*I29,2)</f>
        <v>0.87</v>
      </c>
      <c r="S29">
        <f>ROUND(CT29*I29,2)</f>
        <v>38888.129999999997</v>
      </c>
      <c r="T29">
        <f>ROUND(CU29*I29,2)</f>
        <v>0</v>
      </c>
      <c r="U29">
        <f>CV29*I29</f>
        <v>60.9</v>
      </c>
      <c r="V29">
        <f>CW29*I29</f>
        <v>0</v>
      </c>
      <c r="W29">
        <f>ROUND(CX29*I29,2)</f>
        <v>0</v>
      </c>
      <c r="X29">
        <f t="shared" si="21"/>
        <v>27221.69</v>
      </c>
      <c r="Y29">
        <f t="shared" si="21"/>
        <v>3888.81</v>
      </c>
      <c r="AA29">
        <v>66366214</v>
      </c>
      <c r="AB29">
        <f>ROUND((AC29+AD29+AF29),6)</f>
        <v>1973.97</v>
      </c>
      <c r="AC29">
        <f>ROUND((ES29),6)</f>
        <v>1525.87</v>
      </c>
      <c r="AD29">
        <f>ROUND((((ET29)-(EU29))+AE29),6)</f>
        <v>1.1100000000000001</v>
      </c>
      <c r="AE29">
        <f t="shared" si="22"/>
        <v>0.01</v>
      </c>
      <c r="AF29">
        <f t="shared" si="22"/>
        <v>446.99</v>
      </c>
      <c r="AG29">
        <f>ROUND((AP29),6)</f>
        <v>0</v>
      </c>
      <c r="AH29">
        <f t="shared" si="23"/>
        <v>0.7</v>
      </c>
      <c r="AI29">
        <f t="shared" si="23"/>
        <v>0</v>
      </c>
      <c r="AJ29">
        <f>(AS29)</f>
        <v>0</v>
      </c>
      <c r="AK29">
        <v>1973.97</v>
      </c>
      <c r="AL29">
        <v>1525.87</v>
      </c>
      <c r="AM29">
        <v>1.1100000000000001</v>
      </c>
      <c r="AN29">
        <v>0.01</v>
      </c>
      <c r="AO29">
        <v>446.99</v>
      </c>
      <c r="AP29">
        <v>0</v>
      </c>
      <c r="AQ29">
        <v>0.7</v>
      </c>
      <c r="AR29">
        <v>0</v>
      </c>
      <c r="AS29">
        <v>0</v>
      </c>
      <c r="AT29">
        <v>70</v>
      </c>
      <c r="AU29">
        <v>10</v>
      </c>
      <c r="AV29">
        <v>1</v>
      </c>
      <c r="AW29">
        <v>1</v>
      </c>
      <c r="AZ29">
        <v>1</v>
      </c>
      <c r="BA29">
        <v>1</v>
      </c>
      <c r="BB29">
        <v>1</v>
      </c>
      <c r="BC29">
        <v>1</v>
      </c>
      <c r="BD29" t="s">
        <v>3</v>
      </c>
      <c r="BE29" t="s">
        <v>3</v>
      </c>
      <c r="BF29" t="s">
        <v>3</v>
      </c>
      <c r="BG29" t="s">
        <v>3</v>
      </c>
      <c r="BH29">
        <v>0</v>
      </c>
      <c r="BI29">
        <v>4</v>
      </c>
      <c r="BJ29" t="s">
        <v>27</v>
      </c>
      <c r="BM29">
        <v>0</v>
      </c>
      <c r="BN29">
        <v>0</v>
      </c>
      <c r="BO29" t="s">
        <v>3</v>
      </c>
      <c r="BP29">
        <v>0</v>
      </c>
      <c r="BQ29">
        <v>1</v>
      </c>
      <c r="BR29">
        <v>0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70</v>
      </c>
      <c r="CA29">
        <v>10</v>
      </c>
      <c r="CB29" t="s">
        <v>3</v>
      </c>
      <c r="CE29">
        <v>0</v>
      </c>
      <c r="CF29">
        <v>0</v>
      </c>
      <c r="CG29">
        <v>0</v>
      </c>
      <c r="CM29">
        <v>0</v>
      </c>
      <c r="CN29" t="s">
        <v>3</v>
      </c>
      <c r="CO29">
        <v>0</v>
      </c>
      <c r="CP29">
        <f>(P29+Q29+S29)</f>
        <v>171735.39</v>
      </c>
      <c r="CQ29">
        <f>(AC29*BC29*AW29)</f>
        <v>1525.87</v>
      </c>
      <c r="CR29">
        <f>((((ET29)*BB29-(EU29)*BS29)+AE29*BS29)*AV29)</f>
        <v>1.1100000000000001</v>
      </c>
      <c r="CS29">
        <f>(AE29*BS29*AV29)</f>
        <v>0.01</v>
      </c>
      <c r="CT29">
        <f>(AF29*BA29*AV29)</f>
        <v>446.99</v>
      </c>
      <c r="CU29">
        <f>AG29</f>
        <v>0</v>
      </c>
      <c r="CV29">
        <f>(AH29*AV29)</f>
        <v>0.7</v>
      </c>
      <c r="CW29">
        <f t="shared" si="24"/>
        <v>0</v>
      </c>
      <c r="CX29">
        <f t="shared" si="24"/>
        <v>0</v>
      </c>
      <c r="CY29">
        <f>((S29*BZ29)/100)</f>
        <v>27221.690999999995</v>
      </c>
      <c r="CZ29">
        <f>((S29*CA29)/100)</f>
        <v>3888.8130000000001</v>
      </c>
      <c r="DC29" t="s">
        <v>3</v>
      </c>
      <c r="DD29" t="s">
        <v>3</v>
      </c>
      <c r="DE29" t="s">
        <v>3</v>
      </c>
      <c r="DF29" t="s">
        <v>3</v>
      </c>
      <c r="DG29" t="s">
        <v>3</v>
      </c>
      <c r="DH29" t="s">
        <v>3</v>
      </c>
      <c r="DI29" t="s">
        <v>3</v>
      </c>
      <c r="DJ29" t="s">
        <v>3</v>
      </c>
      <c r="DK29" t="s">
        <v>3</v>
      </c>
      <c r="DL29" t="s">
        <v>3</v>
      </c>
      <c r="DM29" t="s">
        <v>3</v>
      </c>
      <c r="DN29">
        <v>0</v>
      </c>
      <c r="DO29">
        <v>0</v>
      </c>
      <c r="DP29">
        <v>1</v>
      </c>
      <c r="DQ29">
        <v>1</v>
      </c>
      <c r="DU29">
        <v>1010</v>
      </c>
      <c r="DV29" t="s">
        <v>19</v>
      </c>
      <c r="DW29" t="s">
        <v>19</v>
      </c>
      <c r="DX29">
        <v>1</v>
      </c>
      <c r="DZ29" t="s">
        <v>3</v>
      </c>
      <c r="EA29" t="s">
        <v>3</v>
      </c>
      <c r="EB29" t="s">
        <v>3</v>
      </c>
      <c r="EC29" t="s">
        <v>3</v>
      </c>
      <c r="EE29">
        <v>66091114</v>
      </c>
      <c r="EF29">
        <v>1</v>
      </c>
      <c r="EG29" t="s">
        <v>21</v>
      </c>
      <c r="EH29">
        <v>0</v>
      </c>
      <c r="EI29" t="s">
        <v>3</v>
      </c>
      <c r="EJ29">
        <v>4</v>
      </c>
      <c r="EK29">
        <v>0</v>
      </c>
      <c r="EL29" t="s">
        <v>22</v>
      </c>
      <c r="EM29" t="s">
        <v>23</v>
      </c>
      <c r="EO29" t="s">
        <v>3</v>
      </c>
      <c r="EQ29">
        <v>0</v>
      </c>
      <c r="ER29">
        <v>1973.97</v>
      </c>
      <c r="ES29">
        <v>1525.87</v>
      </c>
      <c r="ET29">
        <v>1.1100000000000001</v>
      </c>
      <c r="EU29">
        <v>0.01</v>
      </c>
      <c r="EV29">
        <v>446.99</v>
      </c>
      <c r="EW29">
        <v>0.7</v>
      </c>
      <c r="EX29">
        <v>0</v>
      </c>
      <c r="EY29">
        <v>0</v>
      </c>
      <c r="FQ29">
        <v>0</v>
      </c>
      <c r="FR29">
        <v>0</v>
      </c>
      <c r="FS29">
        <v>0</v>
      </c>
      <c r="FX29">
        <v>70</v>
      </c>
      <c r="FY29">
        <v>10</v>
      </c>
      <c r="GA29" t="s">
        <v>3</v>
      </c>
      <c r="GD29">
        <v>0</v>
      </c>
      <c r="GF29">
        <v>1999855279</v>
      </c>
      <c r="GG29">
        <v>2</v>
      </c>
      <c r="GH29">
        <v>1</v>
      </c>
      <c r="GI29">
        <v>-2</v>
      </c>
      <c r="GJ29">
        <v>0</v>
      </c>
      <c r="GK29">
        <f>ROUND(R29*(R12)/100,2)</f>
        <v>0.94</v>
      </c>
      <c r="GL29">
        <f>ROUND(IF(AND(BH29=3,BI29=3,FS29&lt;&gt;0),P29,0),2)</f>
        <v>0</v>
      </c>
      <c r="GM29">
        <f>ROUND(O29+X29+Y29+GK29,2)+GX29</f>
        <v>202846.83</v>
      </c>
      <c r="GN29">
        <f>IF(OR(BI29=0,BI29=1),GM29-GX29,0)</f>
        <v>0</v>
      </c>
      <c r="GO29">
        <f>IF(BI29=2,GM29-GX29,0)</f>
        <v>0</v>
      </c>
      <c r="GP29">
        <f>IF(BI29=4,GM29-GX29,0)</f>
        <v>202846.83</v>
      </c>
      <c r="GR29">
        <v>0</v>
      </c>
      <c r="GS29">
        <v>3</v>
      </c>
      <c r="GT29">
        <v>0</v>
      </c>
      <c r="GU29" t="s">
        <v>3</v>
      </c>
      <c r="GV29">
        <f>ROUND((GT29),6)</f>
        <v>0</v>
      </c>
      <c r="GW29">
        <v>1</v>
      </c>
      <c r="GX29">
        <f>ROUND(HC29*I29,2)</f>
        <v>0</v>
      </c>
      <c r="HA29">
        <v>0</v>
      </c>
      <c r="HB29">
        <v>0</v>
      </c>
      <c r="HC29">
        <f>GV29*GW29</f>
        <v>0</v>
      </c>
      <c r="HE29" t="s">
        <v>3</v>
      </c>
      <c r="HF29" t="s">
        <v>3</v>
      </c>
      <c r="HM29" t="s">
        <v>3</v>
      </c>
      <c r="HN29" t="s">
        <v>3</v>
      </c>
      <c r="HO29" t="s">
        <v>3</v>
      </c>
      <c r="HP29" t="s">
        <v>3</v>
      </c>
      <c r="HQ29" t="s">
        <v>3</v>
      </c>
      <c r="HS29">
        <v>0</v>
      </c>
      <c r="IK29">
        <v>0</v>
      </c>
    </row>
    <row r="30" spans="1:245" x14ac:dyDescent="0.3">
      <c r="A30">
        <v>18</v>
      </c>
      <c r="B30">
        <v>1</v>
      </c>
      <c r="C30">
        <v>7</v>
      </c>
      <c r="E30" t="s">
        <v>28</v>
      </c>
      <c r="F30" t="s">
        <v>29</v>
      </c>
      <c r="G30" t="s">
        <v>30</v>
      </c>
      <c r="H30" t="s">
        <v>19</v>
      </c>
      <c r="I30">
        <f>I29*J30</f>
        <v>88.000000000000014</v>
      </c>
      <c r="J30">
        <v>1.0114942528735633</v>
      </c>
      <c r="K30">
        <v>1.0114942499999999</v>
      </c>
      <c r="O30">
        <f>ROUND(CP30,2)</f>
        <v>119016.48</v>
      </c>
      <c r="P30">
        <f>ROUND(CQ30*I30,2)</f>
        <v>119016.48</v>
      </c>
      <c r="Q30">
        <f>ROUND(CR30*I30,2)</f>
        <v>0</v>
      </c>
      <c r="R30">
        <f>ROUND(CS30*I30,2)</f>
        <v>0</v>
      </c>
      <c r="S30">
        <f>ROUND(CT30*I30,2)</f>
        <v>0</v>
      </c>
      <c r="T30">
        <f>ROUND(CU30*I30,2)</f>
        <v>0</v>
      </c>
      <c r="U30">
        <f>CV30*I30</f>
        <v>0</v>
      </c>
      <c r="V30">
        <f>CW30*I30</f>
        <v>0</v>
      </c>
      <c r="W30">
        <f>ROUND(CX30*I30,2)</f>
        <v>0</v>
      </c>
      <c r="X30">
        <f t="shared" si="21"/>
        <v>0</v>
      </c>
      <c r="Y30">
        <f t="shared" si="21"/>
        <v>0</v>
      </c>
      <c r="AA30">
        <v>66366214</v>
      </c>
      <c r="AB30">
        <f>ROUND((AC30+AD30+AF30),6)</f>
        <v>1352.46</v>
      </c>
      <c r="AC30">
        <f>ROUND((ES30),6)</f>
        <v>1352.46</v>
      </c>
      <c r="AD30">
        <f>ROUND((((ET30)-(EU30))+AE30),6)</f>
        <v>0</v>
      </c>
      <c r="AE30">
        <f t="shared" si="22"/>
        <v>0</v>
      </c>
      <c r="AF30">
        <f t="shared" si="22"/>
        <v>0</v>
      </c>
      <c r="AG30">
        <f>ROUND((AP30),6)</f>
        <v>0</v>
      </c>
      <c r="AH30">
        <f t="shared" si="23"/>
        <v>0</v>
      </c>
      <c r="AI30">
        <f t="shared" si="23"/>
        <v>0</v>
      </c>
      <c r="AJ30">
        <f>(AS30)</f>
        <v>0</v>
      </c>
      <c r="AK30">
        <v>1352.46</v>
      </c>
      <c r="AL30">
        <v>1352.46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70</v>
      </c>
      <c r="AU30">
        <v>10</v>
      </c>
      <c r="AV30">
        <v>1</v>
      </c>
      <c r="AW30">
        <v>1</v>
      </c>
      <c r="AZ30">
        <v>1</v>
      </c>
      <c r="BA30">
        <v>1</v>
      </c>
      <c r="BB30">
        <v>1</v>
      </c>
      <c r="BC30">
        <v>1</v>
      </c>
      <c r="BD30" t="s">
        <v>3</v>
      </c>
      <c r="BE30" t="s">
        <v>3</v>
      </c>
      <c r="BF30" t="s">
        <v>3</v>
      </c>
      <c r="BG30" t="s">
        <v>3</v>
      </c>
      <c r="BH30">
        <v>3</v>
      </c>
      <c r="BI30">
        <v>4</v>
      </c>
      <c r="BJ30" t="s">
        <v>3</v>
      </c>
      <c r="BM30">
        <v>0</v>
      </c>
      <c r="BN30">
        <v>0</v>
      </c>
      <c r="BO30" t="s">
        <v>3</v>
      </c>
      <c r="BP30">
        <v>0</v>
      </c>
      <c r="BQ30">
        <v>1</v>
      </c>
      <c r="BR30">
        <v>0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70</v>
      </c>
      <c r="CA30">
        <v>10</v>
      </c>
      <c r="CB30" t="s">
        <v>3</v>
      </c>
      <c r="CE30">
        <v>0</v>
      </c>
      <c r="CF30">
        <v>0</v>
      </c>
      <c r="CG30">
        <v>0</v>
      </c>
      <c r="CM30">
        <v>0</v>
      </c>
      <c r="CN30" t="s">
        <v>3</v>
      </c>
      <c r="CO30">
        <v>0</v>
      </c>
      <c r="CP30">
        <f>(P30+Q30+S30)</f>
        <v>119016.48</v>
      </c>
      <c r="CQ30">
        <f>(AC30*BC30*AW30)</f>
        <v>1352.46</v>
      </c>
      <c r="CR30">
        <f>((((ET30)*BB30-(EU30)*BS30)+AE30*BS30)*AV30)</f>
        <v>0</v>
      </c>
      <c r="CS30">
        <f>(AE30*BS30*AV30)</f>
        <v>0</v>
      </c>
      <c r="CT30">
        <f>(AF30*BA30*AV30)</f>
        <v>0</v>
      </c>
      <c r="CU30">
        <f>AG30</f>
        <v>0</v>
      </c>
      <c r="CV30">
        <f>(AH30*AV30)</f>
        <v>0</v>
      </c>
      <c r="CW30">
        <f t="shared" si="24"/>
        <v>0</v>
      </c>
      <c r="CX30">
        <f t="shared" si="24"/>
        <v>0</v>
      </c>
      <c r="CY30">
        <f>((S30*BZ30)/100)</f>
        <v>0</v>
      </c>
      <c r="CZ30">
        <f>((S30*CA30)/100)</f>
        <v>0</v>
      </c>
      <c r="DC30" t="s">
        <v>3</v>
      </c>
      <c r="DD30" t="s">
        <v>3</v>
      </c>
      <c r="DE30" t="s">
        <v>3</v>
      </c>
      <c r="DF30" t="s">
        <v>3</v>
      </c>
      <c r="DG30" t="s">
        <v>3</v>
      </c>
      <c r="DH30" t="s">
        <v>3</v>
      </c>
      <c r="DI30" t="s">
        <v>3</v>
      </c>
      <c r="DJ30" t="s">
        <v>3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1010</v>
      </c>
      <c r="DV30" t="s">
        <v>19</v>
      </c>
      <c r="DW30" t="s">
        <v>19</v>
      </c>
      <c r="DX30">
        <v>1</v>
      </c>
      <c r="DZ30" t="s">
        <v>3</v>
      </c>
      <c r="EA30" t="s">
        <v>3</v>
      </c>
      <c r="EB30" t="s">
        <v>3</v>
      </c>
      <c r="EC30" t="s">
        <v>3</v>
      </c>
      <c r="EE30">
        <v>66091114</v>
      </c>
      <c r="EF30">
        <v>1</v>
      </c>
      <c r="EG30" t="s">
        <v>21</v>
      </c>
      <c r="EH30">
        <v>0</v>
      </c>
      <c r="EI30" t="s">
        <v>3</v>
      </c>
      <c r="EJ30">
        <v>4</v>
      </c>
      <c r="EK30">
        <v>0</v>
      </c>
      <c r="EL30" t="s">
        <v>22</v>
      </c>
      <c r="EM30" t="s">
        <v>23</v>
      </c>
      <c r="EO30" t="s">
        <v>3</v>
      </c>
      <c r="EQ30">
        <v>0</v>
      </c>
      <c r="ER30">
        <v>1352.46</v>
      </c>
      <c r="ES30">
        <v>1352.46</v>
      </c>
      <c r="ET30">
        <v>0</v>
      </c>
      <c r="EU30">
        <v>0</v>
      </c>
      <c r="EV30">
        <v>0</v>
      </c>
      <c r="EW30">
        <v>0</v>
      </c>
      <c r="EX30">
        <v>0</v>
      </c>
      <c r="EZ30">
        <v>5</v>
      </c>
      <c r="FC30">
        <v>1</v>
      </c>
      <c r="FD30">
        <v>18</v>
      </c>
      <c r="FF30">
        <v>1650</v>
      </c>
      <c r="FQ30">
        <v>0</v>
      </c>
      <c r="FR30">
        <v>0</v>
      </c>
      <c r="FS30">
        <v>0</v>
      </c>
      <c r="FX30">
        <v>70</v>
      </c>
      <c r="FY30">
        <v>10</v>
      </c>
      <c r="GA30" t="s">
        <v>31</v>
      </c>
      <c r="GD30">
        <v>0</v>
      </c>
      <c r="GF30">
        <v>-183389432</v>
      </c>
      <c r="GG30">
        <v>2</v>
      </c>
      <c r="GH30">
        <v>3</v>
      </c>
      <c r="GI30">
        <v>-2</v>
      </c>
      <c r="GJ30">
        <v>0</v>
      </c>
      <c r="GK30">
        <f>ROUND(R30*(R12)/100,2)</f>
        <v>0</v>
      </c>
      <c r="GL30">
        <f>ROUND(IF(AND(BH30=3,BI30=3,FS30&lt;&gt;0),P30,0),2)</f>
        <v>0</v>
      </c>
      <c r="GM30">
        <f>ROUND(O30+X30+Y30+GK30,2)+GX30</f>
        <v>119016.48</v>
      </c>
      <c r="GN30">
        <f>IF(OR(BI30=0,BI30=1),GM30-GX30,0)</f>
        <v>0</v>
      </c>
      <c r="GO30">
        <f>IF(BI30=2,GM30-GX30,0)</f>
        <v>0</v>
      </c>
      <c r="GP30">
        <f>IF(BI30=4,GM30-GX30,0)</f>
        <v>119016.48</v>
      </c>
      <c r="GR30">
        <v>1</v>
      </c>
      <c r="GS30">
        <v>1</v>
      </c>
      <c r="GT30">
        <v>0</v>
      </c>
      <c r="GU30" t="s">
        <v>3</v>
      </c>
      <c r="GV30">
        <f>ROUND((GT30),6)</f>
        <v>0</v>
      </c>
      <c r="GW30">
        <v>1</v>
      </c>
      <c r="GX30">
        <f>ROUND(HC30*I30,2)</f>
        <v>0</v>
      </c>
      <c r="HA30">
        <v>0</v>
      </c>
      <c r="HB30">
        <v>0</v>
      </c>
      <c r="HC30">
        <f>GV30*GW30</f>
        <v>0</v>
      </c>
      <c r="HE30" t="s">
        <v>32</v>
      </c>
      <c r="HF30" t="s">
        <v>32</v>
      </c>
      <c r="HM30" t="s">
        <v>3</v>
      </c>
      <c r="HN30" t="s">
        <v>3</v>
      </c>
      <c r="HO30" t="s">
        <v>3</v>
      </c>
      <c r="HP30" t="s">
        <v>3</v>
      </c>
      <c r="HQ30" t="s">
        <v>3</v>
      </c>
      <c r="HS30">
        <v>0</v>
      </c>
      <c r="IK30">
        <v>0</v>
      </c>
    </row>
    <row r="32" spans="1:245" x14ac:dyDescent="0.3">
      <c r="A32" s="2">
        <v>51</v>
      </c>
      <c r="B32" s="2">
        <f>B24</f>
        <v>1</v>
      </c>
      <c r="C32" s="2">
        <f>A24</f>
        <v>4</v>
      </c>
      <c r="D32" s="2">
        <f>ROW(A24)</f>
        <v>24</v>
      </c>
      <c r="E32" s="2"/>
      <c r="F32" s="2" t="str">
        <f>IF(F24&lt;&gt;"",F24,"")</f>
        <v>Новый раздел</v>
      </c>
      <c r="G32" s="2" t="str">
        <f>IF(G24&lt;&gt;"",G24,"")</f>
        <v>ЦО - Q030 - 87 пластин - вес 756 кг.</v>
      </c>
      <c r="H32" s="2">
        <v>0</v>
      </c>
      <c r="I32" s="2"/>
      <c r="J32" s="2"/>
      <c r="K32" s="2"/>
      <c r="L32" s="2"/>
      <c r="M32" s="2"/>
      <c r="N32" s="2"/>
      <c r="O32" s="2">
        <f t="shared" ref="O32:T32" si="25">ROUND(AB32,2)</f>
        <v>300910.52</v>
      </c>
      <c r="P32" s="2">
        <f t="shared" si="25"/>
        <v>260240.02</v>
      </c>
      <c r="Q32" s="2">
        <f t="shared" si="25"/>
        <v>96.57</v>
      </c>
      <c r="R32" s="2">
        <f t="shared" si="25"/>
        <v>0.87</v>
      </c>
      <c r="S32" s="2">
        <f t="shared" si="25"/>
        <v>40573.93</v>
      </c>
      <c r="T32" s="2">
        <f t="shared" si="25"/>
        <v>0</v>
      </c>
      <c r="U32" s="2">
        <f>AH32</f>
        <v>63.54</v>
      </c>
      <c r="V32" s="2">
        <f>AI32</f>
        <v>0</v>
      </c>
      <c r="W32" s="2">
        <f>ROUND(AJ32,2)</f>
        <v>0</v>
      </c>
      <c r="X32" s="2">
        <f>ROUND(AK32,2)</f>
        <v>28401.75</v>
      </c>
      <c r="Y32" s="2">
        <f>ROUND(AL32,2)</f>
        <v>4057.39</v>
      </c>
      <c r="Z32" s="2"/>
      <c r="AA32" s="2"/>
      <c r="AB32" s="2">
        <f>ROUND(SUMIF(AA28:AA30,"=66366214",O28:O30),2)</f>
        <v>300910.52</v>
      </c>
      <c r="AC32" s="2">
        <f>ROUND(SUMIF(AA28:AA30,"=66366214",P28:P30),2)</f>
        <v>260240.02</v>
      </c>
      <c r="AD32" s="2">
        <f>ROUND(SUMIF(AA28:AA30,"=66366214",Q28:Q30),2)</f>
        <v>96.57</v>
      </c>
      <c r="AE32" s="2">
        <f>ROUND(SUMIF(AA28:AA30,"=66366214",R28:R30),2)</f>
        <v>0.87</v>
      </c>
      <c r="AF32" s="2">
        <f>ROUND(SUMIF(AA28:AA30,"=66366214",S28:S30),2)</f>
        <v>40573.93</v>
      </c>
      <c r="AG32" s="2">
        <f>ROUND(SUMIF(AA28:AA30,"=66366214",T28:T30),2)</f>
        <v>0</v>
      </c>
      <c r="AH32" s="2">
        <f>SUMIF(AA28:AA30,"=66366214",U28:U30)</f>
        <v>63.54</v>
      </c>
      <c r="AI32" s="2">
        <f>SUMIF(AA28:AA30,"=66366214",V28:V30)</f>
        <v>0</v>
      </c>
      <c r="AJ32" s="2">
        <f>ROUND(SUMIF(AA28:AA30,"=66366214",W28:W30),2)</f>
        <v>0</v>
      </c>
      <c r="AK32" s="2">
        <f>ROUND(SUMIF(AA28:AA30,"=66366214",X28:X30),2)</f>
        <v>28401.75</v>
      </c>
      <c r="AL32" s="2">
        <f>ROUND(SUMIF(AA28:AA30,"=66366214",Y28:Y30),2)</f>
        <v>4057.39</v>
      </c>
      <c r="AM32" s="2"/>
      <c r="AN32" s="2"/>
      <c r="AO32" s="2">
        <f t="shared" ref="AO32:BD32" si="26">ROUND(BX32,2)</f>
        <v>0</v>
      </c>
      <c r="AP32" s="2">
        <f t="shared" si="26"/>
        <v>0</v>
      </c>
      <c r="AQ32" s="2">
        <f t="shared" si="26"/>
        <v>0</v>
      </c>
      <c r="AR32" s="2">
        <f t="shared" si="26"/>
        <v>333370.59999999998</v>
      </c>
      <c r="AS32" s="2">
        <f t="shared" si="26"/>
        <v>0</v>
      </c>
      <c r="AT32" s="2">
        <f t="shared" si="26"/>
        <v>0</v>
      </c>
      <c r="AU32" s="2">
        <f t="shared" si="26"/>
        <v>333370.59999999998</v>
      </c>
      <c r="AV32" s="2">
        <f t="shared" si="26"/>
        <v>260240.02</v>
      </c>
      <c r="AW32" s="2">
        <f t="shared" si="26"/>
        <v>260240.02</v>
      </c>
      <c r="AX32" s="2">
        <f t="shared" si="26"/>
        <v>0</v>
      </c>
      <c r="AY32" s="2">
        <f t="shared" si="26"/>
        <v>260240.02</v>
      </c>
      <c r="AZ32" s="2">
        <f t="shared" si="26"/>
        <v>0</v>
      </c>
      <c r="BA32" s="2">
        <f t="shared" si="26"/>
        <v>0</v>
      </c>
      <c r="BB32" s="2">
        <f t="shared" si="26"/>
        <v>0</v>
      </c>
      <c r="BC32" s="2">
        <f t="shared" si="26"/>
        <v>0</v>
      </c>
      <c r="BD32" s="2">
        <f t="shared" si="26"/>
        <v>0</v>
      </c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>
        <f>ROUND(SUMIF(AA28:AA30,"=66366214",FQ28:FQ30),2)</f>
        <v>0</v>
      </c>
      <c r="BY32" s="2">
        <f>ROUND(SUMIF(AA28:AA30,"=66366214",FR28:FR30),2)</f>
        <v>0</v>
      </c>
      <c r="BZ32" s="2">
        <f>ROUND(SUMIF(AA28:AA30,"=66366214",GL28:GL30),2)</f>
        <v>0</v>
      </c>
      <c r="CA32" s="2">
        <f>ROUND(SUMIF(AA28:AA30,"=66366214",GM28:GM30),2)</f>
        <v>333370.59999999998</v>
      </c>
      <c r="CB32" s="2">
        <f>ROUND(SUMIF(AA28:AA30,"=66366214",GN28:GN30),2)</f>
        <v>0</v>
      </c>
      <c r="CC32" s="2">
        <f>ROUND(SUMIF(AA28:AA30,"=66366214",GO28:GO30),2)</f>
        <v>0</v>
      </c>
      <c r="CD32" s="2">
        <f>ROUND(SUMIF(AA28:AA30,"=66366214",GP28:GP30),2)</f>
        <v>333370.59999999998</v>
      </c>
      <c r="CE32" s="2">
        <f>AC32-BX32</f>
        <v>260240.02</v>
      </c>
      <c r="CF32" s="2">
        <f>AC32-BY32</f>
        <v>260240.02</v>
      </c>
      <c r="CG32" s="2">
        <f>BX32-BZ32</f>
        <v>0</v>
      </c>
      <c r="CH32" s="2">
        <f>AC32-BX32-BY32+BZ32</f>
        <v>260240.02</v>
      </c>
      <c r="CI32" s="2">
        <f>BY32-BZ32</f>
        <v>0</v>
      </c>
      <c r="CJ32" s="2">
        <f>ROUND(SUMIF(AA28:AA30,"=66366214",GX28:GX30),2)</f>
        <v>0</v>
      </c>
      <c r="CK32" s="2">
        <f>ROUND(SUMIF(AA28:AA30,"=66366214",GY28:GY30),2)</f>
        <v>0</v>
      </c>
      <c r="CL32" s="2">
        <f>ROUND(SUMIF(AA28:AA30,"=66366214",GZ28:GZ30),2)</f>
        <v>0</v>
      </c>
      <c r="CM32" s="2">
        <f>ROUND(SUMIF(AA28:AA30,"=66366214",HD28:HD30),2)</f>
        <v>0</v>
      </c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>
        <v>0</v>
      </c>
    </row>
    <row r="34" spans="1:28" x14ac:dyDescent="0.3">
      <c r="A34" s="4">
        <v>50</v>
      </c>
      <c r="B34" s="4">
        <v>0</v>
      </c>
      <c r="C34" s="4">
        <v>0</v>
      </c>
      <c r="D34" s="4">
        <v>1</v>
      </c>
      <c r="E34" s="4">
        <v>201</v>
      </c>
      <c r="F34" s="4">
        <f>ROUND(Source!O32,O34)</f>
        <v>300910.52</v>
      </c>
      <c r="G34" s="4" t="s">
        <v>33</v>
      </c>
      <c r="H34" s="4" t="s">
        <v>34</v>
      </c>
      <c r="I34" s="4"/>
      <c r="J34" s="4"/>
      <c r="K34" s="4">
        <v>201</v>
      </c>
      <c r="L34" s="4">
        <v>1</v>
      </c>
      <c r="M34" s="4">
        <v>3</v>
      </c>
      <c r="N34" s="4" t="s">
        <v>3</v>
      </c>
      <c r="O34" s="4">
        <v>2</v>
      </c>
      <c r="P34" s="4"/>
      <c r="Q34" s="4"/>
      <c r="R34" s="4"/>
      <c r="S34" s="4"/>
      <c r="T34" s="4"/>
      <c r="U34" s="4"/>
      <c r="V34" s="4"/>
      <c r="W34" s="4">
        <v>300910.52</v>
      </c>
      <c r="X34" s="4">
        <v>1</v>
      </c>
      <c r="Y34" s="4">
        <v>300910.52</v>
      </c>
      <c r="Z34" s="4"/>
      <c r="AA34" s="4"/>
      <c r="AB34" s="4"/>
    </row>
    <row r="35" spans="1:28" x14ac:dyDescent="0.3">
      <c r="A35" s="4">
        <v>50</v>
      </c>
      <c r="B35" s="4">
        <v>0</v>
      </c>
      <c r="C35" s="4">
        <v>0</v>
      </c>
      <c r="D35" s="4">
        <v>1</v>
      </c>
      <c r="E35" s="4">
        <v>202</v>
      </c>
      <c r="F35" s="4">
        <f>ROUND(Source!P32,O35)</f>
        <v>260240.02</v>
      </c>
      <c r="G35" s="4" t="s">
        <v>35</v>
      </c>
      <c r="H35" s="4" t="s">
        <v>36</v>
      </c>
      <c r="I35" s="4"/>
      <c r="J35" s="4"/>
      <c r="K35" s="4">
        <v>202</v>
      </c>
      <c r="L35" s="4">
        <v>2</v>
      </c>
      <c r="M35" s="4">
        <v>3</v>
      </c>
      <c r="N35" s="4" t="s">
        <v>3</v>
      </c>
      <c r="O35" s="4">
        <v>2</v>
      </c>
      <c r="P35" s="4"/>
      <c r="Q35" s="4"/>
      <c r="R35" s="4"/>
      <c r="S35" s="4"/>
      <c r="T35" s="4"/>
      <c r="U35" s="4"/>
      <c r="V35" s="4"/>
      <c r="W35" s="4">
        <v>260240.02</v>
      </c>
      <c r="X35" s="4">
        <v>1</v>
      </c>
      <c r="Y35" s="4">
        <v>260240.02</v>
      </c>
      <c r="Z35" s="4"/>
      <c r="AA35" s="4"/>
      <c r="AB35" s="4"/>
    </row>
    <row r="36" spans="1:28" x14ac:dyDescent="0.3">
      <c r="A36" s="4">
        <v>50</v>
      </c>
      <c r="B36" s="4">
        <v>0</v>
      </c>
      <c r="C36" s="4">
        <v>0</v>
      </c>
      <c r="D36" s="4">
        <v>1</v>
      </c>
      <c r="E36" s="4">
        <v>222</v>
      </c>
      <c r="F36" s="4">
        <f>ROUND(Source!AO32,O36)</f>
        <v>0</v>
      </c>
      <c r="G36" s="4" t="s">
        <v>37</v>
      </c>
      <c r="H36" s="4" t="s">
        <v>38</v>
      </c>
      <c r="I36" s="4"/>
      <c r="J36" s="4"/>
      <c r="K36" s="4">
        <v>222</v>
      </c>
      <c r="L36" s="4">
        <v>3</v>
      </c>
      <c r="M36" s="4">
        <v>3</v>
      </c>
      <c r="N36" s="4" t="s">
        <v>3</v>
      </c>
      <c r="O36" s="4">
        <v>2</v>
      </c>
      <c r="P36" s="4"/>
      <c r="Q36" s="4"/>
      <c r="R36" s="4"/>
      <c r="S36" s="4"/>
      <c r="T36" s="4"/>
      <c r="U36" s="4"/>
      <c r="V36" s="4"/>
      <c r="W36" s="4">
        <v>0</v>
      </c>
      <c r="X36" s="4">
        <v>1</v>
      </c>
      <c r="Y36" s="4">
        <v>0</v>
      </c>
      <c r="Z36" s="4"/>
      <c r="AA36" s="4"/>
      <c r="AB36" s="4"/>
    </row>
    <row r="37" spans="1:28" x14ac:dyDescent="0.3">
      <c r="A37" s="4">
        <v>50</v>
      </c>
      <c r="B37" s="4">
        <v>0</v>
      </c>
      <c r="C37" s="4">
        <v>0</v>
      </c>
      <c r="D37" s="4">
        <v>1</v>
      </c>
      <c r="E37" s="4">
        <v>225</v>
      </c>
      <c r="F37" s="4">
        <f>ROUND(Source!AV32,O37)</f>
        <v>260240.02</v>
      </c>
      <c r="G37" s="4" t="s">
        <v>39</v>
      </c>
      <c r="H37" s="4" t="s">
        <v>40</v>
      </c>
      <c r="I37" s="4"/>
      <c r="J37" s="4"/>
      <c r="K37" s="4">
        <v>225</v>
      </c>
      <c r="L37" s="4">
        <v>4</v>
      </c>
      <c r="M37" s="4">
        <v>3</v>
      </c>
      <c r="N37" s="4" t="s">
        <v>3</v>
      </c>
      <c r="O37" s="4">
        <v>2</v>
      </c>
      <c r="P37" s="4"/>
      <c r="Q37" s="4"/>
      <c r="R37" s="4"/>
      <c r="S37" s="4"/>
      <c r="T37" s="4"/>
      <c r="U37" s="4"/>
      <c r="V37" s="4"/>
      <c r="W37" s="4">
        <v>260240.02</v>
      </c>
      <c r="X37" s="4">
        <v>1</v>
      </c>
      <c r="Y37" s="4">
        <v>260240.02</v>
      </c>
      <c r="Z37" s="4"/>
      <c r="AA37" s="4"/>
      <c r="AB37" s="4"/>
    </row>
    <row r="38" spans="1:28" x14ac:dyDescent="0.3">
      <c r="A38" s="4">
        <v>50</v>
      </c>
      <c r="B38" s="4">
        <v>0</v>
      </c>
      <c r="C38" s="4">
        <v>0</v>
      </c>
      <c r="D38" s="4">
        <v>1</v>
      </c>
      <c r="E38" s="4">
        <v>226</v>
      </c>
      <c r="F38" s="4">
        <f>ROUND(Source!AW32,O38)</f>
        <v>260240.02</v>
      </c>
      <c r="G38" s="4" t="s">
        <v>41</v>
      </c>
      <c r="H38" s="4" t="s">
        <v>42</v>
      </c>
      <c r="I38" s="4"/>
      <c r="J38" s="4"/>
      <c r="K38" s="4">
        <v>226</v>
      </c>
      <c r="L38" s="4">
        <v>5</v>
      </c>
      <c r="M38" s="4">
        <v>3</v>
      </c>
      <c r="N38" s="4" t="s">
        <v>3</v>
      </c>
      <c r="O38" s="4">
        <v>2</v>
      </c>
      <c r="P38" s="4"/>
      <c r="Q38" s="4"/>
      <c r="R38" s="4"/>
      <c r="S38" s="4"/>
      <c r="T38" s="4"/>
      <c r="U38" s="4"/>
      <c r="V38" s="4"/>
      <c r="W38" s="4">
        <v>260240.02</v>
      </c>
      <c r="X38" s="4">
        <v>1</v>
      </c>
      <c r="Y38" s="4">
        <v>260240.02</v>
      </c>
      <c r="Z38" s="4"/>
      <c r="AA38" s="4"/>
      <c r="AB38" s="4"/>
    </row>
    <row r="39" spans="1:28" x14ac:dyDescent="0.3">
      <c r="A39" s="4">
        <v>50</v>
      </c>
      <c r="B39" s="4">
        <v>0</v>
      </c>
      <c r="C39" s="4">
        <v>0</v>
      </c>
      <c r="D39" s="4">
        <v>1</v>
      </c>
      <c r="E39" s="4">
        <v>227</v>
      </c>
      <c r="F39" s="4">
        <f>ROUND(Source!AX32,O39)</f>
        <v>0</v>
      </c>
      <c r="G39" s="4" t="s">
        <v>43</v>
      </c>
      <c r="H39" s="4" t="s">
        <v>44</v>
      </c>
      <c r="I39" s="4"/>
      <c r="J39" s="4"/>
      <c r="K39" s="4">
        <v>227</v>
      </c>
      <c r="L39" s="4">
        <v>6</v>
      </c>
      <c r="M39" s="4">
        <v>3</v>
      </c>
      <c r="N39" s="4" t="s">
        <v>3</v>
      </c>
      <c r="O39" s="4">
        <v>2</v>
      </c>
      <c r="P39" s="4"/>
      <c r="Q39" s="4"/>
      <c r="R39" s="4"/>
      <c r="S39" s="4"/>
      <c r="T39" s="4"/>
      <c r="U39" s="4"/>
      <c r="V39" s="4"/>
      <c r="W39" s="4">
        <v>0</v>
      </c>
      <c r="X39" s="4">
        <v>1</v>
      </c>
      <c r="Y39" s="4">
        <v>0</v>
      </c>
      <c r="Z39" s="4"/>
      <c r="AA39" s="4"/>
      <c r="AB39" s="4"/>
    </row>
    <row r="40" spans="1:28" x14ac:dyDescent="0.3">
      <c r="A40" s="4">
        <v>50</v>
      </c>
      <c r="B40" s="4">
        <v>0</v>
      </c>
      <c r="C40" s="4">
        <v>0</v>
      </c>
      <c r="D40" s="4">
        <v>1</v>
      </c>
      <c r="E40" s="4">
        <v>228</v>
      </c>
      <c r="F40" s="4">
        <f>ROUND(Source!AY32,O40)</f>
        <v>260240.02</v>
      </c>
      <c r="G40" s="4" t="s">
        <v>45</v>
      </c>
      <c r="H40" s="4" t="s">
        <v>46</v>
      </c>
      <c r="I40" s="4"/>
      <c r="J40" s="4"/>
      <c r="K40" s="4">
        <v>228</v>
      </c>
      <c r="L40" s="4">
        <v>7</v>
      </c>
      <c r="M40" s="4">
        <v>3</v>
      </c>
      <c r="N40" s="4" t="s">
        <v>3</v>
      </c>
      <c r="O40" s="4">
        <v>2</v>
      </c>
      <c r="P40" s="4"/>
      <c r="Q40" s="4"/>
      <c r="R40" s="4"/>
      <c r="S40" s="4"/>
      <c r="T40" s="4"/>
      <c r="U40" s="4"/>
      <c r="V40" s="4"/>
      <c r="W40" s="4">
        <v>260240.02</v>
      </c>
      <c r="X40" s="4">
        <v>1</v>
      </c>
      <c r="Y40" s="4">
        <v>260240.02</v>
      </c>
      <c r="Z40" s="4"/>
      <c r="AA40" s="4"/>
      <c r="AB40" s="4"/>
    </row>
    <row r="41" spans="1:28" x14ac:dyDescent="0.3">
      <c r="A41" s="4">
        <v>50</v>
      </c>
      <c r="B41" s="4">
        <v>0</v>
      </c>
      <c r="C41" s="4">
        <v>0</v>
      </c>
      <c r="D41" s="4">
        <v>1</v>
      </c>
      <c r="E41" s="4">
        <v>216</v>
      </c>
      <c r="F41" s="4">
        <f>ROUND(Source!AP32,O41)</f>
        <v>0</v>
      </c>
      <c r="G41" s="4" t="s">
        <v>47</v>
      </c>
      <c r="H41" s="4" t="s">
        <v>48</v>
      </c>
      <c r="I41" s="4"/>
      <c r="J41" s="4"/>
      <c r="K41" s="4">
        <v>216</v>
      </c>
      <c r="L41" s="4">
        <v>8</v>
      </c>
      <c r="M41" s="4">
        <v>3</v>
      </c>
      <c r="N41" s="4" t="s">
        <v>3</v>
      </c>
      <c r="O41" s="4">
        <v>2</v>
      </c>
      <c r="P41" s="4"/>
      <c r="Q41" s="4"/>
      <c r="R41" s="4"/>
      <c r="S41" s="4"/>
      <c r="T41" s="4"/>
      <c r="U41" s="4"/>
      <c r="V41" s="4"/>
      <c r="W41" s="4">
        <v>0</v>
      </c>
      <c r="X41" s="4">
        <v>1</v>
      </c>
      <c r="Y41" s="4">
        <v>0</v>
      </c>
      <c r="Z41" s="4"/>
      <c r="AA41" s="4"/>
      <c r="AB41" s="4"/>
    </row>
    <row r="42" spans="1:28" x14ac:dyDescent="0.3">
      <c r="A42" s="4">
        <v>50</v>
      </c>
      <c r="B42" s="4">
        <v>0</v>
      </c>
      <c r="C42" s="4">
        <v>0</v>
      </c>
      <c r="D42" s="4">
        <v>1</v>
      </c>
      <c r="E42" s="4">
        <v>223</v>
      </c>
      <c r="F42" s="4">
        <f>ROUND(Source!AQ32,O42)</f>
        <v>0</v>
      </c>
      <c r="G42" s="4" t="s">
        <v>49</v>
      </c>
      <c r="H42" s="4" t="s">
        <v>50</v>
      </c>
      <c r="I42" s="4"/>
      <c r="J42" s="4"/>
      <c r="K42" s="4">
        <v>223</v>
      </c>
      <c r="L42" s="4">
        <v>9</v>
      </c>
      <c r="M42" s="4">
        <v>3</v>
      </c>
      <c r="N42" s="4" t="s">
        <v>3</v>
      </c>
      <c r="O42" s="4">
        <v>2</v>
      </c>
      <c r="P42" s="4"/>
      <c r="Q42" s="4"/>
      <c r="R42" s="4"/>
      <c r="S42" s="4"/>
      <c r="T42" s="4"/>
      <c r="U42" s="4"/>
      <c r="V42" s="4"/>
      <c r="W42" s="4">
        <v>0</v>
      </c>
      <c r="X42" s="4">
        <v>1</v>
      </c>
      <c r="Y42" s="4">
        <v>0</v>
      </c>
      <c r="Z42" s="4"/>
      <c r="AA42" s="4"/>
      <c r="AB42" s="4"/>
    </row>
    <row r="43" spans="1:28" x14ac:dyDescent="0.3">
      <c r="A43" s="4">
        <v>50</v>
      </c>
      <c r="B43" s="4">
        <v>0</v>
      </c>
      <c r="C43" s="4">
        <v>0</v>
      </c>
      <c r="D43" s="4">
        <v>1</v>
      </c>
      <c r="E43" s="4">
        <v>229</v>
      </c>
      <c r="F43" s="4">
        <f>ROUND(Source!AZ32,O43)</f>
        <v>0</v>
      </c>
      <c r="G43" s="4" t="s">
        <v>51</v>
      </c>
      <c r="H43" s="4" t="s">
        <v>52</v>
      </c>
      <c r="I43" s="4"/>
      <c r="J43" s="4"/>
      <c r="K43" s="4">
        <v>229</v>
      </c>
      <c r="L43" s="4">
        <v>10</v>
      </c>
      <c r="M43" s="4">
        <v>3</v>
      </c>
      <c r="N43" s="4" t="s">
        <v>3</v>
      </c>
      <c r="O43" s="4">
        <v>2</v>
      </c>
      <c r="P43" s="4"/>
      <c r="Q43" s="4"/>
      <c r="R43" s="4"/>
      <c r="S43" s="4"/>
      <c r="T43" s="4"/>
      <c r="U43" s="4"/>
      <c r="V43" s="4"/>
      <c r="W43" s="4">
        <v>0</v>
      </c>
      <c r="X43" s="4">
        <v>1</v>
      </c>
      <c r="Y43" s="4">
        <v>0</v>
      </c>
      <c r="Z43" s="4"/>
      <c r="AA43" s="4"/>
      <c r="AB43" s="4"/>
    </row>
    <row r="44" spans="1:28" x14ac:dyDescent="0.3">
      <c r="A44" s="4">
        <v>50</v>
      </c>
      <c r="B44" s="4">
        <v>0</v>
      </c>
      <c r="C44" s="4">
        <v>0</v>
      </c>
      <c r="D44" s="4">
        <v>1</v>
      </c>
      <c r="E44" s="4">
        <v>203</v>
      </c>
      <c r="F44" s="4">
        <f>ROUND(Source!Q32,O44)</f>
        <v>96.57</v>
      </c>
      <c r="G44" s="4" t="s">
        <v>53</v>
      </c>
      <c r="H44" s="4" t="s">
        <v>54</v>
      </c>
      <c r="I44" s="4"/>
      <c r="J44" s="4"/>
      <c r="K44" s="4">
        <v>203</v>
      </c>
      <c r="L44" s="4">
        <v>11</v>
      </c>
      <c r="M44" s="4">
        <v>3</v>
      </c>
      <c r="N44" s="4" t="s">
        <v>3</v>
      </c>
      <c r="O44" s="4">
        <v>2</v>
      </c>
      <c r="P44" s="4"/>
      <c r="Q44" s="4"/>
      <c r="R44" s="4"/>
      <c r="S44" s="4"/>
      <c r="T44" s="4"/>
      <c r="U44" s="4"/>
      <c r="V44" s="4"/>
      <c r="W44" s="4">
        <v>96.57</v>
      </c>
      <c r="X44" s="4">
        <v>1</v>
      </c>
      <c r="Y44" s="4">
        <v>96.57</v>
      </c>
      <c r="Z44" s="4"/>
      <c r="AA44" s="4"/>
      <c r="AB44" s="4"/>
    </row>
    <row r="45" spans="1:28" x14ac:dyDescent="0.3">
      <c r="A45" s="4">
        <v>50</v>
      </c>
      <c r="B45" s="4">
        <v>0</v>
      </c>
      <c r="C45" s="4">
        <v>0</v>
      </c>
      <c r="D45" s="4">
        <v>1</v>
      </c>
      <c r="E45" s="4">
        <v>231</v>
      </c>
      <c r="F45" s="4">
        <f>ROUND(Source!BB32,O45)</f>
        <v>0</v>
      </c>
      <c r="G45" s="4" t="s">
        <v>55</v>
      </c>
      <c r="H45" s="4" t="s">
        <v>56</v>
      </c>
      <c r="I45" s="4"/>
      <c r="J45" s="4"/>
      <c r="K45" s="4">
        <v>231</v>
      </c>
      <c r="L45" s="4">
        <v>12</v>
      </c>
      <c r="M45" s="4">
        <v>3</v>
      </c>
      <c r="N45" s="4" t="s">
        <v>3</v>
      </c>
      <c r="O45" s="4">
        <v>2</v>
      </c>
      <c r="P45" s="4"/>
      <c r="Q45" s="4"/>
      <c r="R45" s="4"/>
      <c r="S45" s="4"/>
      <c r="T45" s="4"/>
      <c r="U45" s="4"/>
      <c r="V45" s="4"/>
      <c r="W45" s="4">
        <v>0</v>
      </c>
      <c r="X45" s="4">
        <v>1</v>
      </c>
      <c r="Y45" s="4">
        <v>0</v>
      </c>
      <c r="Z45" s="4"/>
      <c r="AA45" s="4"/>
      <c r="AB45" s="4"/>
    </row>
    <row r="46" spans="1:28" x14ac:dyDescent="0.3">
      <c r="A46" s="4">
        <v>50</v>
      </c>
      <c r="B46" s="4">
        <v>0</v>
      </c>
      <c r="C46" s="4">
        <v>0</v>
      </c>
      <c r="D46" s="4">
        <v>1</v>
      </c>
      <c r="E46" s="4">
        <v>204</v>
      </c>
      <c r="F46" s="4">
        <f>ROUND(Source!R32,O46)</f>
        <v>0.87</v>
      </c>
      <c r="G46" s="4" t="s">
        <v>57</v>
      </c>
      <c r="H46" s="4" t="s">
        <v>58</v>
      </c>
      <c r="I46" s="4"/>
      <c r="J46" s="4"/>
      <c r="K46" s="4">
        <v>204</v>
      </c>
      <c r="L46" s="4">
        <v>13</v>
      </c>
      <c r="M46" s="4">
        <v>3</v>
      </c>
      <c r="N46" s="4" t="s">
        <v>3</v>
      </c>
      <c r="O46" s="4">
        <v>2</v>
      </c>
      <c r="P46" s="4"/>
      <c r="Q46" s="4"/>
      <c r="R46" s="4"/>
      <c r="S46" s="4"/>
      <c r="T46" s="4"/>
      <c r="U46" s="4"/>
      <c r="V46" s="4"/>
      <c r="W46" s="4">
        <v>0.87</v>
      </c>
      <c r="X46" s="4">
        <v>1</v>
      </c>
      <c r="Y46" s="4">
        <v>0.87</v>
      </c>
      <c r="Z46" s="4"/>
      <c r="AA46" s="4"/>
      <c r="AB46" s="4"/>
    </row>
    <row r="47" spans="1:28" x14ac:dyDescent="0.3">
      <c r="A47" s="4">
        <v>50</v>
      </c>
      <c r="B47" s="4">
        <v>0</v>
      </c>
      <c r="C47" s="4">
        <v>0</v>
      </c>
      <c r="D47" s="4">
        <v>1</v>
      </c>
      <c r="E47" s="4">
        <v>205</v>
      </c>
      <c r="F47" s="4">
        <f>ROUND(Source!S32,O47)</f>
        <v>40573.93</v>
      </c>
      <c r="G47" s="4" t="s">
        <v>59</v>
      </c>
      <c r="H47" s="4" t="s">
        <v>60</v>
      </c>
      <c r="I47" s="4"/>
      <c r="J47" s="4"/>
      <c r="K47" s="4">
        <v>205</v>
      </c>
      <c r="L47" s="4">
        <v>14</v>
      </c>
      <c r="M47" s="4">
        <v>3</v>
      </c>
      <c r="N47" s="4" t="s">
        <v>3</v>
      </c>
      <c r="O47" s="4">
        <v>2</v>
      </c>
      <c r="P47" s="4"/>
      <c r="Q47" s="4"/>
      <c r="R47" s="4"/>
      <c r="S47" s="4"/>
      <c r="T47" s="4"/>
      <c r="U47" s="4"/>
      <c r="V47" s="4"/>
      <c r="W47" s="4">
        <v>40573.93</v>
      </c>
      <c r="X47" s="4">
        <v>1</v>
      </c>
      <c r="Y47" s="4">
        <v>40573.93</v>
      </c>
      <c r="Z47" s="4"/>
      <c r="AA47" s="4"/>
      <c r="AB47" s="4"/>
    </row>
    <row r="48" spans="1:28" x14ac:dyDescent="0.3">
      <c r="A48" s="4">
        <v>50</v>
      </c>
      <c r="B48" s="4">
        <v>0</v>
      </c>
      <c r="C48" s="4">
        <v>0</v>
      </c>
      <c r="D48" s="4">
        <v>1</v>
      </c>
      <c r="E48" s="4">
        <v>232</v>
      </c>
      <c r="F48" s="4">
        <f>ROUND(Source!BC32,O48)</f>
        <v>0</v>
      </c>
      <c r="G48" s="4" t="s">
        <v>61</v>
      </c>
      <c r="H48" s="4" t="s">
        <v>62</v>
      </c>
      <c r="I48" s="4"/>
      <c r="J48" s="4"/>
      <c r="K48" s="4">
        <v>232</v>
      </c>
      <c r="L48" s="4">
        <v>15</v>
      </c>
      <c r="M48" s="4">
        <v>3</v>
      </c>
      <c r="N48" s="4" t="s">
        <v>3</v>
      </c>
      <c r="O48" s="4">
        <v>2</v>
      </c>
      <c r="P48" s="4"/>
      <c r="Q48" s="4"/>
      <c r="R48" s="4"/>
      <c r="S48" s="4"/>
      <c r="T48" s="4"/>
      <c r="U48" s="4"/>
      <c r="V48" s="4"/>
      <c r="W48" s="4">
        <v>0</v>
      </c>
      <c r="X48" s="4">
        <v>1</v>
      </c>
      <c r="Y48" s="4">
        <v>0</v>
      </c>
      <c r="Z48" s="4"/>
      <c r="AA48" s="4"/>
      <c r="AB48" s="4"/>
    </row>
    <row r="49" spans="1:28" x14ac:dyDescent="0.3">
      <c r="A49" s="4">
        <v>50</v>
      </c>
      <c r="B49" s="4">
        <v>0</v>
      </c>
      <c r="C49" s="4">
        <v>0</v>
      </c>
      <c r="D49" s="4">
        <v>1</v>
      </c>
      <c r="E49" s="4">
        <v>214</v>
      </c>
      <c r="F49" s="4">
        <f>ROUND(Source!AS32,O49)</f>
        <v>0</v>
      </c>
      <c r="G49" s="4" t="s">
        <v>63</v>
      </c>
      <c r="H49" s="4" t="s">
        <v>64</v>
      </c>
      <c r="I49" s="4"/>
      <c r="J49" s="4"/>
      <c r="K49" s="4">
        <v>214</v>
      </c>
      <c r="L49" s="4">
        <v>16</v>
      </c>
      <c r="M49" s="4">
        <v>3</v>
      </c>
      <c r="N49" s="4" t="s">
        <v>3</v>
      </c>
      <c r="O49" s="4">
        <v>2</v>
      </c>
      <c r="P49" s="4"/>
      <c r="Q49" s="4"/>
      <c r="R49" s="4"/>
      <c r="S49" s="4"/>
      <c r="T49" s="4"/>
      <c r="U49" s="4"/>
      <c r="V49" s="4"/>
      <c r="W49" s="4">
        <v>0</v>
      </c>
      <c r="X49" s="4">
        <v>1</v>
      </c>
      <c r="Y49" s="4">
        <v>0</v>
      </c>
      <c r="Z49" s="4"/>
      <c r="AA49" s="4"/>
      <c r="AB49" s="4"/>
    </row>
    <row r="50" spans="1:28" x14ac:dyDescent="0.3">
      <c r="A50" s="4">
        <v>50</v>
      </c>
      <c r="B50" s="4">
        <v>0</v>
      </c>
      <c r="C50" s="4">
        <v>0</v>
      </c>
      <c r="D50" s="4">
        <v>1</v>
      </c>
      <c r="E50" s="4">
        <v>215</v>
      </c>
      <c r="F50" s="4">
        <f>ROUND(Source!AT32,O50)</f>
        <v>0</v>
      </c>
      <c r="G50" s="4" t="s">
        <v>65</v>
      </c>
      <c r="H50" s="4" t="s">
        <v>66</v>
      </c>
      <c r="I50" s="4"/>
      <c r="J50" s="4"/>
      <c r="K50" s="4">
        <v>215</v>
      </c>
      <c r="L50" s="4">
        <v>17</v>
      </c>
      <c r="M50" s="4">
        <v>3</v>
      </c>
      <c r="N50" s="4" t="s">
        <v>3</v>
      </c>
      <c r="O50" s="4">
        <v>2</v>
      </c>
      <c r="P50" s="4"/>
      <c r="Q50" s="4"/>
      <c r="R50" s="4"/>
      <c r="S50" s="4"/>
      <c r="T50" s="4"/>
      <c r="U50" s="4"/>
      <c r="V50" s="4"/>
      <c r="W50" s="4">
        <v>0</v>
      </c>
      <c r="X50" s="4">
        <v>1</v>
      </c>
      <c r="Y50" s="4">
        <v>0</v>
      </c>
      <c r="Z50" s="4"/>
      <c r="AA50" s="4"/>
      <c r="AB50" s="4"/>
    </row>
    <row r="51" spans="1:28" x14ac:dyDescent="0.3">
      <c r="A51" s="4">
        <v>50</v>
      </c>
      <c r="B51" s="4">
        <v>0</v>
      </c>
      <c r="C51" s="4">
        <v>0</v>
      </c>
      <c r="D51" s="4">
        <v>1</v>
      </c>
      <c r="E51" s="4">
        <v>217</v>
      </c>
      <c r="F51" s="4">
        <f>ROUND(Source!AU32,O51)</f>
        <v>333370.59999999998</v>
      </c>
      <c r="G51" s="4" t="s">
        <v>67</v>
      </c>
      <c r="H51" s="4" t="s">
        <v>68</v>
      </c>
      <c r="I51" s="4"/>
      <c r="J51" s="4"/>
      <c r="K51" s="4">
        <v>217</v>
      </c>
      <c r="L51" s="4">
        <v>18</v>
      </c>
      <c r="M51" s="4">
        <v>3</v>
      </c>
      <c r="N51" s="4" t="s">
        <v>3</v>
      </c>
      <c r="O51" s="4">
        <v>2</v>
      </c>
      <c r="P51" s="4"/>
      <c r="Q51" s="4"/>
      <c r="R51" s="4"/>
      <c r="S51" s="4"/>
      <c r="T51" s="4"/>
      <c r="U51" s="4"/>
      <c r="V51" s="4"/>
      <c r="W51" s="4">
        <v>333370.59999999998</v>
      </c>
      <c r="X51" s="4">
        <v>1</v>
      </c>
      <c r="Y51" s="4">
        <v>333370.59999999998</v>
      </c>
      <c r="Z51" s="4"/>
      <c r="AA51" s="4"/>
      <c r="AB51" s="4"/>
    </row>
    <row r="52" spans="1:28" x14ac:dyDescent="0.3">
      <c r="A52" s="4">
        <v>50</v>
      </c>
      <c r="B52" s="4">
        <v>0</v>
      </c>
      <c r="C52" s="4">
        <v>0</v>
      </c>
      <c r="D52" s="4">
        <v>1</v>
      </c>
      <c r="E52" s="4">
        <v>230</v>
      </c>
      <c r="F52" s="4">
        <f>ROUND(Source!BA32,O52)</f>
        <v>0</v>
      </c>
      <c r="G52" s="4" t="s">
        <v>69</v>
      </c>
      <c r="H52" s="4" t="s">
        <v>70</v>
      </c>
      <c r="I52" s="4"/>
      <c r="J52" s="4"/>
      <c r="K52" s="4">
        <v>230</v>
      </c>
      <c r="L52" s="4">
        <v>19</v>
      </c>
      <c r="M52" s="4">
        <v>3</v>
      </c>
      <c r="N52" s="4" t="s">
        <v>3</v>
      </c>
      <c r="O52" s="4">
        <v>2</v>
      </c>
      <c r="P52" s="4"/>
      <c r="Q52" s="4"/>
      <c r="R52" s="4"/>
      <c r="S52" s="4"/>
      <c r="T52" s="4"/>
      <c r="U52" s="4"/>
      <c r="V52" s="4"/>
      <c r="W52" s="4">
        <v>0</v>
      </c>
      <c r="X52" s="4">
        <v>1</v>
      </c>
      <c r="Y52" s="4">
        <v>0</v>
      </c>
      <c r="Z52" s="4"/>
      <c r="AA52" s="4"/>
      <c r="AB52" s="4"/>
    </row>
    <row r="53" spans="1:28" x14ac:dyDescent="0.3">
      <c r="A53" s="4">
        <v>50</v>
      </c>
      <c r="B53" s="4">
        <v>0</v>
      </c>
      <c r="C53" s="4">
        <v>0</v>
      </c>
      <c r="D53" s="4">
        <v>1</v>
      </c>
      <c r="E53" s="4">
        <v>206</v>
      </c>
      <c r="F53" s="4">
        <f>ROUND(Source!T32,O53)</f>
        <v>0</v>
      </c>
      <c r="G53" s="4" t="s">
        <v>71</v>
      </c>
      <c r="H53" s="4" t="s">
        <v>72</v>
      </c>
      <c r="I53" s="4"/>
      <c r="J53" s="4"/>
      <c r="K53" s="4">
        <v>206</v>
      </c>
      <c r="L53" s="4">
        <v>20</v>
      </c>
      <c r="M53" s="4">
        <v>3</v>
      </c>
      <c r="N53" s="4" t="s">
        <v>3</v>
      </c>
      <c r="O53" s="4">
        <v>2</v>
      </c>
      <c r="P53" s="4"/>
      <c r="Q53" s="4"/>
      <c r="R53" s="4"/>
      <c r="S53" s="4"/>
      <c r="T53" s="4"/>
      <c r="U53" s="4"/>
      <c r="V53" s="4"/>
      <c r="W53" s="4">
        <v>0</v>
      </c>
      <c r="X53" s="4">
        <v>1</v>
      </c>
      <c r="Y53" s="4">
        <v>0</v>
      </c>
      <c r="Z53" s="4"/>
      <c r="AA53" s="4"/>
      <c r="AB53" s="4"/>
    </row>
    <row r="54" spans="1:28" x14ac:dyDescent="0.3">
      <c r="A54" s="4">
        <v>50</v>
      </c>
      <c r="B54" s="4">
        <v>0</v>
      </c>
      <c r="C54" s="4">
        <v>0</v>
      </c>
      <c r="D54" s="4">
        <v>1</v>
      </c>
      <c r="E54" s="4">
        <v>207</v>
      </c>
      <c r="F54" s="4">
        <f>Source!U32</f>
        <v>63.54</v>
      </c>
      <c r="G54" s="4" t="s">
        <v>73</v>
      </c>
      <c r="H54" s="4" t="s">
        <v>74</v>
      </c>
      <c r="I54" s="4"/>
      <c r="J54" s="4"/>
      <c r="K54" s="4">
        <v>207</v>
      </c>
      <c r="L54" s="4">
        <v>21</v>
      </c>
      <c r="M54" s="4">
        <v>3</v>
      </c>
      <c r="N54" s="4" t="s">
        <v>3</v>
      </c>
      <c r="O54" s="4">
        <v>-1</v>
      </c>
      <c r="P54" s="4"/>
      <c r="Q54" s="4"/>
      <c r="R54" s="4"/>
      <c r="S54" s="4"/>
      <c r="T54" s="4"/>
      <c r="U54" s="4"/>
      <c r="V54" s="4"/>
      <c r="W54" s="4">
        <v>63.54</v>
      </c>
      <c r="X54" s="4">
        <v>1</v>
      </c>
      <c r="Y54" s="4">
        <v>63.54</v>
      </c>
      <c r="Z54" s="4"/>
      <c r="AA54" s="4"/>
      <c r="AB54" s="4"/>
    </row>
    <row r="55" spans="1:28" x14ac:dyDescent="0.3">
      <c r="A55" s="4">
        <v>50</v>
      </c>
      <c r="B55" s="4">
        <v>0</v>
      </c>
      <c r="C55" s="4">
        <v>0</v>
      </c>
      <c r="D55" s="4">
        <v>1</v>
      </c>
      <c r="E55" s="4">
        <v>208</v>
      </c>
      <c r="F55" s="4">
        <f>Source!V32</f>
        <v>0</v>
      </c>
      <c r="G55" s="4" t="s">
        <v>75</v>
      </c>
      <c r="H55" s="4" t="s">
        <v>76</v>
      </c>
      <c r="I55" s="4"/>
      <c r="J55" s="4"/>
      <c r="K55" s="4">
        <v>208</v>
      </c>
      <c r="L55" s="4">
        <v>22</v>
      </c>
      <c r="M55" s="4">
        <v>3</v>
      </c>
      <c r="N55" s="4" t="s">
        <v>3</v>
      </c>
      <c r="O55" s="4">
        <v>-1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8" x14ac:dyDescent="0.3">
      <c r="A56" s="4">
        <v>50</v>
      </c>
      <c r="B56" s="4">
        <v>0</v>
      </c>
      <c r="C56" s="4">
        <v>0</v>
      </c>
      <c r="D56" s="4">
        <v>1</v>
      </c>
      <c r="E56" s="4">
        <v>209</v>
      </c>
      <c r="F56" s="4">
        <f>ROUND(Source!W32,O56)</f>
        <v>0</v>
      </c>
      <c r="G56" s="4" t="s">
        <v>77</v>
      </c>
      <c r="H56" s="4" t="s">
        <v>78</v>
      </c>
      <c r="I56" s="4"/>
      <c r="J56" s="4"/>
      <c r="K56" s="4">
        <v>209</v>
      </c>
      <c r="L56" s="4">
        <v>23</v>
      </c>
      <c r="M56" s="4">
        <v>3</v>
      </c>
      <c r="N56" s="4" t="s">
        <v>3</v>
      </c>
      <c r="O56" s="4">
        <v>2</v>
      </c>
      <c r="P56" s="4"/>
      <c r="Q56" s="4"/>
      <c r="R56" s="4"/>
      <c r="S56" s="4"/>
      <c r="T56" s="4"/>
      <c r="U56" s="4"/>
      <c r="V56" s="4"/>
      <c r="W56" s="4">
        <v>0</v>
      </c>
      <c r="X56" s="4">
        <v>1</v>
      </c>
      <c r="Y56" s="4">
        <v>0</v>
      </c>
      <c r="Z56" s="4"/>
      <c r="AA56" s="4"/>
      <c r="AB56" s="4"/>
    </row>
    <row r="57" spans="1:28" x14ac:dyDescent="0.3">
      <c r="A57" s="4">
        <v>50</v>
      </c>
      <c r="B57" s="4">
        <v>0</v>
      </c>
      <c r="C57" s="4">
        <v>0</v>
      </c>
      <c r="D57" s="4">
        <v>1</v>
      </c>
      <c r="E57" s="4">
        <v>233</v>
      </c>
      <c r="F57" s="4">
        <f>ROUND(Source!BD32,O57)</f>
        <v>0</v>
      </c>
      <c r="G57" s="4" t="s">
        <v>79</v>
      </c>
      <c r="H57" s="4" t="s">
        <v>80</v>
      </c>
      <c r="I57" s="4"/>
      <c r="J57" s="4"/>
      <c r="K57" s="4">
        <v>233</v>
      </c>
      <c r="L57" s="4">
        <v>24</v>
      </c>
      <c r="M57" s="4">
        <v>3</v>
      </c>
      <c r="N57" s="4" t="s">
        <v>3</v>
      </c>
      <c r="O57" s="4">
        <v>2</v>
      </c>
      <c r="P57" s="4"/>
      <c r="Q57" s="4"/>
      <c r="R57" s="4"/>
      <c r="S57" s="4"/>
      <c r="T57" s="4"/>
      <c r="U57" s="4"/>
      <c r="V57" s="4"/>
      <c r="W57" s="4">
        <v>0</v>
      </c>
      <c r="X57" s="4">
        <v>1</v>
      </c>
      <c r="Y57" s="4">
        <v>0</v>
      </c>
      <c r="Z57" s="4"/>
      <c r="AA57" s="4"/>
      <c r="AB57" s="4"/>
    </row>
    <row r="58" spans="1:28" x14ac:dyDescent="0.3">
      <c r="A58" s="4">
        <v>50</v>
      </c>
      <c r="B58" s="4">
        <v>0</v>
      </c>
      <c r="C58" s="4">
        <v>0</v>
      </c>
      <c r="D58" s="4">
        <v>1</v>
      </c>
      <c r="E58" s="4">
        <v>210</v>
      </c>
      <c r="F58" s="4">
        <f>ROUND(Source!X32,O58)</f>
        <v>28401.75</v>
      </c>
      <c r="G58" s="4" t="s">
        <v>81</v>
      </c>
      <c r="H58" s="4" t="s">
        <v>82</v>
      </c>
      <c r="I58" s="4"/>
      <c r="J58" s="4"/>
      <c r="K58" s="4">
        <v>210</v>
      </c>
      <c r="L58" s="4">
        <v>25</v>
      </c>
      <c r="M58" s="4">
        <v>3</v>
      </c>
      <c r="N58" s="4" t="s">
        <v>3</v>
      </c>
      <c r="O58" s="4">
        <v>2</v>
      </c>
      <c r="P58" s="4"/>
      <c r="Q58" s="4"/>
      <c r="R58" s="4"/>
      <c r="S58" s="4"/>
      <c r="T58" s="4"/>
      <c r="U58" s="4"/>
      <c r="V58" s="4"/>
      <c r="W58" s="4">
        <v>28401.75</v>
      </c>
      <c r="X58" s="4">
        <v>1</v>
      </c>
      <c r="Y58" s="4">
        <v>28401.75</v>
      </c>
      <c r="Z58" s="4"/>
      <c r="AA58" s="4"/>
      <c r="AB58" s="4"/>
    </row>
    <row r="59" spans="1:28" x14ac:dyDescent="0.3">
      <c r="A59" s="4">
        <v>50</v>
      </c>
      <c r="B59" s="4">
        <v>0</v>
      </c>
      <c r="C59" s="4">
        <v>0</v>
      </c>
      <c r="D59" s="4">
        <v>1</v>
      </c>
      <c r="E59" s="4">
        <v>211</v>
      </c>
      <c r="F59" s="4">
        <f>ROUND(Source!Y32,O59)</f>
        <v>4057.39</v>
      </c>
      <c r="G59" s="4" t="s">
        <v>83</v>
      </c>
      <c r="H59" s="4" t="s">
        <v>84</v>
      </c>
      <c r="I59" s="4"/>
      <c r="J59" s="4"/>
      <c r="K59" s="4">
        <v>211</v>
      </c>
      <c r="L59" s="4">
        <v>26</v>
      </c>
      <c r="M59" s="4">
        <v>3</v>
      </c>
      <c r="N59" s="4" t="s">
        <v>3</v>
      </c>
      <c r="O59" s="4">
        <v>2</v>
      </c>
      <c r="P59" s="4"/>
      <c r="Q59" s="4"/>
      <c r="R59" s="4"/>
      <c r="S59" s="4"/>
      <c r="T59" s="4"/>
      <c r="U59" s="4"/>
      <c r="V59" s="4"/>
      <c r="W59" s="4">
        <v>4057.39</v>
      </c>
      <c r="X59" s="4">
        <v>1</v>
      </c>
      <c r="Y59" s="4">
        <v>4057.39</v>
      </c>
      <c r="Z59" s="4"/>
      <c r="AA59" s="4"/>
      <c r="AB59" s="4"/>
    </row>
    <row r="60" spans="1:28" x14ac:dyDescent="0.3">
      <c r="A60" s="4">
        <v>50</v>
      </c>
      <c r="B60" s="4">
        <v>0</v>
      </c>
      <c r="C60" s="4">
        <v>0</v>
      </c>
      <c r="D60" s="4">
        <v>1</v>
      </c>
      <c r="E60" s="4">
        <v>224</v>
      </c>
      <c r="F60" s="4">
        <f>ROUND(Source!AR32,O60)</f>
        <v>333370.59999999998</v>
      </c>
      <c r="G60" s="4" t="s">
        <v>85</v>
      </c>
      <c r="H60" s="4" t="s">
        <v>86</v>
      </c>
      <c r="I60" s="4"/>
      <c r="J60" s="4"/>
      <c r="K60" s="4">
        <v>224</v>
      </c>
      <c r="L60" s="4">
        <v>27</v>
      </c>
      <c r="M60" s="4">
        <v>3</v>
      </c>
      <c r="N60" s="4" t="s">
        <v>3</v>
      </c>
      <c r="O60" s="4">
        <v>2</v>
      </c>
      <c r="P60" s="4"/>
      <c r="Q60" s="4"/>
      <c r="R60" s="4"/>
      <c r="S60" s="4"/>
      <c r="T60" s="4"/>
      <c r="U60" s="4"/>
      <c r="V60" s="4"/>
      <c r="W60" s="4">
        <v>333370.59999999998</v>
      </c>
      <c r="X60" s="4">
        <v>1</v>
      </c>
      <c r="Y60" s="4">
        <v>333370.59999999998</v>
      </c>
      <c r="Z60" s="4"/>
      <c r="AA60" s="4"/>
      <c r="AB60" s="4"/>
    </row>
    <row r="61" spans="1:28" x14ac:dyDescent="0.3">
      <c r="A61" s="4">
        <v>50</v>
      </c>
      <c r="B61" s="4">
        <v>1</v>
      </c>
      <c r="C61" s="4">
        <v>0</v>
      </c>
      <c r="D61" s="4">
        <v>2</v>
      </c>
      <c r="E61" s="4">
        <v>0</v>
      </c>
      <c r="F61" s="4">
        <f>ROUND(F60,O61)</f>
        <v>333370.59999999998</v>
      </c>
      <c r="G61" s="4" t="s">
        <v>87</v>
      </c>
      <c r="H61" s="4" t="s">
        <v>88</v>
      </c>
      <c r="I61" s="4"/>
      <c r="J61" s="4"/>
      <c r="K61" s="4">
        <v>212</v>
      </c>
      <c r="L61" s="4">
        <v>28</v>
      </c>
      <c r="M61" s="4">
        <v>0</v>
      </c>
      <c r="N61" s="4" t="s">
        <v>3</v>
      </c>
      <c r="O61" s="4">
        <v>2</v>
      </c>
      <c r="P61" s="4"/>
      <c r="Q61" s="4"/>
      <c r="R61" s="4"/>
      <c r="S61" s="4"/>
      <c r="T61" s="4"/>
      <c r="U61" s="4"/>
      <c r="V61" s="4"/>
      <c r="W61" s="4">
        <v>333370.59999999998</v>
      </c>
      <c r="X61" s="4">
        <v>1</v>
      </c>
      <c r="Y61" s="4">
        <v>333370.59999999998</v>
      </c>
      <c r="Z61" s="4"/>
      <c r="AA61" s="4"/>
      <c r="AB61" s="4"/>
    </row>
    <row r="62" spans="1:28" x14ac:dyDescent="0.3">
      <c r="A62" s="4">
        <v>50</v>
      </c>
      <c r="B62" s="4">
        <v>1</v>
      </c>
      <c r="C62" s="4">
        <v>0</v>
      </c>
      <c r="D62" s="4">
        <v>2</v>
      </c>
      <c r="E62" s="4">
        <v>0</v>
      </c>
      <c r="F62" s="4">
        <f>ROUND(F61*0.22,O62)</f>
        <v>73341.53</v>
      </c>
      <c r="G62" s="4" t="s">
        <v>89</v>
      </c>
      <c r="H62" s="4" t="s">
        <v>90</v>
      </c>
      <c r="I62" s="4"/>
      <c r="J62" s="4"/>
      <c r="K62" s="4">
        <v>212</v>
      </c>
      <c r="L62" s="4">
        <v>29</v>
      </c>
      <c r="M62" s="4">
        <v>0</v>
      </c>
      <c r="N62" s="4" t="s">
        <v>3</v>
      </c>
      <c r="O62" s="4">
        <v>2</v>
      </c>
      <c r="P62" s="4"/>
      <c r="Q62" s="4"/>
      <c r="R62" s="4"/>
      <c r="S62" s="4"/>
      <c r="T62" s="4"/>
      <c r="U62" s="4"/>
      <c r="V62" s="4"/>
      <c r="W62" s="4">
        <v>73341.53</v>
      </c>
      <c r="X62" s="4">
        <v>1</v>
      </c>
      <c r="Y62" s="4">
        <v>73341.53</v>
      </c>
      <c r="Z62" s="4"/>
      <c r="AA62" s="4"/>
      <c r="AB62" s="4"/>
    </row>
    <row r="63" spans="1:28" x14ac:dyDescent="0.3">
      <c r="A63" s="4">
        <v>50</v>
      </c>
      <c r="B63" s="4">
        <v>1</v>
      </c>
      <c r="C63" s="4">
        <v>0</v>
      </c>
      <c r="D63" s="4">
        <v>2</v>
      </c>
      <c r="E63" s="4">
        <v>213</v>
      </c>
      <c r="F63" s="4">
        <f>ROUND(F61+F62,O63)</f>
        <v>406712.13</v>
      </c>
      <c r="G63" s="4" t="s">
        <v>91</v>
      </c>
      <c r="H63" s="4" t="s">
        <v>85</v>
      </c>
      <c r="I63" s="4"/>
      <c r="J63" s="4"/>
      <c r="K63" s="4">
        <v>212</v>
      </c>
      <c r="L63" s="4">
        <v>30</v>
      </c>
      <c r="M63" s="4">
        <v>0</v>
      </c>
      <c r="N63" s="4" t="s">
        <v>3</v>
      </c>
      <c r="O63" s="4">
        <v>2</v>
      </c>
      <c r="P63" s="4"/>
      <c r="Q63" s="4"/>
      <c r="R63" s="4"/>
      <c r="S63" s="4"/>
      <c r="T63" s="4"/>
      <c r="U63" s="4"/>
      <c r="V63" s="4"/>
      <c r="W63" s="4">
        <v>406712.13</v>
      </c>
      <c r="X63" s="4">
        <v>1</v>
      </c>
      <c r="Y63" s="4">
        <v>406712.13</v>
      </c>
      <c r="Z63" s="4"/>
      <c r="AA63" s="4"/>
      <c r="AB63" s="4"/>
    </row>
    <row r="65" spans="1:245" x14ac:dyDescent="0.3">
      <c r="A65" s="1">
        <v>4</v>
      </c>
      <c r="B65" s="1">
        <v>1</v>
      </c>
      <c r="C65" s="1"/>
      <c r="D65" s="1">
        <f>ROW(A73)</f>
        <v>73</v>
      </c>
      <c r="E65" s="1"/>
      <c r="F65" s="1" t="s">
        <v>14</v>
      </c>
      <c r="G65" s="1" t="s">
        <v>92</v>
      </c>
      <c r="H65" s="1" t="s">
        <v>3</v>
      </c>
      <c r="I65" s="1">
        <v>0</v>
      </c>
      <c r="J65" s="1"/>
      <c r="K65" s="1">
        <v>0</v>
      </c>
      <c r="L65" s="1"/>
      <c r="M65" s="1" t="s">
        <v>3</v>
      </c>
      <c r="N65" s="1"/>
      <c r="O65" s="1"/>
      <c r="P65" s="1"/>
      <c r="Q65" s="1"/>
      <c r="R65" s="1"/>
      <c r="S65" s="1">
        <v>0</v>
      </c>
      <c r="T65" s="1"/>
      <c r="U65" s="1" t="s">
        <v>3</v>
      </c>
      <c r="V65" s="1">
        <v>0</v>
      </c>
      <c r="W65" s="1"/>
      <c r="X65" s="1"/>
      <c r="Y65" s="1"/>
      <c r="Z65" s="1"/>
      <c r="AA65" s="1"/>
      <c r="AB65" s="1" t="s">
        <v>3</v>
      </c>
      <c r="AC65" s="1" t="s">
        <v>3</v>
      </c>
      <c r="AD65" s="1" t="s">
        <v>3</v>
      </c>
      <c r="AE65" s="1" t="s">
        <v>3</v>
      </c>
      <c r="AF65" s="1" t="s">
        <v>3</v>
      </c>
      <c r="AG65" s="1" t="s">
        <v>3</v>
      </c>
      <c r="AH65" s="1"/>
      <c r="AI65" s="1"/>
      <c r="AJ65" s="1"/>
      <c r="AK65" s="1"/>
      <c r="AL65" s="1"/>
      <c r="AM65" s="1"/>
      <c r="AN65" s="1"/>
      <c r="AO65" s="1"/>
      <c r="AP65" s="1" t="s">
        <v>3</v>
      </c>
      <c r="AQ65" s="1" t="s">
        <v>3</v>
      </c>
      <c r="AR65" s="1" t="s">
        <v>3</v>
      </c>
      <c r="AS65" s="1"/>
      <c r="AT65" s="1"/>
      <c r="AU65" s="1"/>
      <c r="AV65" s="1"/>
      <c r="AW65" s="1"/>
      <c r="AX65" s="1"/>
      <c r="AY65" s="1"/>
      <c r="AZ65" s="1" t="s">
        <v>3</v>
      </c>
      <c r="BA65" s="1"/>
      <c r="BB65" s="1" t="s">
        <v>3</v>
      </c>
      <c r="BC65" s="1" t="s">
        <v>3</v>
      </c>
      <c r="BD65" s="1" t="s">
        <v>3</v>
      </c>
      <c r="BE65" s="1" t="s">
        <v>3</v>
      </c>
      <c r="BF65" s="1" t="s">
        <v>3</v>
      </c>
      <c r="BG65" s="1" t="s">
        <v>3</v>
      </c>
      <c r="BH65" s="1" t="s">
        <v>3</v>
      </c>
      <c r="BI65" s="1" t="s">
        <v>3</v>
      </c>
      <c r="BJ65" s="1" t="s">
        <v>3</v>
      </c>
      <c r="BK65" s="1" t="s">
        <v>3</v>
      </c>
      <c r="BL65" s="1" t="s">
        <v>3</v>
      </c>
      <c r="BM65" s="1" t="s">
        <v>3</v>
      </c>
      <c r="BN65" s="1" t="s">
        <v>3</v>
      </c>
      <c r="BO65" s="1" t="s">
        <v>3</v>
      </c>
      <c r="BP65" s="1" t="s">
        <v>3</v>
      </c>
      <c r="BQ65" s="1"/>
      <c r="BR65" s="1"/>
      <c r="BS65" s="1"/>
      <c r="BT65" s="1"/>
      <c r="BU65" s="1"/>
      <c r="BV65" s="1"/>
      <c r="BW65" s="1"/>
      <c r="BX65" s="1">
        <v>0</v>
      </c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>
        <v>0</v>
      </c>
    </row>
    <row r="67" spans="1:245" x14ac:dyDescent="0.3">
      <c r="A67" s="2">
        <v>52</v>
      </c>
      <c r="B67" s="2">
        <f t="shared" ref="B67:G67" si="27">B73</f>
        <v>1</v>
      </c>
      <c r="C67" s="2">
        <f t="shared" si="27"/>
        <v>4</v>
      </c>
      <c r="D67" s="2">
        <f t="shared" si="27"/>
        <v>65</v>
      </c>
      <c r="E67" s="2">
        <f t="shared" si="27"/>
        <v>0</v>
      </c>
      <c r="F67" s="2" t="str">
        <f t="shared" si="27"/>
        <v>Новый раздел</v>
      </c>
      <c r="G67" s="2" t="str">
        <f t="shared" si="27"/>
        <v>ГВС I - N35 - 23 пластинs - вес 446 кг.</v>
      </c>
      <c r="H67" s="2"/>
      <c r="I67" s="2"/>
      <c r="J67" s="2"/>
      <c r="K67" s="2"/>
      <c r="L67" s="2"/>
      <c r="M67" s="2"/>
      <c r="N67" s="2"/>
      <c r="O67" s="2">
        <f t="shared" ref="O67:AT67" si="28">O73</f>
        <v>71100.92</v>
      </c>
      <c r="P67" s="2">
        <f t="shared" si="28"/>
        <v>59108.82</v>
      </c>
      <c r="Q67" s="2">
        <f t="shared" si="28"/>
        <v>25.53</v>
      </c>
      <c r="R67" s="2">
        <f t="shared" si="28"/>
        <v>0.23</v>
      </c>
      <c r="S67" s="2">
        <f t="shared" si="28"/>
        <v>11966.57</v>
      </c>
      <c r="T67" s="2">
        <f t="shared" si="28"/>
        <v>0</v>
      </c>
      <c r="U67" s="2">
        <f t="shared" si="28"/>
        <v>18.739999999999998</v>
      </c>
      <c r="V67" s="2">
        <f t="shared" si="28"/>
        <v>0</v>
      </c>
      <c r="W67" s="2">
        <f t="shared" si="28"/>
        <v>0</v>
      </c>
      <c r="X67" s="2">
        <f t="shared" si="28"/>
        <v>8376.6</v>
      </c>
      <c r="Y67" s="2">
        <f t="shared" si="28"/>
        <v>1196.6600000000001</v>
      </c>
      <c r="Z67" s="2">
        <f t="shared" si="28"/>
        <v>0</v>
      </c>
      <c r="AA67" s="2">
        <f t="shared" si="28"/>
        <v>0</v>
      </c>
      <c r="AB67" s="2">
        <f t="shared" si="28"/>
        <v>71100.92</v>
      </c>
      <c r="AC67" s="2">
        <f t="shared" si="28"/>
        <v>59108.82</v>
      </c>
      <c r="AD67" s="2">
        <f t="shared" si="28"/>
        <v>25.53</v>
      </c>
      <c r="AE67" s="2">
        <f t="shared" si="28"/>
        <v>0.23</v>
      </c>
      <c r="AF67" s="2">
        <f t="shared" si="28"/>
        <v>11966.57</v>
      </c>
      <c r="AG67" s="2">
        <f t="shared" si="28"/>
        <v>0</v>
      </c>
      <c r="AH67" s="2">
        <f t="shared" si="28"/>
        <v>18.739999999999998</v>
      </c>
      <c r="AI67" s="2">
        <f t="shared" si="28"/>
        <v>0</v>
      </c>
      <c r="AJ67" s="2">
        <f t="shared" si="28"/>
        <v>0</v>
      </c>
      <c r="AK67" s="2">
        <f t="shared" si="28"/>
        <v>8376.6</v>
      </c>
      <c r="AL67" s="2">
        <f t="shared" si="28"/>
        <v>1196.6600000000001</v>
      </c>
      <c r="AM67" s="2">
        <f t="shared" si="28"/>
        <v>0</v>
      </c>
      <c r="AN67" s="2">
        <f t="shared" si="28"/>
        <v>0</v>
      </c>
      <c r="AO67" s="2">
        <f t="shared" si="28"/>
        <v>0</v>
      </c>
      <c r="AP67" s="2">
        <f t="shared" si="28"/>
        <v>0</v>
      </c>
      <c r="AQ67" s="2">
        <f t="shared" si="28"/>
        <v>0</v>
      </c>
      <c r="AR67" s="2">
        <f t="shared" si="28"/>
        <v>80674.429999999993</v>
      </c>
      <c r="AS67" s="2">
        <f t="shared" si="28"/>
        <v>0</v>
      </c>
      <c r="AT67" s="2">
        <f t="shared" si="28"/>
        <v>0</v>
      </c>
      <c r="AU67" s="2">
        <f t="shared" ref="AU67:BZ67" si="29">AU73</f>
        <v>80674.429999999993</v>
      </c>
      <c r="AV67" s="2">
        <f t="shared" si="29"/>
        <v>59108.82</v>
      </c>
      <c r="AW67" s="2">
        <f t="shared" si="29"/>
        <v>59108.82</v>
      </c>
      <c r="AX67" s="2">
        <f t="shared" si="29"/>
        <v>0</v>
      </c>
      <c r="AY67" s="2">
        <f t="shared" si="29"/>
        <v>59108.82</v>
      </c>
      <c r="AZ67" s="2">
        <f t="shared" si="29"/>
        <v>0</v>
      </c>
      <c r="BA67" s="2">
        <f t="shared" si="29"/>
        <v>0</v>
      </c>
      <c r="BB67" s="2">
        <f t="shared" si="29"/>
        <v>0</v>
      </c>
      <c r="BC67" s="2">
        <f t="shared" si="29"/>
        <v>0</v>
      </c>
      <c r="BD67" s="2">
        <f t="shared" si="29"/>
        <v>0</v>
      </c>
      <c r="BE67" s="2">
        <f t="shared" si="29"/>
        <v>0</v>
      </c>
      <c r="BF67" s="2">
        <f t="shared" si="29"/>
        <v>0</v>
      </c>
      <c r="BG67" s="2">
        <f t="shared" si="29"/>
        <v>0</v>
      </c>
      <c r="BH67" s="2">
        <f t="shared" si="29"/>
        <v>0</v>
      </c>
      <c r="BI67" s="2">
        <f t="shared" si="29"/>
        <v>0</v>
      </c>
      <c r="BJ67" s="2">
        <f t="shared" si="29"/>
        <v>0</v>
      </c>
      <c r="BK67" s="2">
        <f t="shared" si="29"/>
        <v>0</v>
      </c>
      <c r="BL67" s="2">
        <f t="shared" si="29"/>
        <v>0</v>
      </c>
      <c r="BM67" s="2">
        <f t="shared" si="29"/>
        <v>0</v>
      </c>
      <c r="BN67" s="2">
        <f t="shared" si="29"/>
        <v>0</v>
      </c>
      <c r="BO67" s="2">
        <f t="shared" si="29"/>
        <v>0</v>
      </c>
      <c r="BP67" s="2">
        <f t="shared" si="29"/>
        <v>0</v>
      </c>
      <c r="BQ67" s="2">
        <f t="shared" si="29"/>
        <v>0</v>
      </c>
      <c r="BR67" s="2">
        <f t="shared" si="29"/>
        <v>0</v>
      </c>
      <c r="BS67" s="2">
        <f t="shared" si="29"/>
        <v>0</v>
      </c>
      <c r="BT67" s="2">
        <f t="shared" si="29"/>
        <v>0</v>
      </c>
      <c r="BU67" s="2">
        <f t="shared" si="29"/>
        <v>0</v>
      </c>
      <c r="BV67" s="2">
        <f t="shared" si="29"/>
        <v>0</v>
      </c>
      <c r="BW67" s="2">
        <f t="shared" si="29"/>
        <v>0</v>
      </c>
      <c r="BX67" s="2">
        <f t="shared" si="29"/>
        <v>0</v>
      </c>
      <c r="BY67" s="2">
        <f t="shared" si="29"/>
        <v>0</v>
      </c>
      <c r="BZ67" s="2">
        <f t="shared" si="29"/>
        <v>0</v>
      </c>
      <c r="CA67" s="2">
        <f t="shared" ref="CA67:DF67" si="30">CA73</f>
        <v>80674.429999999993</v>
      </c>
      <c r="CB67" s="2">
        <f t="shared" si="30"/>
        <v>0</v>
      </c>
      <c r="CC67" s="2">
        <f t="shared" si="30"/>
        <v>0</v>
      </c>
      <c r="CD67" s="2">
        <f t="shared" si="30"/>
        <v>80674.429999999993</v>
      </c>
      <c r="CE67" s="2">
        <f t="shared" si="30"/>
        <v>59108.82</v>
      </c>
      <c r="CF67" s="2">
        <f t="shared" si="30"/>
        <v>59108.82</v>
      </c>
      <c r="CG67" s="2">
        <f t="shared" si="30"/>
        <v>0</v>
      </c>
      <c r="CH67" s="2">
        <f t="shared" si="30"/>
        <v>59108.82</v>
      </c>
      <c r="CI67" s="2">
        <f t="shared" si="30"/>
        <v>0</v>
      </c>
      <c r="CJ67" s="2">
        <f t="shared" si="30"/>
        <v>0</v>
      </c>
      <c r="CK67" s="2">
        <f t="shared" si="30"/>
        <v>0</v>
      </c>
      <c r="CL67" s="2">
        <f t="shared" si="30"/>
        <v>0</v>
      </c>
      <c r="CM67" s="2">
        <f t="shared" si="30"/>
        <v>0</v>
      </c>
      <c r="CN67" s="2">
        <f t="shared" si="30"/>
        <v>0</v>
      </c>
      <c r="CO67" s="2">
        <f t="shared" si="30"/>
        <v>0</v>
      </c>
      <c r="CP67" s="2">
        <f t="shared" si="30"/>
        <v>0</v>
      </c>
      <c r="CQ67" s="2">
        <f t="shared" si="30"/>
        <v>0</v>
      </c>
      <c r="CR67" s="2">
        <f t="shared" si="30"/>
        <v>0</v>
      </c>
      <c r="CS67" s="2">
        <f t="shared" si="30"/>
        <v>0</v>
      </c>
      <c r="CT67" s="2">
        <f t="shared" si="30"/>
        <v>0</v>
      </c>
      <c r="CU67" s="2">
        <f t="shared" si="30"/>
        <v>0</v>
      </c>
      <c r="CV67" s="2">
        <f t="shared" si="30"/>
        <v>0</v>
      </c>
      <c r="CW67" s="2">
        <f t="shared" si="30"/>
        <v>0</v>
      </c>
      <c r="CX67" s="2">
        <f t="shared" si="30"/>
        <v>0</v>
      </c>
      <c r="CY67" s="2">
        <f t="shared" si="30"/>
        <v>0</v>
      </c>
      <c r="CZ67" s="2">
        <f t="shared" si="30"/>
        <v>0</v>
      </c>
      <c r="DA67" s="2">
        <f t="shared" si="30"/>
        <v>0</v>
      </c>
      <c r="DB67" s="2">
        <f t="shared" si="30"/>
        <v>0</v>
      </c>
      <c r="DC67" s="2">
        <f t="shared" si="30"/>
        <v>0</v>
      </c>
      <c r="DD67" s="2">
        <f t="shared" si="30"/>
        <v>0</v>
      </c>
      <c r="DE67" s="2">
        <f t="shared" si="30"/>
        <v>0</v>
      </c>
      <c r="DF67" s="2">
        <f t="shared" si="30"/>
        <v>0</v>
      </c>
      <c r="DG67" s="3">
        <f t="shared" ref="DG67:EL67" si="31">DG73</f>
        <v>0</v>
      </c>
      <c r="DH67" s="3">
        <f t="shared" si="31"/>
        <v>0</v>
      </c>
      <c r="DI67" s="3">
        <f t="shared" si="31"/>
        <v>0</v>
      </c>
      <c r="DJ67" s="3">
        <f t="shared" si="31"/>
        <v>0</v>
      </c>
      <c r="DK67" s="3">
        <f t="shared" si="31"/>
        <v>0</v>
      </c>
      <c r="DL67" s="3">
        <f t="shared" si="31"/>
        <v>0</v>
      </c>
      <c r="DM67" s="3">
        <f t="shared" si="31"/>
        <v>0</v>
      </c>
      <c r="DN67" s="3">
        <f t="shared" si="31"/>
        <v>0</v>
      </c>
      <c r="DO67" s="3">
        <f t="shared" si="31"/>
        <v>0</v>
      </c>
      <c r="DP67" s="3">
        <f t="shared" si="31"/>
        <v>0</v>
      </c>
      <c r="DQ67" s="3">
        <f t="shared" si="31"/>
        <v>0</v>
      </c>
      <c r="DR67" s="3">
        <f t="shared" si="31"/>
        <v>0</v>
      </c>
      <c r="DS67" s="3">
        <f t="shared" si="31"/>
        <v>0</v>
      </c>
      <c r="DT67" s="3">
        <f t="shared" si="31"/>
        <v>0</v>
      </c>
      <c r="DU67" s="3">
        <f t="shared" si="31"/>
        <v>0</v>
      </c>
      <c r="DV67" s="3">
        <f t="shared" si="31"/>
        <v>0</v>
      </c>
      <c r="DW67" s="3">
        <f t="shared" si="31"/>
        <v>0</v>
      </c>
      <c r="DX67" s="3">
        <f t="shared" si="31"/>
        <v>0</v>
      </c>
      <c r="DY67" s="3">
        <f t="shared" si="31"/>
        <v>0</v>
      </c>
      <c r="DZ67" s="3">
        <f t="shared" si="31"/>
        <v>0</v>
      </c>
      <c r="EA67" s="3">
        <f t="shared" si="31"/>
        <v>0</v>
      </c>
      <c r="EB67" s="3">
        <f t="shared" si="31"/>
        <v>0</v>
      </c>
      <c r="EC67" s="3">
        <f t="shared" si="31"/>
        <v>0</v>
      </c>
      <c r="ED67" s="3">
        <f t="shared" si="31"/>
        <v>0</v>
      </c>
      <c r="EE67" s="3">
        <f t="shared" si="31"/>
        <v>0</v>
      </c>
      <c r="EF67" s="3">
        <f t="shared" si="31"/>
        <v>0</v>
      </c>
      <c r="EG67" s="3">
        <f t="shared" si="31"/>
        <v>0</v>
      </c>
      <c r="EH67" s="3">
        <f t="shared" si="31"/>
        <v>0</v>
      </c>
      <c r="EI67" s="3">
        <f t="shared" si="31"/>
        <v>0</v>
      </c>
      <c r="EJ67" s="3">
        <f t="shared" si="31"/>
        <v>0</v>
      </c>
      <c r="EK67" s="3">
        <f t="shared" si="31"/>
        <v>0</v>
      </c>
      <c r="EL67" s="3">
        <f t="shared" si="31"/>
        <v>0</v>
      </c>
      <c r="EM67" s="3">
        <f t="shared" ref="EM67:FR67" si="32">EM73</f>
        <v>0</v>
      </c>
      <c r="EN67" s="3">
        <f t="shared" si="32"/>
        <v>0</v>
      </c>
      <c r="EO67" s="3">
        <f t="shared" si="32"/>
        <v>0</v>
      </c>
      <c r="EP67" s="3">
        <f t="shared" si="32"/>
        <v>0</v>
      </c>
      <c r="EQ67" s="3">
        <f t="shared" si="32"/>
        <v>0</v>
      </c>
      <c r="ER67" s="3">
        <f t="shared" si="32"/>
        <v>0</v>
      </c>
      <c r="ES67" s="3">
        <f t="shared" si="32"/>
        <v>0</v>
      </c>
      <c r="ET67" s="3">
        <f t="shared" si="32"/>
        <v>0</v>
      </c>
      <c r="EU67" s="3">
        <f t="shared" si="32"/>
        <v>0</v>
      </c>
      <c r="EV67" s="3">
        <f t="shared" si="32"/>
        <v>0</v>
      </c>
      <c r="EW67" s="3">
        <f t="shared" si="32"/>
        <v>0</v>
      </c>
      <c r="EX67" s="3">
        <f t="shared" si="32"/>
        <v>0</v>
      </c>
      <c r="EY67" s="3">
        <f t="shared" si="32"/>
        <v>0</v>
      </c>
      <c r="EZ67" s="3">
        <f t="shared" si="32"/>
        <v>0</v>
      </c>
      <c r="FA67" s="3">
        <f t="shared" si="32"/>
        <v>0</v>
      </c>
      <c r="FB67" s="3">
        <f t="shared" si="32"/>
        <v>0</v>
      </c>
      <c r="FC67" s="3">
        <f t="shared" si="32"/>
        <v>0</v>
      </c>
      <c r="FD67" s="3">
        <f t="shared" si="32"/>
        <v>0</v>
      </c>
      <c r="FE67" s="3">
        <f t="shared" si="32"/>
        <v>0</v>
      </c>
      <c r="FF67" s="3">
        <f t="shared" si="32"/>
        <v>0</v>
      </c>
      <c r="FG67" s="3">
        <f t="shared" si="32"/>
        <v>0</v>
      </c>
      <c r="FH67" s="3">
        <f t="shared" si="32"/>
        <v>0</v>
      </c>
      <c r="FI67" s="3">
        <f t="shared" si="32"/>
        <v>0</v>
      </c>
      <c r="FJ67" s="3">
        <f t="shared" si="32"/>
        <v>0</v>
      </c>
      <c r="FK67" s="3">
        <f t="shared" si="32"/>
        <v>0</v>
      </c>
      <c r="FL67" s="3">
        <f t="shared" si="32"/>
        <v>0</v>
      </c>
      <c r="FM67" s="3">
        <f t="shared" si="32"/>
        <v>0</v>
      </c>
      <c r="FN67" s="3">
        <f t="shared" si="32"/>
        <v>0</v>
      </c>
      <c r="FO67" s="3">
        <f t="shared" si="32"/>
        <v>0</v>
      </c>
      <c r="FP67" s="3">
        <f t="shared" si="32"/>
        <v>0</v>
      </c>
      <c r="FQ67" s="3">
        <f t="shared" si="32"/>
        <v>0</v>
      </c>
      <c r="FR67" s="3">
        <f t="shared" si="32"/>
        <v>0</v>
      </c>
      <c r="FS67" s="3">
        <f t="shared" ref="FS67:GX67" si="33">FS73</f>
        <v>0</v>
      </c>
      <c r="FT67" s="3">
        <f t="shared" si="33"/>
        <v>0</v>
      </c>
      <c r="FU67" s="3">
        <f t="shared" si="33"/>
        <v>0</v>
      </c>
      <c r="FV67" s="3">
        <f t="shared" si="33"/>
        <v>0</v>
      </c>
      <c r="FW67" s="3">
        <f t="shared" si="33"/>
        <v>0</v>
      </c>
      <c r="FX67" s="3">
        <f t="shared" si="33"/>
        <v>0</v>
      </c>
      <c r="FY67" s="3">
        <f t="shared" si="33"/>
        <v>0</v>
      </c>
      <c r="FZ67" s="3">
        <f t="shared" si="33"/>
        <v>0</v>
      </c>
      <c r="GA67" s="3">
        <f t="shared" si="33"/>
        <v>0</v>
      </c>
      <c r="GB67" s="3">
        <f t="shared" si="33"/>
        <v>0</v>
      </c>
      <c r="GC67" s="3">
        <f t="shared" si="33"/>
        <v>0</v>
      </c>
      <c r="GD67" s="3">
        <f t="shared" si="33"/>
        <v>0</v>
      </c>
      <c r="GE67" s="3">
        <f t="shared" si="33"/>
        <v>0</v>
      </c>
      <c r="GF67" s="3">
        <f t="shared" si="33"/>
        <v>0</v>
      </c>
      <c r="GG67" s="3">
        <f t="shared" si="33"/>
        <v>0</v>
      </c>
      <c r="GH67" s="3">
        <f t="shared" si="33"/>
        <v>0</v>
      </c>
      <c r="GI67" s="3">
        <f t="shared" si="33"/>
        <v>0</v>
      </c>
      <c r="GJ67" s="3">
        <f t="shared" si="33"/>
        <v>0</v>
      </c>
      <c r="GK67" s="3">
        <f t="shared" si="33"/>
        <v>0</v>
      </c>
      <c r="GL67" s="3">
        <f t="shared" si="33"/>
        <v>0</v>
      </c>
      <c r="GM67" s="3">
        <f t="shared" si="33"/>
        <v>0</v>
      </c>
      <c r="GN67" s="3">
        <f t="shared" si="33"/>
        <v>0</v>
      </c>
      <c r="GO67" s="3">
        <f t="shared" si="33"/>
        <v>0</v>
      </c>
      <c r="GP67" s="3">
        <f t="shared" si="33"/>
        <v>0</v>
      </c>
      <c r="GQ67" s="3">
        <f t="shared" si="33"/>
        <v>0</v>
      </c>
      <c r="GR67" s="3">
        <f t="shared" si="33"/>
        <v>0</v>
      </c>
      <c r="GS67" s="3">
        <f t="shared" si="33"/>
        <v>0</v>
      </c>
      <c r="GT67" s="3">
        <f t="shared" si="33"/>
        <v>0</v>
      </c>
      <c r="GU67" s="3">
        <f t="shared" si="33"/>
        <v>0</v>
      </c>
      <c r="GV67" s="3">
        <f t="shared" si="33"/>
        <v>0</v>
      </c>
      <c r="GW67" s="3">
        <f t="shared" si="33"/>
        <v>0</v>
      </c>
      <c r="GX67" s="3">
        <f t="shared" si="33"/>
        <v>0</v>
      </c>
    </row>
    <row r="69" spans="1:245" x14ac:dyDescent="0.3">
      <c r="A69">
        <v>17</v>
      </c>
      <c r="B69">
        <v>1</v>
      </c>
      <c r="C69">
        <f>ROW(SmtRes!A10)</f>
        <v>10</v>
      </c>
      <c r="D69">
        <f>ROW(EtalonRes!A9)</f>
        <v>9</v>
      </c>
      <c r="E69" t="s">
        <v>93</v>
      </c>
      <c r="F69" t="s">
        <v>17</v>
      </c>
      <c r="G69" t="s">
        <v>18</v>
      </c>
      <c r="H69" t="s">
        <v>19</v>
      </c>
      <c r="I69">
        <v>1</v>
      </c>
      <c r="J69">
        <v>0</v>
      </c>
      <c r="K69">
        <v>1</v>
      </c>
      <c r="O69">
        <f>ROUND(CP69,2)</f>
        <v>10158.65</v>
      </c>
      <c r="P69">
        <f>ROUND(CQ69*I69,2)</f>
        <v>8472.85</v>
      </c>
      <c r="Q69">
        <f>ROUND(CR69*I69,2)</f>
        <v>0</v>
      </c>
      <c r="R69">
        <f>ROUND(CS69*I69,2)</f>
        <v>0</v>
      </c>
      <c r="S69">
        <f>ROUND(CT69*I69,2)</f>
        <v>1685.8</v>
      </c>
      <c r="T69">
        <f>ROUND(CU69*I69,2)</f>
        <v>0</v>
      </c>
      <c r="U69">
        <f>CV69*I69</f>
        <v>2.64</v>
      </c>
      <c r="V69">
        <f>CW69*I69</f>
        <v>0</v>
      </c>
      <c r="W69">
        <f>ROUND(CX69*I69,2)</f>
        <v>0</v>
      </c>
      <c r="X69">
        <f t="shared" ref="X69:Y71" si="34">ROUND(CY69,2)</f>
        <v>1180.06</v>
      </c>
      <c r="Y69">
        <f t="shared" si="34"/>
        <v>168.58</v>
      </c>
      <c r="AA69">
        <v>66366214</v>
      </c>
      <c r="AB69">
        <f>ROUND((AC69+AD69+AF69),6)</f>
        <v>10158.65</v>
      </c>
      <c r="AC69">
        <f>ROUND((ES69),6)</f>
        <v>8472.85</v>
      </c>
      <c r="AD69">
        <f>ROUND((((ET69)-(EU69))+AE69),6)</f>
        <v>0</v>
      </c>
      <c r="AE69">
        <f t="shared" ref="AE69:AF71" si="35">ROUND((EU69),6)</f>
        <v>0</v>
      </c>
      <c r="AF69">
        <f t="shared" si="35"/>
        <v>1685.8</v>
      </c>
      <c r="AG69">
        <f>ROUND((AP69),6)</f>
        <v>0</v>
      </c>
      <c r="AH69">
        <f t="shared" ref="AH69:AI71" si="36">(EW69)</f>
        <v>2.64</v>
      </c>
      <c r="AI69">
        <f t="shared" si="36"/>
        <v>0</v>
      </c>
      <c r="AJ69">
        <f>(AS69)</f>
        <v>0</v>
      </c>
      <c r="AK69">
        <v>10158.65</v>
      </c>
      <c r="AL69">
        <v>8472.85</v>
      </c>
      <c r="AM69">
        <v>0</v>
      </c>
      <c r="AN69">
        <v>0</v>
      </c>
      <c r="AO69">
        <v>1685.8</v>
      </c>
      <c r="AP69">
        <v>0</v>
      </c>
      <c r="AQ69">
        <v>2.64</v>
      </c>
      <c r="AR69">
        <v>0</v>
      </c>
      <c r="AS69">
        <v>0</v>
      </c>
      <c r="AT69">
        <v>70</v>
      </c>
      <c r="AU69">
        <v>10</v>
      </c>
      <c r="AV69">
        <v>1</v>
      </c>
      <c r="AW69">
        <v>1</v>
      </c>
      <c r="AZ69">
        <v>1</v>
      </c>
      <c r="BA69">
        <v>1</v>
      </c>
      <c r="BB69">
        <v>1</v>
      </c>
      <c r="BC69">
        <v>1</v>
      </c>
      <c r="BD69" t="s">
        <v>3</v>
      </c>
      <c r="BE69" t="s">
        <v>3</v>
      </c>
      <c r="BF69" t="s">
        <v>3</v>
      </c>
      <c r="BG69" t="s">
        <v>3</v>
      </c>
      <c r="BH69">
        <v>0</v>
      </c>
      <c r="BI69">
        <v>4</v>
      </c>
      <c r="BJ69" t="s">
        <v>20</v>
      </c>
      <c r="BM69">
        <v>0</v>
      </c>
      <c r="BN69">
        <v>0</v>
      </c>
      <c r="BO69" t="s">
        <v>3</v>
      </c>
      <c r="BP69">
        <v>0</v>
      </c>
      <c r="BQ69">
        <v>1</v>
      </c>
      <c r="BR69">
        <v>0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 t="s">
        <v>3</v>
      </c>
      <c r="BZ69">
        <v>70</v>
      </c>
      <c r="CA69">
        <v>10</v>
      </c>
      <c r="CB69" t="s">
        <v>3</v>
      </c>
      <c r="CE69">
        <v>0</v>
      </c>
      <c r="CF69">
        <v>0</v>
      </c>
      <c r="CG69">
        <v>0</v>
      </c>
      <c r="CM69">
        <v>0</v>
      </c>
      <c r="CN69" t="s">
        <v>3</v>
      </c>
      <c r="CO69">
        <v>0</v>
      </c>
      <c r="CP69">
        <f>(P69+Q69+S69)</f>
        <v>10158.65</v>
      </c>
      <c r="CQ69">
        <f>(AC69*BC69*AW69)</f>
        <v>8472.85</v>
      </c>
      <c r="CR69">
        <f>((((ET69)*BB69-(EU69)*BS69)+AE69*BS69)*AV69)</f>
        <v>0</v>
      </c>
      <c r="CS69">
        <f>(AE69*BS69*AV69)</f>
        <v>0</v>
      </c>
      <c r="CT69">
        <f>(AF69*BA69*AV69)</f>
        <v>1685.8</v>
      </c>
      <c r="CU69">
        <f>AG69</f>
        <v>0</v>
      </c>
      <c r="CV69">
        <f>(AH69*AV69)</f>
        <v>2.64</v>
      </c>
      <c r="CW69">
        <f t="shared" ref="CW69:CX71" si="37">AI69</f>
        <v>0</v>
      </c>
      <c r="CX69">
        <f t="shared" si="37"/>
        <v>0</v>
      </c>
      <c r="CY69">
        <f>((S69*BZ69)/100)</f>
        <v>1180.06</v>
      </c>
      <c r="CZ69">
        <f>((S69*CA69)/100)</f>
        <v>168.58</v>
      </c>
      <c r="DC69" t="s">
        <v>3</v>
      </c>
      <c r="DD69" t="s">
        <v>3</v>
      </c>
      <c r="DE69" t="s">
        <v>3</v>
      </c>
      <c r="DF69" t="s">
        <v>3</v>
      </c>
      <c r="DG69" t="s">
        <v>3</v>
      </c>
      <c r="DH69" t="s">
        <v>3</v>
      </c>
      <c r="DI69" t="s">
        <v>3</v>
      </c>
      <c r="DJ69" t="s">
        <v>3</v>
      </c>
      <c r="DK69" t="s">
        <v>3</v>
      </c>
      <c r="DL69" t="s">
        <v>3</v>
      </c>
      <c r="DM69" t="s">
        <v>3</v>
      </c>
      <c r="DN69">
        <v>0</v>
      </c>
      <c r="DO69">
        <v>0</v>
      </c>
      <c r="DP69">
        <v>1</v>
      </c>
      <c r="DQ69">
        <v>1</v>
      </c>
      <c r="DU69">
        <v>1010</v>
      </c>
      <c r="DV69" t="s">
        <v>19</v>
      </c>
      <c r="DW69" t="s">
        <v>19</v>
      </c>
      <c r="DX69">
        <v>1</v>
      </c>
      <c r="DZ69" t="s">
        <v>3</v>
      </c>
      <c r="EA69" t="s">
        <v>3</v>
      </c>
      <c r="EB69" t="s">
        <v>3</v>
      </c>
      <c r="EC69" t="s">
        <v>3</v>
      </c>
      <c r="EE69">
        <v>66091114</v>
      </c>
      <c r="EF69">
        <v>1</v>
      </c>
      <c r="EG69" t="s">
        <v>21</v>
      </c>
      <c r="EH69">
        <v>0</v>
      </c>
      <c r="EI69" t="s">
        <v>3</v>
      </c>
      <c r="EJ69">
        <v>4</v>
      </c>
      <c r="EK69">
        <v>0</v>
      </c>
      <c r="EL69" t="s">
        <v>22</v>
      </c>
      <c r="EM69" t="s">
        <v>23</v>
      </c>
      <c r="EO69" t="s">
        <v>3</v>
      </c>
      <c r="EQ69">
        <v>0</v>
      </c>
      <c r="ER69">
        <v>10158.65</v>
      </c>
      <c r="ES69">
        <v>8472.85</v>
      </c>
      <c r="ET69">
        <v>0</v>
      </c>
      <c r="EU69">
        <v>0</v>
      </c>
      <c r="EV69">
        <v>1685.8</v>
      </c>
      <c r="EW69">
        <v>2.64</v>
      </c>
      <c r="EX69">
        <v>0</v>
      </c>
      <c r="EY69">
        <v>0</v>
      </c>
      <c r="FQ69">
        <v>0</v>
      </c>
      <c r="FR69">
        <v>0</v>
      </c>
      <c r="FS69">
        <v>0</v>
      </c>
      <c r="FX69">
        <v>70</v>
      </c>
      <c r="FY69">
        <v>10</v>
      </c>
      <c r="GA69" t="s">
        <v>3</v>
      </c>
      <c r="GD69">
        <v>0</v>
      </c>
      <c r="GF69">
        <v>1067523615</v>
      </c>
      <c r="GG69">
        <v>2</v>
      </c>
      <c r="GH69">
        <v>1</v>
      </c>
      <c r="GI69">
        <v>-2</v>
      </c>
      <c r="GJ69">
        <v>0</v>
      </c>
      <c r="GK69">
        <f>ROUND(R69*(R12)/100,2)</f>
        <v>0</v>
      </c>
      <c r="GL69">
        <f>ROUND(IF(AND(BH69=3,BI69=3,FS69&lt;&gt;0),P69,0),2)</f>
        <v>0</v>
      </c>
      <c r="GM69">
        <f>ROUND(O69+X69+Y69+GK69,2)+GX69</f>
        <v>11507.29</v>
      </c>
      <c r="GN69">
        <f>IF(OR(BI69=0,BI69=1),GM69-GX69,0)</f>
        <v>0</v>
      </c>
      <c r="GO69">
        <f>IF(BI69=2,GM69-GX69,0)</f>
        <v>0</v>
      </c>
      <c r="GP69">
        <f>IF(BI69=4,GM69-GX69,0)</f>
        <v>11507.29</v>
      </c>
      <c r="GR69">
        <v>0</v>
      </c>
      <c r="GS69">
        <v>3</v>
      </c>
      <c r="GT69">
        <v>0</v>
      </c>
      <c r="GU69" t="s">
        <v>3</v>
      </c>
      <c r="GV69">
        <f>ROUND((GT69),6)</f>
        <v>0</v>
      </c>
      <c r="GW69">
        <v>1</v>
      </c>
      <c r="GX69">
        <f>ROUND(HC69*I69,2)</f>
        <v>0</v>
      </c>
      <c r="HA69">
        <v>0</v>
      </c>
      <c r="HB69">
        <v>0</v>
      </c>
      <c r="HC69">
        <f>GV69*GW69</f>
        <v>0</v>
      </c>
      <c r="HE69" t="s">
        <v>3</v>
      </c>
      <c r="HF69" t="s">
        <v>3</v>
      </c>
      <c r="HM69" t="s">
        <v>3</v>
      </c>
      <c r="HN69" t="s">
        <v>3</v>
      </c>
      <c r="HO69" t="s">
        <v>3</v>
      </c>
      <c r="HP69" t="s">
        <v>3</v>
      </c>
      <c r="HQ69" t="s">
        <v>3</v>
      </c>
      <c r="HS69">
        <v>0</v>
      </c>
      <c r="IK69">
        <v>0</v>
      </c>
    </row>
    <row r="70" spans="1:245" x14ac:dyDescent="0.3">
      <c r="A70">
        <v>17</v>
      </c>
      <c r="B70">
        <v>1</v>
      </c>
      <c r="C70">
        <f>ROW(SmtRes!A14)</f>
        <v>14</v>
      </c>
      <c r="D70">
        <f>ROW(EtalonRes!A12)</f>
        <v>12</v>
      </c>
      <c r="E70" t="s">
        <v>94</v>
      </c>
      <c r="F70" t="s">
        <v>25</v>
      </c>
      <c r="G70" t="s">
        <v>26</v>
      </c>
      <c r="H70" t="s">
        <v>19</v>
      </c>
      <c r="I70">
        <v>23</v>
      </c>
      <c r="J70">
        <v>0</v>
      </c>
      <c r="K70">
        <v>23</v>
      </c>
      <c r="O70">
        <f>ROUND(CP70,2)</f>
        <v>45401.31</v>
      </c>
      <c r="P70">
        <f>ROUND(CQ70*I70,2)</f>
        <v>35095.01</v>
      </c>
      <c r="Q70">
        <f>ROUND(CR70*I70,2)</f>
        <v>25.53</v>
      </c>
      <c r="R70">
        <f>ROUND(CS70*I70,2)</f>
        <v>0.23</v>
      </c>
      <c r="S70">
        <f>ROUND(CT70*I70,2)</f>
        <v>10280.77</v>
      </c>
      <c r="T70">
        <f>ROUND(CU70*I70,2)</f>
        <v>0</v>
      </c>
      <c r="U70">
        <f>CV70*I70</f>
        <v>16.099999999999998</v>
      </c>
      <c r="V70">
        <f>CW70*I70</f>
        <v>0</v>
      </c>
      <c r="W70">
        <f>ROUND(CX70*I70,2)</f>
        <v>0</v>
      </c>
      <c r="X70">
        <f t="shared" si="34"/>
        <v>7196.54</v>
      </c>
      <c r="Y70">
        <f t="shared" si="34"/>
        <v>1028.08</v>
      </c>
      <c r="AA70">
        <v>66366214</v>
      </c>
      <c r="AB70">
        <f>ROUND((AC70+AD70+AF70),6)</f>
        <v>1973.97</v>
      </c>
      <c r="AC70">
        <f>ROUND((ES70),6)</f>
        <v>1525.87</v>
      </c>
      <c r="AD70">
        <f>ROUND((((ET70)-(EU70))+AE70),6)</f>
        <v>1.1100000000000001</v>
      </c>
      <c r="AE70">
        <f t="shared" si="35"/>
        <v>0.01</v>
      </c>
      <c r="AF70">
        <f t="shared" si="35"/>
        <v>446.99</v>
      </c>
      <c r="AG70">
        <f>ROUND((AP70),6)</f>
        <v>0</v>
      </c>
      <c r="AH70">
        <f t="shared" si="36"/>
        <v>0.7</v>
      </c>
      <c r="AI70">
        <f t="shared" si="36"/>
        <v>0</v>
      </c>
      <c r="AJ70">
        <f>(AS70)</f>
        <v>0</v>
      </c>
      <c r="AK70">
        <v>1973.97</v>
      </c>
      <c r="AL70">
        <v>1525.87</v>
      </c>
      <c r="AM70">
        <v>1.1100000000000001</v>
      </c>
      <c r="AN70">
        <v>0.01</v>
      </c>
      <c r="AO70">
        <v>446.99</v>
      </c>
      <c r="AP70">
        <v>0</v>
      </c>
      <c r="AQ70">
        <v>0.7</v>
      </c>
      <c r="AR70">
        <v>0</v>
      </c>
      <c r="AS70">
        <v>0</v>
      </c>
      <c r="AT70">
        <v>70</v>
      </c>
      <c r="AU70">
        <v>10</v>
      </c>
      <c r="AV70">
        <v>1</v>
      </c>
      <c r="AW70">
        <v>1</v>
      </c>
      <c r="AZ70">
        <v>1</v>
      </c>
      <c r="BA70">
        <v>1</v>
      </c>
      <c r="BB70">
        <v>1</v>
      </c>
      <c r="BC70">
        <v>1</v>
      </c>
      <c r="BD70" t="s">
        <v>3</v>
      </c>
      <c r="BE70" t="s">
        <v>3</v>
      </c>
      <c r="BF70" t="s">
        <v>3</v>
      </c>
      <c r="BG70" t="s">
        <v>3</v>
      </c>
      <c r="BH70">
        <v>0</v>
      </c>
      <c r="BI70">
        <v>4</v>
      </c>
      <c r="BJ70" t="s">
        <v>27</v>
      </c>
      <c r="BM70">
        <v>0</v>
      </c>
      <c r="BN70">
        <v>0</v>
      </c>
      <c r="BO70" t="s">
        <v>3</v>
      </c>
      <c r="BP70">
        <v>0</v>
      </c>
      <c r="BQ70">
        <v>1</v>
      </c>
      <c r="BR70">
        <v>0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 t="s">
        <v>3</v>
      </c>
      <c r="BZ70">
        <v>70</v>
      </c>
      <c r="CA70">
        <v>10</v>
      </c>
      <c r="CB70" t="s">
        <v>3</v>
      </c>
      <c r="CE70">
        <v>0</v>
      </c>
      <c r="CF70">
        <v>0</v>
      </c>
      <c r="CG70">
        <v>0</v>
      </c>
      <c r="CM70">
        <v>0</v>
      </c>
      <c r="CN70" t="s">
        <v>3</v>
      </c>
      <c r="CO70">
        <v>0</v>
      </c>
      <c r="CP70">
        <f>(P70+Q70+S70)</f>
        <v>45401.31</v>
      </c>
      <c r="CQ70">
        <f>(AC70*BC70*AW70)</f>
        <v>1525.87</v>
      </c>
      <c r="CR70">
        <f>((((ET70)*BB70-(EU70)*BS70)+AE70*BS70)*AV70)</f>
        <v>1.1100000000000001</v>
      </c>
      <c r="CS70">
        <f>(AE70*BS70*AV70)</f>
        <v>0.01</v>
      </c>
      <c r="CT70">
        <f>(AF70*BA70*AV70)</f>
        <v>446.99</v>
      </c>
      <c r="CU70">
        <f>AG70</f>
        <v>0</v>
      </c>
      <c r="CV70">
        <f>(AH70*AV70)</f>
        <v>0.7</v>
      </c>
      <c r="CW70">
        <f t="shared" si="37"/>
        <v>0</v>
      </c>
      <c r="CX70">
        <f t="shared" si="37"/>
        <v>0</v>
      </c>
      <c r="CY70">
        <f>((S70*BZ70)/100)</f>
        <v>7196.5390000000007</v>
      </c>
      <c r="CZ70">
        <f>((S70*CA70)/100)</f>
        <v>1028.0770000000002</v>
      </c>
      <c r="DC70" t="s">
        <v>3</v>
      </c>
      <c r="DD70" t="s">
        <v>3</v>
      </c>
      <c r="DE70" t="s">
        <v>3</v>
      </c>
      <c r="DF70" t="s">
        <v>3</v>
      </c>
      <c r="DG70" t="s">
        <v>3</v>
      </c>
      <c r="DH70" t="s">
        <v>3</v>
      </c>
      <c r="DI70" t="s">
        <v>3</v>
      </c>
      <c r="DJ70" t="s">
        <v>3</v>
      </c>
      <c r="DK70" t="s">
        <v>3</v>
      </c>
      <c r="DL70" t="s">
        <v>3</v>
      </c>
      <c r="DM70" t="s">
        <v>3</v>
      </c>
      <c r="DN70">
        <v>0</v>
      </c>
      <c r="DO70">
        <v>0</v>
      </c>
      <c r="DP70">
        <v>1</v>
      </c>
      <c r="DQ70">
        <v>1</v>
      </c>
      <c r="DU70">
        <v>1010</v>
      </c>
      <c r="DV70" t="s">
        <v>19</v>
      </c>
      <c r="DW70" t="s">
        <v>19</v>
      </c>
      <c r="DX70">
        <v>1</v>
      </c>
      <c r="DZ70" t="s">
        <v>3</v>
      </c>
      <c r="EA70" t="s">
        <v>3</v>
      </c>
      <c r="EB70" t="s">
        <v>3</v>
      </c>
      <c r="EC70" t="s">
        <v>3</v>
      </c>
      <c r="EE70">
        <v>66091114</v>
      </c>
      <c r="EF70">
        <v>1</v>
      </c>
      <c r="EG70" t="s">
        <v>21</v>
      </c>
      <c r="EH70">
        <v>0</v>
      </c>
      <c r="EI70" t="s">
        <v>3</v>
      </c>
      <c r="EJ70">
        <v>4</v>
      </c>
      <c r="EK70">
        <v>0</v>
      </c>
      <c r="EL70" t="s">
        <v>22</v>
      </c>
      <c r="EM70" t="s">
        <v>23</v>
      </c>
      <c r="EO70" t="s">
        <v>3</v>
      </c>
      <c r="EQ70">
        <v>0</v>
      </c>
      <c r="ER70">
        <v>1973.97</v>
      </c>
      <c r="ES70">
        <v>1525.87</v>
      </c>
      <c r="ET70">
        <v>1.1100000000000001</v>
      </c>
      <c r="EU70">
        <v>0.01</v>
      </c>
      <c r="EV70">
        <v>446.99</v>
      </c>
      <c r="EW70">
        <v>0.7</v>
      </c>
      <c r="EX70">
        <v>0</v>
      </c>
      <c r="EY70">
        <v>0</v>
      </c>
      <c r="FQ70">
        <v>0</v>
      </c>
      <c r="FR70">
        <v>0</v>
      </c>
      <c r="FS70">
        <v>0</v>
      </c>
      <c r="FX70">
        <v>70</v>
      </c>
      <c r="FY70">
        <v>10</v>
      </c>
      <c r="GA70" t="s">
        <v>3</v>
      </c>
      <c r="GD70">
        <v>0</v>
      </c>
      <c r="GF70">
        <v>1999855279</v>
      </c>
      <c r="GG70">
        <v>2</v>
      </c>
      <c r="GH70">
        <v>1</v>
      </c>
      <c r="GI70">
        <v>-2</v>
      </c>
      <c r="GJ70">
        <v>0</v>
      </c>
      <c r="GK70">
        <f>ROUND(R70*(R12)/100,2)</f>
        <v>0.25</v>
      </c>
      <c r="GL70">
        <f>ROUND(IF(AND(BH70=3,BI70=3,FS70&lt;&gt;0),P70,0),2)</f>
        <v>0</v>
      </c>
      <c r="GM70">
        <f>ROUND(O70+X70+Y70+GK70,2)+GX70</f>
        <v>53626.18</v>
      </c>
      <c r="GN70">
        <f>IF(OR(BI70=0,BI70=1),GM70-GX70,0)</f>
        <v>0</v>
      </c>
      <c r="GO70">
        <f>IF(BI70=2,GM70-GX70,0)</f>
        <v>0</v>
      </c>
      <c r="GP70">
        <f>IF(BI70=4,GM70-GX70,0)</f>
        <v>53626.18</v>
      </c>
      <c r="GR70">
        <v>0</v>
      </c>
      <c r="GS70">
        <v>3</v>
      </c>
      <c r="GT70">
        <v>0</v>
      </c>
      <c r="GU70" t="s">
        <v>3</v>
      </c>
      <c r="GV70">
        <f>ROUND((GT70),6)</f>
        <v>0</v>
      </c>
      <c r="GW70">
        <v>1</v>
      </c>
      <c r="GX70">
        <f>ROUND(HC70*I70,2)</f>
        <v>0</v>
      </c>
      <c r="HA70">
        <v>0</v>
      </c>
      <c r="HB70">
        <v>0</v>
      </c>
      <c r="HC70">
        <f>GV70*GW70</f>
        <v>0</v>
      </c>
      <c r="HE70" t="s">
        <v>3</v>
      </c>
      <c r="HF70" t="s">
        <v>3</v>
      </c>
      <c r="HM70" t="s">
        <v>3</v>
      </c>
      <c r="HN70" t="s">
        <v>3</v>
      </c>
      <c r="HO70" t="s">
        <v>3</v>
      </c>
      <c r="HP70" t="s">
        <v>3</v>
      </c>
      <c r="HQ70" t="s">
        <v>3</v>
      </c>
      <c r="HS70">
        <v>0</v>
      </c>
      <c r="IK70">
        <v>0</v>
      </c>
    </row>
    <row r="71" spans="1:245" x14ac:dyDescent="0.3">
      <c r="A71">
        <v>18</v>
      </c>
      <c r="B71">
        <v>1</v>
      </c>
      <c r="C71">
        <v>14</v>
      </c>
      <c r="E71" t="s">
        <v>95</v>
      </c>
      <c r="F71" t="s">
        <v>29</v>
      </c>
      <c r="G71" t="s">
        <v>96</v>
      </c>
      <c r="H71" t="s">
        <v>19</v>
      </c>
      <c r="I71">
        <f>I70*J71</f>
        <v>24</v>
      </c>
      <c r="J71">
        <v>1.0434782608695652</v>
      </c>
      <c r="K71">
        <v>1.0434782600000001</v>
      </c>
      <c r="O71">
        <f>ROUND(CP71,2)</f>
        <v>15540.96</v>
      </c>
      <c r="P71">
        <f>ROUND(CQ71*I71,2)</f>
        <v>15540.96</v>
      </c>
      <c r="Q71">
        <f>ROUND(CR71*I71,2)</f>
        <v>0</v>
      </c>
      <c r="R71">
        <f>ROUND(CS71*I71,2)</f>
        <v>0</v>
      </c>
      <c r="S71">
        <f>ROUND(CT71*I71,2)</f>
        <v>0</v>
      </c>
      <c r="T71">
        <f>ROUND(CU71*I71,2)</f>
        <v>0</v>
      </c>
      <c r="U71">
        <f>CV71*I71</f>
        <v>0</v>
      </c>
      <c r="V71">
        <f>CW71*I71</f>
        <v>0</v>
      </c>
      <c r="W71">
        <f>ROUND(CX71*I71,2)</f>
        <v>0</v>
      </c>
      <c r="X71">
        <f t="shared" si="34"/>
        <v>0</v>
      </c>
      <c r="Y71">
        <f t="shared" si="34"/>
        <v>0</v>
      </c>
      <c r="AA71">
        <v>66366214</v>
      </c>
      <c r="AB71">
        <f>ROUND((AC71+AD71+AF71),6)</f>
        <v>647.54</v>
      </c>
      <c r="AC71">
        <f>ROUND((ES71),6)</f>
        <v>647.54</v>
      </c>
      <c r="AD71">
        <f>ROUND((((ET71)-(EU71))+AE71),6)</f>
        <v>0</v>
      </c>
      <c r="AE71">
        <f t="shared" si="35"/>
        <v>0</v>
      </c>
      <c r="AF71">
        <f t="shared" si="35"/>
        <v>0</v>
      </c>
      <c r="AG71">
        <f>ROUND((AP71),6)</f>
        <v>0</v>
      </c>
      <c r="AH71">
        <f t="shared" si="36"/>
        <v>0</v>
      </c>
      <c r="AI71">
        <f t="shared" si="36"/>
        <v>0</v>
      </c>
      <c r="AJ71">
        <f>(AS71)</f>
        <v>0</v>
      </c>
      <c r="AK71">
        <v>647.54</v>
      </c>
      <c r="AL71">
        <v>647.54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70</v>
      </c>
      <c r="AU71">
        <v>10</v>
      </c>
      <c r="AV71">
        <v>1</v>
      </c>
      <c r="AW71">
        <v>1</v>
      </c>
      <c r="AZ71">
        <v>1</v>
      </c>
      <c r="BA71">
        <v>1</v>
      </c>
      <c r="BB71">
        <v>1</v>
      </c>
      <c r="BC71">
        <v>1</v>
      </c>
      <c r="BD71" t="s">
        <v>3</v>
      </c>
      <c r="BE71" t="s">
        <v>3</v>
      </c>
      <c r="BF71" t="s">
        <v>3</v>
      </c>
      <c r="BG71" t="s">
        <v>3</v>
      </c>
      <c r="BH71">
        <v>3</v>
      </c>
      <c r="BI71">
        <v>4</v>
      </c>
      <c r="BJ71" t="s">
        <v>3</v>
      </c>
      <c r="BM71">
        <v>0</v>
      </c>
      <c r="BN71">
        <v>0</v>
      </c>
      <c r="BO71" t="s">
        <v>3</v>
      </c>
      <c r="BP71">
        <v>0</v>
      </c>
      <c r="BQ71">
        <v>1</v>
      </c>
      <c r="BR71">
        <v>0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 t="s">
        <v>3</v>
      </c>
      <c r="BZ71">
        <v>70</v>
      </c>
      <c r="CA71">
        <v>10</v>
      </c>
      <c r="CB71" t="s">
        <v>3</v>
      </c>
      <c r="CE71">
        <v>0</v>
      </c>
      <c r="CF71">
        <v>0</v>
      </c>
      <c r="CG71">
        <v>0</v>
      </c>
      <c r="CM71">
        <v>0</v>
      </c>
      <c r="CN71" t="s">
        <v>3</v>
      </c>
      <c r="CO71">
        <v>0</v>
      </c>
      <c r="CP71">
        <f>(P71+Q71+S71)</f>
        <v>15540.96</v>
      </c>
      <c r="CQ71">
        <f>(AC71*BC71*AW71)</f>
        <v>647.54</v>
      </c>
      <c r="CR71">
        <f>((((ET71)*BB71-(EU71)*BS71)+AE71*BS71)*AV71)</f>
        <v>0</v>
      </c>
      <c r="CS71">
        <f>(AE71*BS71*AV71)</f>
        <v>0</v>
      </c>
      <c r="CT71">
        <f>(AF71*BA71*AV71)</f>
        <v>0</v>
      </c>
      <c r="CU71">
        <f>AG71</f>
        <v>0</v>
      </c>
      <c r="CV71">
        <f>(AH71*AV71)</f>
        <v>0</v>
      </c>
      <c r="CW71">
        <f t="shared" si="37"/>
        <v>0</v>
      </c>
      <c r="CX71">
        <f t="shared" si="37"/>
        <v>0</v>
      </c>
      <c r="CY71">
        <f>((S71*BZ71)/100)</f>
        <v>0</v>
      </c>
      <c r="CZ71">
        <f>((S71*CA71)/100)</f>
        <v>0</v>
      </c>
      <c r="DC71" t="s">
        <v>3</v>
      </c>
      <c r="DD71" t="s">
        <v>3</v>
      </c>
      <c r="DE71" t="s">
        <v>3</v>
      </c>
      <c r="DF71" t="s">
        <v>3</v>
      </c>
      <c r="DG71" t="s">
        <v>3</v>
      </c>
      <c r="DH71" t="s">
        <v>3</v>
      </c>
      <c r="DI71" t="s">
        <v>3</v>
      </c>
      <c r="DJ71" t="s">
        <v>3</v>
      </c>
      <c r="DK71" t="s">
        <v>3</v>
      </c>
      <c r="DL71" t="s">
        <v>3</v>
      </c>
      <c r="DM71" t="s">
        <v>3</v>
      </c>
      <c r="DN71">
        <v>0</v>
      </c>
      <c r="DO71">
        <v>0</v>
      </c>
      <c r="DP71">
        <v>1</v>
      </c>
      <c r="DQ71">
        <v>1</v>
      </c>
      <c r="DU71">
        <v>1010</v>
      </c>
      <c r="DV71" t="s">
        <v>19</v>
      </c>
      <c r="DW71" t="s">
        <v>19</v>
      </c>
      <c r="DX71">
        <v>1</v>
      </c>
      <c r="DZ71" t="s">
        <v>3</v>
      </c>
      <c r="EA71" t="s">
        <v>3</v>
      </c>
      <c r="EB71" t="s">
        <v>3</v>
      </c>
      <c r="EC71" t="s">
        <v>3</v>
      </c>
      <c r="EE71">
        <v>66091114</v>
      </c>
      <c r="EF71">
        <v>1</v>
      </c>
      <c r="EG71" t="s">
        <v>21</v>
      </c>
      <c r="EH71">
        <v>0</v>
      </c>
      <c r="EI71" t="s">
        <v>3</v>
      </c>
      <c r="EJ71">
        <v>4</v>
      </c>
      <c r="EK71">
        <v>0</v>
      </c>
      <c r="EL71" t="s">
        <v>22</v>
      </c>
      <c r="EM71" t="s">
        <v>23</v>
      </c>
      <c r="EO71" t="s">
        <v>3</v>
      </c>
      <c r="EQ71">
        <v>0</v>
      </c>
      <c r="ER71">
        <v>647.54</v>
      </c>
      <c r="ES71">
        <v>647.54</v>
      </c>
      <c r="ET71">
        <v>0</v>
      </c>
      <c r="EU71">
        <v>0</v>
      </c>
      <c r="EV71">
        <v>0</v>
      </c>
      <c r="EW71">
        <v>0</v>
      </c>
      <c r="EX71">
        <v>0</v>
      </c>
      <c r="EZ71">
        <v>5</v>
      </c>
      <c r="FC71">
        <v>1</v>
      </c>
      <c r="FD71">
        <v>18</v>
      </c>
      <c r="FF71">
        <v>790</v>
      </c>
      <c r="FQ71">
        <v>0</v>
      </c>
      <c r="FR71">
        <v>0</v>
      </c>
      <c r="FS71">
        <v>0</v>
      </c>
      <c r="FX71">
        <v>70</v>
      </c>
      <c r="FY71">
        <v>10</v>
      </c>
      <c r="GA71" t="s">
        <v>97</v>
      </c>
      <c r="GD71">
        <v>0</v>
      </c>
      <c r="GF71">
        <v>-959015690</v>
      </c>
      <c r="GG71">
        <v>2</v>
      </c>
      <c r="GH71">
        <v>3</v>
      </c>
      <c r="GI71">
        <v>-2</v>
      </c>
      <c r="GJ71">
        <v>0</v>
      </c>
      <c r="GK71">
        <f>ROUND(R71*(R12)/100,2)</f>
        <v>0</v>
      </c>
      <c r="GL71">
        <f>ROUND(IF(AND(BH71=3,BI71=3,FS71&lt;&gt;0),P71,0),2)</f>
        <v>0</v>
      </c>
      <c r="GM71">
        <f>ROUND(O71+X71+Y71+GK71,2)+GX71</f>
        <v>15540.96</v>
      </c>
      <c r="GN71">
        <f>IF(OR(BI71=0,BI71=1),GM71-GX71,0)</f>
        <v>0</v>
      </c>
      <c r="GO71">
        <f>IF(BI71=2,GM71-GX71,0)</f>
        <v>0</v>
      </c>
      <c r="GP71">
        <f>IF(BI71=4,GM71-GX71,0)</f>
        <v>15540.96</v>
      </c>
      <c r="GR71">
        <v>1</v>
      </c>
      <c r="GS71">
        <v>1</v>
      </c>
      <c r="GT71">
        <v>0</v>
      </c>
      <c r="GU71" t="s">
        <v>3</v>
      </c>
      <c r="GV71">
        <f>ROUND((GT71),6)</f>
        <v>0</v>
      </c>
      <c r="GW71">
        <v>1</v>
      </c>
      <c r="GX71">
        <f>ROUND(HC71*I71,2)</f>
        <v>0</v>
      </c>
      <c r="HA71">
        <v>0</v>
      </c>
      <c r="HB71">
        <v>0</v>
      </c>
      <c r="HC71">
        <f>GV71*GW71</f>
        <v>0</v>
      </c>
      <c r="HE71" t="s">
        <v>32</v>
      </c>
      <c r="HF71" t="s">
        <v>32</v>
      </c>
      <c r="HM71" t="s">
        <v>3</v>
      </c>
      <c r="HN71" t="s">
        <v>3</v>
      </c>
      <c r="HO71" t="s">
        <v>3</v>
      </c>
      <c r="HP71" t="s">
        <v>3</v>
      </c>
      <c r="HQ71" t="s">
        <v>3</v>
      </c>
      <c r="HS71">
        <v>0</v>
      </c>
      <c r="IK71">
        <v>0</v>
      </c>
    </row>
    <row r="73" spans="1:245" x14ac:dyDescent="0.3">
      <c r="A73" s="2">
        <v>51</v>
      </c>
      <c r="B73" s="2">
        <f>B65</f>
        <v>1</v>
      </c>
      <c r="C73" s="2">
        <f>A65</f>
        <v>4</v>
      </c>
      <c r="D73" s="2">
        <f>ROW(A65)</f>
        <v>65</v>
      </c>
      <c r="E73" s="2"/>
      <c r="F73" s="2" t="str">
        <f>IF(F65&lt;&gt;"",F65,"")</f>
        <v>Новый раздел</v>
      </c>
      <c r="G73" s="2" t="str">
        <f>IF(G65&lt;&gt;"",G65,"")</f>
        <v>ГВС I - N35 - 23 пластинs - вес 446 кг.</v>
      </c>
      <c r="H73" s="2">
        <v>0</v>
      </c>
      <c r="I73" s="2"/>
      <c r="J73" s="2"/>
      <c r="K73" s="2"/>
      <c r="L73" s="2"/>
      <c r="M73" s="2"/>
      <c r="N73" s="2"/>
      <c r="O73" s="2">
        <f t="shared" ref="O73:T73" si="38">ROUND(AB73,2)</f>
        <v>71100.92</v>
      </c>
      <c r="P73" s="2">
        <f t="shared" si="38"/>
        <v>59108.82</v>
      </c>
      <c r="Q73" s="2">
        <f t="shared" si="38"/>
        <v>25.53</v>
      </c>
      <c r="R73" s="2">
        <f t="shared" si="38"/>
        <v>0.23</v>
      </c>
      <c r="S73" s="2">
        <f t="shared" si="38"/>
        <v>11966.57</v>
      </c>
      <c r="T73" s="2">
        <f t="shared" si="38"/>
        <v>0</v>
      </c>
      <c r="U73" s="2">
        <f>AH73</f>
        <v>18.739999999999998</v>
      </c>
      <c r="V73" s="2">
        <f>AI73</f>
        <v>0</v>
      </c>
      <c r="W73" s="2">
        <f>ROUND(AJ73,2)</f>
        <v>0</v>
      </c>
      <c r="X73" s="2">
        <f>ROUND(AK73,2)</f>
        <v>8376.6</v>
      </c>
      <c r="Y73" s="2">
        <f>ROUND(AL73,2)</f>
        <v>1196.6600000000001</v>
      </c>
      <c r="Z73" s="2"/>
      <c r="AA73" s="2"/>
      <c r="AB73" s="2">
        <f>ROUND(SUMIF(AA69:AA71,"=66366214",O69:O71),2)</f>
        <v>71100.92</v>
      </c>
      <c r="AC73" s="2">
        <f>ROUND(SUMIF(AA69:AA71,"=66366214",P69:P71),2)</f>
        <v>59108.82</v>
      </c>
      <c r="AD73" s="2">
        <f>ROUND(SUMIF(AA69:AA71,"=66366214",Q69:Q71),2)</f>
        <v>25.53</v>
      </c>
      <c r="AE73" s="2">
        <f>ROUND(SUMIF(AA69:AA71,"=66366214",R69:R71),2)</f>
        <v>0.23</v>
      </c>
      <c r="AF73" s="2">
        <f>ROUND(SUMIF(AA69:AA71,"=66366214",S69:S71),2)</f>
        <v>11966.57</v>
      </c>
      <c r="AG73" s="2">
        <f>ROUND(SUMIF(AA69:AA71,"=66366214",T69:T71),2)</f>
        <v>0</v>
      </c>
      <c r="AH73" s="2">
        <f>SUMIF(AA69:AA71,"=66366214",U69:U71)</f>
        <v>18.739999999999998</v>
      </c>
      <c r="AI73" s="2">
        <f>SUMIF(AA69:AA71,"=66366214",V69:V71)</f>
        <v>0</v>
      </c>
      <c r="AJ73" s="2">
        <f>ROUND(SUMIF(AA69:AA71,"=66366214",W69:W71),2)</f>
        <v>0</v>
      </c>
      <c r="AK73" s="2">
        <f>ROUND(SUMIF(AA69:AA71,"=66366214",X69:X71),2)</f>
        <v>8376.6</v>
      </c>
      <c r="AL73" s="2">
        <f>ROUND(SUMIF(AA69:AA71,"=66366214",Y69:Y71),2)</f>
        <v>1196.6600000000001</v>
      </c>
      <c r="AM73" s="2"/>
      <c r="AN73" s="2"/>
      <c r="AO73" s="2">
        <f t="shared" ref="AO73:BD73" si="39">ROUND(BX73,2)</f>
        <v>0</v>
      </c>
      <c r="AP73" s="2">
        <f t="shared" si="39"/>
        <v>0</v>
      </c>
      <c r="AQ73" s="2">
        <f t="shared" si="39"/>
        <v>0</v>
      </c>
      <c r="AR73" s="2">
        <f t="shared" si="39"/>
        <v>80674.429999999993</v>
      </c>
      <c r="AS73" s="2">
        <f t="shared" si="39"/>
        <v>0</v>
      </c>
      <c r="AT73" s="2">
        <f t="shared" si="39"/>
        <v>0</v>
      </c>
      <c r="AU73" s="2">
        <f t="shared" si="39"/>
        <v>80674.429999999993</v>
      </c>
      <c r="AV73" s="2">
        <f t="shared" si="39"/>
        <v>59108.82</v>
      </c>
      <c r="AW73" s="2">
        <f t="shared" si="39"/>
        <v>59108.82</v>
      </c>
      <c r="AX73" s="2">
        <f t="shared" si="39"/>
        <v>0</v>
      </c>
      <c r="AY73" s="2">
        <f t="shared" si="39"/>
        <v>59108.82</v>
      </c>
      <c r="AZ73" s="2">
        <f t="shared" si="39"/>
        <v>0</v>
      </c>
      <c r="BA73" s="2">
        <f t="shared" si="39"/>
        <v>0</v>
      </c>
      <c r="BB73" s="2">
        <f t="shared" si="39"/>
        <v>0</v>
      </c>
      <c r="BC73" s="2">
        <f t="shared" si="39"/>
        <v>0</v>
      </c>
      <c r="BD73" s="2">
        <f t="shared" si="39"/>
        <v>0</v>
      </c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>
        <f>ROUND(SUMIF(AA69:AA71,"=66366214",FQ69:FQ71),2)</f>
        <v>0</v>
      </c>
      <c r="BY73" s="2">
        <f>ROUND(SUMIF(AA69:AA71,"=66366214",FR69:FR71),2)</f>
        <v>0</v>
      </c>
      <c r="BZ73" s="2">
        <f>ROUND(SUMIF(AA69:AA71,"=66366214",GL69:GL71),2)</f>
        <v>0</v>
      </c>
      <c r="CA73" s="2">
        <f>ROUND(SUMIF(AA69:AA71,"=66366214",GM69:GM71),2)</f>
        <v>80674.429999999993</v>
      </c>
      <c r="CB73" s="2">
        <f>ROUND(SUMIF(AA69:AA71,"=66366214",GN69:GN71),2)</f>
        <v>0</v>
      </c>
      <c r="CC73" s="2">
        <f>ROUND(SUMIF(AA69:AA71,"=66366214",GO69:GO71),2)</f>
        <v>0</v>
      </c>
      <c r="CD73" s="2">
        <f>ROUND(SUMIF(AA69:AA71,"=66366214",GP69:GP71),2)</f>
        <v>80674.429999999993</v>
      </c>
      <c r="CE73" s="2">
        <f>AC73-BX73</f>
        <v>59108.82</v>
      </c>
      <c r="CF73" s="2">
        <f>AC73-BY73</f>
        <v>59108.82</v>
      </c>
      <c r="CG73" s="2">
        <f>BX73-BZ73</f>
        <v>0</v>
      </c>
      <c r="CH73" s="2">
        <f>AC73-BX73-BY73+BZ73</f>
        <v>59108.82</v>
      </c>
      <c r="CI73" s="2">
        <f>BY73-BZ73</f>
        <v>0</v>
      </c>
      <c r="CJ73" s="2">
        <f>ROUND(SUMIF(AA69:AA71,"=66366214",GX69:GX71),2)</f>
        <v>0</v>
      </c>
      <c r="CK73" s="2">
        <f>ROUND(SUMIF(AA69:AA71,"=66366214",GY69:GY71),2)</f>
        <v>0</v>
      </c>
      <c r="CL73" s="2">
        <f>ROUND(SUMIF(AA69:AA71,"=66366214",GZ69:GZ71),2)</f>
        <v>0</v>
      </c>
      <c r="CM73" s="2">
        <f>ROUND(SUMIF(AA69:AA71,"=66366214",HD69:HD71),2)</f>
        <v>0</v>
      </c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>
        <v>0</v>
      </c>
    </row>
    <row r="75" spans="1:245" x14ac:dyDescent="0.3">
      <c r="A75" s="4">
        <v>50</v>
      </c>
      <c r="B75" s="4">
        <v>0</v>
      </c>
      <c r="C75" s="4">
        <v>0</v>
      </c>
      <c r="D75" s="4">
        <v>1</v>
      </c>
      <c r="E75" s="4">
        <v>201</v>
      </c>
      <c r="F75" s="4">
        <f>ROUND(Source!O73,O75)</f>
        <v>71100.92</v>
      </c>
      <c r="G75" s="4" t="s">
        <v>33</v>
      </c>
      <c r="H75" s="4" t="s">
        <v>34</v>
      </c>
      <c r="I75" s="4"/>
      <c r="J75" s="4"/>
      <c r="K75" s="4">
        <v>201</v>
      </c>
      <c r="L75" s="4">
        <v>1</v>
      </c>
      <c r="M75" s="4">
        <v>3</v>
      </c>
      <c r="N75" s="4" t="s">
        <v>3</v>
      </c>
      <c r="O75" s="4">
        <v>2</v>
      </c>
      <c r="P75" s="4"/>
      <c r="Q75" s="4"/>
      <c r="R75" s="4"/>
      <c r="S75" s="4"/>
      <c r="T75" s="4"/>
      <c r="U75" s="4"/>
      <c r="V75" s="4"/>
      <c r="W75" s="4">
        <v>71100.92</v>
      </c>
      <c r="X75" s="4">
        <v>1</v>
      </c>
      <c r="Y75" s="4">
        <v>71100.92</v>
      </c>
      <c r="Z75" s="4"/>
      <c r="AA75" s="4"/>
      <c r="AB75" s="4"/>
    </row>
    <row r="76" spans="1:245" x14ac:dyDescent="0.3">
      <c r="A76" s="4">
        <v>50</v>
      </c>
      <c r="B76" s="4">
        <v>0</v>
      </c>
      <c r="C76" s="4">
        <v>0</v>
      </c>
      <c r="D76" s="4">
        <v>1</v>
      </c>
      <c r="E76" s="4">
        <v>202</v>
      </c>
      <c r="F76" s="4">
        <f>ROUND(Source!P73,O76)</f>
        <v>59108.82</v>
      </c>
      <c r="G76" s="4" t="s">
        <v>35</v>
      </c>
      <c r="H76" s="4" t="s">
        <v>36</v>
      </c>
      <c r="I76" s="4"/>
      <c r="J76" s="4"/>
      <c r="K76" s="4">
        <v>202</v>
      </c>
      <c r="L76" s="4">
        <v>2</v>
      </c>
      <c r="M76" s="4">
        <v>3</v>
      </c>
      <c r="N76" s="4" t="s">
        <v>3</v>
      </c>
      <c r="O76" s="4">
        <v>2</v>
      </c>
      <c r="P76" s="4"/>
      <c r="Q76" s="4"/>
      <c r="R76" s="4"/>
      <c r="S76" s="4"/>
      <c r="T76" s="4"/>
      <c r="U76" s="4"/>
      <c r="V76" s="4"/>
      <c r="W76" s="4">
        <v>59108.82</v>
      </c>
      <c r="X76" s="4">
        <v>1</v>
      </c>
      <c r="Y76" s="4">
        <v>59108.82</v>
      </c>
      <c r="Z76" s="4"/>
      <c r="AA76" s="4"/>
      <c r="AB76" s="4"/>
    </row>
    <row r="77" spans="1:245" x14ac:dyDescent="0.3">
      <c r="A77" s="4">
        <v>50</v>
      </c>
      <c r="B77" s="4">
        <v>0</v>
      </c>
      <c r="C77" s="4">
        <v>0</v>
      </c>
      <c r="D77" s="4">
        <v>1</v>
      </c>
      <c r="E77" s="4">
        <v>222</v>
      </c>
      <c r="F77" s="4">
        <f>ROUND(Source!AO73,O77)</f>
        <v>0</v>
      </c>
      <c r="G77" s="4" t="s">
        <v>37</v>
      </c>
      <c r="H77" s="4" t="s">
        <v>38</v>
      </c>
      <c r="I77" s="4"/>
      <c r="J77" s="4"/>
      <c r="K77" s="4">
        <v>222</v>
      </c>
      <c r="L77" s="4">
        <v>3</v>
      </c>
      <c r="M77" s="4">
        <v>3</v>
      </c>
      <c r="N77" s="4" t="s">
        <v>3</v>
      </c>
      <c r="O77" s="4">
        <v>2</v>
      </c>
      <c r="P77" s="4"/>
      <c r="Q77" s="4"/>
      <c r="R77" s="4"/>
      <c r="S77" s="4"/>
      <c r="T77" s="4"/>
      <c r="U77" s="4"/>
      <c r="V77" s="4"/>
      <c r="W77" s="4">
        <v>0</v>
      </c>
      <c r="X77" s="4">
        <v>1</v>
      </c>
      <c r="Y77" s="4">
        <v>0</v>
      </c>
      <c r="Z77" s="4"/>
      <c r="AA77" s="4"/>
      <c r="AB77" s="4"/>
    </row>
    <row r="78" spans="1:245" x14ac:dyDescent="0.3">
      <c r="A78" s="4">
        <v>50</v>
      </c>
      <c r="B78" s="4">
        <v>0</v>
      </c>
      <c r="C78" s="4">
        <v>0</v>
      </c>
      <c r="D78" s="4">
        <v>1</v>
      </c>
      <c r="E78" s="4">
        <v>225</v>
      </c>
      <c r="F78" s="4">
        <f>ROUND(Source!AV73,O78)</f>
        <v>59108.82</v>
      </c>
      <c r="G78" s="4" t="s">
        <v>39</v>
      </c>
      <c r="H78" s="4" t="s">
        <v>40</v>
      </c>
      <c r="I78" s="4"/>
      <c r="J78" s="4"/>
      <c r="K78" s="4">
        <v>225</v>
      </c>
      <c r="L78" s="4">
        <v>4</v>
      </c>
      <c r="M78" s="4">
        <v>3</v>
      </c>
      <c r="N78" s="4" t="s">
        <v>3</v>
      </c>
      <c r="O78" s="4">
        <v>2</v>
      </c>
      <c r="P78" s="4"/>
      <c r="Q78" s="4"/>
      <c r="R78" s="4"/>
      <c r="S78" s="4"/>
      <c r="T78" s="4"/>
      <c r="U78" s="4"/>
      <c r="V78" s="4"/>
      <c r="W78" s="4">
        <v>59108.82</v>
      </c>
      <c r="X78" s="4">
        <v>1</v>
      </c>
      <c r="Y78" s="4">
        <v>59108.82</v>
      </c>
      <c r="Z78" s="4"/>
      <c r="AA78" s="4"/>
      <c r="AB78" s="4"/>
    </row>
    <row r="79" spans="1:245" x14ac:dyDescent="0.3">
      <c r="A79" s="4">
        <v>50</v>
      </c>
      <c r="B79" s="4">
        <v>0</v>
      </c>
      <c r="C79" s="4">
        <v>0</v>
      </c>
      <c r="D79" s="4">
        <v>1</v>
      </c>
      <c r="E79" s="4">
        <v>226</v>
      </c>
      <c r="F79" s="4">
        <f>ROUND(Source!AW73,O79)</f>
        <v>59108.82</v>
      </c>
      <c r="G79" s="4" t="s">
        <v>41</v>
      </c>
      <c r="H79" s="4" t="s">
        <v>42</v>
      </c>
      <c r="I79" s="4"/>
      <c r="J79" s="4"/>
      <c r="K79" s="4">
        <v>226</v>
      </c>
      <c r="L79" s="4">
        <v>5</v>
      </c>
      <c r="M79" s="4">
        <v>3</v>
      </c>
      <c r="N79" s="4" t="s">
        <v>3</v>
      </c>
      <c r="O79" s="4">
        <v>2</v>
      </c>
      <c r="P79" s="4"/>
      <c r="Q79" s="4"/>
      <c r="R79" s="4"/>
      <c r="S79" s="4"/>
      <c r="T79" s="4"/>
      <c r="U79" s="4"/>
      <c r="V79" s="4"/>
      <c r="W79" s="4">
        <v>59108.82</v>
      </c>
      <c r="X79" s="4">
        <v>1</v>
      </c>
      <c r="Y79" s="4">
        <v>59108.82</v>
      </c>
      <c r="Z79" s="4"/>
      <c r="AA79" s="4"/>
      <c r="AB79" s="4"/>
    </row>
    <row r="80" spans="1:245" x14ac:dyDescent="0.3">
      <c r="A80" s="4">
        <v>50</v>
      </c>
      <c r="B80" s="4">
        <v>0</v>
      </c>
      <c r="C80" s="4">
        <v>0</v>
      </c>
      <c r="D80" s="4">
        <v>1</v>
      </c>
      <c r="E80" s="4">
        <v>227</v>
      </c>
      <c r="F80" s="4">
        <f>ROUND(Source!AX73,O80)</f>
        <v>0</v>
      </c>
      <c r="G80" s="4" t="s">
        <v>43</v>
      </c>
      <c r="H80" s="4" t="s">
        <v>44</v>
      </c>
      <c r="I80" s="4"/>
      <c r="J80" s="4"/>
      <c r="K80" s="4">
        <v>227</v>
      </c>
      <c r="L80" s="4">
        <v>6</v>
      </c>
      <c r="M80" s="4">
        <v>3</v>
      </c>
      <c r="N80" s="4" t="s">
        <v>3</v>
      </c>
      <c r="O80" s="4">
        <v>2</v>
      </c>
      <c r="P80" s="4"/>
      <c r="Q80" s="4"/>
      <c r="R80" s="4"/>
      <c r="S80" s="4"/>
      <c r="T80" s="4"/>
      <c r="U80" s="4"/>
      <c r="V80" s="4"/>
      <c r="W80" s="4">
        <v>0</v>
      </c>
      <c r="X80" s="4">
        <v>1</v>
      </c>
      <c r="Y80" s="4">
        <v>0</v>
      </c>
      <c r="Z80" s="4"/>
      <c r="AA80" s="4"/>
      <c r="AB80" s="4"/>
    </row>
    <row r="81" spans="1:28" x14ac:dyDescent="0.3">
      <c r="A81" s="4">
        <v>50</v>
      </c>
      <c r="B81" s="4">
        <v>0</v>
      </c>
      <c r="C81" s="4">
        <v>0</v>
      </c>
      <c r="D81" s="4">
        <v>1</v>
      </c>
      <c r="E81" s="4">
        <v>228</v>
      </c>
      <c r="F81" s="4">
        <f>ROUND(Source!AY73,O81)</f>
        <v>59108.82</v>
      </c>
      <c r="G81" s="4" t="s">
        <v>45</v>
      </c>
      <c r="H81" s="4" t="s">
        <v>46</v>
      </c>
      <c r="I81" s="4"/>
      <c r="J81" s="4"/>
      <c r="K81" s="4">
        <v>228</v>
      </c>
      <c r="L81" s="4">
        <v>7</v>
      </c>
      <c r="M81" s="4">
        <v>3</v>
      </c>
      <c r="N81" s="4" t="s">
        <v>3</v>
      </c>
      <c r="O81" s="4">
        <v>2</v>
      </c>
      <c r="P81" s="4"/>
      <c r="Q81" s="4"/>
      <c r="R81" s="4"/>
      <c r="S81" s="4"/>
      <c r="T81" s="4"/>
      <c r="U81" s="4"/>
      <c r="V81" s="4"/>
      <c r="W81" s="4">
        <v>59108.82</v>
      </c>
      <c r="X81" s="4">
        <v>1</v>
      </c>
      <c r="Y81" s="4">
        <v>59108.82</v>
      </c>
      <c r="Z81" s="4"/>
      <c r="AA81" s="4"/>
      <c r="AB81" s="4"/>
    </row>
    <row r="82" spans="1:28" x14ac:dyDescent="0.3">
      <c r="A82" s="4">
        <v>50</v>
      </c>
      <c r="B82" s="4">
        <v>0</v>
      </c>
      <c r="C82" s="4">
        <v>0</v>
      </c>
      <c r="D82" s="4">
        <v>1</v>
      </c>
      <c r="E82" s="4">
        <v>216</v>
      </c>
      <c r="F82" s="4">
        <f>ROUND(Source!AP73,O82)</f>
        <v>0</v>
      </c>
      <c r="G82" s="4" t="s">
        <v>47</v>
      </c>
      <c r="H82" s="4" t="s">
        <v>48</v>
      </c>
      <c r="I82" s="4"/>
      <c r="J82" s="4"/>
      <c r="K82" s="4">
        <v>216</v>
      </c>
      <c r="L82" s="4">
        <v>8</v>
      </c>
      <c r="M82" s="4">
        <v>3</v>
      </c>
      <c r="N82" s="4" t="s">
        <v>3</v>
      </c>
      <c r="O82" s="4">
        <v>2</v>
      </c>
      <c r="P82" s="4"/>
      <c r="Q82" s="4"/>
      <c r="R82" s="4"/>
      <c r="S82" s="4"/>
      <c r="T82" s="4"/>
      <c r="U82" s="4"/>
      <c r="V82" s="4"/>
      <c r="W82" s="4">
        <v>0</v>
      </c>
      <c r="X82" s="4">
        <v>1</v>
      </c>
      <c r="Y82" s="4">
        <v>0</v>
      </c>
      <c r="Z82" s="4"/>
      <c r="AA82" s="4"/>
      <c r="AB82" s="4"/>
    </row>
    <row r="83" spans="1:28" x14ac:dyDescent="0.3">
      <c r="A83" s="4">
        <v>50</v>
      </c>
      <c r="B83" s="4">
        <v>0</v>
      </c>
      <c r="C83" s="4">
        <v>0</v>
      </c>
      <c r="D83" s="4">
        <v>1</v>
      </c>
      <c r="E83" s="4">
        <v>223</v>
      </c>
      <c r="F83" s="4">
        <f>ROUND(Source!AQ73,O83)</f>
        <v>0</v>
      </c>
      <c r="G83" s="4" t="s">
        <v>49</v>
      </c>
      <c r="H83" s="4" t="s">
        <v>50</v>
      </c>
      <c r="I83" s="4"/>
      <c r="J83" s="4"/>
      <c r="K83" s="4">
        <v>223</v>
      </c>
      <c r="L83" s="4">
        <v>9</v>
      </c>
      <c r="M83" s="4">
        <v>3</v>
      </c>
      <c r="N83" s="4" t="s">
        <v>3</v>
      </c>
      <c r="O83" s="4">
        <v>2</v>
      </c>
      <c r="P83" s="4"/>
      <c r="Q83" s="4"/>
      <c r="R83" s="4"/>
      <c r="S83" s="4"/>
      <c r="T83" s="4"/>
      <c r="U83" s="4"/>
      <c r="V83" s="4"/>
      <c r="W83" s="4">
        <v>0</v>
      </c>
      <c r="X83" s="4">
        <v>1</v>
      </c>
      <c r="Y83" s="4">
        <v>0</v>
      </c>
      <c r="Z83" s="4"/>
      <c r="AA83" s="4"/>
      <c r="AB83" s="4"/>
    </row>
    <row r="84" spans="1:28" x14ac:dyDescent="0.3">
      <c r="A84" s="4">
        <v>50</v>
      </c>
      <c r="B84" s="4">
        <v>0</v>
      </c>
      <c r="C84" s="4">
        <v>0</v>
      </c>
      <c r="D84" s="4">
        <v>1</v>
      </c>
      <c r="E84" s="4">
        <v>229</v>
      </c>
      <c r="F84" s="4">
        <f>ROUND(Source!AZ73,O84)</f>
        <v>0</v>
      </c>
      <c r="G84" s="4" t="s">
        <v>51</v>
      </c>
      <c r="H84" s="4" t="s">
        <v>52</v>
      </c>
      <c r="I84" s="4"/>
      <c r="J84" s="4"/>
      <c r="K84" s="4">
        <v>229</v>
      </c>
      <c r="L84" s="4">
        <v>10</v>
      </c>
      <c r="M84" s="4">
        <v>3</v>
      </c>
      <c r="N84" s="4" t="s">
        <v>3</v>
      </c>
      <c r="O84" s="4">
        <v>2</v>
      </c>
      <c r="P84" s="4"/>
      <c r="Q84" s="4"/>
      <c r="R84" s="4"/>
      <c r="S84" s="4"/>
      <c r="T84" s="4"/>
      <c r="U84" s="4"/>
      <c r="V84" s="4"/>
      <c r="W84" s="4">
        <v>0</v>
      </c>
      <c r="X84" s="4">
        <v>1</v>
      </c>
      <c r="Y84" s="4">
        <v>0</v>
      </c>
      <c r="Z84" s="4"/>
      <c r="AA84" s="4"/>
      <c r="AB84" s="4"/>
    </row>
    <row r="85" spans="1:28" x14ac:dyDescent="0.3">
      <c r="A85" s="4">
        <v>50</v>
      </c>
      <c r="B85" s="4">
        <v>0</v>
      </c>
      <c r="C85" s="4">
        <v>0</v>
      </c>
      <c r="D85" s="4">
        <v>1</v>
      </c>
      <c r="E85" s="4">
        <v>203</v>
      </c>
      <c r="F85" s="4">
        <f>ROUND(Source!Q73,O85)</f>
        <v>25.53</v>
      </c>
      <c r="G85" s="4" t="s">
        <v>53</v>
      </c>
      <c r="H85" s="4" t="s">
        <v>54</v>
      </c>
      <c r="I85" s="4"/>
      <c r="J85" s="4"/>
      <c r="K85" s="4">
        <v>203</v>
      </c>
      <c r="L85" s="4">
        <v>11</v>
      </c>
      <c r="M85" s="4">
        <v>3</v>
      </c>
      <c r="N85" s="4" t="s">
        <v>3</v>
      </c>
      <c r="O85" s="4">
        <v>2</v>
      </c>
      <c r="P85" s="4"/>
      <c r="Q85" s="4"/>
      <c r="R85" s="4"/>
      <c r="S85" s="4"/>
      <c r="T85" s="4"/>
      <c r="U85" s="4"/>
      <c r="V85" s="4"/>
      <c r="W85" s="4">
        <v>25.53</v>
      </c>
      <c r="X85" s="4">
        <v>1</v>
      </c>
      <c r="Y85" s="4">
        <v>25.53</v>
      </c>
      <c r="Z85" s="4"/>
      <c r="AA85" s="4"/>
      <c r="AB85" s="4"/>
    </row>
    <row r="86" spans="1:28" x14ac:dyDescent="0.3">
      <c r="A86" s="4">
        <v>50</v>
      </c>
      <c r="B86" s="4">
        <v>0</v>
      </c>
      <c r="C86" s="4">
        <v>0</v>
      </c>
      <c r="D86" s="4">
        <v>1</v>
      </c>
      <c r="E86" s="4">
        <v>231</v>
      </c>
      <c r="F86" s="4">
        <f>ROUND(Source!BB73,O86)</f>
        <v>0</v>
      </c>
      <c r="G86" s="4" t="s">
        <v>55</v>
      </c>
      <c r="H86" s="4" t="s">
        <v>56</v>
      </c>
      <c r="I86" s="4"/>
      <c r="J86" s="4"/>
      <c r="K86" s="4">
        <v>231</v>
      </c>
      <c r="L86" s="4">
        <v>12</v>
      </c>
      <c r="M86" s="4">
        <v>3</v>
      </c>
      <c r="N86" s="4" t="s">
        <v>3</v>
      </c>
      <c r="O86" s="4">
        <v>2</v>
      </c>
      <c r="P86" s="4"/>
      <c r="Q86" s="4"/>
      <c r="R86" s="4"/>
      <c r="S86" s="4"/>
      <c r="T86" s="4"/>
      <c r="U86" s="4"/>
      <c r="V86" s="4"/>
      <c r="W86" s="4">
        <v>0</v>
      </c>
      <c r="X86" s="4">
        <v>1</v>
      </c>
      <c r="Y86" s="4">
        <v>0</v>
      </c>
      <c r="Z86" s="4"/>
      <c r="AA86" s="4"/>
      <c r="AB86" s="4"/>
    </row>
    <row r="87" spans="1:28" x14ac:dyDescent="0.3">
      <c r="A87" s="4">
        <v>50</v>
      </c>
      <c r="B87" s="4">
        <v>0</v>
      </c>
      <c r="C87" s="4">
        <v>0</v>
      </c>
      <c r="D87" s="4">
        <v>1</v>
      </c>
      <c r="E87" s="4">
        <v>204</v>
      </c>
      <c r="F87" s="4">
        <f>ROUND(Source!R73,O87)</f>
        <v>0.23</v>
      </c>
      <c r="G87" s="4" t="s">
        <v>57</v>
      </c>
      <c r="H87" s="4" t="s">
        <v>58</v>
      </c>
      <c r="I87" s="4"/>
      <c r="J87" s="4"/>
      <c r="K87" s="4">
        <v>204</v>
      </c>
      <c r="L87" s="4">
        <v>13</v>
      </c>
      <c r="M87" s="4">
        <v>3</v>
      </c>
      <c r="N87" s="4" t="s">
        <v>3</v>
      </c>
      <c r="O87" s="4">
        <v>2</v>
      </c>
      <c r="P87" s="4"/>
      <c r="Q87" s="4"/>
      <c r="R87" s="4"/>
      <c r="S87" s="4"/>
      <c r="T87" s="4"/>
      <c r="U87" s="4"/>
      <c r="V87" s="4"/>
      <c r="W87" s="4">
        <v>0.23</v>
      </c>
      <c r="X87" s="4">
        <v>1</v>
      </c>
      <c r="Y87" s="4">
        <v>0.23</v>
      </c>
      <c r="Z87" s="4"/>
      <c r="AA87" s="4"/>
      <c r="AB87" s="4"/>
    </row>
    <row r="88" spans="1:28" x14ac:dyDescent="0.3">
      <c r="A88" s="4">
        <v>50</v>
      </c>
      <c r="B88" s="4">
        <v>0</v>
      </c>
      <c r="C88" s="4">
        <v>0</v>
      </c>
      <c r="D88" s="4">
        <v>1</v>
      </c>
      <c r="E88" s="4">
        <v>205</v>
      </c>
      <c r="F88" s="4">
        <f>ROUND(Source!S73,O88)</f>
        <v>11966.57</v>
      </c>
      <c r="G88" s="4" t="s">
        <v>59</v>
      </c>
      <c r="H88" s="4" t="s">
        <v>60</v>
      </c>
      <c r="I88" s="4"/>
      <c r="J88" s="4"/>
      <c r="K88" s="4">
        <v>205</v>
      </c>
      <c r="L88" s="4">
        <v>14</v>
      </c>
      <c r="M88" s="4">
        <v>3</v>
      </c>
      <c r="N88" s="4" t="s">
        <v>3</v>
      </c>
      <c r="O88" s="4">
        <v>2</v>
      </c>
      <c r="P88" s="4"/>
      <c r="Q88" s="4"/>
      <c r="R88" s="4"/>
      <c r="S88" s="4"/>
      <c r="T88" s="4"/>
      <c r="U88" s="4"/>
      <c r="V88" s="4"/>
      <c r="W88" s="4">
        <v>11966.57</v>
      </c>
      <c r="X88" s="4">
        <v>1</v>
      </c>
      <c r="Y88" s="4">
        <v>11966.57</v>
      </c>
      <c r="Z88" s="4"/>
      <c r="AA88" s="4"/>
      <c r="AB88" s="4"/>
    </row>
    <row r="89" spans="1:28" x14ac:dyDescent="0.3">
      <c r="A89" s="4">
        <v>50</v>
      </c>
      <c r="B89" s="4">
        <v>0</v>
      </c>
      <c r="C89" s="4">
        <v>0</v>
      </c>
      <c r="D89" s="4">
        <v>1</v>
      </c>
      <c r="E89" s="4">
        <v>232</v>
      </c>
      <c r="F89" s="4">
        <f>ROUND(Source!BC73,O89)</f>
        <v>0</v>
      </c>
      <c r="G89" s="4" t="s">
        <v>61</v>
      </c>
      <c r="H89" s="4" t="s">
        <v>62</v>
      </c>
      <c r="I89" s="4"/>
      <c r="J89" s="4"/>
      <c r="K89" s="4">
        <v>232</v>
      </c>
      <c r="L89" s="4">
        <v>15</v>
      </c>
      <c r="M89" s="4">
        <v>3</v>
      </c>
      <c r="N89" s="4" t="s">
        <v>3</v>
      </c>
      <c r="O89" s="4">
        <v>2</v>
      </c>
      <c r="P89" s="4"/>
      <c r="Q89" s="4"/>
      <c r="R89" s="4"/>
      <c r="S89" s="4"/>
      <c r="T89" s="4"/>
      <c r="U89" s="4"/>
      <c r="V89" s="4"/>
      <c r="W89" s="4">
        <v>0</v>
      </c>
      <c r="X89" s="4">
        <v>1</v>
      </c>
      <c r="Y89" s="4">
        <v>0</v>
      </c>
      <c r="Z89" s="4"/>
      <c r="AA89" s="4"/>
      <c r="AB89" s="4"/>
    </row>
    <row r="90" spans="1:28" x14ac:dyDescent="0.3">
      <c r="A90" s="4">
        <v>50</v>
      </c>
      <c r="B90" s="4">
        <v>0</v>
      </c>
      <c r="C90" s="4">
        <v>0</v>
      </c>
      <c r="D90" s="4">
        <v>1</v>
      </c>
      <c r="E90" s="4">
        <v>214</v>
      </c>
      <c r="F90" s="4">
        <f>ROUND(Source!AS73,O90)</f>
        <v>0</v>
      </c>
      <c r="G90" s="4" t="s">
        <v>63</v>
      </c>
      <c r="H90" s="4" t="s">
        <v>64</v>
      </c>
      <c r="I90" s="4"/>
      <c r="J90" s="4"/>
      <c r="K90" s="4">
        <v>214</v>
      </c>
      <c r="L90" s="4">
        <v>16</v>
      </c>
      <c r="M90" s="4">
        <v>3</v>
      </c>
      <c r="N90" s="4" t="s">
        <v>3</v>
      </c>
      <c r="O90" s="4">
        <v>2</v>
      </c>
      <c r="P90" s="4"/>
      <c r="Q90" s="4"/>
      <c r="R90" s="4"/>
      <c r="S90" s="4"/>
      <c r="T90" s="4"/>
      <c r="U90" s="4"/>
      <c r="V90" s="4"/>
      <c r="W90" s="4">
        <v>0</v>
      </c>
      <c r="X90" s="4">
        <v>1</v>
      </c>
      <c r="Y90" s="4">
        <v>0</v>
      </c>
      <c r="Z90" s="4"/>
      <c r="AA90" s="4"/>
      <c r="AB90" s="4"/>
    </row>
    <row r="91" spans="1:28" x14ac:dyDescent="0.3">
      <c r="A91" s="4">
        <v>50</v>
      </c>
      <c r="B91" s="4">
        <v>0</v>
      </c>
      <c r="C91" s="4">
        <v>0</v>
      </c>
      <c r="D91" s="4">
        <v>1</v>
      </c>
      <c r="E91" s="4">
        <v>215</v>
      </c>
      <c r="F91" s="4">
        <f>ROUND(Source!AT73,O91)</f>
        <v>0</v>
      </c>
      <c r="G91" s="4" t="s">
        <v>65</v>
      </c>
      <c r="H91" s="4" t="s">
        <v>66</v>
      </c>
      <c r="I91" s="4"/>
      <c r="J91" s="4"/>
      <c r="K91" s="4">
        <v>215</v>
      </c>
      <c r="L91" s="4">
        <v>17</v>
      </c>
      <c r="M91" s="4">
        <v>3</v>
      </c>
      <c r="N91" s="4" t="s">
        <v>3</v>
      </c>
      <c r="O91" s="4">
        <v>2</v>
      </c>
      <c r="P91" s="4"/>
      <c r="Q91" s="4"/>
      <c r="R91" s="4"/>
      <c r="S91" s="4"/>
      <c r="T91" s="4"/>
      <c r="U91" s="4"/>
      <c r="V91" s="4"/>
      <c r="W91" s="4">
        <v>0</v>
      </c>
      <c r="X91" s="4">
        <v>1</v>
      </c>
      <c r="Y91" s="4">
        <v>0</v>
      </c>
      <c r="Z91" s="4"/>
      <c r="AA91" s="4"/>
      <c r="AB91" s="4"/>
    </row>
    <row r="92" spans="1:28" x14ac:dyDescent="0.3">
      <c r="A92" s="4">
        <v>50</v>
      </c>
      <c r="B92" s="4">
        <v>0</v>
      </c>
      <c r="C92" s="4">
        <v>0</v>
      </c>
      <c r="D92" s="4">
        <v>1</v>
      </c>
      <c r="E92" s="4">
        <v>217</v>
      </c>
      <c r="F92" s="4">
        <f>ROUND(Source!AU73,O92)</f>
        <v>80674.429999999993</v>
      </c>
      <c r="G92" s="4" t="s">
        <v>67</v>
      </c>
      <c r="H92" s="4" t="s">
        <v>68</v>
      </c>
      <c r="I92" s="4"/>
      <c r="J92" s="4"/>
      <c r="K92" s="4">
        <v>217</v>
      </c>
      <c r="L92" s="4">
        <v>18</v>
      </c>
      <c r="M92" s="4">
        <v>3</v>
      </c>
      <c r="N92" s="4" t="s">
        <v>3</v>
      </c>
      <c r="O92" s="4">
        <v>2</v>
      </c>
      <c r="P92" s="4"/>
      <c r="Q92" s="4"/>
      <c r="R92" s="4"/>
      <c r="S92" s="4"/>
      <c r="T92" s="4"/>
      <c r="U92" s="4"/>
      <c r="V92" s="4"/>
      <c r="W92" s="4">
        <v>80674.429999999993</v>
      </c>
      <c r="X92" s="4">
        <v>1</v>
      </c>
      <c r="Y92" s="4">
        <v>80674.429999999993</v>
      </c>
      <c r="Z92" s="4"/>
      <c r="AA92" s="4"/>
      <c r="AB92" s="4"/>
    </row>
    <row r="93" spans="1:28" x14ac:dyDescent="0.3">
      <c r="A93" s="4">
        <v>50</v>
      </c>
      <c r="B93" s="4">
        <v>0</v>
      </c>
      <c r="C93" s="4">
        <v>0</v>
      </c>
      <c r="D93" s="4">
        <v>1</v>
      </c>
      <c r="E93" s="4">
        <v>230</v>
      </c>
      <c r="F93" s="4">
        <f>ROUND(Source!BA73,O93)</f>
        <v>0</v>
      </c>
      <c r="G93" s="4" t="s">
        <v>69</v>
      </c>
      <c r="H93" s="4" t="s">
        <v>70</v>
      </c>
      <c r="I93" s="4"/>
      <c r="J93" s="4"/>
      <c r="K93" s="4">
        <v>230</v>
      </c>
      <c r="L93" s="4">
        <v>19</v>
      </c>
      <c r="M93" s="4">
        <v>3</v>
      </c>
      <c r="N93" s="4" t="s">
        <v>3</v>
      </c>
      <c r="O93" s="4">
        <v>2</v>
      </c>
      <c r="P93" s="4"/>
      <c r="Q93" s="4"/>
      <c r="R93" s="4"/>
      <c r="S93" s="4"/>
      <c r="T93" s="4"/>
      <c r="U93" s="4"/>
      <c r="V93" s="4"/>
      <c r="W93" s="4">
        <v>0</v>
      </c>
      <c r="X93" s="4">
        <v>1</v>
      </c>
      <c r="Y93" s="4">
        <v>0</v>
      </c>
      <c r="Z93" s="4"/>
      <c r="AA93" s="4"/>
      <c r="AB93" s="4"/>
    </row>
    <row r="94" spans="1:28" x14ac:dyDescent="0.3">
      <c r="A94" s="4">
        <v>50</v>
      </c>
      <c r="B94" s="4">
        <v>0</v>
      </c>
      <c r="C94" s="4">
        <v>0</v>
      </c>
      <c r="D94" s="4">
        <v>1</v>
      </c>
      <c r="E94" s="4">
        <v>206</v>
      </c>
      <c r="F94" s="4">
        <f>ROUND(Source!T73,O94)</f>
        <v>0</v>
      </c>
      <c r="G94" s="4" t="s">
        <v>71</v>
      </c>
      <c r="H94" s="4" t="s">
        <v>72</v>
      </c>
      <c r="I94" s="4"/>
      <c r="J94" s="4"/>
      <c r="K94" s="4">
        <v>206</v>
      </c>
      <c r="L94" s="4">
        <v>20</v>
      </c>
      <c r="M94" s="4">
        <v>3</v>
      </c>
      <c r="N94" s="4" t="s">
        <v>3</v>
      </c>
      <c r="O94" s="4">
        <v>2</v>
      </c>
      <c r="P94" s="4"/>
      <c r="Q94" s="4"/>
      <c r="R94" s="4"/>
      <c r="S94" s="4"/>
      <c r="T94" s="4"/>
      <c r="U94" s="4"/>
      <c r="V94" s="4"/>
      <c r="W94" s="4">
        <v>0</v>
      </c>
      <c r="X94" s="4">
        <v>1</v>
      </c>
      <c r="Y94" s="4">
        <v>0</v>
      </c>
      <c r="Z94" s="4"/>
      <c r="AA94" s="4"/>
      <c r="AB94" s="4"/>
    </row>
    <row r="95" spans="1:28" x14ac:dyDescent="0.3">
      <c r="A95" s="4">
        <v>50</v>
      </c>
      <c r="B95" s="4">
        <v>0</v>
      </c>
      <c r="C95" s="4">
        <v>0</v>
      </c>
      <c r="D95" s="4">
        <v>1</v>
      </c>
      <c r="E95" s="4">
        <v>207</v>
      </c>
      <c r="F95" s="4">
        <f>Source!U73</f>
        <v>18.739999999999998</v>
      </c>
      <c r="G95" s="4" t="s">
        <v>73</v>
      </c>
      <c r="H95" s="4" t="s">
        <v>74</v>
      </c>
      <c r="I95" s="4"/>
      <c r="J95" s="4"/>
      <c r="K95" s="4">
        <v>207</v>
      </c>
      <c r="L95" s="4">
        <v>21</v>
      </c>
      <c r="M95" s="4">
        <v>3</v>
      </c>
      <c r="N95" s="4" t="s">
        <v>3</v>
      </c>
      <c r="O95" s="4">
        <v>-1</v>
      </c>
      <c r="P95" s="4"/>
      <c r="Q95" s="4"/>
      <c r="R95" s="4"/>
      <c r="S95" s="4"/>
      <c r="T95" s="4"/>
      <c r="U95" s="4"/>
      <c r="V95" s="4"/>
      <c r="W95" s="4">
        <v>18.740000000000002</v>
      </c>
      <c r="X95" s="4">
        <v>1</v>
      </c>
      <c r="Y95" s="4">
        <v>18.740000000000002</v>
      </c>
      <c r="Z95" s="4"/>
      <c r="AA95" s="4"/>
      <c r="AB95" s="4"/>
    </row>
    <row r="96" spans="1:28" x14ac:dyDescent="0.3">
      <c r="A96" s="4">
        <v>50</v>
      </c>
      <c r="B96" s="4">
        <v>0</v>
      </c>
      <c r="C96" s="4">
        <v>0</v>
      </c>
      <c r="D96" s="4">
        <v>1</v>
      </c>
      <c r="E96" s="4">
        <v>208</v>
      </c>
      <c r="F96" s="4">
        <f>Source!V73</f>
        <v>0</v>
      </c>
      <c r="G96" s="4" t="s">
        <v>75</v>
      </c>
      <c r="H96" s="4" t="s">
        <v>76</v>
      </c>
      <c r="I96" s="4"/>
      <c r="J96" s="4"/>
      <c r="K96" s="4">
        <v>208</v>
      </c>
      <c r="L96" s="4">
        <v>22</v>
      </c>
      <c r="M96" s="4">
        <v>3</v>
      </c>
      <c r="N96" s="4" t="s">
        <v>3</v>
      </c>
      <c r="O96" s="4">
        <v>-1</v>
      </c>
      <c r="P96" s="4"/>
      <c r="Q96" s="4"/>
      <c r="R96" s="4"/>
      <c r="S96" s="4"/>
      <c r="T96" s="4"/>
      <c r="U96" s="4"/>
      <c r="V96" s="4"/>
      <c r="W96" s="4">
        <v>0</v>
      </c>
      <c r="X96" s="4">
        <v>1</v>
      </c>
      <c r="Y96" s="4">
        <v>0</v>
      </c>
      <c r="Z96" s="4"/>
      <c r="AA96" s="4"/>
      <c r="AB96" s="4"/>
    </row>
    <row r="97" spans="1:245" x14ac:dyDescent="0.3">
      <c r="A97" s="4">
        <v>50</v>
      </c>
      <c r="B97" s="4">
        <v>0</v>
      </c>
      <c r="C97" s="4">
        <v>0</v>
      </c>
      <c r="D97" s="4">
        <v>1</v>
      </c>
      <c r="E97" s="4">
        <v>209</v>
      </c>
      <c r="F97" s="4">
        <f>ROUND(Source!W73,O97)</f>
        <v>0</v>
      </c>
      <c r="G97" s="4" t="s">
        <v>77</v>
      </c>
      <c r="H97" s="4" t="s">
        <v>78</v>
      </c>
      <c r="I97" s="4"/>
      <c r="J97" s="4"/>
      <c r="K97" s="4">
        <v>209</v>
      </c>
      <c r="L97" s="4">
        <v>23</v>
      </c>
      <c r="M97" s="4">
        <v>3</v>
      </c>
      <c r="N97" s="4" t="s">
        <v>3</v>
      </c>
      <c r="O97" s="4">
        <v>2</v>
      </c>
      <c r="P97" s="4"/>
      <c r="Q97" s="4"/>
      <c r="R97" s="4"/>
      <c r="S97" s="4"/>
      <c r="T97" s="4"/>
      <c r="U97" s="4"/>
      <c r="V97" s="4"/>
      <c r="W97" s="4">
        <v>0</v>
      </c>
      <c r="X97" s="4">
        <v>1</v>
      </c>
      <c r="Y97" s="4">
        <v>0</v>
      </c>
      <c r="Z97" s="4"/>
      <c r="AA97" s="4"/>
      <c r="AB97" s="4"/>
    </row>
    <row r="98" spans="1:245" x14ac:dyDescent="0.3">
      <c r="A98" s="4">
        <v>50</v>
      </c>
      <c r="B98" s="4">
        <v>0</v>
      </c>
      <c r="C98" s="4">
        <v>0</v>
      </c>
      <c r="D98" s="4">
        <v>1</v>
      </c>
      <c r="E98" s="4">
        <v>233</v>
      </c>
      <c r="F98" s="4">
        <f>ROUND(Source!BD73,O98)</f>
        <v>0</v>
      </c>
      <c r="G98" s="4" t="s">
        <v>79</v>
      </c>
      <c r="H98" s="4" t="s">
        <v>80</v>
      </c>
      <c r="I98" s="4"/>
      <c r="J98" s="4"/>
      <c r="K98" s="4">
        <v>233</v>
      </c>
      <c r="L98" s="4">
        <v>24</v>
      </c>
      <c r="M98" s="4">
        <v>3</v>
      </c>
      <c r="N98" s="4" t="s">
        <v>3</v>
      </c>
      <c r="O98" s="4">
        <v>2</v>
      </c>
      <c r="P98" s="4"/>
      <c r="Q98" s="4"/>
      <c r="R98" s="4"/>
      <c r="S98" s="4"/>
      <c r="T98" s="4"/>
      <c r="U98" s="4"/>
      <c r="V98" s="4"/>
      <c r="W98" s="4">
        <v>0</v>
      </c>
      <c r="X98" s="4">
        <v>1</v>
      </c>
      <c r="Y98" s="4">
        <v>0</v>
      </c>
      <c r="Z98" s="4"/>
      <c r="AA98" s="4"/>
      <c r="AB98" s="4"/>
    </row>
    <row r="99" spans="1:245" x14ac:dyDescent="0.3">
      <c r="A99" s="4">
        <v>50</v>
      </c>
      <c r="B99" s="4">
        <v>0</v>
      </c>
      <c r="C99" s="4">
        <v>0</v>
      </c>
      <c r="D99" s="4">
        <v>1</v>
      </c>
      <c r="E99" s="4">
        <v>210</v>
      </c>
      <c r="F99" s="4">
        <f>ROUND(Source!X73,O99)</f>
        <v>8376.6</v>
      </c>
      <c r="G99" s="4" t="s">
        <v>81</v>
      </c>
      <c r="H99" s="4" t="s">
        <v>82</v>
      </c>
      <c r="I99" s="4"/>
      <c r="J99" s="4"/>
      <c r="K99" s="4">
        <v>210</v>
      </c>
      <c r="L99" s="4">
        <v>25</v>
      </c>
      <c r="M99" s="4">
        <v>3</v>
      </c>
      <c r="N99" s="4" t="s">
        <v>3</v>
      </c>
      <c r="O99" s="4">
        <v>2</v>
      </c>
      <c r="P99" s="4"/>
      <c r="Q99" s="4"/>
      <c r="R99" s="4"/>
      <c r="S99" s="4"/>
      <c r="T99" s="4"/>
      <c r="U99" s="4"/>
      <c r="V99" s="4"/>
      <c r="W99" s="4">
        <v>8376.6</v>
      </c>
      <c r="X99" s="4">
        <v>1</v>
      </c>
      <c r="Y99" s="4">
        <v>8376.6</v>
      </c>
      <c r="Z99" s="4"/>
      <c r="AA99" s="4"/>
      <c r="AB99" s="4"/>
    </row>
    <row r="100" spans="1:245" x14ac:dyDescent="0.3">
      <c r="A100" s="4">
        <v>50</v>
      </c>
      <c r="B100" s="4">
        <v>0</v>
      </c>
      <c r="C100" s="4">
        <v>0</v>
      </c>
      <c r="D100" s="4">
        <v>1</v>
      </c>
      <c r="E100" s="4">
        <v>211</v>
      </c>
      <c r="F100" s="4">
        <f>ROUND(Source!Y73,O100)</f>
        <v>1196.6600000000001</v>
      </c>
      <c r="G100" s="4" t="s">
        <v>83</v>
      </c>
      <c r="H100" s="4" t="s">
        <v>84</v>
      </c>
      <c r="I100" s="4"/>
      <c r="J100" s="4"/>
      <c r="K100" s="4">
        <v>211</v>
      </c>
      <c r="L100" s="4">
        <v>26</v>
      </c>
      <c r="M100" s="4">
        <v>3</v>
      </c>
      <c r="N100" s="4" t="s">
        <v>3</v>
      </c>
      <c r="O100" s="4">
        <v>2</v>
      </c>
      <c r="P100" s="4"/>
      <c r="Q100" s="4"/>
      <c r="R100" s="4"/>
      <c r="S100" s="4"/>
      <c r="T100" s="4"/>
      <c r="U100" s="4"/>
      <c r="V100" s="4"/>
      <c r="W100" s="4">
        <v>1196.6600000000001</v>
      </c>
      <c r="X100" s="4">
        <v>1</v>
      </c>
      <c r="Y100" s="4">
        <v>1196.6600000000001</v>
      </c>
      <c r="Z100" s="4"/>
      <c r="AA100" s="4"/>
      <c r="AB100" s="4"/>
    </row>
    <row r="101" spans="1:245" x14ac:dyDescent="0.3">
      <c r="A101" s="4">
        <v>50</v>
      </c>
      <c r="B101" s="4">
        <v>0</v>
      </c>
      <c r="C101" s="4">
        <v>0</v>
      </c>
      <c r="D101" s="4">
        <v>1</v>
      </c>
      <c r="E101" s="4">
        <v>224</v>
      </c>
      <c r="F101" s="4">
        <f>ROUND(Source!AR73,O101)</f>
        <v>80674.429999999993</v>
      </c>
      <c r="G101" s="4" t="s">
        <v>85</v>
      </c>
      <c r="H101" s="4" t="s">
        <v>86</v>
      </c>
      <c r="I101" s="4"/>
      <c r="J101" s="4"/>
      <c r="K101" s="4">
        <v>224</v>
      </c>
      <c r="L101" s="4">
        <v>27</v>
      </c>
      <c r="M101" s="4">
        <v>3</v>
      </c>
      <c r="N101" s="4" t="s">
        <v>3</v>
      </c>
      <c r="O101" s="4">
        <v>2</v>
      </c>
      <c r="P101" s="4"/>
      <c r="Q101" s="4"/>
      <c r="R101" s="4"/>
      <c r="S101" s="4"/>
      <c r="T101" s="4"/>
      <c r="U101" s="4"/>
      <c r="V101" s="4"/>
      <c r="W101" s="4">
        <v>80674.429999999993</v>
      </c>
      <c r="X101" s="4">
        <v>1</v>
      </c>
      <c r="Y101" s="4">
        <v>80674.429999999993</v>
      </c>
      <c r="Z101" s="4"/>
      <c r="AA101" s="4"/>
      <c r="AB101" s="4"/>
    </row>
    <row r="102" spans="1:245" x14ac:dyDescent="0.3">
      <c r="A102" s="4">
        <v>50</v>
      </c>
      <c r="B102" s="4">
        <v>1</v>
      </c>
      <c r="C102" s="4">
        <v>0</v>
      </c>
      <c r="D102" s="4">
        <v>2</v>
      </c>
      <c r="E102" s="4">
        <v>0</v>
      </c>
      <c r="F102" s="4">
        <f>ROUND(F101,O102)</f>
        <v>80674.429999999993</v>
      </c>
      <c r="G102" s="4" t="s">
        <v>87</v>
      </c>
      <c r="H102" s="4" t="s">
        <v>88</v>
      </c>
      <c r="I102" s="4"/>
      <c r="J102" s="4"/>
      <c r="K102" s="4">
        <v>212</v>
      </c>
      <c r="L102" s="4">
        <v>28</v>
      </c>
      <c r="M102" s="4">
        <v>0</v>
      </c>
      <c r="N102" s="4" t="s">
        <v>3</v>
      </c>
      <c r="O102" s="4">
        <v>2</v>
      </c>
      <c r="P102" s="4"/>
      <c r="Q102" s="4"/>
      <c r="R102" s="4"/>
      <c r="S102" s="4"/>
      <c r="T102" s="4"/>
      <c r="U102" s="4"/>
      <c r="V102" s="4"/>
      <c r="W102" s="4">
        <v>80674.429999999993</v>
      </c>
      <c r="X102" s="4">
        <v>1</v>
      </c>
      <c r="Y102" s="4">
        <v>80674.429999999993</v>
      </c>
      <c r="Z102" s="4"/>
      <c r="AA102" s="4"/>
      <c r="AB102" s="4"/>
    </row>
    <row r="103" spans="1:245" x14ac:dyDescent="0.3">
      <c r="A103" s="4">
        <v>50</v>
      </c>
      <c r="B103" s="4">
        <v>1</v>
      </c>
      <c r="C103" s="4">
        <v>0</v>
      </c>
      <c r="D103" s="4">
        <v>2</v>
      </c>
      <c r="E103" s="4">
        <v>0</v>
      </c>
      <c r="F103" s="4">
        <f>ROUND(F102*0.22,O103)</f>
        <v>17748.37</v>
      </c>
      <c r="G103" s="4" t="s">
        <v>89</v>
      </c>
      <c r="H103" s="4" t="s">
        <v>90</v>
      </c>
      <c r="I103" s="4"/>
      <c r="J103" s="4"/>
      <c r="K103" s="4">
        <v>212</v>
      </c>
      <c r="L103" s="4">
        <v>29</v>
      </c>
      <c r="M103" s="4">
        <v>0</v>
      </c>
      <c r="N103" s="4" t="s">
        <v>3</v>
      </c>
      <c r="O103" s="4">
        <v>2</v>
      </c>
      <c r="P103" s="4"/>
      <c r="Q103" s="4"/>
      <c r="R103" s="4"/>
      <c r="S103" s="4"/>
      <c r="T103" s="4"/>
      <c r="U103" s="4"/>
      <c r="V103" s="4"/>
      <c r="W103" s="4">
        <v>17748.37</v>
      </c>
      <c r="X103" s="4">
        <v>1</v>
      </c>
      <c r="Y103" s="4">
        <v>17748.37</v>
      </c>
      <c r="Z103" s="4"/>
      <c r="AA103" s="4"/>
      <c r="AB103" s="4"/>
    </row>
    <row r="104" spans="1:245" x14ac:dyDescent="0.3">
      <c r="A104" s="4">
        <v>50</v>
      </c>
      <c r="B104" s="4">
        <v>1</v>
      </c>
      <c r="C104" s="4">
        <v>0</v>
      </c>
      <c r="D104" s="4">
        <v>2</v>
      </c>
      <c r="E104" s="4">
        <v>213</v>
      </c>
      <c r="F104" s="4">
        <f>ROUND(F102+F103,O104)</f>
        <v>98422.8</v>
      </c>
      <c r="G104" s="4" t="s">
        <v>91</v>
      </c>
      <c r="H104" s="4" t="s">
        <v>85</v>
      </c>
      <c r="I104" s="4"/>
      <c r="J104" s="4"/>
      <c r="K104" s="4">
        <v>212</v>
      </c>
      <c r="L104" s="4">
        <v>30</v>
      </c>
      <c r="M104" s="4">
        <v>0</v>
      </c>
      <c r="N104" s="4" t="s">
        <v>3</v>
      </c>
      <c r="O104" s="4">
        <v>2</v>
      </c>
      <c r="P104" s="4"/>
      <c r="Q104" s="4"/>
      <c r="R104" s="4"/>
      <c r="S104" s="4"/>
      <c r="T104" s="4"/>
      <c r="U104" s="4"/>
      <c r="V104" s="4"/>
      <c r="W104" s="4">
        <v>98422.8</v>
      </c>
      <c r="X104" s="4">
        <v>1</v>
      </c>
      <c r="Y104" s="4">
        <v>98422.8</v>
      </c>
      <c r="Z104" s="4"/>
      <c r="AA104" s="4"/>
      <c r="AB104" s="4"/>
    </row>
    <row r="106" spans="1:245" x14ac:dyDescent="0.3">
      <c r="A106" s="1">
        <v>4</v>
      </c>
      <c r="B106" s="1">
        <v>1</v>
      </c>
      <c r="C106" s="1"/>
      <c r="D106" s="1">
        <f>ROW(A114)</f>
        <v>114</v>
      </c>
      <c r="E106" s="1"/>
      <c r="F106" s="1" t="s">
        <v>14</v>
      </c>
      <c r="G106" s="1" t="s">
        <v>98</v>
      </c>
      <c r="H106" s="1" t="s">
        <v>3</v>
      </c>
      <c r="I106" s="1">
        <v>0</v>
      </c>
      <c r="J106" s="1"/>
      <c r="K106" s="1">
        <v>0</v>
      </c>
      <c r="L106" s="1"/>
      <c r="M106" s="1" t="s">
        <v>3</v>
      </c>
      <c r="N106" s="1"/>
      <c r="O106" s="1"/>
      <c r="P106" s="1"/>
      <c r="Q106" s="1"/>
      <c r="R106" s="1"/>
      <c r="S106" s="1">
        <v>0</v>
      </c>
      <c r="T106" s="1"/>
      <c r="U106" s="1" t="s">
        <v>3</v>
      </c>
      <c r="V106" s="1">
        <v>0</v>
      </c>
      <c r="W106" s="1"/>
      <c r="X106" s="1"/>
      <c r="Y106" s="1"/>
      <c r="Z106" s="1"/>
      <c r="AA106" s="1"/>
      <c r="AB106" s="1" t="s">
        <v>3</v>
      </c>
      <c r="AC106" s="1" t="s">
        <v>3</v>
      </c>
      <c r="AD106" s="1" t="s">
        <v>3</v>
      </c>
      <c r="AE106" s="1" t="s">
        <v>3</v>
      </c>
      <c r="AF106" s="1" t="s">
        <v>3</v>
      </c>
      <c r="AG106" s="1" t="s">
        <v>3</v>
      </c>
      <c r="AH106" s="1"/>
      <c r="AI106" s="1"/>
      <c r="AJ106" s="1"/>
      <c r="AK106" s="1"/>
      <c r="AL106" s="1"/>
      <c r="AM106" s="1"/>
      <c r="AN106" s="1"/>
      <c r="AO106" s="1"/>
      <c r="AP106" s="1" t="s">
        <v>3</v>
      </c>
      <c r="AQ106" s="1" t="s">
        <v>3</v>
      </c>
      <c r="AR106" s="1" t="s">
        <v>3</v>
      </c>
      <c r="AS106" s="1"/>
      <c r="AT106" s="1"/>
      <c r="AU106" s="1"/>
      <c r="AV106" s="1"/>
      <c r="AW106" s="1"/>
      <c r="AX106" s="1"/>
      <c r="AY106" s="1"/>
      <c r="AZ106" s="1" t="s">
        <v>3</v>
      </c>
      <c r="BA106" s="1"/>
      <c r="BB106" s="1" t="s">
        <v>3</v>
      </c>
      <c r="BC106" s="1" t="s">
        <v>3</v>
      </c>
      <c r="BD106" s="1" t="s">
        <v>3</v>
      </c>
      <c r="BE106" s="1" t="s">
        <v>3</v>
      </c>
      <c r="BF106" s="1" t="s">
        <v>3</v>
      </c>
      <c r="BG106" s="1" t="s">
        <v>3</v>
      </c>
      <c r="BH106" s="1" t="s">
        <v>3</v>
      </c>
      <c r="BI106" s="1" t="s">
        <v>3</v>
      </c>
      <c r="BJ106" s="1" t="s">
        <v>3</v>
      </c>
      <c r="BK106" s="1" t="s">
        <v>3</v>
      </c>
      <c r="BL106" s="1" t="s">
        <v>3</v>
      </c>
      <c r="BM106" s="1" t="s">
        <v>3</v>
      </c>
      <c r="BN106" s="1" t="s">
        <v>3</v>
      </c>
      <c r="BO106" s="1" t="s">
        <v>3</v>
      </c>
      <c r="BP106" s="1" t="s">
        <v>3</v>
      </c>
      <c r="BQ106" s="1"/>
      <c r="BR106" s="1"/>
      <c r="BS106" s="1"/>
      <c r="BT106" s="1"/>
      <c r="BU106" s="1"/>
      <c r="BV106" s="1"/>
      <c r="BW106" s="1"/>
      <c r="BX106" s="1">
        <v>0</v>
      </c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>
        <v>0</v>
      </c>
    </row>
    <row r="108" spans="1:245" x14ac:dyDescent="0.3">
      <c r="A108" s="2">
        <v>52</v>
      </c>
      <c r="B108" s="2">
        <f t="shared" ref="B108:G108" si="40">B114</f>
        <v>1</v>
      </c>
      <c r="C108" s="2">
        <f t="shared" si="40"/>
        <v>4</v>
      </c>
      <c r="D108" s="2">
        <f t="shared" si="40"/>
        <v>106</v>
      </c>
      <c r="E108" s="2">
        <f t="shared" si="40"/>
        <v>0</v>
      </c>
      <c r="F108" s="2" t="str">
        <f t="shared" si="40"/>
        <v>Новый раздел</v>
      </c>
      <c r="G108" s="2" t="str">
        <f t="shared" si="40"/>
        <v>ГВС II - H17 - 37 пластин - вес 346 кг.</v>
      </c>
      <c r="H108" s="2"/>
      <c r="I108" s="2"/>
      <c r="J108" s="2"/>
      <c r="K108" s="2"/>
      <c r="L108" s="2"/>
      <c r="M108" s="2"/>
      <c r="N108" s="2"/>
      <c r="O108" s="2">
        <f t="shared" ref="O108:AT108" si="41">O114</f>
        <v>105621.62</v>
      </c>
      <c r="P108" s="2">
        <f t="shared" si="41"/>
        <v>87356.12</v>
      </c>
      <c r="Q108" s="2">
        <f t="shared" si="41"/>
        <v>41.07</v>
      </c>
      <c r="R108" s="2">
        <f t="shared" si="41"/>
        <v>0.37</v>
      </c>
      <c r="S108" s="2">
        <f t="shared" si="41"/>
        <v>18224.43</v>
      </c>
      <c r="T108" s="2">
        <f t="shared" si="41"/>
        <v>0</v>
      </c>
      <c r="U108" s="2">
        <f t="shared" si="41"/>
        <v>28.54</v>
      </c>
      <c r="V108" s="2">
        <f t="shared" si="41"/>
        <v>0</v>
      </c>
      <c r="W108" s="2">
        <f t="shared" si="41"/>
        <v>0</v>
      </c>
      <c r="X108" s="2">
        <f t="shared" si="41"/>
        <v>12757.1</v>
      </c>
      <c r="Y108" s="2">
        <f t="shared" si="41"/>
        <v>1822.44</v>
      </c>
      <c r="Z108" s="2">
        <f t="shared" si="41"/>
        <v>0</v>
      </c>
      <c r="AA108" s="2">
        <f t="shared" si="41"/>
        <v>0</v>
      </c>
      <c r="AB108" s="2">
        <f t="shared" si="41"/>
        <v>105621.62</v>
      </c>
      <c r="AC108" s="2">
        <f t="shared" si="41"/>
        <v>87356.12</v>
      </c>
      <c r="AD108" s="2">
        <f t="shared" si="41"/>
        <v>41.07</v>
      </c>
      <c r="AE108" s="2">
        <f t="shared" si="41"/>
        <v>0.37</v>
      </c>
      <c r="AF108" s="2">
        <f t="shared" si="41"/>
        <v>18224.43</v>
      </c>
      <c r="AG108" s="2">
        <f t="shared" si="41"/>
        <v>0</v>
      </c>
      <c r="AH108" s="2">
        <f t="shared" si="41"/>
        <v>28.54</v>
      </c>
      <c r="AI108" s="2">
        <f t="shared" si="41"/>
        <v>0</v>
      </c>
      <c r="AJ108" s="2">
        <f t="shared" si="41"/>
        <v>0</v>
      </c>
      <c r="AK108" s="2">
        <f t="shared" si="41"/>
        <v>12757.1</v>
      </c>
      <c r="AL108" s="2">
        <f t="shared" si="41"/>
        <v>1822.44</v>
      </c>
      <c r="AM108" s="2">
        <f t="shared" si="41"/>
        <v>0</v>
      </c>
      <c r="AN108" s="2">
        <f t="shared" si="41"/>
        <v>0</v>
      </c>
      <c r="AO108" s="2">
        <f t="shared" si="41"/>
        <v>0</v>
      </c>
      <c r="AP108" s="2">
        <f t="shared" si="41"/>
        <v>0</v>
      </c>
      <c r="AQ108" s="2">
        <f t="shared" si="41"/>
        <v>0</v>
      </c>
      <c r="AR108" s="2">
        <f t="shared" si="41"/>
        <v>120201.56</v>
      </c>
      <c r="AS108" s="2">
        <f t="shared" si="41"/>
        <v>0</v>
      </c>
      <c r="AT108" s="2">
        <f t="shared" si="41"/>
        <v>0</v>
      </c>
      <c r="AU108" s="2">
        <f t="shared" ref="AU108:BZ108" si="42">AU114</f>
        <v>120201.56</v>
      </c>
      <c r="AV108" s="2">
        <f t="shared" si="42"/>
        <v>87356.12</v>
      </c>
      <c r="AW108" s="2">
        <f t="shared" si="42"/>
        <v>87356.12</v>
      </c>
      <c r="AX108" s="2">
        <f t="shared" si="42"/>
        <v>0</v>
      </c>
      <c r="AY108" s="2">
        <f t="shared" si="42"/>
        <v>87356.12</v>
      </c>
      <c r="AZ108" s="2">
        <f t="shared" si="42"/>
        <v>0</v>
      </c>
      <c r="BA108" s="2">
        <f t="shared" si="42"/>
        <v>0</v>
      </c>
      <c r="BB108" s="2">
        <f t="shared" si="42"/>
        <v>0</v>
      </c>
      <c r="BC108" s="2">
        <f t="shared" si="42"/>
        <v>0</v>
      </c>
      <c r="BD108" s="2">
        <f t="shared" si="42"/>
        <v>0</v>
      </c>
      <c r="BE108" s="2">
        <f t="shared" si="42"/>
        <v>0</v>
      </c>
      <c r="BF108" s="2">
        <f t="shared" si="42"/>
        <v>0</v>
      </c>
      <c r="BG108" s="2">
        <f t="shared" si="42"/>
        <v>0</v>
      </c>
      <c r="BH108" s="2">
        <f t="shared" si="42"/>
        <v>0</v>
      </c>
      <c r="BI108" s="2">
        <f t="shared" si="42"/>
        <v>0</v>
      </c>
      <c r="BJ108" s="2">
        <f t="shared" si="42"/>
        <v>0</v>
      </c>
      <c r="BK108" s="2">
        <f t="shared" si="42"/>
        <v>0</v>
      </c>
      <c r="BL108" s="2">
        <f t="shared" si="42"/>
        <v>0</v>
      </c>
      <c r="BM108" s="2">
        <f t="shared" si="42"/>
        <v>0</v>
      </c>
      <c r="BN108" s="2">
        <f t="shared" si="42"/>
        <v>0</v>
      </c>
      <c r="BO108" s="2">
        <f t="shared" si="42"/>
        <v>0</v>
      </c>
      <c r="BP108" s="2">
        <f t="shared" si="42"/>
        <v>0</v>
      </c>
      <c r="BQ108" s="2">
        <f t="shared" si="42"/>
        <v>0</v>
      </c>
      <c r="BR108" s="2">
        <f t="shared" si="42"/>
        <v>0</v>
      </c>
      <c r="BS108" s="2">
        <f t="shared" si="42"/>
        <v>0</v>
      </c>
      <c r="BT108" s="2">
        <f t="shared" si="42"/>
        <v>0</v>
      </c>
      <c r="BU108" s="2">
        <f t="shared" si="42"/>
        <v>0</v>
      </c>
      <c r="BV108" s="2">
        <f t="shared" si="42"/>
        <v>0</v>
      </c>
      <c r="BW108" s="2">
        <f t="shared" si="42"/>
        <v>0</v>
      </c>
      <c r="BX108" s="2">
        <f t="shared" si="42"/>
        <v>0</v>
      </c>
      <c r="BY108" s="2">
        <f t="shared" si="42"/>
        <v>0</v>
      </c>
      <c r="BZ108" s="2">
        <f t="shared" si="42"/>
        <v>0</v>
      </c>
      <c r="CA108" s="2">
        <f t="shared" ref="CA108:DF108" si="43">CA114</f>
        <v>120201.56</v>
      </c>
      <c r="CB108" s="2">
        <f t="shared" si="43"/>
        <v>0</v>
      </c>
      <c r="CC108" s="2">
        <f t="shared" si="43"/>
        <v>0</v>
      </c>
      <c r="CD108" s="2">
        <f t="shared" si="43"/>
        <v>120201.56</v>
      </c>
      <c r="CE108" s="2">
        <f t="shared" si="43"/>
        <v>87356.12</v>
      </c>
      <c r="CF108" s="2">
        <f t="shared" si="43"/>
        <v>87356.12</v>
      </c>
      <c r="CG108" s="2">
        <f t="shared" si="43"/>
        <v>0</v>
      </c>
      <c r="CH108" s="2">
        <f t="shared" si="43"/>
        <v>87356.12</v>
      </c>
      <c r="CI108" s="2">
        <f t="shared" si="43"/>
        <v>0</v>
      </c>
      <c r="CJ108" s="2">
        <f t="shared" si="43"/>
        <v>0</v>
      </c>
      <c r="CK108" s="2">
        <f t="shared" si="43"/>
        <v>0</v>
      </c>
      <c r="CL108" s="2">
        <f t="shared" si="43"/>
        <v>0</v>
      </c>
      <c r="CM108" s="2">
        <f t="shared" si="43"/>
        <v>0</v>
      </c>
      <c r="CN108" s="2">
        <f t="shared" si="43"/>
        <v>0</v>
      </c>
      <c r="CO108" s="2">
        <f t="shared" si="43"/>
        <v>0</v>
      </c>
      <c r="CP108" s="2">
        <f t="shared" si="43"/>
        <v>0</v>
      </c>
      <c r="CQ108" s="2">
        <f t="shared" si="43"/>
        <v>0</v>
      </c>
      <c r="CR108" s="2">
        <f t="shared" si="43"/>
        <v>0</v>
      </c>
      <c r="CS108" s="2">
        <f t="shared" si="43"/>
        <v>0</v>
      </c>
      <c r="CT108" s="2">
        <f t="shared" si="43"/>
        <v>0</v>
      </c>
      <c r="CU108" s="2">
        <f t="shared" si="43"/>
        <v>0</v>
      </c>
      <c r="CV108" s="2">
        <f t="shared" si="43"/>
        <v>0</v>
      </c>
      <c r="CW108" s="2">
        <f t="shared" si="43"/>
        <v>0</v>
      </c>
      <c r="CX108" s="2">
        <f t="shared" si="43"/>
        <v>0</v>
      </c>
      <c r="CY108" s="2">
        <f t="shared" si="43"/>
        <v>0</v>
      </c>
      <c r="CZ108" s="2">
        <f t="shared" si="43"/>
        <v>0</v>
      </c>
      <c r="DA108" s="2">
        <f t="shared" si="43"/>
        <v>0</v>
      </c>
      <c r="DB108" s="2">
        <f t="shared" si="43"/>
        <v>0</v>
      </c>
      <c r="DC108" s="2">
        <f t="shared" si="43"/>
        <v>0</v>
      </c>
      <c r="DD108" s="2">
        <f t="shared" si="43"/>
        <v>0</v>
      </c>
      <c r="DE108" s="2">
        <f t="shared" si="43"/>
        <v>0</v>
      </c>
      <c r="DF108" s="2">
        <f t="shared" si="43"/>
        <v>0</v>
      </c>
      <c r="DG108" s="3">
        <f t="shared" ref="DG108:EL108" si="44">DG114</f>
        <v>0</v>
      </c>
      <c r="DH108" s="3">
        <f t="shared" si="44"/>
        <v>0</v>
      </c>
      <c r="DI108" s="3">
        <f t="shared" si="44"/>
        <v>0</v>
      </c>
      <c r="DJ108" s="3">
        <f t="shared" si="44"/>
        <v>0</v>
      </c>
      <c r="DK108" s="3">
        <f t="shared" si="44"/>
        <v>0</v>
      </c>
      <c r="DL108" s="3">
        <f t="shared" si="44"/>
        <v>0</v>
      </c>
      <c r="DM108" s="3">
        <f t="shared" si="44"/>
        <v>0</v>
      </c>
      <c r="DN108" s="3">
        <f t="shared" si="44"/>
        <v>0</v>
      </c>
      <c r="DO108" s="3">
        <f t="shared" si="44"/>
        <v>0</v>
      </c>
      <c r="DP108" s="3">
        <f t="shared" si="44"/>
        <v>0</v>
      </c>
      <c r="DQ108" s="3">
        <f t="shared" si="44"/>
        <v>0</v>
      </c>
      <c r="DR108" s="3">
        <f t="shared" si="44"/>
        <v>0</v>
      </c>
      <c r="DS108" s="3">
        <f t="shared" si="44"/>
        <v>0</v>
      </c>
      <c r="DT108" s="3">
        <f t="shared" si="44"/>
        <v>0</v>
      </c>
      <c r="DU108" s="3">
        <f t="shared" si="44"/>
        <v>0</v>
      </c>
      <c r="DV108" s="3">
        <f t="shared" si="44"/>
        <v>0</v>
      </c>
      <c r="DW108" s="3">
        <f t="shared" si="44"/>
        <v>0</v>
      </c>
      <c r="DX108" s="3">
        <f t="shared" si="44"/>
        <v>0</v>
      </c>
      <c r="DY108" s="3">
        <f t="shared" si="44"/>
        <v>0</v>
      </c>
      <c r="DZ108" s="3">
        <f t="shared" si="44"/>
        <v>0</v>
      </c>
      <c r="EA108" s="3">
        <f t="shared" si="44"/>
        <v>0</v>
      </c>
      <c r="EB108" s="3">
        <f t="shared" si="44"/>
        <v>0</v>
      </c>
      <c r="EC108" s="3">
        <f t="shared" si="44"/>
        <v>0</v>
      </c>
      <c r="ED108" s="3">
        <f t="shared" si="44"/>
        <v>0</v>
      </c>
      <c r="EE108" s="3">
        <f t="shared" si="44"/>
        <v>0</v>
      </c>
      <c r="EF108" s="3">
        <f t="shared" si="44"/>
        <v>0</v>
      </c>
      <c r="EG108" s="3">
        <f t="shared" si="44"/>
        <v>0</v>
      </c>
      <c r="EH108" s="3">
        <f t="shared" si="44"/>
        <v>0</v>
      </c>
      <c r="EI108" s="3">
        <f t="shared" si="44"/>
        <v>0</v>
      </c>
      <c r="EJ108" s="3">
        <f t="shared" si="44"/>
        <v>0</v>
      </c>
      <c r="EK108" s="3">
        <f t="shared" si="44"/>
        <v>0</v>
      </c>
      <c r="EL108" s="3">
        <f t="shared" si="44"/>
        <v>0</v>
      </c>
      <c r="EM108" s="3">
        <f t="shared" ref="EM108:FR108" si="45">EM114</f>
        <v>0</v>
      </c>
      <c r="EN108" s="3">
        <f t="shared" si="45"/>
        <v>0</v>
      </c>
      <c r="EO108" s="3">
        <f t="shared" si="45"/>
        <v>0</v>
      </c>
      <c r="EP108" s="3">
        <f t="shared" si="45"/>
        <v>0</v>
      </c>
      <c r="EQ108" s="3">
        <f t="shared" si="45"/>
        <v>0</v>
      </c>
      <c r="ER108" s="3">
        <f t="shared" si="45"/>
        <v>0</v>
      </c>
      <c r="ES108" s="3">
        <f t="shared" si="45"/>
        <v>0</v>
      </c>
      <c r="ET108" s="3">
        <f t="shared" si="45"/>
        <v>0</v>
      </c>
      <c r="EU108" s="3">
        <f t="shared" si="45"/>
        <v>0</v>
      </c>
      <c r="EV108" s="3">
        <f t="shared" si="45"/>
        <v>0</v>
      </c>
      <c r="EW108" s="3">
        <f t="shared" si="45"/>
        <v>0</v>
      </c>
      <c r="EX108" s="3">
        <f t="shared" si="45"/>
        <v>0</v>
      </c>
      <c r="EY108" s="3">
        <f t="shared" si="45"/>
        <v>0</v>
      </c>
      <c r="EZ108" s="3">
        <f t="shared" si="45"/>
        <v>0</v>
      </c>
      <c r="FA108" s="3">
        <f t="shared" si="45"/>
        <v>0</v>
      </c>
      <c r="FB108" s="3">
        <f t="shared" si="45"/>
        <v>0</v>
      </c>
      <c r="FC108" s="3">
        <f t="shared" si="45"/>
        <v>0</v>
      </c>
      <c r="FD108" s="3">
        <f t="shared" si="45"/>
        <v>0</v>
      </c>
      <c r="FE108" s="3">
        <f t="shared" si="45"/>
        <v>0</v>
      </c>
      <c r="FF108" s="3">
        <f t="shared" si="45"/>
        <v>0</v>
      </c>
      <c r="FG108" s="3">
        <f t="shared" si="45"/>
        <v>0</v>
      </c>
      <c r="FH108" s="3">
        <f t="shared" si="45"/>
        <v>0</v>
      </c>
      <c r="FI108" s="3">
        <f t="shared" si="45"/>
        <v>0</v>
      </c>
      <c r="FJ108" s="3">
        <f t="shared" si="45"/>
        <v>0</v>
      </c>
      <c r="FK108" s="3">
        <f t="shared" si="45"/>
        <v>0</v>
      </c>
      <c r="FL108" s="3">
        <f t="shared" si="45"/>
        <v>0</v>
      </c>
      <c r="FM108" s="3">
        <f t="shared" si="45"/>
        <v>0</v>
      </c>
      <c r="FN108" s="3">
        <f t="shared" si="45"/>
        <v>0</v>
      </c>
      <c r="FO108" s="3">
        <f t="shared" si="45"/>
        <v>0</v>
      </c>
      <c r="FP108" s="3">
        <f t="shared" si="45"/>
        <v>0</v>
      </c>
      <c r="FQ108" s="3">
        <f t="shared" si="45"/>
        <v>0</v>
      </c>
      <c r="FR108" s="3">
        <f t="shared" si="45"/>
        <v>0</v>
      </c>
      <c r="FS108" s="3">
        <f t="shared" ref="FS108:GX108" si="46">FS114</f>
        <v>0</v>
      </c>
      <c r="FT108" s="3">
        <f t="shared" si="46"/>
        <v>0</v>
      </c>
      <c r="FU108" s="3">
        <f t="shared" si="46"/>
        <v>0</v>
      </c>
      <c r="FV108" s="3">
        <f t="shared" si="46"/>
        <v>0</v>
      </c>
      <c r="FW108" s="3">
        <f t="shared" si="46"/>
        <v>0</v>
      </c>
      <c r="FX108" s="3">
        <f t="shared" si="46"/>
        <v>0</v>
      </c>
      <c r="FY108" s="3">
        <f t="shared" si="46"/>
        <v>0</v>
      </c>
      <c r="FZ108" s="3">
        <f t="shared" si="46"/>
        <v>0</v>
      </c>
      <c r="GA108" s="3">
        <f t="shared" si="46"/>
        <v>0</v>
      </c>
      <c r="GB108" s="3">
        <f t="shared" si="46"/>
        <v>0</v>
      </c>
      <c r="GC108" s="3">
        <f t="shared" si="46"/>
        <v>0</v>
      </c>
      <c r="GD108" s="3">
        <f t="shared" si="46"/>
        <v>0</v>
      </c>
      <c r="GE108" s="3">
        <f t="shared" si="46"/>
        <v>0</v>
      </c>
      <c r="GF108" s="3">
        <f t="shared" si="46"/>
        <v>0</v>
      </c>
      <c r="GG108" s="3">
        <f t="shared" si="46"/>
        <v>0</v>
      </c>
      <c r="GH108" s="3">
        <f t="shared" si="46"/>
        <v>0</v>
      </c>
      <c r="GI108" s="3">
        <f t="shared" si="46"/>
        <v>0</v>
      </c>
      <c r="GJ108" s="3">
        <f t="shared" si="46"/>
        <v>0</v>
      </c>
      <c r="GK108" s="3">
        <f t="shared" si="46"/>
        <v>0</v>
      </c>
      <c r="GL108" s="3">
        <f t="shared" si="46"/>
        <v>0</v>
      </c>
      <c r="GM108" s="3">
        <f t="shared" si="46"/>
        <v>0</v>
      </c>
      <c r="GN108" s="3">
        <f t="shared" si="46"/>
        <v>0</v>
      </c>
      <c r="GO108" s="3">
        <f t="shared" si="46"/>
        <v>0</v>
      </c>
      <c r="GP108" s="3">
        <f t="shared" si="46"/>
        <v>0</v>
      </c>
      <c r="GQ108" s="3">
        <f t="shared" si="46"/>
        <v>0</v>
      </c>
      <c r="GR108" s="3">
        <f t="shared" si="46"/>
        <v>0</v>
      </c>
      <c r="GS108" s="3">
        <f t="shared" si="46"/>
        <v>0</v>
      </c>
      <c r="GT108" s="3">
        <f t="shared" si="46"/>
        <v>0</v>
      </c>
      <c r="GU108" s="3">
        <f t="shared" si="46"/>
        <v>0</v>
      </c>
      <c r="GV108" s="3">
        <f t="shared" si="46"/>
        <v>0</v>
      </c>
      <c r="GW108" s="3">
        <f t="shared" si="46"/>
        <v>0</v>
      </c>
      <c r="GX108" s="3">
        <f t="shared" si="46"/>
        <v>0</v>
      </c>
    </row>
    <row r="110" spans="1:245" x14ac:dyDescent="0.3">
      <c r="A110">
        <v>17</v>
      </c>
      <c r="B110">
        <v>1</v>
      </c>
      <c r="C110">
        <f>ROW(SmtRes!A17)</f>
        <v>17</v>
      </c>
      <c r="D110">
        <f>ROW(EtalonRes!A15)</f>
        <v>15</v>
      </c>
      <c r="E110" t="s">
        <v>99</v>
      </c>
      <c r="F110" t="s">
        <v>17</v>
      </c>
      <c r="G110" t="s">
        <v>18</v>
      </c>
      <c r="H110" t="s">
        <v>19</v>
      </c>
      <c r="I110">
        <v>1</v>
      </c>
      <c r="J110">
        <v>0</v>
      </c>
      <c r="K110">
        <v>1</v>
      </c>
      <c r="O110">
        <f>ROUND(CP110,2)</f>
        <v>10158.65</v>
      </c>
      <c r="P110">
        <f>ROUND(CQ110*I110,2)</f>
        <v>8472.85</v>
      </c>
      <c r="Q110">
        <f>ROUND(CR110*I110,2)</f>
        <v>0</v>
      </c>
      <c r="R110">
        <f>ROUND(CS110*I110,2)</f>
        <v>0</v>
      </c>
      <c r="S110">
        <f>ROUND(CT110*I110,2)</f>
        <v>1685.8</v>
      </c>
      <c r="T110">
        <f>ROUND(CU110*I110,2)</f>
        <v>0</v>
      </c>
      <c r="U110">
        <f>CV110*I110</f>
        <v>2.64</v>
      </c>
      <c r="V110">
        <f>CW110*I110</f>
        <v>0</v>
      </c>
      <c r="W110">
        <f>ROUND(CX110*I110,2)</f>
        <v>0</v>
      </c>
      <c r="X110">
        <f t="shared" ref="X110:Y112" si="47">ROUND(CY110,2)</f>
        <v>1180.06</v>
      </c>
      <c r="Y110">
        <f t="shared" si="47"/>
        <v>168.58</v>
      </c>
      <c r="AA110">
        <v>66366214</v>
      </c>
      <c r="AB110">
        <f>ROUND((AC110+AD110+AF110),6)</f>
        <v>10158.65</v>
      </c>
      <c r="AC110">
        <f>ROUND((ES110),6)</f>
        <v>8472.85</v>
      </c>
      <c r="AD110">
        <f>ROUND((((ET110)-(EU110))+AE110),6)</f>
        <v>0</v>
      </c>
      <c r="AE110">
        <f t="shared" ref="AE110:AF112" si="48">ROUND((EU110),6)</f>
        <v>0</v>
      </c>
      <c r="AF110">
        <f t="shared" si="48"/>
        <v>1685.8</v>
      </c>
      <c r="AG110">
        <f>ROUND((AP110),6)</f>
        <v>0</v>
      </c>
      <c r="AH110">
        <f t="shared" ref="AH110:AI112" si="49">(EW110)</f>
        <v>2.64</v>
      </c>
      <c r="AI110">
        <f t="shared" si="49"/>
        <v>0</v>
      </c>
      <c r="AJ110">
        <f>(AS110)</f>
        <v>0</v>
      </c>
      <c r="AK110">
        <v>10158.65</v>
      </c>
      <c r="AL110">
        <v>8472.85</v>
      </c>
      <c r="AM110">
        <v>0</v>
      </c>
      <c r="AN110">
        <v>0</v>
      </c>
      <c r="AO110">
        <v>1685.8</v>
      </c>
      <c r="AP110">
        <v>0</v>
      </c>
      <c r="AQ110">
        <v>2.64</v>
      </c>
      <c r="AR110">
        <v>0</v>
      </c>
      <c r="AS110">
        <v>0</v>
      </c>
      <c r="AT110">
        <v>70</v>
      </c>
      <c r="AU110">
        <v>10</v>
      </c>
      <c r="AV110">
        <v>1</v>
      </c>
      <c r="AW110">
        <v>1</v>
      </c>
      <c r="AZ110">
        <v>1</v>
      </c>
      <c r="BA110">
        <v>1</v>
      </c>
      <c r="BB110">
        <v>1</v>
      </c>
      <c r="BC110">
        <v>1</v>
      </c>
      <c r="BD110" t="s">
        <v>3</v>
      </c>
      <c r="BE110" t="s">
        <v>3</v>
      </c>
      <c r="BF110" t="s">
        <v>3</v>
      </c>
      <c r="BG110" t="s">
        <v>3</v>
      </c>
      <c r="BH110">
        <v>0</v>
      </c>
      <c r="BI110">
        <v>4</v>
      </c>
      <c r="BJ110" t="s">
        <v>20</v>
      </c>
      <c r="BM110">
        <v>0</v>
      </c>
      <c r="BN110">
        <v>0</v>
      </c>
      <c r="BO110" t="s">
        <v>3</v>
      </c>
      <c r="BP110">
        <v>0</v>
      </c>
      <c r="BQ110">
        <v>1</v>
      </c>
      <c r="BR110">
        <v>0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 t="s">
        <v>3</v>
      </c>
      <c r="BZ110">
        <v>70</v>
      </c>
      <c r="CA110">
        <v>10</v>
      </c>
      <c r="CB110" t="s">
        <v>3</v>
      </c>
      <c r="CE110">
        <v>0</v>
      </c>
      <c r="CF110">
        <v>0</v>
      </c>
      <c r="CG110">
        <v>0</v>
      </c>
      <c r="CM110">
        <v>0</v>
      </c>
      <c r="CN110" t="s">
        <v>3</v>
      </c>
      <c r="CO110">
        <v>0</v>
      </c>
      <c r="CP110">
        <f>(P110+Q110+S110)</f>
        <v>10158.65</v>
      </c>
      <c r="CQ110">
        <f>(AC110*BC110*AW110)</f>
        <v>8472.85</v>
      </c>
      <c r="CR110">
        <f>((((ET110)*BB110-(EU110)*BS110)+AE110*BS110)*AV110)</f>
        <v>0</v>
      </c>
      <c r="CS110">
        <f>(AE110*BS110*AV110)</f>
        <v>0</v>
      </c>
      <c r="CT110">
        <f>(AF110*BA110*AV110)</f>
        <v>1685.8</v>
      </c>
      <c r="CU110">
        <f>AG110</f>
        <v>0</v>
      </c>
      <c r="CV110">
        <f>(AH110*AV110)</f>
        <v>2.64</v>
      </c>
      <c r="CW110">
        <f t="shared" ref="CW110:CX112" si="50">AI110</f>
        <v>0</v>
      </c>
      <c r="CX110">
        <f t="shared" si="50"/>
        <v>0</v>
      </c>
      <c r="CY110">
        <f>((S110*BZ110)/100)</f>
        <v>1180.06</v>
      </c>
      <c r="CZ110">
        <f>((S110*CA110)/100)</f>
        <v>168.58</v>
      </c>
      <c r="DC110" t="s">
        <v>3</v>
      </c>
      <c r="DD110" t="s">
        <v>3</v>
      </c>
      <c r="DE110" t="s">
        <v>3</v>
      </c>
      <c r="DF110" t="s">
        <v>3</v>
      </c>
      <c r="DG110" t="s">
        <v>3</v>
      </c>
      <c r="DH110" t="s">
        <v>3</v>
      </c>
      <c r="DI110" t="s">
        <v>3</v>
      </c>
      <c r="DJ110" t="s">
        <v>3</v>
      </c>
      <c r="DK110" t="s">
        <v>3</v>
      </c>
      <c r="DL110" t="s">
        <v>3</v>
      </c>
      <c r="DM110" t="s">
        <v>3</v>
      </c>
      <c r="DN110">
        <v>0</v>
      </c>
      <c r="DO110">
        <v>0</v>
      </c>
      <c r="DP110">
        <v>1</v>
      </c>
      <c r="DQ110">
        <v>1</v>
      </c>
      <c r="DU110">
        <v>1010</v>
      </c>
      <c r="DV110" t="s">
        <v>19</v>
      </c>
      <c r="DW110" t="s">
        <v>19</v>
      </c>
      <c r="DX110">
        <v>1</v>
      </c>
      <c r="DZ110" t="s">
        <v>3</v>
      </c>
      <c r="EA110" t="s">
        <v>3</v>
      </c>
      <c r="EB110" t="s">
        <v>3</v>
      </c>
      <c r="EC110" t="s">
        <v>3</v>
      </c>
      <c r="EE110">
        <v>66091114</v>
      </c>
      <c r="EF110">
        <v>1</v>
      </c>
      <c r="EG110" t="s">
        <v>21</v>
      </c>
      <c r="EH110">
        <v>0</v>
      </c>
      <c r="EI110" t="s">
        <v>3</v>
      </c>
      <c r="EJ110">
        <v>4</v>
      </c>
      <c r="EK110">
        <v>0</v>
      </c>
      <c r="EL110" t="s">
        <v>22</v>
      </c>
      <c r="EM110" t="s">
        <v>23</v>
      </c>
      <c r="EO110" t="s">
        <v>3</v>
      </c>
      <c r="EQ110">
        <v>0</v>
      </c>
      <c r="ER110">
        <v>10158.65</v>
      </c>
      <c r="ES110">
        <v>8472.85</v>
      </c>
      <c r="ET110">
        <v>0</v>
      </c>
      <c r="EU110">
        <v>0</v>
      </c>
      <c r="EV110">
        <v>1685.8</v>
      </c>
      <c r="EW110">
        <v>2.64</v>
      </c>
      <c r="EX110">
        <v>0</v>
      </c>
      <c r="EY110">
        <v>0</v>
      </c>
      <c r="FQ110">
        <v>0</v>
      </c>
      <c r="FR110">
        <v>0</v>
      </c>
      <c r="FS110">
        <v>0</v>
      </c>
      <c r="FX110">
        <v>70</v>
      </c>
      <c r="FY110">
        <v>10</v>
      </c>
      <c r="GA110" t="s">
        <v>3</v>
      </c>
      <c r="GD110">
        <v>0</v>
      </c>
      <c r="GF110">
        <v>1067523615</v>
      </c>
      <c r="GG110">
        <v>2</v>
      </c>
      <c r="GH110">
        <v>1</v>
      </c>
      <c r="GI110">
        <v>-2</v>
      </c>
      <c r="GJ110">
        <v>0</v>
      </c>
      <c r="GK110">
        <f>ROUND(R110*(R12)/100,2)</f>
        <v>0</v>
      </c>
      <c r="GL110">
        <f>ROUND(IF(AND(BH110=3,BI110=3,FS110&lt;&gt;0),P110,0),2)</f>
        <v>0</v>
      </c>
      <c r="GM110">
        <f>ROUND(O110+X110+Y110+GK110,2)+GX110</f>
        <v>11507.29</v>
      </c>
      <c r="GN110">
        <f>IF(OR(BI110=0,BI110=1),GM110-GX110,0)</f>
        <v>0</v>
      </c>
      <c r="GO110">
        <f>IF(BI110=2,GM110-GX110,0)</f>
        <v>0</v>
      </c>
      <c r="GP110">
        <f>IF(BI110=4,GM110-GX110,0)</f>
        <v>11507.29</v>
      </c>
      <c r="GR110">
        <v>0</v>
      </c>
      <c r="GS110">
        <v>3</v>
      </c>
      <c r="GT110">
        <v>0</v>
      </c>
      <c r="GU110" t="s">
        <v>3</v>
      </c>
      <c r="GV110">
        <f>ROUND((GT110),6)</f>
        <v>0</v>
      </c>
      <c r="GW110">
        <v>1</v>
      </c>
      <c r="GX110">
        <f>ROUND(HC110*I110,2)</f>
        <v>0</v>
      </c>
      <c r="HA110">
        <v>0</v>
      </c>
      <c r="HB110">
        <v>0</v>
      </c>
      <c r="HC110">
        <f>GV110*GW110</f>
        <v>0</v>
      </c>
      <c r="HE110" t="s">
        <v>3</v>
      </c>
      <c r="HF110" t="s">
        <v>3</v>
      </c>
      <c r="HM110" t="s">
        <v>3</v>
      </c>
      <c r="HN110" t="s">
        <v>3</v>
      </c>
      <c r="HO110" t="s">
        <v>3</v>
      </c>
      <c r="HP110" t="s">
        <v>3</v>
      </c>
      <c r="HQ110" t="s">
        <v>3</v>
      </c>
      <c r="HS110">
        <v>0</v>
      </c>
      <c r="IK110">
        <v>0</v>
      </c>
    </row>
    <row r="111" spans="1:245" x14ac:dyDescent="0.3">
      <c r="A111">
        <v>17</v>
      </c>
      <c r="B111">
        <v>1</v>
      </c>
      <c r="C111">
        <f>ROW(SmtRes!A21)</f>
        <v>21</v>
      </c>
      <c r="D111">
        <f>ROW(EtalonRes!A18)</f>
        <v>18</v>
      </c>
      <c r="E111" t="s">
        <v>100</v>
      </c>
      <c r="F111" t="s">
        <v>25</v>
      </c>
      <c r="G111" t="s">
        <v>26</v>
      </c>
      <c r="H111" t="s">
        <v>19</v>
      </c>
      <c r="I111">
        <v>37</v>
      </c>
      <c r="J111">
        <v>0</v>
      </c>
      <c r="K111">
        <v>37</v>
      </c>
      <c r="O111">
        <f>ROUND(CP111,2)</f>
        <v>73036.89</v>
      </c>
      <c r="P111">
        <f>ROUND(CQ111*I111,2)</f>
        <v>56457.19</v>
      </c>
      <c r="Q111">
        <f>ROUND(CR111*I111,2)</f>
        <v>41.07</v>
      </c>
      <c r="R111">
        <f>ROUND(CS111*I111,2)</f>
        <v>0.37</v>
      </c>
      <c r="S111">
        <f>ROUND(CT111*I111,2)</f>
        <v>16538.63</v>
      </c>
      <c r="T111">
        <f>ROUND(CU111*I111,2)</f>
        <v>0</v>
      </c>
      <c r="U111">
        <f>CV111*I111</f>
        <v>25.9</v>
      </c>
      <c r="V111">
        <f>CW111*I111</f>
        <v>0</v>
      </c>
      <c r="W111">
        <f>ROUND(CX111*I111,2)</f>
        <v>0</v>
      </c>
      <c r="X111">
        <f t="shared" si="47"/>
        <v>11577.04</v>
      </c>
      <c r="Y111">
        <f t="shared" si="47"/>
        <v>1653.86</v>
      </c>
      <c r="AA111">
        <v>66366214</v>
      </c>
      <c r="AB111">
        <f>ROUND((AC111+AD111+AF111),6)</f>
        <v>1973.97</v>
      </c>
      <c r="AC111">
        <f>ROUND((ES111),6)</f>
        <v>1525.87</v>
      </c>
      <c r="AD111">
        <f>ROUND((((ET111)-(EU111))+AE111),6)</f>
        <v>1.1100000000000001</v>
      </c>
      <c r="AE111">
        <f t="shared" si="48"/>
        <v>0.01</v>
      </c>
      <c r="AF111">
        <f t="shared" si="48"/>
        <v>446.99</v>
      </c>
      <c r="AG111">
        <f>ROUND((AP111),6)</f>
        <v>0</v>
      </c>
      <c r="AH111">
        <f t="shared" si="49"/>
        <v>0.7</v>
      </c>
      <c r="AI111">
        <f t="shared" si="49"/>
        <v>0</v>
      </c>
      <c r="AJ111">
        <f>(AS111)</f>
        <v>0</v>
      </c>
      <c r="AK111">
        <v>1973.97</v>
      </c>
      <c r="AL111">
        <v>1525.87</v>
      </c>
      <c r="AM111">
        <v>1.1100000000000001</v>
      </c>
      <c r="AN111">
        <v>0.01</v>
      </c>
      <c r="AO111">
        <v>446.99</v>
      </c>
      <c r="AP111">
        <v>0</v>
      </c>
      <c r="AQ111">
        <v>0.7</v>
      </c>
      <c r="AR111">
        <v>0</v>
      </c>
      <c r="AS111">
        <v>0</v>
      </c>
      <c r="AT111">
        <v>70</v>
      </c>
      <c r="AU111">
        <v>10</v>
      </c>
      <c r="AV111">
        <v>1</v>
      </c>
      <c r="AW111">
        <v>1</v>
      </c>
      <c r="AZ111">
        <v>1</v>
      </c>
      <c r="BA111">
        <v>1</v>
      </c>
      <c r="BB111">
        <v>1</v>
      </c>
      <c r="BC111">
        <v>1</v>
      </c>
      <c r="BD111" t="s">
        <v>3</v>
      </c>
      <c r="BE111" t="s">
        <v>3</v>
      </c>
      <c r="BF111" t="s">
        <v>3</v>
      </c>
      <c r="BG111" t="s">
        <v>3</v>
      </c>
      <c r="BH111">
        <v>0</v>
      </c>
      <c r="BI111">
        <v>4</v>
      </c>
      <c r="BJ111" t="s">
        <v>27</v>
      </c>
      <c r="BM111">
        <v>0</v>
      </c>
      <c r="BN111">
        <v>0</v>
      </c>
      <c r="BO111" t="s">
        <v>3</v>
      </c>
      <c r="BP111">
        <v>0</v>
      </c>
      <c r="BQ111">
        <v>1</v>
      </c>
      <c r="BR111">
        <v>0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 t="s">
        <v>3</v>
      </c>
      <c r="BZ111">
        <v>70</v>
      </c>
      <c r="CA111">
        <v>10</v>
      </c>
      <c r="CB111" t="s">
        <v>3</v>
      </c>
      <c r="CE111">
        <v>0</v>
      </c>
      <c r="CF111">
        <v>0</v>
      </c>
      <c r="CG111">
        <v>0</v>
      </c>
      <c r="CM111">
        <v>0</v>
      </c>
      <c r="CN111" t="s">
        <v>3</v>
      </c>
      <c r="CO111">
        <v>0</v>
      </c>
      <c r="CP111">
        <f>(P111+Q111+S111)</f>
        <v>73036.89</v>
      </c>
      <c r="CQ111">
        <f>(AC111*BC111*AW111)</f>
        <v>1525.87</v>
      </c>
      <c r="CR111">
        <f>((((ET111)*BB111-(EU111)*BS111)+AE111*BS111)*AV111)</f>
        <v>1.1100000000000001</v>
      </c>
      <c r="CS111">
        <f>(AE111*BS111*AV111)</f>
        <v>0.01</v>
      </c>
      <c r="CT111">
        <f>(AF111*BA111*AV111)</f>
        <v>446.99</v>
      </c>
      <c r="CU111">
        <f>AG111</f>
        <v>0</v>
      </c>
      <c r="CV111">
        <f>(AH111*AV111)</f>
        <v>0.7</v>
      </c>
      <c r="CW111">
        <f t="shared" si="50"/>
        <v>0</v>
      </c>
      <c r="CX111">
        <f t="shared" si="50"/>
        <v>0</v>
      </c>
      <c r="CY111">
        <f>((S111*BZ111)/100)</f>
        <v>11577.041000000001</v>
      </c>
      <c r="CZ111">
        <f>((S111*CA111)/100)</f>
        <v>1653.8630000000003</v>
      </c>
      <c r="DC111" t="s">
        <v>3</v>
      </c>
      <c r="DD111" t="s">
        <v>3</v>
      </c>
      <c r="DE111" t="s">
        <v>3</v>
      </c>
      <c r="DF111" t="s">
        <v>3</v>
      </c>
      <c r="DG111" t="s">
        <v>3</v>
      </c>
      <c r="DH111" t="s">
        <v>3</v>
      </c>
      <c r="DI111" t="s">
        <v>3</v>
      </c>
      <c r="DJ111" t="s">
        <v>3</v>
      </c>
      <c r="DK111" t="s">
        <v>3</v>
      </c>
      <c r="DL111" t="s">
        <v>3</v>
      </c>
      <c r="DM111" t="s">
        <v>3</v>
      </c>
      <c r="DN111">
        <v>0</v>
      </c>
      <c r="DO111">
        <v>0</v>
      </c>
      <c r="DP111">
        <v>1</v>
      </c>
      <c r="DQ111">
        <v>1</v>
      </c>
      <c r="DU111">
        <v>1010</v>
      </c>
      <c r="DV111" t="s">
        <v>19</v>
      </c>
      <c r="DW111" t="s">
        <v>19</v>
      </c>
      <c r="DX111">
        <v>1</v>
      </c>
      <c r="DZ111" t="s">
        <v>3</v>
      </c>
      <c r="EA111" t="s">
        <v>3</v>
      </c>
      <c r="EB111" t="s">
        <v>3</v>
      </c>
      <c r="EC111" t="s">
        <v>3</v>
      </c>
      <c r="EE111">
        <v>66091114</v>
      </c>
      <c r="EF111">
        <v>1</v>
      </c>
      <c r="EG111" t="s">
        <v>21</v>
      </c>
      <c r="EH111">
        <v>0</v>
      </c>
      <c r="EI111" t="s">
        <v>3</v>
      </c>
      <c r="EJ111">
        <v>4</v>
      </c>
      <c r="EK111">
        <v>0</v>
      </c>
      <c r="EL111" t="s">
        <v>22</v>
      </c>
      <c r="EM111" t="s">
        <v>23</v>
      </c>
      <c r="EO111" t="s">
        <v>3</v>
      </c>
      <c r="EQ111">
        <v>0</v>
      </c>
      <c r="ER111">
        <v>1973.97</v>
      </c>
      <c r="ES111">
        <v>1525.87</v>
      </c>
      <c r="ET111">
        <v>1.1100000000000001</v>
      </c>
      <c r="EU111">
        <v>0.01</v>
      </c>
      <c r="EV111">
        <v>446.99</v>
      </c>
      <c r="EW111">
        <v>0.7</v>
      </c>
      <c r="EX111">
        <v>0</v>
      </c>
      <c r="EY111">
        <v>0</v>
      </c>
      <c r="FQ111">
        <v>0</v>
      </c>
      <c r="FR111">
        <v>0</v>
      </c>
      <c r="FS111">
        <v>0</v>
      </c>
      <c r="FX111">
        <v>70</v>
      </c>
      <c r="FY111">
        <v>10</v>
      </c>
      <c r="GA111" t="s">
        <v>3</v>
      </c>
      <c r="GD111">
        <v>0</v>
      </c>
      <c r="GF111">
        <v>1999855279</v>
      </c>
      <c r="GG111">
        <v>2</v>
      </c>
      <c r="GH111">
        <v>1</v>
      </c>
      <c r="GI111">
        <v>-2</v>
      </c>
      <c r="GJ111">
        <v>0</v>
      </c>
      <c r="GK111">
        <f>ROUND(R111*(R12)/100,2)</f>
        <v>0.4</v>
      </c>
      <c r="GL111">
        <f>ROUND(IF(AND(BH111=3,BI111=3,FS111&lt;&gt;0),P111,0),2)</f>
        <v>0</v>
      </c>
      <c r="GM111">
        <f>ROUND(O111+X111+Y111+GK111,2)+GX111</f>
        <v>86268.19</v>
      </c>
      <c r="GN111">
        <f>IF(OR(BI111=0,BI111=1),GM111-GX111,0)</f>
        <v>0</v>
      </c>
      <c r="GO111">
        <f>IF(BI111=2,GM111-GX111,0)</f>
        <v>0</v>
      </c>
      <c r="GP111">
        <f>IF(BI111=4,GM111-GX111,0)</f>
        <v>86268.19</v>
      </c>
      <c r="GR111">
        <v>0</v>
      </c>
      <c r="GS111">
        <v>3</v>
      </c>
      <c r="GT111">
        <v>0</v>
      </c>
      <c r="GU111" t="s">
        <v>3</v>
      </c>
      <c r="GV111">
        <f>ROUND((GT111),6)</f>
        <v>0</v>
      </c>
      <c r="GW111">
        <v>1</v>
      </c>
      <c r="GX111">
        <f>ROUND(HC111*I111,2)</f>
        <v>0</v>
      </c>
      <c r="HA111">
        <v>0</v>
      </c>
      <c r="HB111">
        <v>0</v>
      </c>
      <c r="HC111">
        <f>GV111*GW111</f>
        <v>0</v>
      </c>
      <c r="HE111" t="s">
        <v>3</v>
      </c>
      <c r="HF111" t="s">
        <v>3</v>
      </c>
      <c r="HM111" t="s">
        <v>3</v>
      </c>
      <c r="HN111" t="s">
        <v>3</v>
      </c>
      <c r="HO111" t="s">
        <v>3</v>
      </c>
      <c r="HP111" t="s">
        <v>3</v>
      </c>
      <c r="HQ111" t="s">
        <v>3</v>
      </c>
      <c r="HS111">
        <v>0</v>
      </c>
      <c r="IK111">
        <v>0</v>
      </c>
    </row>
    <row r="112" spans="1:245" x14ac:dyDescent="0.3">
      <c r="A112">
        <v>18</v>
      </c>
      <c r="B112">
        <v>1</v>
      </c>
      <c r="C112">
        <v>21</v>
      </c>
      <c r="E112" t="s">
        <v>101</v>
      </c>
      <c r="F112" t="s">
        <v>29</v>
      </c>
      <c r="G112" t="s">
        <v>102</v>
      </c>
      <c r="H112" t="s">
        <v>19</v>
      </c>
      <c r="I112">
        <f>I111*J112</f>
        <v>38</v>
      </c>
      <c r="J112">
        <v>1.027027027027027</v>
      </c>
      <c r="K112">
        <v>1.02702703</v>
      </c>
      <c r="O112">
        <f>ROUND(CP112,2)</f>
        <v>22426.080000000002</v>
      </c>
      <c r="P112">
        <f>ROUND(CQ112*I112,2)</f>
        <v>22426.080000000002</v>
      </c>
      <c r="Q112">
        <f>ROUND(CR112*I112,2)</f>
        <v>0</v>
      </c>
      <c r="R112">
        <f>ROUND(CS112*I112,2)</f>
        <v>0</v>
      </c>
      <c r="S112">
        <f>ROUND(CT112*I112,2)</f>
        <v>0</v>
      </c>
      <c r="T112">
        <f>ROUND(CU112*I112,2)</f>
        <v>0</v>
      </c>
      <c r="U112">
        <f>CV112*I112</f>
        <v>0</v>
      </c>
      <c r="V112">
        <f>CW112*I112</f>
        <v>0</v>
      </c>
      <c r="W112">
        <f>ROUND(CX112*I112,2)</f>
        <v>0</v>
      </c>
      <c r="X112">
        <f t="shared" si="47"/>
        <v>0</v>
      </c>
      <c r="Y112">
        <f t="shared" si="47"/>
        <v>0</v>
      </c>
      <c r="AA112">
        <v>66366214</v>
      </c>
      <c r="AB112">
        <f>ROUND((AC112+AD112+AF112),6)</f>
        <v>590.16</v>
      </c>
      <c r="AC112">
        <f>ROUND((ES112),6)</f>
        <v>590.16</v>
      </c>
      <c r="AD112">
        <f>ROUND((((ET112)-(EU112))+AE112),6)</f>
        <v>0</v>
      </c>
      <c r="AE112">
        <f t="shared" si="48"/>
        <v>0</v>
      </c>
      <c r="AF112">
        <f t="shared" si="48"/>
        <v>0</v>
      </c>
      <c r="AG112">
        <f>ROUND((AP112),6)</f>
        <v>0</v>
      </c>
      <c r="AH112">
        <f t="shared" si="49"/>
        <v>0</v>
      </c>
      <c r="AI112">
        <f t="shared" si="49"/>
        <v>0</v>
      </c>
      <c r="AJ112">
        <f>(AS112)</f>
        <v>0</v>
      </c>
      <c r="AK112">
        <v>590.16</v>
      </c>
      <c r="AL112">
        <v>590.16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70</v>
      </c>
      <c r="AU112">
        <v>10</v>
      </c>
      <c r="AV112">
        <v>1</v>
      </c>
      <c r="AW112">
        <v>1</v>
      </c>
      <c r="AZ112">
        <v>1</v>
      </c>
      <c r="BA112">
        <v>1</v>
      </c>
      <c r="BB112">
        <v>1</v>
      </c>
      <c r="BC112">
        <v>1</v>
      </c>
      <c r="BD112" t="s">
        <v>3</v>
      </c>
      <c r="BE112" t="s">
        <v>3</v>
      </c>
      <c r="BF112" t="s">
        <v>3</v>
      </c>
      <c r="BG112" t="s">
        <v>3</v>
      </c>
      <c r="BH112">
        <v>3</v>
      </c>
      <c r="BI112">
        <v>4</v>
      </c>
      <c r="BJ112" t="s">
        <v>3</v>
      </c>
      <c r="BM112">
        <v>0</v>
      </c>
      <c r="BN112">
        <v>0</v>
      </c>
      <c r="BO112" t="s">
        <v>3</v>
      </c>
      <c r="BP112">
        <v>0</v>
      </c>
      <c r="BQ112">
        <v>1</v>
      </c>
      <c r="BR112">
        <v>0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 t="s">
        <v>3</v>
      </c>
      <c r="BZ112">
        <v>70</v>
      </c>
      <c r="CA112">
        <v>10</v>
      </c>
      <c r="CB112" t="s">
        <v>3</v>
      </c>
      <c r="CE112">
        <v>0</v>
      </c>
      <c r="CF112">
        <v>0</v>
      </c>
      <c r="CG112">
        <v>0</v>
      </c>
      <c r="CM112">
        <v>0</v>
      </c>
      <c r="CN112" t="s">
        <v>3</v>
      </c>
      <c r="CO112">
        <v>0</v>
      </c>
      <c r="CP112">
        <f>(P112+Q112+S112)</f>
        <v>22426.080000000002</v>
      </c>
      <c r="CQ112">
        <f>(AC112*BC112*AW112)</f>
        <v>590.16</v>
      </c>
      <c r="CR112">
        <f>((((ET112)*BB112-(EU112)*BS112)+AE112*BS112)*AV112)</f>
        <v>0</v>
      </c>
      <c r="CS112">
        <f>(AE112*BS112*AV112)</f>
        <v>0</v>
      </c>
      <c r="CT112">
        <f>(AF112*BA112*AV112)</f>
        <v>0</v>
      </c>
      <c r="CU112">
        <f>AG112</f>
        <v>0</v>
      </c>
      <c r="CV112">
        <f>(AH112*AV112)</f>
        <v>0</v>
      </c>
      <c r="CW112">
        <f t="shared" si="50"/>
        <v>0</v>
      </c>
      <c r="CX112">
        <f t="shared" si="50"/>
        <v>0</v>
      </c>
      <c r="CY112">
        <f>((S112*BZ112)/100)</f>
        <v>0</v>
      </c>
      <c r="CZ112">
        <f>((S112*CA112)/100)</f>
        <v>0</v>
      </c>
      <c r="DC112" t="s">
        <v>3</v>
      </c>
      <c r="DD112" t="s">
        <v>3</v>
      </c>
      <c r="DE112" t="s">
        <v>3</v>
      </c>
      <c r="DF112" t="s">
        <v>3</v>
      </c>
      <c r="DG112" t="s">
        <v>3</v>
      </c>
      <c r="DH112" t="s">
        <v>3</v>
      </c>
      <c r="DI112" t="s">
        <v>3</v>
      </c>
      <c r="DJ112" t="s">
        <v>3</v>
      </c>
      <c r="DK112" t="s">
        <v>3</v>
      </c>
      <c r="DL112" t="s">
        <v>3</v>
      </c>
      <c r="DM112" t="s">
        <v>3</v>
      </c>
      <c r="DN112">
        <v>0</v>
      </c>
      <c r="DO112">
        <v>0</v>
      </c>
      <c r="DP112">
        <v>1</v>
      </c>
      <c r="DQ112">
        <v>1</v>
      </c>
      <c r="DU112">
        <v>1010</v>
      </c>
      <c r="DV112" t="s">
        <v>19</v>
      </c>
      <c r="DW112" t="s">
        <v>19</v>
      </c>
      <c r="DX112">
        <v>1</v>
      </c>
      <c r="DZ112" t="s">
        <v>3</v>
      </c>
      <c r="EA112" t="s">
        <v>3</v>
      </c>
      <c r="EB112" t="s">
        <v>3</v>
      </c>
      <c r="EC112" t="s">
        <v>3</v>
      </c>
      <c r="EE112">
        <v>66091114</v>
      </c>
      <c r="EF112">
        <v>1</v>
      </c>
      <c r="EG112" t="s">
        <v>21</v>
      </c>
      <c r="EH112">
        <v>0</v>
      </c>
      <c r="EI112" t="s">
        <v>3</v>
      </c>
      <c r="EJ112">
        <v>4</v>
      </c>
      <c r="EK112">
        <v>0</v>
      </c>
      <c r="EL112" t="s">
        <v>22</v>
      </c>
      <c r="EM112" t="s">
        <v>23</v>
      </c>
      <c r="EO112" t="s">
        <v>3</v>
      </c>
      <c r="EQ112">
        <v>0</v>
      </c>
      <c r="ER112">
        <v>590.16</v>
      </c>
      <c r="ES112">
        <v>590.16</v>
      </c>
      <c r="ET112">
        <v>0</v>
      </c>
      <c r="EU112">
        <v>0</v>
      </c>
      <c r="EV112">
        <v>0</v>
      </c>
      <c r="EW112">
        <v>0</v>
      </c>
      <c r="EX112">
        <v>0</v>
      </c>
      <c r="EZ112">
        <v>5</v>
      </c>
      <c r="FC112">
        <v>1</v>
      </c>
      <c r="FD112">
        <v>18</v>
      </c>
      <c r="FF112">
        <v>720</v>
      </c>
      <c r="FQ112">
        <v>0</v>
      </c>
      <c r="FR112">
        <v>0</v>
      </c>
      <c r="FS112">
        <v>0</v>
      </c>
      <c r="FX112">
        <v>70</v>
      </c>
      <c r="FY112">
        <v>10</v>
      </c>
      <c r="GA112" t="s">
        <v>103</v>
      </c>
      <c r="GD112">
        <v>0</v>
      </c>
      <c r="GF112">
        <v>-1185429040</v>
      </c>
      <c r="GG112">
        <v>2</v>
      </c>
      <c r="GH112">
        <v>3</v>
      </c>
      <c r="GI112">
        <v>-2</v>
      </c>
      <c r="GJ112">
        <v>0</v>
      </c>
      <c r="GK112">
        <f>ROUND(R112*(R12)/100,2)</f>
        <v>0</v>
      </c>
      <c r="GL112">
        <f>ROUND(IF(AND(BH112=3,BI112=3,FS112&lt;&gt;0),P112,0),2)</f>
        <v>0</v>
      </c>
      <c r="GM112">
        <f>ROUND(O112+X112+Y112+GK112,2)+GX112</f>
        <v>22426.080000000002</v>
      </c>
      <c r="GN112">
        <f>IF(OR(BI112=0,BI112=1),GM112-GX112,0)</f>
        <v>0</v>
      </c>
      <c r="GO112">
        <f>IF(BI112=2,GM112-GX112,0)</f>
        <v>0</v>
      </c>
      <c r="GP112">
        <f>IF(BI112=4,GM112-GX112,0)</f>
        <v>22426.080000000002</v>
      </c>
      <c r="GR112">
        <v>1</v>
      </c>
      <c r="GS112">
        <v>1</v>
      </c>
      <c r="GT112">
        <v>0</v>
      </c>
      <c r="GU112" t="s">
        <v>3</v>
      </c>
      <c r="GV112">
        <f>ROUND((GT112),6)</f>
        <v>0</v>
      </c>
      <c r="GW112">
        <v>1</v>
      </c>
      <c r="GX112">
        <f>ROUND(HC112*I112,2)</f>
        <v>0</v>
      </c>
      <c r="HA112">
        <v>0</v>
      </c>
      <c r="HB112">
        <v>0</v>
      </c>
      <c r="HC112">
        <f>GV112*GW112</f>
        <v>0</v>
      </c>
      <c r="HE112" t="s">
        <v>32</v>
      </c>
      <c r="HF112" t="s">
        <v>32</v>
      </c>
      <c r="HM112" t="s">
        <v>3</v>
      </c>
      <c r="HN112" t="s">
        <v>3</v>
      </c>
      <c r="HO112" t="s">
        <v>3</v>
      </c>
      <c r="HP112" t="s">
        <v>3</v>
      </c>
      <c r="HQ112" t="s">
        <v>3</v>
      </c>
      <c r="HS112">
        <v>0</v>
      </c>
      <c r="IK112">
        <v>0</v>
      </c>
    </row>
    <row r="114" spans="1:206" x14ac:dyDescent="0.3">
      <c r="A114" s="2">
        <v>51</v>
      </c>
      <c r="B114" s="2">
        <f>B106</f>
        <v>1</v>
      </c>
      <c r="C114" s="2">
        <f>A106</f>
        <v>4</v>
      </c>
      <c r="D114" s="2">
        <f>ROW(A106)</f>
        <v>106</v>
      </c>
      <c r="E114" s="2"/>
      <c r="F114" s="2" t="str">
        <f>IF(F106&lt;&gt;"",F106,"")</f>
        <v>Новый раздел</v>
      </c>
      <c r="G114" s="2" t="str">
        <f>IF(G106&lt;&gt;"",G106,"")</f>
        <v>ГВС II - H17 - 37 пластин - вес 346 кг.</v>
      </c>
      <c r="H114" s="2">
        <v>0</v>
      </c>
      <c r="I114" s="2"/>
      <c r="J114" s="2"/>
      <c r="K114" s="2"/>
      <c r="L114" s="2"/>
      <c r="M114" s="2"/>
      <c r="N114" s="2"/>
      <c r="O114" s="2">
        <f t="shared" ref="O114:T114" si="51">ROUND(AB114,2)</f>
        <v>105621.62</v>
      </c>
      <c r="P114" s="2">
        <f t="shared" si="51"/>
        <v>87356.12</v>
      </c>
      <c r="Q114" s="2">
        <f t="shared" si="51"/>
        <v>41.07</v>
      </c>
      <c r="R114" s="2">
        <f t="shared" si="51"/>
        <v>0.37</v>
      </c>
      <c r="S114" s="2">
        <f t="shared" si="51"/>
        <v>18224.43</v>
      </c>
      <c r="T114" s="2">
        <f t="shared" si="51"/>
        <v>0</v>
      </c>
      <c r="U114" s="2">
        <f>AH114</f>
        <v>28.54</v>
      </c>
      <c r="V114" s="2">
        <f>AI114</f>
        <v>0</v>
      </c>
      <c r="W114" s="2">
        <f>ROUND(AJ114,2)</f>
        <v>0</v>
      </c>
      <c r="X114" s="2">
        <f>ROUND(AK114,2)</f>
        <v>12757.1</v>
      </c>
      <c r="Y114" s="2">
        <f>ROUND(AL114,2)</f>
        <v>1822.44</v>
      </c>
      <c r="Z114" s="2"/>
      <c r="AA114" s="2"/>
      <c r="AB114" s="2">
        <f>ROUND(SUMIF(AA110:AA112,"=66366214",O110:O112),2)</f>
        <v>105621.62</v>
      </c>
      <c r="AC114" s="2">
        <f>ROUND(SUMIF(AA110:AA112,"=66366214",P110:P112),2)</f>
        <v>87356.12</v>
      </c>
      <c r="AD114" s="2">
        <f>ROUND(SUMIF(AA110:AA112,"=66366214",Q110:Q112),2)</f>
        <v>41.07</v>
      </c>
      <c r="AE114" s="2">
        <f>ROUND(SUMIF(AA110:AA112,"=66366214",R110:R112),2)</f>
        <v>0.37</v>
      </c>
      <c r="AF114" s="2">
        <f>ROUND(SUMIF(AA110:AA112,"=66366214",S110:S112),2)</f>
        <v>18224.43</v>
      </c>
      <c r="AG114" s="2">
        <f>ROUND(SUMIF(AA110:AA112,"=66366214",T110:T112),2)</f>
        <v>0</v>
      </c>
      <c r="AH114" s="2">
        <f>SUMIF(AA110:AA112,"=66366214",U110:U112)</f>
        <v>28.54</v>
      </c>
      <c r="AI114" s="2">
        <f>SUMIF(AA110:AA112,"=66366214",V110:V112)</f>
        <v>0</v>
      </c>
      <c r="AJ114" s="2">
        <f>ROUND(SUMIF(AA110:AA112,"=66366214",W110:W112),2)</f>
        <v>0</v>
      </c>
      <c r="AK114" s="2">
        <f>ROUND(SUMIF(AA110:AA112,"=66366214",X110:X112),2)</f>
        <v>12757.1</v>
      </c>
      <c r="AL114" s="2">
        <f>ROUND(SUMIF(AA110:AA112,"=66366214",Y110:Y112),2)</f>
        <v>1822.44</v>
      </c>
      <c r="AM114" s="2"/>
      <c r="AN114" s="2"/>
      <c r="AO114" s="2">
        <f t="shared" ref="AO114:BD114" si="52">ROUND(BX114,2)</f>
        <v>0</v>
      </c>
      <c r="AP114" s="2">
        <f t="shared" si="52"/>
        <v>0</v>
      </c>
      <c r="AQ114" s="2">
        <f t="shared" si="52"/>
        <v>0</v>
      </c>
      <c r="AR114" s="2">
        <f t="shared" si="52"/>
        <v>120201.56</v>
      </c>
      <c r="AS114" s="2">
        <f t="shared" si="52"/>
        <v>0</v>
      </c>
      <c r="AT114" s="2">
        <f t="shared" si="52"/>
        <v>0</v>
      </c>
      <c r="AU114" s="2">
        <f t="shared" si="52"/>
        <v>120201.56</v>
      </c>
      <c r="AV114" s="2">
        <f t="shared" si="52"/>
        <v>87356.12</v>
      </c>
      <c r="AW114" s="2">
        <f t="shared" si="52"/>
        <v>87356.12</v>
      </c>
      <c r="AX114" s="2">
        <f t="shared" si="52"/>
        <v>0</v>
      </c>
      <c r="AY114" s="2">
        <f t="shared" si="52"/>
        <v>87356.12</v>
      </c>
      <c r="AZ114" s="2">
        <f t="shared" si="52"/>
        <v>0</v>
      </c>
      <c r="BA114" s="2">
        <f t="shared" si="52"/>
        <v>0</v>
      </c>
      <c r="BB114" s="2">
        <f t="shared" si="52"/>
        <v>0</v>
      </c>
      <c r="BC114" s="2">
        <f t="shared" si="52"/>
        <v>0</v>
      </c>
      <c r="BD114" s="2">
        <f t="shared" si="52"/>
        <v>0</v>
      </c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>
        <f>ROUND(SUMIF(AA110:AA112,"=66366214",FQ110:FQ112),2)</f>
        <v>0</v>
      </c>
      <c r="BY114" s="2">
        <f>ROUND(SUMIF(AA110:AA112,"=66366214",FR110:FR112),2)</f>
        <v>0</v>
      </c>
      <c r="BZ114" s="2">
        <f>ROUND(SUMIF(AA110:AA112,"=66366214",GL110:GL112),2)</f>
        <v>0</v>
      </c>
      <c r="CA114" s="2">
        <f>ROUND(SUMIF(AA110:AA112,"=66366214",GM110:GM112),2)</f>
        <v>120201.56</v>
      </c>
      <c r="CB114" s="2">
        <f>ROUND(SUMIF(AA110:AA112,"=66366214",GN110:GN112),2)</f>
        <v>0</v>
      </c>
      <c r="CC114" s="2">
        <f>ROUND(SUMIF(AA110:AA112,"=66366214",GO110:GO112),2)</f>
        <v>0</v>
      </c>
      <c r="CD114" s="2">
        <f>ROUND(SUMIF(AA110:AA112,"=66366214",GP110:GP112),2)</f>
        <v>120201.56</v>
      </c>
      <c r="CE114" s="2">
        <f>AC114-BX114</f>
        <v>87356.12</v>
      </c>
      <c r="CF114" s="2">
        <f>AC114-BY114</f>
        <v>87356.12</v>
      </c>
      <c r="CG114" s="2">
        <f>BX114-BZ114</f>
        <v>0</v>
      </c>
      <c r="CH114" s="2">
        <f>AC114-BX114-BY114+BZ114</f>
        <v>87356.12</v>
      </c>
      <c r="CI114" s="2">
        <f>BY114-BZ114</f>
        <v>0</v>
      </c>
      <c r="CJ114" s="2">
        <f>ROUND(SUMIF(AA110:AA112,"=66366214",GX110:GX112),2)</f>
        <v>0</v>
      </c>
      <c r="CK114" s="2">
        <f>ROUND(SUMIF(AA110:AA112,"=66366214",GY110:GY112),2)</f>
        <v>0</v>
      </c>
      <c r="CL114" s="2">
        <f>ROUND(SUMIF(AA110:AA112,"=66366214",GZ110:GZ112),2)</f>
        <v>0</v>
      </c>
      <c r="CM114" s="2">
        <f>ROUND(SUMIF(AA110:AA112,"=66366214",HD110:HD112),2)</f>
        <v>0</v>
      </c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>
        <v>0</v>
      </c>
    </row>
    <row r="116" spans="1:206" x14ac:dyDescent="0.3">
      <c r="A116" s="4">
        <v>50</v>
      </c>
      <c r="B116" s="4">
        <v>0</v>
      </c>
      <c r="C116" s="4">
        <v>0</v>
      </c>
      <c r="D116" s="4">
        <v>1</v>
      </c>
      <c r="E116" s="4">
        <v>201</v>
      </c>
      <c r="F116" s="4">
        <f>ROUND(Source!O114,O116)</f>
        <v>105621.62</v>
      </c>
      <c r="G116" s="4" t="s">
        <v>33</v>
      </c>
      <c r="H116" s="4" t="s">
        <v>34</v>
      </c>
      <c r="I116" s="4"/>
      <c r="J116" s="4"/>
      <c r="K116" s="4">
        <v>201</v>
      </c>
      <c r="L116" s="4">
        <v>1</v>
      </c>
      <c r="M116" s="4">
        <v>3</v>
      </c>
      <c r="N116" s="4" t="s">
        <v>3</v>
      </c>
      <c r="O116" s="4">
        <v>2</v>
      </c>
      <c r="P116" s="4"/>
      <c r="Q116" s="4"/>
      <c r="R116" s="4"/>
      <c r="S116" s="4"/>
      <c r="T116" s="4"/>
      <c r="U116" s="4"/>
      <c r="V116" s="4"/>
      <c r="W116" s="4">
        <v>105621.62</v>
      </c>
      <c r="X116" s="4">
        <v>1</v>
      </c>
      <c r="Y116" s="4">
        <v>105621.62</v>
      </c>
      <c r="Z116" s="4"/>
      <c r="AA116" s="4"/>
      <c r="AB116" s="4"/>
    </row>
    <row r="117" spans="1:206" x14ac:dyDescent="0.3">
      <c r="A117" s="4">
        <v>50</v>
      </c>
      <c r="B117" s="4">
        <v>0</v>
      </c>
      <c r="C117" s="4">
        <v>0</v>
      </c>
      <c r="D117" s="4">
        <v>1</v>
      </c>
      <c r="E117" s="4">
        <v>202</v>
      </c>
      <c r="F117" s="4">
        <f>ROUND(Source!P114,O117)</f>
        <v>87356.12</v>
      </c>
      <c r="G117" s="4" t="s">
        <v>35</v>
      </c>
      <c r="H117" s="4" t="s">
        <v>36</v>
      </c>
      <c r="I117" s="4"/>
      <c r="J117" s="4"/>
      <c r="K117" s="4">
        <v>202</v>
      </c>
      <c r="L117" s="4">
        <v>2</v>
      </c>
      <c r="M117" s="4">
        <v>3</v>
      </c>
      <c r="N117" s="4" t="s">
        <v>3</v>
      </c>
      <c r="O117" s="4">
        <v>2</v>
      </c>
      <c r="P117" s="4"/>
      <c r="Q117" s="4"/>
      <c r="R117" s="4"/>
      <c r="S117" s="4"/>
      <c r="T117" s="4"/>
      <c r="U117" s="4"/>
      <c r="V117" s="4"/>
      <c r="W117" s="4">
        <v>87356.12</v>
      </c>
      <c r="X117" s="4">
        <v>1</v>
      </c>
      <c r="Y117" s="4">
        <v>87356.12</v>
      </c>
      <c r="Z117" s="4"/>
      <c r="AA117" s="4"/>
      <c r="AB117" s="4"/>
    </row>
    <row r="118" spans="1:206" x14ac:dyDescent="0.3">
      <c r="A118" s="4">
        <v>50</v>
      </c>
      <c r="B118" s="4">
        <v>0</v>
      </c>
      <c r="C118" s="4">
        <v>0</v>
      </c>
      <c r="D118" s="4">
        <v>1</v>
      </c>
      <c r="E118" s="4">
        <v>222</v>
      </c>
      <c r="F118" s="4">
        <f>ROUND(Source!AO114,O118)</f>
        <v>0</v>
      </c>
      <c r="G118" s="4" t="s">
        <v>37</v>
      </c>
      <c r="H118" s="4" t="s">
        <v>38</v>
      </c>
      <c r="I118" s="4"/>
      <c r="J118" s="4"/>
      <c r="K118" s="4">
        <v>222</v>
      </c>
      <c r="L118" s="4">
        <v>3</v>
      </c>
      <c r="M118" s="4">
        <v>3</v>
      </c>
      <c r="N118" s="4" t="s">
        <v>3</v>
      </c>
      <c r="O118" s="4">
        <v>2</v>
      </c>
      <c r="P118" s="4"/>
      <c r="Q118" s="4"/>
      <c r="R118" s="4"/>
      <c r="S118" s="4"/>
      <c r="T118" s="4"/>
      <c r="U118" s="4"/>
      <c r="V118" s="4"/>
      <c r="W118" s="4">
        <v>0</v>
      </c>
      <c r="X118" s="4">
        <v>1</v>
      </c>
      <c r="Y118" s="4">
        <v>0</v>
      </c>
      <c r="Z118" s="4"/>
      <c r="AA118" s="4"/>
      <c r="AB118" s="4"/>
    </row>
    <row r="119" spans="1:206" x14ac:dyDescent="0.3">
      <c r="A119" s="4">
        <v>50</v>
      </c>
      <c r="B119" s="4">
        <v>0</v>
      </c>
      <c r="C119" s="4">
        <v>0</v>
      </c>
      <c r="D119" s="4">
        <v>1</v>
      </c>
      <c r="E119" s="4">
        <v>225</v>
      </c>
      <c r="F119" s="4">
        <f>ROUND(Source!AV114,O119)</f>
        <v>87356.12</v>
      </c>
      <c r="G119" s="4" t="s">
        <v>39</v>
      </c>
      <c r="H119" s="4" t="s">
        <v>40</v>
      </c>
      <c r="I119" s="4"/>
      <c r="J119" s="4"/>
      <c r="K119" s="4">
        <v>225</v>
      </c>
      <c r="L119" s="4">
        <v>4</v>
      </c>
      <c r="M119" s="4">
        <v>3</v>
      </c>
      <c r="N119" s="4" t="s">
        <v>3</v>
      </c>
      <c r="O119" s="4">
        <v>2</v>
      </c>
      <c r="P119" s="4"/>
      <c r="Q119" s="4"/>
      <c r="R119" s="4"/>
      <c r="S119" s="4"/>
      <c r="T119" s="4"/>
      <c r="U119" s="4"/>
      <c r="V119" s="4"/>
      <c r="W119" s="4">
        <v>87356.12</v>
      </c>
      <c r="X119" s="4">
        <v>1</v>
      </c>
      <c r="Y119" s="4">
        <v>87356.12</v>
      </c>
      <c r="Z119" s="4"/>
      <c r="AA119" s="4"/>
      <c r="AB119" s="4"/>
    </row>
    <row r="120" spans="1:206" x14ac:dyDescent="0.3">
      <c r="A120" s="4">
        <v>50</v>
      </c>
      <c r="B120" s="4">
        <v>0</v>
      </c>
      <c r="C120" s="4">
        <v>0</v>
      </c>
      <c r="D120" s="4">
        <v>1</v>
      </c>
      <c r="E120" s="4">
        <v>226</v>
      </c>
      <c r="F120" s="4">
        <f>ROUND(Source!AW114,O120)</f>
        <v>87356.12</v>
      </c>
      <c r="G120" s="4" t="s">
        <v>41</v>
      </c>
      <c r="H120" s="4" t="s">
        <v>42</v>
      </c>
      <c r="I120" s="4"/>
      <c r="J120" s="4"/>
      <c r="K120" s="4">
        <v>226</v>
      </c>
      <c r="L120" s="4">
        <v>5</v>
      </c>
      <c r="M120" s="4">
        <v>3</v>
      </c>
      <c r="N120" s="4" t="s">
        <v>3</v>
      </c>
      <c r="O120" s="4">
        <v>2</v>
      </c>
      <c r="P120" s="4"/>
      <c r="Q120" s="4"/>
      <c r="R120" s="4"/>
      <c r="S120" s="4"/>
      <c r="T120" s="4"/>
      <c r="U120" s="4"/>
      <c r="V120" s="4"/>
      <c r="W120" s="4">
        <v>87356.12</v>
      </c>
      <c r="X120" s="4">
        <v>1</v>
      </c>
      <c r="Y120" s="4">
        <v>87356.12</v>
      </c>
      <c r="Z120" s="4"/>
      <c r="AA120" s="4"/>
      <c r="AB120" s="4"/>
    </row>
    <row r="121" spans="1:206" x14ac:dyDescent="0.3">
      <c r="A121" s="4">
        <v>50</v>
      </c>
      <c r="B121" s="4">
        <v>0</v>
      </c>
      <c r="C121" s="4">
        <v>0</v>
      </c>
      <c r="D121" s="4">
        <v>1</v>
      </c>
      <c r="E121" s="4">
        <v>227</v>
      </c>
      <c r="F121" s="4">
        <f>ROUND(Source!AX114,O121)</f>
        <v>0</v>
      </c>
      <c r="G121" s="4" t="s">
        <v>43</v>
      </c>
      <c r="H121" s="4" t="s">
        <v>44</v>
      </c>
      <c r="I121" s="4"/>
      <c r="J121" s="4"/>
      <c r="K121" s="4">
        <v>227</v>
      </c>
      <c r="L121" s="4">
        <v>6</v>
      </c>
      <c r="M121" s="4">
        <v>3</v>
      </c>
      <c r="N121" s="4" t="s">
        <v>3</v>
      </c>
      <c r="O121" s="4">
        <v>2</v>
      </c>
      <c r="P121" s="4"/>
      <c r="Q121" s="4"/>
      <c r="R121" s="4"/>
      <c r="S121" s="4"/>
      <c r="T121" s="4"/>
      <c r="U121" s="4"/>
      <c r="V121" s="4"/>
      <c r="W121" s="4">
        <v>0</v>
      </c>
      <c r="X121" s="4">
        <v>1</v>
      </c>
      <c r="Y121" s="4">
        <v>0</v>
      </c>
      <c r="Z121" s="4"/>
      <c r="AA121" s="4"/>
      <c r="AB121" s="4"/>
    </row>
    <row r="122" spans="1:206" x14ac:dyDescent="0.3">
      <c r="A122" s="4">
        <v>50</v>
      </c>
      <c r="B122" s="4">
        <v>0</v>
      </c>
      <c r="C122" s="4">
        <v>0</v>
      </c>
      <c r="D122" s="4">
        <v>1</v>
      </c>
      <c r="E122" s="4">
        <v>228</v>
      </c>
      <c r="F122" s="4">
        <f>ROUND(Source!AY114,O122)</f>
        <v>87356.12</v>
      </c>
      <c r="G122" s="4" t="s">
        <v>45</v>
      </c>
      <c r="H122" s="4" t="s">
        <v>46</v>
      </c>
      <c r="I122" s="4"/>
      <c r="J122" s="4"/>
      <c r="K122" s="4">
        <v>228</v>
      </c>
      <c r="L122" s="4">
        <v>7</v>
      </c>
      <c r="M122" s="4">
        <v>3</v>
      </c>
      <c r="N122" s="4" t="s">
        <v>3</v>
      </c>
      <c r="O122" s="4">
        <v>2</v>
      </c>
      <c r="P122" s="4"/>
      <c r="Q122" s="4"/>
      <c r="R122" s="4"/>
      <c r="S122" s="4"/>
      <c r="T122" s="4"/>
      <c r="U122" s="4"/>
      <c r="V122" s="4"/>
      <c r="W122" s="4">
        <v>87356.12</v>
      </c>
      <c r="X122" s="4">
        <v>1</v>
      </c>
      <c r="Y122" s="4">
        <v>87356.12</v>
      </c>
      <c r="Z122" s="4"/>
      <c r="AA122" s="4"/>
      <c r="AB122" s="4"/>
    </row>
    <row r="123" spans="1:206" x14ac:dyDescent="0.3">
      <c r="A123" s="4">
        <v>50</v>
      </c>
      <c r="B123" s="4">
        <v>0</v>
      </c>
      <c r="C123" s="4">
        <v>0</v>
      </c>
      <c r="D123" s="4">
        <v>1</v>
      </c>
      <c r="E123" s="4">
        <v>216</v>
      </c>
      <c r="F123" s="4">
        <f>ROUND(Source!AP114,O123)</f>
        <v>0</v>
      </c>
      <c r="G123" s="4" t="s">
        <v>47</v>
      </c>
      <c r="H123" s="4" t="s">
        <v>48</v>
      </c>
      <c r="I123" s="4"/>
      <c r="J123" s="4"/>
      <c r="K123" s="4">
        <v>216</v>
      </c>
      <c r="L123" s="4">
        <v>8</v>
      </c>
      <c r="M123" s="4">
        <v>3</v>
      </c>
      <c r="N123" s="4" t="s">
        <v>3</v>
      </c>
      <c r="O123" s="4">
        <v>2</v>
      </c>
      <c r="P123" s="4"/>
      <c r="Q123" s="4"/>
      <c r="R123" s="4"/>
      <c r="S123" s="4"/>
      <c r="T123" s="4"/>
      <c r="U123" s="4"/>
      <c r="V123" s="4"/>
      <c r="W123" s="4">
        <v>0</v>
      </c>
      <c r="X123" s="4">
        <v>1</v>
      </c>
      <c r="Y123" s="4">
        <v>0</v>
      </c>
      <c r="Z123" s="4"/>
      <c r="AA123" s="4"/>
      <c r="AB123" s="4"/>
    </row>
    <row r="124" spans="1:206" x14ac:dyDescent="0.3">
      <c r="A124" s="4">
        <v>50</v>
      </c>
      <c r="B124" s="4">
        <v>0</v>
      </c>
      <c r="C124" s="4">
        <v>0</v>
      </c>
      <c r="D124" s="4">
        <v>1</v>
      </c>
      <c r="E124" s="4">
        <v>223</v>
      </c>
      <c r="F124" s="4">
        <f>ROUND(Source!AQ114,O124)</f>
        <v>0</v>
      </c>
      <c r="G124" s="4" t="s">
        <v>49</v>
      </c>
      <c r="H124" s="4" t="s">
        <v>50</v>
      </c>
      <c r="I124" s="4"/>
      <c r="J124" s="4"/>
      <c r="K124" s="4">
        <v>223</v>
      </c>
      <c r="L124" s="4">
        <v>9</v>
      </c>
      <c r="M124" s="4">
        <v>3</v>
      </c>
      <c r="N124" s="4" t="s">
        <v>3</v>
      </c>
      <c r="O124" s="4">
        <v>2</v>
      </c>
      <c r="P124" s="4"/>
      <c r="Q124" s="4"/>
      <c r="R124" s="4"/>
      <c r="S124" s="4"/>
      <c r="T124" s="4"/>
      <c r="U124" s="4"/>
      <c r="V124" s="4"/>
      <c r="W124" s="4">
        <v>0</v>
      </c>
      <c r="X124" s="4">
        <v>1</v>
      </c>
      <c r="Y124" s="4">
        <v>0</v>
      </c>
      <c r="Z124" s="4"/>
      <c r="AA124" s="4"/>
      <c r="AB124" s="4"/>
    </row>
    <row r="125" spans="1:206" x14ac:dyDescent="0.3">
      <c r="A125" s="4">
        <v>50</v>
      </c>
      <c r="B125" s="4">
        <v>0</v>
      </c>
      <c r="C125" s="4">
        <v>0</v>
      </c>
      <c r="D125" s="4">
        <v>1</v>
      </c>
      <c r="E125" s="4">
        <v>229</v>
      </c>
      <c r="F125" s="4">
        <f>ROUND(Source!AZ114,O125)</f>
        <v>0</v>
      </c>
      <c r="G125" s="4" t="s">
        <v>51</v>
      </c>
      <c r="H125" s="4" t="s">
        <v>52</v>
      </c>
      <c r="I125" s="4"/>
      <c r="J125" s="4"/>
      <c r="K125" s="4">
        <v>229</v>
      </c>
      <c r="L125" s="4">
        <v>10</v>
      </c>
      <c r="M125" s="4">
        <v>3</v>
      </c>
      <c r="N125" s="4" t="s">
        <v>3</v>
      </c>
      <c r="O125" s="4">
        <v>2</v>
      </c>
      <c r="P125" s="4"/>
      <c r="Q125" s="4"/>
      <c r="R125" s="4"/>
      <c r="S125" s="4"/>
      <c r="T125" s="4"/>
      <c r="U125" s="4"/>
      <c r="V125" s="4"/>
      <c r="W125" s="4">
        <v>0</v>
      </c>
      <c r="X125" s="4">
        <v>1</v>
      </c>
      <c r="Y125" s="4">
        <v>0</v>
      </c>
      <c r="Z125" s="4"/>
      <c r="AA125" s="4"/>
      <c r="AB125" s="4"/>
    </row>
    <row r="126" spans="1:206" x14ac:dyDescent="0.3">
      <c r="A126" s="4">
        <v>50</v>
      </c>
      <c r="B126" s="4">
        <v>0</v>
      </c>
      <c r="C126" s="4">
        <v>0</v>
      </c>
      <c r="D126" s="4">
        <v>1</v>
      </c>
      <c r="E126" s="4">
        <v>203</v>
      </c>
      <c r="F126" s="4">
        <f>ROUND(Source!Q114,O126)</f>
        <v>41.07</v>
      </c>
      <c r="G126" s="4" t="s">
        <v>53</v>
      </c>
      <c r="H126" s="4" t="s">
        <v>54</v>
      </c>
      <c r="I126" s="4"/>
      <c r="J126" s="4"/>
      <c r="K126" s="4">
        <v>203</v>
      </c>
      <c r="L126" s="4">
        <v>11</v>
      </c>
      <c r="M126" s="4">
        <v>3</v>
      </c>
      <c r="N126" s="4" t="s">
        <v>3</v>
      </c>
      <c r="O126" s="4">
        <v>2</v>
      </c>
      <c r="P126" s="4"/>
      <c r="Q126" s="4"/>
      <c r="R126" s="4"/>
      <c r="S126" s="4"/>
      <c r="T126" s="4"/>
      <c r="U126" s="4"/>
      <c r="V126" s="4"/>
      <c r="W126" s="4">
        <v>41.07</v>
      </c>
      <c r="X126" s="4">
        <v>1</v>
      </c>
      <c r="Y126" s="4">
        <v>41.07</v>
      </c>
      <c r="Z126" s="4"/>
      <c r="AA126" s="4"/>
      <c r="AB126" s="4"/>
    </row>
    <row r="127" spans="1:206" x14ac:dyDescent="0.3">
      <c r="A127" s="4">
        <v>50</v>
      </c>
      <c r="B127" s="4">
        <v>0</v>
      </c>
      <c r="C127" s="4">
        <v>0</v>
      </c>
      <c r="D127" s="4">
        <v>1</v>
      </c>
      <c r="E127" s="4">
        <v>231</v>
      </c>
      <c r="F127" s="4">
        <f>ROUND(Source!BB114,O127)</f>
        <v>0</v>
      </c>
      <c r="G127" s="4" t="s">
        <v>55</v>
      </c>
      <c r="H127" s="4" t="s">
        <v>56</v>
      </c>
      <c r="I127" s="4"/>
      <c r="J127" s="4"/>
      <c r="K127" s="4">
        <v>231</v>
      </c>
      <c r="L127" s="4">
        <v>12</v>
      </c>
      <c r="M127" s="4">
        <v>3</v>
      </c>
      <c r="N127" s="4" t="s">
        <v>3</v>
      </c>
      <c r="O127" s="4">
        <v>2</v>
      </c>
      <c r="P127" s="4"/>
      <c r="Q127" s="4"/>
      <c r="R127" s="4"/>
      <c r="S127" s="4"/>
      <c r="T127" s="4"/>
      <c r="U127" s="4"/>
      <c r="V127" s="4"/>
      <c r="W127" s="4">
        <v>0</v>
      </c>
      <c r="X127" s="4">
        <v>1</v>
      </c>
      <c r="Y127" s="4">
        <v>0</v>
      </c>
      <c r="Z127" s="4"/>
      <c r="AA127" s="4"/>
      <c r="AB127" s="4"/>
    </row>
    <row r="128" spans="1:206" x14ac:dyDescent="0.3">
      <c r="A128" s="4">
        <v>50</v>
      </c>
      <c r="B128" s="4">
        <v>0</v>
      </c>
      <c r="C128" s="4">
        <v>0</v>
      </c>
      <c r="D128" s="4">
        <v>1</v>
      </c>
      <c r="E128" s="4">
        <v>204</v>
      </c>
      <c r="F128" s="4">
        <f>ROUND(Source!R114,O128)</f>
        <v>0.37</v>
      </c>
      <c r="G128" s="4" t="s">
        <v>57</v>
      </c>
      <c r="H128" s="4" t="s">
        <v>58</v>
      </c>
      <c r="I128" s="4"/>
      <c r="J128" s="4"/>
      <c r="K128" s="4">
        <v>204</v>
      </c>
      <c r="L128" s="4">
        <v>13</v>
      </c>
      <c r="M128" s="4">
        <v>3</v>
      </c>
      <c r="N128" s="4" t="s">
        <v>3</v>
      </c>
      <c r="O128" s="4">
        <v>2</v>
      </c>
      <c r="P128" s="4"/>
      <c r="Q128" s="4"/>
      <c r="R128" s="4"/>
      <c r="S128" s="4"/>
      <c r="T128" s="4"/>
      <c r="U128" s="4"/>
      <c r="V128" s="4"/>
      <c r="W128" s="4">
        <v>0.37</v>
      </c>
      <c r="X128" s="4">
        <v>1</v>
      </c>
      <c r="Y128" s="4">
        <v>0.37</v>
      </c>
      <c r="Z128" s="4"/>
      <c r="AA128" s="4"/>
      <c r="AB128" s="4"/>
    </row>
    <row r="129" spans="1:28" x14ac:dyDescent="0.3">
      <c r="A129" s="4">
        <v>50</v>
      </c>
      <c r="B129" s="4">
        <v>0</v>
      </c>
      <c r="C129" s="4">
        <v>0</v>
      </c>
      <c r="D129" s="4">
        <v>1</v>
      </c>
      <c r="E129" s="4">
        <v>205</v>
      </c>
      <c r="F129" s="4">
        <f>ROUND(Source!S114,O129)</f>
        <v>18224.43</v>
      </c>
      <c r="G129" s="4" t="s">
        <v>59</v>
      </c>
      <c r="H129" s="4" t="s">
        <v>60</v>
      </c>
      <c r="I129" s="4"/>
      <c r="J129" s="4"/>
      <c r="K129" s="4">
        <v>205</v>
      </c>
      <c r="L129" s="4">
        <v>14</v>
      </c>
      <c r="M129" s="4">
        <v>3</v>
      </c>
      <c r="N129" s="4" t="s">
        <v>3</v>
      </c>
      <c r="O129" s="4">
        <v>2</v>
      </c>
      <c r="P129" s="4"/>
      <c r="Q129" s="4"/>
      <c r="R129" s="4"/>
      <c r="S129" s="4"/>
      <c r="T129" s="4"/>
      <c r="U129" s="4"/>
      <c r="V129" s="4"/>
      <c r="W129" s="4">
        <v>18224.43</v>
      </c>
      <c r="X129" s="4">
        <v>1</v>
      </c>
      <c r="Y129" s="4">
        <v>18224.43</v>
      </c>
      <c r="Z129" s="4"/>
      <c r="AA129" s="4"/>
      <c r="AB129" s="4"/>
    </row>
    <row r="130" spans="1:28" x14ac:dyDescent="0.3">
      <c r="A130" s="4">
        <v>50</v>
      </c>
      <c r="B130" s="4">
        <v>0</v>
      </c>
      <c r="C130" s="4">
        <v>0</v>
      </c>
      <c r="D130" s="4">
        <v>1</v>
      </c>
      <c r="E130" s="4">
        <v>232</v>
      </c>
      <c r="F130" s="4">
        <f>ROUND(Source!BC114,O130)</f>
        <v>0</v>
      </c>
      <c r="G130" s="4" t="s">
        <v>61</v>
      </c>
      <c r="H130" s="4" t="s">
        <v>62</v>
      </c>
      <c r="I130" s="4"/>
      <c r="J130" s="4"/>
      <c r="K130" s="4">
        <v>232</v>
      </c>
      <c r="L130" s="4">
        <v>15</v>
      </c>
      <c r="M130" s="4">
        <v>3</v>
      </c>
      <c r="N130" s="4" t="s">
        <v>3</v>
      </c>
      <c r="O130" s="4">
        <v>2</v>
      </c>
      <c r="P130" s="4"/>
      <c r="Q130" s="4"/>
      <c r="R130" s="4"/>
      <c r="S130" s="4"/>
      <c r="T130" s="4"/>
      <c r="U130" s="4"/>
      <c r="V130" s="4"/>
      <c r="W130" s="4">
        <v>0</v>
      </c>
      <c r="X130" s="4">
        <v>1</v>
      </c>
      <c r="Y130" s="4">
        <v>0</v>
      </c>
      <c r="Z130" s="4"/>
      <c r="AA130" s="4"/>
      <c r="AB130" s="4"/>
    </row>
    <row r="131" spans="1:28" x14ac:dyDescent="0.3">
      <c r="A131" s="4">
        <v>50</v>
      </c>
      <c r="B131" s="4">
        <v>0</v>
      </c>
      <c r="C131" s="4">
        <v>0</v>
      </c>
      <c r="D131" s="4">
        <v>1</v>
      </c>
      <c r="E131" s="4">
        <v>214</v>
      </c>
      <c r="F131" s="4">
        <f>ROUND(Source!AS114,O131)</f>
        <v>0</v>
      </c>
      <c r="G131" s="4" t="s">
        <v>63</v>
      </c>
      <c r="H131" s="4" t="s">
        <v>64</v>
      </c>
      <c r="I131" s="4"/>
      <c r="J131" s="4"/>
      <c r="K131" s="4">
        <v>214</v>
      </c>
      <c r="L131" s="4">
        <v>16</v>
      </c>
      <c r="M131" s="4">
        <v>3</v>
      </c>
      <c r="N131" s="4" t="s">
        <v>3</v>
      </c>
      <c r="O131" s="4">
        <v>2</v>
      </c>
      <c r="P131" s="4"/>
      <c r="Q131" s="4"/>
      <c r="R131" s="4"/>
      <c r="S131" s="4"/>
      <c r="T131" s="4"/>
      <c r="U131" s="4"/>
      <c r="V131" s="4"/>
      <c r="W131" s="4">
        <v>0</v>
      </c>
      <c r="X131" s="4">
        <v>1</v>
      </c>
      <c r="Y131" s="4">
        <v>0</v>
      </c>
      <c r="Z131" s="4"/>
      <c r="AA131" s="4"/>
      <c r="AB131" s="4"/>
    </row>
    <row r="132" spans="1:28" x14ac:dyDescent="0.3">
      <c r="A132" s="4">
        <v>50</v>
      </c>
      <c r="B132" s="4">
        <v>0</v>
      </c>
      <c r="C132" s="4">
        <v>0</v>
      </c>
      <c r="D132" s="4">
        <v>1</v>
      </c>
      <c r="E132" s="4">
        <v>215</v>
      </c>
      <c r="F132" s="4">
        <f>ROUND(Source!AT114,O132)</f>
        <v>0</v>
      </c>
      <c r="G132" s="4" t="s">
        <v>65</v>
      </c>
      <c r="H132" s="4" t="s">
        <v>66</v>
      </c>
      <c r="I132" s="4"/>
      <c r="J132" s="4"/>
      <c r="K132" s="4">
        <v>215</v>
      </c>
      <c r="L132" s="4">
        <v>17</v>
      </c>
      <c r="M132" s="4">
        <v>3</v>
      </c>
      <c r="N132" s="4" t="s">
        <v>3</v>
      </c>
      <c r="O132" s="4">
        <v>2</v>
      </c>
      <c r="P132" s="4"/>
      <c r="Q132" s="4"/>
      <c r="R132" s="4"/>
      <c r="S132" s="4"/>
      <c r="T132" s="4"/>
      <c r="U132" s="4"/>
      <c r="V132" s="4"/>
      <c r="W132" s="4">
        <v>0</v>
      </c>
      <c r="X132" s="4">
        <v>1</v>
      </c>
      <c r="Y132" s="4">
        <v>0</v>
      </c>
      <c r="Z132" s="4"/>
      <c r="AA132" s="4"/>
      <c r="AB132" s="4"/>
    </row>
    <row r="133" spans="1:28" x14ac:dyDescent="0.3">
      <c r="A133" s="4">
        <v>50</v>
      </c>
      <c r="B133" s="4">
        <v>0</v>
      </c>
      <c r="C133" s="4">
        <v>0</v>
      </c>
      <c r="D133" s="4">
        <v>1</v>
      </c>
      <c r="E133" s="4">
        <v>217</v>
      </c>
      <c r="F133" s="4">
        <f>ROUND(Source!AU114,O133)</f>
        <v>120201.56</v>
      </c>
      <c r="G133" s="4" t="s">
        <v>67</v>
      </c>
      <c r="H133" s="4" t="s">
        <v>68</v>
      </c>
      <c r="I133" s="4"/>
      <c r="J133" s="4"/>
      <c r="K133" s="4">
        <v>217</v>
      </c>
      <c r="L133" s="4">
        <v>18</v>
      </c>
      <c r="M133" s="4">
        <v>3</v>
      </c>
      <c r="N133" s="4" t="s">
        <v>3</v>
      </c>
      <c r="O133" s="4">
        <v>2</v>
      </c>
      <c r="P133" s="4"/>
      <c r="Q133" s="4"/>
      <c r="R133" s="4"/>
      <c r="S133" s="4"/>
      <c r="T133" s="4"/>
      <c r="U133" s="4"/>
      <c r="V133" s="4"/>
      <c r="W133" s="4">
        <v>120201.56</v>
      </c>
      <c r="X133" s="4">
        <v>1</v>
      </c>
      <c r="Y133" s="4">
        <v>120201.56</v>
      </c>
      <c r="Z133" s="4"/>
      <c r="AA133" s="4"/>
      <c r="AB133" s="4"/>
    </row>
    <row r="134" spans="1:28" x14ac:dyDescent="0.3">
      <c r="A134" s="4">
        <v>50</v>
      </c>
      <c r="B134" s="4">
        <v>0</v>
      </c>
      <c r="C134" s="4">
        <v>0</v>
      </c>
      <c r="D134" s="4">
        <v>1</v>
      </c>
      <c r="E134" s="4">
        <v>230</v>
      </c>
      <c r="F134" s="4">
        <f>ROUND(Source!BA114,O134)</f>
        <v>0</v>
      </c>
      <c r="G134" s="4" t="s">
        <v>69</v>
      </c>
      <c r="H134" s="4" t="s">
        <v>70</v>
      </c>
      <c r="I134" s="4"/>
      <c r="J134" s="4"/>
      <c r="K134" s="4">
        <v>230</v>
      </c>
      <c r="L134" s="4">
        <v>19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>
        <v>0</v>
      </c>
      <c r="X134" s="4">
        <v>1</v>
      </c>
      <c r="Y134" s="4">
        <v>0</v>
      </c>
      <c r="Z134" s="4"/>
      <c r="AA134" s="4"/>
      <c r="AB134" s="4"/>
    </row>
    <row r="135" spans="1:28" x14ac:dyDescent="0.3">
      <c r="A135" s="4">
        <v>50</v>
      </c>
      <c r="B135" s="4">
        <v>0</v>
      </c>
      <c r="C135" s="4">
        <v>0</v>
      </c>
      <c r="D135" s="4">
        <v>1</v>
      </c>
      <c r="E135" s="4">
        <v>206</v>
      </c>
      <c r="F135" s="4">
        <f>ROUND(Source!T114,O135)</f>
        <v>0</v>
      </c>
      <c r="G135" s="4" t="s">
        <v>71</v>
      </c>
      <c r="H135" s="4" t="s">
        <v>72</v>
      </c>
      <c r="I135" s="4"/>
      <c r="J135" s="4"/>
      <c r="K135" s="4">
        <v>206</v>
      </c>
      <c r="L135" s="4">
        <v>20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>
        <v>0</v>
      </c>
      <c r="X135" s="4">
        <v>1</v>
      </c>
      <c r="Y135" s="4">
        <v>0</v>
      </c>
      <c r="Z135" s="4"/>
      <c r="AA135" s="4"/>
      <c r="AB135" s="4"/>
    </row>
    <row r="136" spans="1:28" x14ac:dyDescent="0.3">
      <c r="A136" s="4">
        <v>50</v>
      </c>
      <c r="B136" s="4">
        <v>0</v>
      </c>
      <c r="C136" s="4">
        <v>0</v>
      </c>
      <c r="D136" s="4">
        <v>1</v>
      </c>
      <c r="E136" s="4">
        <v>207</v>
      </c>
      <c r="F136" s="4">
        <f>Source!U114</f>
        <v>28.54</v>
      </c>
      <c r="G136" s="4" t="s">
        <v>73</v>
      </c>
      <c r="H136" s="4" t="s">
        <v>74</v>
      </c>
      <c r="I136" s="4"/>
      <c r="J136" s="4"/>
      <c r="K136" s="4">
        <v>207</v>
      </c>
      <c r="L136" s="4">
        <v>21</v>
      </c>
      <c r="M136" s="4">
        <v>3</v>
      </c>
      <c r="N136" s="4" t="s">
        <v>3</v>
      </c>
      <c r="O136" s="4">
        <v>-1</v>
      </c>
      <c r="P136" s="4"/>
      <c r="Q136" s="4"/>
      <c r="R136" s="4"/>
      <c r="S136" s="4"/>
      <c r="T136" s="4"/>
      <c r="U136" s="4"/>
      <c r="V136" s="4"/>
      <c r="W136" s="4">
        <v>28.54</v>
      </c>
      <c r="X136" s="4">
        <v>1</v>
      </c>
      <c r="Y136" s="4">
        <v>28.54</v>
      </c>
      <c r="Z136" s="4"/>
      <c r="AA136" s="4"/>
      <c r="AB136" s="4"/>
    </row>
    <row r="137" spans="1:28" x14ac:dyDescent="0.3">
      <c r="A137" s="4">
        <v>50</v>
      </c>
      <c r="B137" s="4">
        <v>0</v>
      </c>
      <c r="C137" s="4">
        <v>0</v>
      </c>
      <c r="D137" s="4">
        <v>1</v>
      </c>
      <c r="E137" s="4">
        <v>208</v>
      </c>
      <c r="F137" s="4">
        <f>Source!V114</f>
        <v>0</v>
      </c>
      <c r="G137" s="4" t="s">
        <v>75</v>
      </c>
      <c r="H137" s="4" t="s">
        <v>76</v>
      </c>
      <c r="I137" s="4"/>
      <c r="J137" s="4"/>
      <c r="K137" s="4">
        <v>208</v>
      </c>
      <c r="L137" s="4">
        <v>22</v>
      </c>
      <c r="M137" s="4">
        <v>3</v>
      </c>
      <c r="N137" s="4" t="s">
        <v>3</v>
      </c>
      <c r="O137" s="4">
        <v>-1</v>
      </c>
      <c r="P137" s="4"/>
      <c r="Q137" s="4"/>
      <c r="R137" s="4"/>
      <c r="S137" s="4"/>
      <c r="T137" s="4"/>
      <c r="U137" s="4"/>
      <c r="V137" s="4"/>
      <c r="W137" s="4">
        <v>0</v>
      </c>
      <c r="X137" s="4">
        <v>1</v>
      </c>
      <c r="Y137" s="4">
        <v>0</v>
      </c>
      <c r="Z137" s="4"/>
      <c r="AA137" s="4"/>
      <c r="AB137" s="4"/>
    </row>
    <row r="138" spans="1:28" x14ac:dyDescent="0.3">
      <c r="A138" s="4">
        <v>50</v>
      </c>
      <c r="B138" s="4">
        <v>0</v>
      </c>
      <c r="C138" s="4">
        <v>0</v>
      </c>
      <c r="D138" s="4">
        <v>1</v>
      </c>
      <c r="E138" s="4">
        <v>209</v>
      </c>
      <c r="F138" s="4">
        <f>ROUND(Source!W114,O138)</f>
        <v>0</v>
      </c>
      <c r="G138" s="4" t="s">
        <v>77</v>
      </c>
      <c r="H138" s="4" t="s">
        <v>78</v>
      </c>
      <c r="I138" s="4"/>
      <c r="J138" s="4"/>
      <c r="K138" s="4">
        <v>209</v>
      </c>
      <c r="L138" s="4">
        <v>23</v>
      </c>
      <c r="M138" s="4">
        <v>3</v>
      </c>
      <c r="N138" s="4" t="s">
        <v>3</v>
      </c>
      <c r="O138" s="4">
        <v>2</v>
      </c>
      <c r="P138" s="4"/>
      <c r="Q138" s="4"/>
      <c r="R138" s="4"/>
      <c r="S138" s="4"/>
      <c r="T138" s="4"/>
      <c r="U138" s="4"/>
      <c r="V138" s="4"/>
      <c r="W138" s="4">
        <v>0</v>
      </c>
      <c r="X138" s="4">
        <v>1</v>
      </c>
      <c r="Y138" s="4">
        <v>0</v>
      </c>
      <c r="Z138" s="4"/>
      <c r="AA138" s="4"/>
      <c r="AB138" s="4"/>
    </row>
    <row r="139" spans="1:28" x14ac:dyDescent="0.3">
      <c r="A139" s="4">
        <v>50</v>
      </c>
      <c r="B139" s="4">
        <v>0</v>
      </c>
      <c r="C139" s="4">
        <v>0</v>
      </c>
      <c r="D139" s="4">
        <v>1</v>
      </c>
      <c r="E139" s="4">
        <v>233</v>
      </c>
      <c r="F139" s="4">
        <f>ROUND(Source!BD114,O139)</f>
        <v>0</v>
      </c>
      <c r="G139" s="4" t="s">
        <v>79</v>
      </c>
      <c r="H139" s="4" t="s">
        <v>80</v>
      </c>
      <c r="I139" s="4"/>
      <c r="J139" s="4"/>
      <c r="K139" s="4">
        <v>233</v>
      </c>
      <c r="L139" s="4">
        <v>24</v>
      </c>
      <c r="M139" s="4">
        <v>3</v>
      </c>
      <c r="N139" s="4" t="s">
        <v>3</v>
      </c>
      <c r="O139" s="4">
        <v>2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8" x14ac:dyDescent="0.3">
      <c r="A140" s="4">
        <v>50</v>
      </c>
      <c r="B140" s="4">
        <v>0</v>
      </c>
      <c r="C140" s="4">
        <v>0</v>
      </c>
      <c r="D140" s="4">
        <v>1</v>
      </c>
      <c r="E140" s="4">
        <v>210</v>
      </c>
      <c r="F140" s="4">
        <f>ROUND(Source!X114,O140)</f>
        <v>12757.1</v>
      </c>
      <c r="G140" s="4" t="s">
        <v>81</v>
      </c>
      <c r="H140" s="4" t="s">
        <v>82</v>
      </c>
      <c r="I140" s="4"/>
      <c r="J140" s="4"/>
      <c r="K140" s="4">
        <v>210</v>
      </c>
      <c r="L140" s="4">
        <v>25</v>
      </c>
      <c r="M140" s="4">
        <v>3</v>
      </c>
      <c r="N140" s="4" t="s">
        <v>3</v>
      </c>
      <c r="O140" s="4">
        <v>2</v>
      </c>
      <c r="P140" s="4"/>
      <c r="Q140" s="4"/>
      <c r="R140" s="4"/>
      <c r="S140" s="4"/>
      <c r="T140" s="4"/>
      <c r="U140" s="4"/>
      <c r="V140" s="4"/>
      <c r="W140" s="4">
        <v>12757.1</v>
      </c>
      <c r="X140" s="4">
        <v>1</v>
      </c>
      <c r="Y140" s="4">
        <v>12757.1</v>
      </c>
      <c r="Z140" s="4"/>
      <c r="AA140" s="4"/>
      <c r="AB140" s="4"/>
    </row>
    <row r="141" spans="1:28" x14ac:dyDescent="0.3">
      <c r="A141" s="4">
        <v>50</v>
      </c>
      <c r="B141" s="4">
        <v>0</v>
      </c>
      <c r="C141" s="4">
        <v>0</v>
      </c>
      <c r="D141" s="4">
        <v>1</v>
      </c>
      <c r="E141" s="4">
        <v>211</v>
      </c>
      <c r="F141" s="4">
        <f>ROUND(Source!Y114,O141)</f>
        <v>1822.44</v>
      </c>
      <c r="G141" s="4" t="s">
        <v>83</v>
      </c>
      <c r="H141" s="4" t="s">
        <v>84</v>
      </c>
      <c r="I141" s="4"/>
      <c r="J141" s="4"/>
      <c r="K141" s="4">
        <v>211</v>
      </c>
      <c r="L141" s="4">
        <v>26</v>
      </c>
      <c r="M141" s="4">
        <v>3</v>
      </c>
      <c r="N141" s="4" t="s">
        <v>3</v>
      </c>
      <c r="O141" s="4">
        <v>2</v>
      </c>
      <c r="P141" s="4"/>
      <c r="Q141" s="4"/>
      <c r="R141" s="4"/>
      <c r="S141" s="4"/>
      <c r="T141" s="4"/>
      <c r="U141" s="4"/>
      <c r="V141" s="4"/>
      <c r="W141" s="4">
        <v>1822.44</v>
      </c>
      <c r="X141" s="4">
        <v>1</v>
      </c>
      <c r="Y141" s="4">
        <v>1822.44</v>
      </c>
      <c r="Z141" s="4"/>
      <c r="AA141" s="4"/>
      <c r="AB141" s="4"/>
    </row>
    <row r="142" spans="1:28" x14ac:dyDescent="0.3">
      <c r="A142" s="4">
        <v>50</v>
      </c>
      <c r="B142" s="4">
        <v>0</v>
      </c>
      <c r="C142" s="4">
        <v>0</v>
      </c>
      <c r="D142" s="4">
        <v>1</v>
      </c>
      <c r="E142" s="4">
        <v>224</v>
      </c>
      <c r="F142" s="4">
        <f>ROUND(Source!AR114,O142)</f>
        <v>120201.56</v>
      </c>
      <c r="G142" s="4" t="s">
        <v>85</v>
      </c>
      <c r="H142" s="4" t="s">
        <v>86</v>
      </c>
      <c r="I142" s="4"/>
      <c r="J142" s="4"/>
      <c r="K142" s="4">
        <v>224</v>
      </c>
      <c r="L142" s="4">
        <v>27</v>
      </c>
      <c r="M142" s="4">
        <v>3</v>
      </c>
      <c r="N142" s="4" t="s">
        <v>3</v>
      </c>
      <c r="O142" s="4">
        <v>2</v>
      </c>
      <c r="P142" s="4"/>
      <c r="Q142" s="4"/>
      <c r="R142" s="4"/>
      <c r="S142" s="4"/>
      <c r="T142" s="4"/>
      <c r="U142" s="4"/>
      <c r="V142" s="4"/>
      <c r="W142" s="4">
        <v>120201.56</v>
      </c>
      <c r="X142" s="4">
        <v>1</v>
      </c>
      <c r="Y142" s="4">
        <v>120201.56</v>
      </c>
      <c r="Z142" s="4"/>
      <c r="AA142" s="4"/>
      <c r="AB142" s="4"/>
    </row>
    <row r="143" spans="1:28" x14ac:dyDescent="0.3">
      <c r="A143" s="4">
        <v>50</v>
      </c>
      <c r="B143" s="4">
        <v>1</v>
      </c>
      <c r="C143" s="4">
        <v>0</v>
      </c>
      <c r="D143" s="4">
        <v>2</v>
      </c>
      <c r="E143" s="4">
        <v>0</v>
      </c>
      <c r="F143" s="4">
        <f>ROUND(F142,O143)</f>
        <v>120201.56</v>
      </c>
      <c r="G143" s="4" t="s">
        <v>87</v>
      </c>
      <c r="H143" s="4" t="s">
        <v>88</v>
      </c>
      <c r="I143" s="4"/>
      <c r="J143" s="4"/>
      <c r="K143" s="4">
        <v>212</v>
      </c>
      <c r="L143" s="4">
        <v>28</v>
      </c>
      <c r="M143" s="4">
        <v>0</v>
      </c>
      <c r="N143" s="4" t="s">
        <v>3</v>
      </c>
      <c r="O143" s="4">
        <v>2</v>
      </c>
      <c r="P143" s="4"/>
      <c r="Q143" s="4"/>
      <c r="R143" s="4"/>
      <c r="S143" s="4"/>
      <c r="T143" s="4"/>
      <c r="U143" s="4"/>
      <c r="V143" s="4"/>
      <c r="W143" s="4">
        <v>120201.56</v>
      </c>
      <c r="X143" s="4">
        <v>1</v>
      </c>
      <c r="Y143" s="4">
        <v>120201.56</v>
      </c>
      <c r="Z143" s="4"/>
      <c r="AA143" s="4"/>
      <c r="AB143" s="4"/>
    </row>
    <row r="144" spans="1:28" x14ac:dyDescent="0.3">
      <c r="A144" s="4">
        <v>50</v>
      </c>
      <c r="B144" s="4">
        <v>1</v>
      </c>
      <c r="C144" s="4">
        <v>0</v>
      </c>
      <c r="D144" s="4">
        <v>2</v>
      </c>
      <c r="E144" s="4">
        <v>0</v>
      </c>
      <c r="F144" s="4">
        <f>ROUND(F143*0.22,O144)</f>
        <v>26444.34</v>
      </c>
      <c r="G144" s="4" t="s">
        <v>89</v>
      </c>
      <c r="H144" s="4" t="s">
        <v>90</v>
      </c>
      <c r="I144" s="4"/>
      <c r="J144" s="4"/>
      <c r="K144" s="4">
        <v>212</v>
      </c>
      <c r="L144" s="4">
        <v>29</v>
      </c>
      <c r="M144" s="4">
        <v>0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>
        <v>26444.34</v>
      </c>
      <c r="X144" s="4">
        <v>1</v>
      </c>
      <c r="Y144" s="4">
        <v>26444.34</v>
      </c>
      <c r="Z144" s="4"/>
      <c r="AA144" s="4"/>
      <c r="AB144" s="4"/>
    </row>
    <row r="145" spans="1:206" x14ac:dyDescent="0.3">
      <c r="A145" s="4">
        <v>50</v>
      </c>
      <c r="B145" s="4">
        <v>1</v>
      </c>
      <c r="C145" s="4">
        <v>0</v>
      </c>
      <c r="D145" s="4">
        <v>2</v>
      </c>
      <c r="E145" s="4">
        <v>213</v>
      </c>
      <c r="F145" s="4">
        <f>ROUND(F143+F144,O145)</f>
        <v>146645.9</v>
      </c>
      <c r="G145" s="4" t="s">
        <v>91</v>
      </c>
      <c r="H145" s="4" t="s">
        <v>85</v>
      </c>
      <c r="I145" s="4"/>
      <c r="J145" s="4"/>
      <c r="K145" s="4">
        <v>212</v>
      </c>
      <c r="L145" s="4">
        <v>30</v>
      </c>
      <c r="M145" s="4">
        <v>0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>
        <v>146645.9</v>
      </c>
      <c r="X145" s="4">
        <v>1</v>
      </c>
      <c r="Y145" s="4">
        <v>146645.9</v>
      </c>
      <c r="Z145" s="4"/>
      <c r="AA145" s="4"/>
      <c r="AB145" s="4"/>
    </row>
    <row r="147" spans="1:206" x14ac:dyDescent="0.3">
      <c r="A147" s="2">
        <v>51</v>
      </c>
      <c r="B147" s="2">
        <f>B20</f>
        <v>1</v>
      </c>
      <c r="C147" s="2">
        <f>A20</f>
        <v>3</v>
      </c>
      <c r="D147" s="2">
        <f>ROW(A20)</f>
        <v>20</v>
      </c>
      <c r="E147" s="2"/>
      <c r="F147" s="2" t="str">
        <f>IF(F20&lt;&gt;"",F20,"")</f>
        <v>Новая локальная смета</v>
      </c>
      <c r="G147" s="2" t="str">
        <f>IF(G20&lt;&gt;"",G20,"")</f>
        <v>Москва, Косыгина 2 стр 1</v>
      </c>
      <c r="H147" s="2">
        <v>0</v>
      </c>
      <c r="I147" s="2"/>
      <c r="J147" s="2"/>
      <c r="K147" s="2"/>
      <c r="L147" s="2"/>
      <c r="M147" s="2"/>
      <c r="N147" s="2"/>
      <c r="O147" s="2">
        <f t="shared" ref="O147:T147" si="53">ROUND(O32+O73+O114+AB147,2)</f>
        <v>477633.06</v>
      </c>
      <c r="P147" s="2">
        <f t="shared" si="53"/>
        <v>406704.96</v>
      </c>
      <c r="Q147" s="2">
        <f t="shared" si="53"/>
        <v>163.16999999999999</v>
      </c>
      <c r="R147" s="2">
        <f t="shared" si="53"/>
        <v>1.47</v>
      </c>
      <c r="S147" s="2">
        <f t="shared" si="53"/>
        <v>70764.929999999993</v>
      </c>
      <c r="T147" s="2">
        <f t="shared" si="53"/>
        <v>0</v>
      </c>
      <c r="U147" s="2">
        <f>U32+U73+U114+AH147</f>
        <v>110.82</v>
      </c>
      <c r="V147" s="2">
        <f>V32+V73+V114+AI147</f>
        <v>0</v>
      </c>
      <c r="W147" s="2">
        <f>ROUND(W32+W73+W114+AJ147,2)</f>
        <v>0</v>
      </c>
      <c r="X147" s="2">
        <f>ROUND(X32+X73+X114+AK147,2)</f>
        <v>49535.45</v>
      </c>
      <c r="Y147" s="2">
        <f>ROUND(Y32+Y73+Y114+AL147,2)</f>
        <v>7076.49</v>
      </c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>
        <f t="shared" ref="AO147:BD147" si="54">ROUND(AO32+AO73+AO114+BX147,2)</f>
        <v>0</v>
      </c>
      <c r="AP147" s="2">
        <f t="shared" si="54"/>
        <v>0</v>
      </c>
      <c r="AQ147" s="2">
        <f t="shared" si="54"/>
        <v>0</v>
      </c>
      <c r="AR147" s="2">
        <f t="shared" si="54"/>
        <v>534246.59</v>
      </c>
      <c r="AS147" s="2">
        <f t="shared" si="54"/>
        <v>0</v>
      </c>
      <c r="AT147" s="2">
        <f t="shared" si="54"/>
        <v>0</v>
      </c>
      <c r="AU147" s="2">
        <f t="shared" si="54"/>
        <v>534246.59</v>
      </c>
      <c r="AV147" s="2">
        <f t="shared" si="54"/>
        <v>406704.96</v>
      </c>
      <c r="AW147" s="2">
        <f t="shared" si="54"/>
        <v>406704.96</v>
      </c>
      <c r="AX147" s="2">
        <f t="shared" si="54"/>
        <v>0</v>
      </c>
      <c r="AY147" s="2">
        <f t="shared" si="54"/>
        <v>406704.96</v>
      </c>
      <c r="AZ147" s="2">
        <f t="shared" si="54"/>
        <v>0</v>
      </c>
      <c r="BA147" s="2">
        <f t="shared" si="54"/>
        <v>0</v>
      </c>
      <c r="BB147" s="2">
        <f t="shared" si="54"/>
        <v>0</v>
      </c>
      <c r="BC147" s="2">
        <f t="shared" si="54"/>
        <v>0</v>
      </c>
      <c r="BD147" s="2">
        <f t="shared" si="54"/>
        <v>0</v>
      </c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>
        <v>0</v>
      </c>
    </row>
    <row r="149" spans="1:206" x14ac:dyDescent="0.3">
      <c r="A149" s="4">
        <v>50</v>
      </c>
      <c r="B149" s="4">
        <v>0</v>
      </c>
      <c r="C149" s="4">
        <v>0</v>
      </c>
      <c r="D149" s="4">
        <v>1</v>
      </c>
      <c r="E149" s="4">
        <v>201</v>
      </c>
      <c r="F149" s="4">
        <f>ROUND(Source!O147,O149)</f>
        <v>477633.06</v>
      </c>
      <c r="G149" s="4" t="s">
        <v>33</v>
      </c>
      <c r="H149" s="4" t="s">
        <v>34</v>
      </c>
      <c r="I149" s="4"/>
      <c r="J149" s="4"/>
      <c r="K149" s="4">
        <v>201</v>
      </c>
      <c r="L149" s="4">
        <v>1</v>
      </c>
      <c r="M149" s="4">
        <v>3</v>
      </c>
      <c r="N149" s="4" t="s">
        <v>3</v>
      </c>
      <c r="O149" s="4">
        <v>2</v>
      </c>
      <c r="P149" s="4"/>
      <c r="Q149" s="4"/>
      <c r="R149" s="4"/>
      <c r="S149" s="4"/>
      <c r="T149" s="4"/>
      <c r="U149" s="4"/>
      <c r="V149" s="4"/>
      <c r="W149" s="4">
        <v>477633.06</v>
      </c>
      <c r="X149" s="4">
        <v>1</v>
      </c>
      <c r="Y149" s="4">
        <v>477633.06</v>
      </c>
      <c r="Z149" s="4"/>
      <c r="AA149" s="4"/>
      <c r="AB149" s="4"/>
    </row>
    <row r="150" spans="1:206" x14ac:dyDescent="0.3">
      <c r="A150" s="4">
        <v>50</v>
      </c>
      <c r="B150" s="4">
        <v>0</v>
      </c>
      <c r="C150" s="4">
        <v>0</v>
      </c>
      <c r="D150" s="4">
        <v>1</v>
      </c>
      <c r="E150" s="4">
        <v>202</v>
      </c>
      <c r="F150" s="4">
        <f>ROUND(Source!P147,O150)</f>
        <v>406704.96</v>
      </c>
      <c r="G150" s="4" t="s">
        <v>35</v>
      </c>
      <c r="H150" s="4" t="s">
        <v>36</v>
      </c>
      <c r="I150" s="4"/>
      <c r="J150" s="4"/>
      <c r="K150" s="4">
        <v>202</v>
      </c>
      <c r="L150" s="4">
        <v>2</v>
      </c>
      <c r="M150" s="4">
        <v>3</v>
      </c>
      <c r="N150" s="4" t="s">
        <v>3</v>
      </c>
      <c r="O150" s="4">
        <v>2</v>
      </c>
      <c r="P150" s="4"/>
      <c r="Q150" s="4"/>
      <c r="R150" s="4"/>
      <c r="S150" s="4"/>
      <c r="T150" s="4"/>
      <c r="U150" s="4"/>
      <c r="V150" s="4"/>
      <c r="W150" s="4">
        <v>406704.96</v>
      </c>
      <c r="X150" s="4">
        <v>1</v>
      </c>
      <c r="Y150" s="4">
        <v>406704.96</v>
      </c>
      <c r="Z150" s="4"/>
      <c r="AA150" s="4"/>
      <c r="AB150" s="4"/>
    </row>
    <row r="151" spans="1:206" x14ac:dyDescent="0.3">
      <c r="A151" s="4">
        <v>50</v>
      </c>
      <c r="B151" s="4">
        <v>0</v>
      </c>
      <c r="C151" s="4">
        <v>0</v>
      </c>
      <c r="D151" s="4">
        <v>1</v>
      </c>
      <c r="E151" s="4">
        <v>222</v>
      </c>
      <c r="F151" s="4">
        <f>ROUND(Source!AO147,O151)</f>
        <v>0</v>
      </c>
      <c r="G151" s="4" t="s">
        <v>37</v>
      </c>
      <c r="H151" s="4" t="s">
        <v>38</v>
      </c>
      <c r="I151" s="4"/>
      <c r="J151" s="4"/>
      <c r="K151" s="4">
        <v>222</v>
      </c>
      <c r="L151" s="4">
        <v>3</v>
      </c>
      <c r="M151" s="4">
        <v>3</v>
      </c>
      <c r="N151" s="4" t="s">
        <v>3</v>
      </c>
      <c r="O151" s="4">
        <v>2</v>
      </c>
      <c r="P151" s="4"/>
      <c r="Q151" s="4"/>
      <c r="R151" s="4"/>
      <c r="S151" s="4"/>
      <c r="T151" s="4"/>
      <c r="U151" s="4"/>
      <c r="V151" s="4"/>
      <c r="W151" s="4">
        <v>0</v>
      </c>
      <c r="X151" s="4">
        <v>1</v>
      </c>
      <c r="Y151" s="4">
        <v>0</v>
      </c>
      <c r="Z151" s="4"/>
      <c r="AA151" s="4"/>
      <c r="AB151" s="4"/>
    </row>
    <row r="152" spans="1:206" x14ac:dyDescent="0.3">
      <c r="A152" s="4">
        <v>50</v>
      </c>
      <c r="B152" s="4">
        <v>0</v>
      </c>
      <c r="C152" s="4">
        <v>0</v>
      </c>
      <c r="D152" s="4">
        <v>1</v>
      </c>
      <c r="E152" s="4">
        <v>225</v>
      </c>
      <c r="F152" s="4">
        <f>ROUND(Source!AV147,O152)</f>
        <v>406704.96</v>
      </c>
      <c r="G152" s="4" t="s">
        <v>39</v>
      </c>
      <c r="H152" s="4" t="s">
        <v>40</v>
      </c>
      <c r="I152" s="4"/>
      <c r="J152" s="4"/>
      <c r="K152" s="4">
        <v>225</v>
      </c>
      <c r="L152" s="4">
        <v>4</v>
      </c>
      <c r="M152" s="4">
        <v>3</v>
      </c>
      <c r="N152" s="4" t="s">
        <v>3</v>
      </c>
      <c r="O152" s="4">
        <v>2</v>
      </c>
      <c r="P152" s="4"/>
      <c r="Q152" s="4"/>
      <c r="R152" s="4"/>
      <c r="S152" s="4"/>
      <c r="T152" s="4"/>
      <c r="U152" s="4"/>
      <c r="V152" s="4"/>
      <c r="W152" s="4">
        <v>406704.96</v>
      </c>
      <c r="X152" s="4">
        <v>1</v>
      </c>
      <c r="Y152" s="4">
        <v>406704.96</v>
      </c>
      <c r="Z152" s="4"/>
      <c r="AA152" s="4"/>
      <c r="AB152" s="4"/>
    </row>
    <row r="153" spans="1:206" x14ac:dyDescent="0.3">
      <c r="A153" s="4">
        <v>50</v>
      </c>
      <c r="B153" s="4">
        <v>0</v>
      </c>
      <c r="C153" s="4">
        <v>0</v>
      </c>
      <c r="D153" s="4">
        <v>1</v>
      </c>
      <c r="E153" s="4">
        <v>226</v>
      </c>
      <c r="F153" s="4">
        <f>ROUND(Source!AW147,O153)</f>
        <v>406704.96</v>
      </c>
      <c r="G153" s="4" t="s">
        <v>41</v>
      </c>
      <c r="H153" s="4" t="s">
        <v>42</v>
      </c>
      <c r="I153" s="4"/>
      <c r="J153" s="4"/>
      <c r="K153" s="4">
        <v>226</v>
      </c>
      <c r="L153" s="4">
        <v>5</v>
      </c>
      <c r="M153" s="4">
        <v>3</v>
      </c>
      <c r="N153" s="4" t="s">
        <v>3</v>
      </c>
      <c r="O153" s="4">
        <v>2</v>
      </c>
      <c r="P153" s="4"/>
      <c r="Q153" s="4"/>
      <c r="R153" s="4"/>
      <c r="S153" s="4"/>
      <c r="T153" s="4"/>
      <c r="U153" s="4"/>
      <c r="V153" s="4"/>
      <c r="W153" s="4">
        <v>406704.96</v>
      </c>
      <c r="X153" s="4">
        <v>1</v>
      </c>
      <c r="Y153" s="4">
        <v>406704.96</v>
      </c>
      <c r="Z153" s="4"/>
      <c r="AA153" s="4"/>
      <c r="AB153" s="4"/>
    </row>
    <row r="154" spans="1:206" x14ac:dyDescent="0.3">
      <c r="A154" s="4">
        <v>50</v>
      </c>
      <c r="B154" s="4">
        <v>0</v>
      </c>
      <c r="C154" s="4">
        <v>0</v>
      </c>
      <c r="D154" s="4">
        <v>1</v>
      </c>
      <c r="E154" s="4">
        <v>227</v>
      </c>
      <c r="F154" s="4">
        <f>ROUND(Source!AX147,O154)</f>
        <v>0</v>
      </c>
      <c r="G154" s="4" t="s">
        <v>43</v>
      </c>
      <c r="H154" s="4" t="s">
        <v>44</v>
      </c>
      <c r="I154" s="4"/>
      <c r="J154" s="4"/>
      <c r="K154" s="4">
        <v>227</v>
      </c>
      <c r="L154" s="4">
        <v>6</v>
      </c>
      <c r="M154" s="4">
        <v>3</v>
      </c>
      <c r="N154" s="4" t="s">
        <v>3</v>
      </c>
      <c r="O154" s="4">
        <v>2</v>
      </c>
      <c r="P154" s="4"/>
      <c r="Q154" s="4"/>
      <c r="R154" s="4"/>
      <c r="S154" s="4"/>
      <c r="T154" s="4"/>
      <c r="U154" s="4"/>
      <c r="V154" s="4"/>
      <c r="W154" s="4">
        <v>0</v>
      </c>
      <c r="X154" s="4">
        <v>1</v>
      </c>
      <c r="Y154" s="4">
        <v>0</v>
      </c>
      <c r="Z154" s="4"/>
      <c r="AA154" s="4"/>
      <c r="AB154" s="4"/>
    </row>
    <row r="155" spans="1:206" x14ac:dyDescent="0.3">
      <c r="A155" s="4">
        <v>50</v>
      </c>
      <c r="B155" s="4">
        <v>0</v>
      </c>
      <c r="C155" s="4">
        <v>0</v>
      </c>
      <c r="D155" s="4">
        <v>1</v>
      </c>
      <c r="E155" s="4">
        <v>228</v>
      </c>
      <c r="F155" s="4">
        <f>ROUND(Source!AY147,O155)</f>
        <v>406704.96</v>
      </c>
      <c r="G155" s="4" t="s">
        <v>45</v>
      </c>
      <c r="H155" s="4" t="s">
        <v>46</v>
      </c>
      <c r="I155" s="4"/>
      <c r="J155" s="4"/>
      <c r="K155" s="4">
        <v>228</v>
      </c>
      <c r="L155" s="4">
        <v>7</v>
      </c>
      <c r="M155" s="4">
        <v>3</v>
      </c>
      <c r="N155" s="4" t="s">
        <v>3</v>
      </c>
      <c r="O155" s="4">
        <v>2</v>
      </c>
      <c r="P155" s="4"/>
      <c r="Q155" s="4"/>
      <c r="R155" s="4"/>
      <c r="S155" s="4"/>
      <c r="T155" s="4"/>
      <c r="U155" s="4"/>
      <c r="V155" s="4"/>
      <c r="W155" s="4">
        <v>406704.96</v>
      </c>
      <c r="X155" s="4">
        <v>1</v>
      </c>
      <c r="Y155" s="4">
        <v>406704.96</v>
      </c>
      <c r="Z155" s="4"/>
      <c r="AA155" s="4"/>
      <c r="AB155" s="4"/>
    </row>
    <row r="156" spans="1:206" x14ac:dyDescent="0.3">
      <c r="A156" s="4">
        <v>50</v>
      </c>
      <c r="B156" s="4">
        <v>0</v>
      </c>
      <c r="C156" s="4">
        <v>0</v>
      </c>
      <c r="D156" s="4">
        <v>1</v>
      </c>
      <c r="E156" s="4">
        <v>216</v>
      </c>
      <c r="F156" s="4">
        <f>ROUND(Source!AP147,O156)</f>
        <v>0</v>
      </c>
      <c r="G156" s="4" t="s">
        <v>47</v>
      </c>
      <c r="H156" s="4" t="s">
        <v>48</v>
      </c>
      <c r="I156" s="4"/>
      <c r="J156" s="4"/>
      <c r="K156" s="4">
        <v>216</v>
      </c>
      <c r="L156" s="4">
        <v>8</v>
      </c>
      <c r="M156" s="4">
        <v>3</v>
      </c>
      <c r="N156" s="4" t="s">
        <v>3</v>
      </c>
      <c r="O156" s="4">
        <v>2</v>
      </c>
      <c r="P156" s="4"/>
      <c r="Q156" s="4"/>
      <c r="R156" s="4"/>
      <c r="S156" s="4"/>
      <c r="T156" s="4"/>
      <c r="U156" s="4"/>
      <c r="V156" s="4"/>
      <c r="W156" s="4">
        <v>0</v>
      </c>
      <c r="X156" s="4">
        <v>1</v>
      </c>
      <c r="Y156" s="4">
        <v>0</v>
      </c>
      <c r="Z156" s="4"/>
      <c r="AA156" s="4"/>
      <c r="AB156" s="4"/>
    </row>
    <row r="157" spans="1:206" x14ac:dyDescent="0.3">
      <c r="A157" s="4">
        <v>50</v>
      </c>
      <c r="B157" s="4">
        <v>0</v>
      </c>
      <c r="C157" s="4">
        <v>0</v>
      </c>
      <c r="D157" s="4">
        <v>1</v>
      </c>
      <c r="E157" s="4">
        <v>223</v>
      </c>
      <c r="F157" s="4">
        <f>ROUND(Source!AQ147,O157)</f>
        <v>0</v>
      </c>
      <c r="G157" s="4" t="s">
        <v>49</v>
      </c>
      <c r="H157" s="4" t="s">
        <v>50</v>
      </c>
      <c r="I157" s="4"/>
      <c r="J157" s="4"/>
      <c r="K157" s="4">
        <v>223</v>
      </c>
      <c r="L157" s="4">
        <v>9</v>
      </c>
      <c r="M157" s="4">
        <v>3</v>
      </c>
      <c r="N157" s="4" t="s">
        <v>3</v>
      </c>
      <c r="O157" s="4">
        <v>2</v>
      </c>
      <c r="P157" s="4"/>
      <c r="Q157" s="4"/>
      <c r="R157" s="4"/>
      <c r="S157" s="4"/>
      <c r="T157" s="4"/>
      <c r="U157" s="4"/>
      <c r="V157" s="4"/>
      <c r="W157" s="4">
        <v>0</v>
      </c>
      <c r="X157" s="4">
        <v>1</v>
      </c>
      <c r="Y157" s="4">
        <v>0</v>
      </c>
      <c r="Z157" s="4"/>
      <c r="AA157" s="4"/>
      <c r="AB157" s="4"/>
    </row>
    <row r="158" spans="1:206" x14ac:dyDescent="0.3">
      <c r="A158" s="4">
        <v>50</v>
      </c>
      <c r="B158" s="4">
        <v>0</v>
      </c>
      <c r="C158" s="4">
        <v>0</v>
      </c>
      <c r="D158" s="4">
        <v>1</v>
      </c>
      <c r="E158" s="4">
        <v>229</v>
      </c>
      <c r="F158" s="4">
        <f>ROUND(Source!AZ147,O158)</f>
        <v>0</v>
      </c>
      <c r="G158" s="4" t="s">
        <v>51</v>
      </c>
      <c r="H158" s="4" t="s">
        <v>52</v>
      </c>
      <c r="I158" s="4"/>
      <c r="J158" s="4"/>
      <c r="K158" s="4">
        <v>229</v>
      </c>
      <c r="L158" s="4">
        <v>10</v>
      </c>
      <c r="M158" s="4">
        <v>3</v>
      </c>
      <c r="N158" s="4" t="s">
        <v>3</v>
      </c>
      <c r="O158" s="4">
        <v>2</v>
      </c>
      <c r="P158" s="4"/>
      <c r="Q158" s="4"/>
      <c r="R158" s="4"/>
      <c r="S158" s="4"/>
      <c r="T158" s="4"/>
      <c r="U158" s="4"/>
      <c r="V158" s="4"/>
      <c r="W158" s="4">
        <v>0</v>
      </c>
      <c r="X158" s="4">
        <v>1</v>
      </c>
      <c r="Y158" s="4">
        <v>0</v>
      </c>
      <c r="Z158" s="4"/>
      <c r="AA158" s="4"/>
      <c r="AB158" s="4"/>
    </row>
    <row r="159" spans="1:206" x14ac:dyDescent="0.3">
      <c r="A159" s="4">
        <v>50</v>
      </c>
      <c r="B159" s="4">
        <v>0</v>
      </c>
      <c r="C159" s="4">
        <v>0</v>
      </c>
      <c r="D159" s="4">
        <v>1</v>
      </c>
      <c r="E159" s="4">
        <v>203</v>
      </c>
      <c r="F159" s="4">
        <f>ROUND(Source!Q147,O159)</f>
        <v>163.16999999999999</v>
      </c>
      <c r="G159" s="4" t="s">
        <v>53</v>
      </c>
      <c r="H159" s="4" t="s">
        <v>54</v>
      </c>
      <c r="I159" s="4"/>
      <c r="J159" s="4"/>
      <c r="K159" s="4">
        <v>203</v>
      </c>
      <c r="L159" s="4">
        <v>11</v>
      </c>
      <c r="M159" s="4">
        <v>3</v>
      </c>
      <c r="N159" s="4" t="s">
        <v>3</v>
      </c>
      <c r="O159" s="4">
        <v>2</v>
      </c>
      <c r="P159" s="4"/>
      <c r="Q159" s="4"/>
      <c r="R159" s="4"/>
      <c r="S159" s="4"/>
      <c r="T159" s="4"/>
      <c r="U159" s="4"/>
      <c r="V159" s="4"/>
      <c r="W159" s="4">
        <v>163.16999999999999</v>
      </c>
      <c r="X159" s="4">
        <v>1</v>
      </c>
      <c r="Y159" s="4">
        <v>163.16999999999999</v>
      </c>
      <c r="Z159" s="4"/>
      <c r="AA159" s="4"/>
      <c r="AB159" s="4"/>
    </row>
    <row r="160" spans="1:206" x14ac:dyDescent="0.3">
      <c r="A160" s="4">
        <v>50</v>
      </c>
      <c r="B160" s="4">
        <v>0</v>
      </c>
      <c r="C160" s="4">
        <v>0</v>
      </c>
      <c r="D160" s="4">
        <v>1</v>
      </c>
      <c r="E160" s="4">
        <v>231</v>
      </c>
      <c r="F160" s="4">
        <f>ROUND(Source!BB147,O160)</f>
        <v>0</v>
      </c>
      <c r="G160" s="4" t="s">
        <v>55</v>
      </c>
      <c r="H160" s="4" t="s">
        <v>56</v>
      </c>
      <c r="I160" s="4"/>
      <c r="J160" s="4"/>
      <c r="K160" s="4">
        <v>231</v>
      </c>
      <c r="L160" s="4">
        <v>12</v>
      </c>
      <c r="M160" s="4">
        <v>3</v>
      </c>
      <c r="N160" s="4" t="s">
        <v>3</v>
      </c>
      <c r="O160" s="4">
        <v>2</v>
      </c>
      <c r="P160" s="4"/>
      <c r="Q160" s="4"/>
      <c r="R160" s="4"/>
      <c r="S160" s="4"/>
      <c r="T160" s="4"/>
      <c r="U160" s="4"/>
      <c r="V160" s="4"/>
      <c r="W160" s="4">
        <v>0</v>
      </c>
      <c r="X160" s="4">
        <v>1</v>
      </c>
      <c r="Y160" s="4">
        <v>0</v>
      </c>
      <c r="Z160" s="4"/>
      <c r="AA160" s="4"/>
      <c r="AB160" s="4"/>
    </row>
    <row r="161" spans="1:28" x14ac:dyDescent="0.3">
      <c r="A161" s="4">
        <v>50</v>
      </c>
      <c r="B161" s="4">
        <v>0</v>
      </c>
      <c r="C161" s="4">
        <v>0</v>
      </c>
      <c r="D161" s="4">
        <v>1</v>
      </c>
      <c r="E161" s="4">
        <v>204</v>
      </c>
      <c r="F161" s="4">
        <f>ROUND(Source!R147,O161)</f>
        <v>1.47</v>
      </c>
      <c r="G161" s="4" t="s">
        <v>57</v>
      </c>
      <c r="H161" s="4" t="s">
        <v>58</v>
      </c>
      <c r="I161" s="4"/>
      <c r="J161" s="4"/>
      <c r="K161" s="4">
        <v>204</v>
      </c>
      <c r="L161" s="4">
        <v>13</v>
      </c>
      <c r="M161" s="4">
        <v>3</v>
      </c>
      <c r="N161" s="4" t="s">
        <v>3</v>
      </c>
      <c r="O161" s="4">
        <v>2</v>
      </c>
      <c r="P161" s="4"/>
      <c r="Q161" s="4"/>
      <c r="R161" s="4"/>
      <c r="S161" s="4"/>
      <c r="T161" s="4"/>
      <c r="U161" s="4"/>
      <c r="V161" s="4"/>
      <c r="W161" s="4">
        <v>1.47</v>
      </c>
      <c r="X161" s="4">
        <v>1</v>
      </c>
      <c r="Y161" s="4">
        <v>1.47</v>
      </c>
      <c r="Z161" s="4"/>
      <c r="AA161" s="4"/>
      <c r="AB161" s="4"/>
    </row>
    <row r="162" spans="1:28" x14ac:dyDescent="0.3">
      <c r="A162" s="4">
        <v>50</v>
      </c>
      <c r="B162" s="4">
        <v>0</v>
      </c>
      <c r="C162" s="4">
        <v>0</v>
      </c>
      <c r="D162" s="4">
        <v>1</v>
      </c>
      <c r="E162" s="4">
        <v>205</v>
      </c>
      <c r="F162" s="4">
        <f>ROUND(Source!S147,O162)</f>
        <v>70764.929999999993</v>
      </c>
      <c r="G162" s="4" t="s">
        <v>59</v>
      </c>
      <c r="H162" s="4" t="s">
        <v>60</v>
      </c>
      <c r="I162" s="4"/>
      <c r="J162" s="4"/>
      <c r="K162" s="4">
        <v>205</v>
      </c>
      <c r="L162" s="4">
        <v>14</v>
      </c>
      <c r="M162" s="4">
        <v>3</v>
      </c>
      <c r="N162" s="4" t="s">
        <v>3</v>
      </c>
      <c r="O162" s="4">
        <v>2</v>
      </c>
      <c r="P162" s="4"/>
      <c r="Q162" s="4"/>
      <c r="R162" s="4"/>
      <c r="S162" s="4"/>
      <c r="T162" s="4"/>
      <c r="U162" s="4"/>
      <c r="V162" s="4"/>
      <c r="W162" s="4">
        <v>70764.929999999993</v>
      </c>
      <c r="X162" s="4">
        <v>1</v>
      </c>
      <c r="Y162" s="4">
        <v>70764.929999999993</v>
      </c>
      <c r="Z162" s="4"/>
      <c r="AA162" s="4"/>
      <c r="AB162" s="4"/>
    </row>
    <row r="163" spans="1:28" x14ac:dyDescent="0.3">
      <c r="A163" s="4">
        <v>50</v>
      </c>
      <c r="B163" s="4">
        <v>0</v>
      </c>
      <c r="C163" s="4">
        <v>0</v>
      </c>
      <c r="D163" s="4">
        <v>1</v>
      </c>
      <c r="E163" s="4">
        <v>232</v>
      </c>
      <c r="F163" s="4">
        <f>ROUND(Source!BC147,O163)</f>
        <v>0</v>
      </c>
      <c r="G163" s="4" t="s">
        <v>61</v>
      </c>
      <c r="H163" s="4" t="s">
        <v>62</v>
      </c>
      <c r="I163" s="4"/>
      <c r="J163" s="4"/>
      <c r="K163" s="4">
        <v>232</v>
      </c>
      <c r="L163" s="4">
        <v>15</v>
      </c>
      <c r="M163" s="4">
        <v>3</v>
      </c>
      <c r="N163" s="4" t="s">
        <v>3</v>
      </c>
      <c r="O163" s="4">
        <v>2</v>
      </c>
      <c r="P163" s="4"/>
      <c r="Q163" s="4"/>
      <c r="R163" s="4"/>
      <c r="S163" s="4"/>
      <c r="T163" s="4"/>
      <c r="U163" s="4"/>
      <c r="V163" s="4"/>
      <c r="W163" s="4">
        <v>0</v>
      </c>
      <c r="X163" s="4">
        <v>1</v>
      </c>
      <c r="Y163" s="4">
        <v>0</v>
      </c>
      <c r="Z163" s="4"/>
      <c r="AA163" s="4"/>
      <c r="AB163" s="4"/>
    </row>
    <row r="164" spans="1:28" x14ac:dyDescent="0.3">
      <c r="A164" s="4">
        <v>50</v>
      </c>
      <c r="B164" s="4">
        <v>0</v>
      </c>
      <c r="C164" s="4">
        <v>0</v>
      </c>
      <c r="D164" s="4">
        <v>1</v>
      </c>
      <c r="E164" s="4">
        <v>214</v>
      </c>
      <c r="F164" s="4">
        <f>ROUND(Source!AS147,O164)</f>
        <v>0</v>
      </c>
      <c r="G164" s="4" t="s">
        <v>63</v>
      </c>
      <c r="H164" s="4" t="s">
        <v>64</v>
      </c>
      <c r="I164" s="4"/>
      <c r="J164" s="4"/>
      <c r="K164" s="4">
        <v>214</v>
      </c>
      <c r="L164" s="4">
        <v>16</v>
      </c>
      <c r="M164" s="4">
        <v>3</v>
      </c>
      <c r="N164" s="4" t="s">
        <v>3</v>
      </c>
      <c r="O164" s="4">
        <v>2</v>
      </c>
      <c r="P164" s="4"/>
      <c r="Q164" s="4"/>
      <c r="R164" s="4"/>
      <c r="S164" s="4"/>
      <c r="T164" s="4"/>
      <c r="U164" s="4"/>
      <c r="V164" s="4"/>
      <c r="W164" s="4">
        <v>0</v>
      </c>
      <c r="X164" s="4">
        <v>1</v>
      </c>
      <c r="Y164" s="4">
        <v>0</v>
      </c>
      <c r="Z164" s="4"/>
      <c r="AA164" s="4"/>
      <c r="AB164" s="4"/>
    </row>
    <row r="165" spans="1:28" x14ac:dyDescent="0.3">
      <c r="A165" s="4">
        <v>50</v>
      </c>
      <c r="B165" s="4">
        <v>0</v>
      </c>
      <c r="C165" s="4">
        <v>0</v>
      </c>
      <c r="D165" s="4">
        <v>1</v>
      </c>
      <c r="E165" s="4">
        <v>215</v>
      </c>
      <c r="F165" s="4">
        <f>ROUND(Source!AT147,O165)</f>
        <v>0</v>
      </c>
      <c r="G165" s="4" t="s">
        <v>65</v>
      </c>
      <c r="H165" s="4" t="s">
        <v>66</v>
      </c>
      <c r="I165" s="4"/>
      <c r="J165" s="4"/>
      <c r="K165" s="4">
        <v>215</v>
      </c>
      <c r="L165" s="4">
        <v>17</v>
      </c>
      <c r="M165" s="4">
        <v>3</v>
      </c>
      <c r="N165" s="4" t="s">
        <v>3</v>
      </c>
      <c r="O165" s="4">
        <v>2</v>
      </c>
      <c r="P165" s="4"/>
      <c r="Q165" s="4"/>
      <c r="R165" s="4"/>
      <c r="S165" s="4"/>
      <c r="T165" s="4"/>
      <c r="U165" s="4"/>
      <c r="V165" s="4"/>
      <c r="W165" s="4">
        <v>0</v>
      </c>
      <c r="X165" s="4">
        <v>1</v>
      </c>
      <c r="Y165" s="4">
        <v>0</v>
      </c>
      <c r="Z165" s="4"/>
      <c r="AA165" s="4"/>
      <c r="AB165" s="4"/>
    </row>
    <row r="166" spans="1:28" x14ac:dyDescent="0.3">
      <c r="A166" s="4">
        <v>50</v>
      </c>
      <c r="B166" s="4">
        <v>0</v>
      </c>
      <c r="C166" s="4">
        <v>0</v>
      </c>
      <c r="D166" s="4">
        <v>1</v>
      </c>
      <c r="E166" s="4">
        <v>217</v>
      </c>
      <c r="F166" s="4">
        <f>ROUND(Source!AU147,O166)</f>
        <v>534246.59</v>
      </c>
      <c r="G166" s="4" t="s">
        <v>67</v>
      </c>
      <c r="H166" s="4" t="s">
        <v>68</v>
      </c>
      <c r="I166" s="4"/>
      <c r="J166" s="4"/>
      <c r="K166" s="4">
        <v>217</v>
      </c>
      <c r="L166" s="4">
        <v>18</v>
      </c>
      <c r="M166" s="4">
        <v>3</v>
      </c>
      <c r="N166" s="4" t="s">
        <v>3</v>
      </c>
      <c r="O166" s="4">
        <v>2</v>
      </c>
      <c r="P166" s="4"/>
      <c r="Q166" s="4"/>
      <c r="R166" s="4"/>
      <c r="S166" s="4"/>
      <c r="T166" s="4"/>
      <c r="U166" s="4"/>
      <c r="V166" s="4"/>
      <c r="W166" s="4">
        <v>534246.59</v>
      </c>
      <c r="X166" s="4">
        <v>1</v>
      </c>
      <c r="Y166" s="4">
        <v>534246.59</v>
      </c>
      <c r="Z166" s="4"/>
      <c r="AA166" s="4"/>
      <c r="AB166" s="4"/>
    </row>
    <row r="167" spans="1:28" x14ac:dyDescent="0.3">
      <c r="A167" s="4">
        <v>50</v>
      </c>
      <c r="B167" s="4">
        <v>0</v>
      </c>
      <c r="C167" s="4">
        <v>0</v>
      </c>
      <c r="D167" s="4">
        <v>1</v>
      </c>
      <c r="E167" s="4">
        <v>230</v>
      </c>
      <c r="F167" s="4">
        <f>ROUND(Source!BA147,O167)</f>
        <v>0</v>
      </c>
      <c r="G167" s="4" t="s">
        <v>69</v>
      </c>
      <c r="H167" s="4" t="s">
        <v>70</v>
      </c>
      <c r="I167" s="4"/>
      <c r="J167" s="4"/>
      <c r="K167" s="4">
        <v>230</v>
      </c>
      <c r="L167" s="4">
        <v>19</v>
      </c>
      <c r="M167" s="4">
        <v>3</v>
      </c>
      <c r="N167" s="4" t="s">
        <v>3</v>
      </c>
      <c r="O167" s="4">
        <v>2</v>
      </c>
      <c r="P167" s="4"/>
      <c r="Q167" s="4"/>
      <c r="R167" s="4"/>
      <c r="S167" s="4"/>
      <c r="T167" s="4"/>
      <c r="U167" s="4"/>
      <c r="V167" s="4"/>
      <c r="W167" s="4">
        <v>0</v>
      </c>
      <c r="X167" s="4">
        <v>1</v>
      </c>
      <c r="Y167" s="4">
        <v>0</v>
      </c>
      <c r="Z167" s="4"/>
      <c r="AA167" s="4"/>
      <c r="AB167" s="4"/>
    </row>
    <row r="168" spans="1:28" x14ac:dyDescent="0.3">
      <c r="A168" s="4">
        <v>50</v>
      </c>
      <c r="B168" s="4">
        <v>0</v>
      </c>
      <c r="C168" s="4">
        <v>0</v>
      </c>
      <c r="D168" s="4">
        <v>1</v>
      </c>
      <c r="E168" s="4">
        <v>206</v>
      </c>
      <c r="F168" s="4">
        <f>ROUND(Source!T147,O168)</f>
        <v>0</v>
      </c>
      <c r="G168" s="4" t="s">
        <v>71</v>
      </c>
      <c r="H168" s="4" t="s">
        <v>72</v>
      </c>
      <c r="I168" s="4"/>
      <c r="J168" s="4"/>
      <c r="K168" s="4">
        <v>206</v>
      </c>
      <c r="L168" s="4">
        <v>20</v>
      </c>
      <c r="M168" s="4">
        <v>3</v>
      </c>
      <c r="N168" s="4" t="s">
        <v>3</v>
      </c>
      <c r="O168" s="4">
        <v>2</v>
      </c>
      <c r="P168" s="4"/>
      <c r="Q168" s="4"/>
      <c r="R168" s="4"/>
      <c r="S168" s="4"/>
      <c r="T168" s="4"/>
      <c r="U168" s="4"/>
      <c r="V168" s="4"/>
      <c r="W168" s="4">
        <v>0</v>
      </c>
      <c r="X168" s="4">
        <v>1</v>
      </c>
      <c r="Y168" s="4">
        <v>0</v>
      </c>
      <c r="Z168" s="4"/>
      <c r="AA168" s="4"/>
      <c r="AB168" s="4"/>
    </row>
    <row r="169" spans="1:28" x14ac:dyDescent="0.3">
      <c r="A169" s="4">
        <v>50</v>
      </c>
      <c r="B169" s="4">
        <v>0</v>
      </c>
      <c r="C169" s="4">
        <v>0</v>
      </c>
      <c r="D169" s="4">
        <v>1</v>
      </c>
      <c r="E169" s="4">
        <v>207</v>
      </c>
      <c r="F169" s="4">
        <f>Source!U147</f>
        <v>110.82</v>
      </c>
      <c r="G169" s="4" t="s">
        <v>73</v>
      </c>
      <c r="H169" s="4" t="s">
        <v>74</v>
      </c>
      <c r="I169" s="4"/>
      <c r="J169" s="4"/>
      <c r="K169" s="4">
        <v>207</v>
      </c>
      <c r="L169" s="4">
        <v>21</v>
      </c>
      <c r="M169" s="4">
        <v>3</v>
      </c>
      <c r="N169" s="4" t="s">
        <v>3</v>
      </c>
      <c r="O169" s="4">
        <v>-1</v>
      </c>
      <c r="P169" s="4"/>
      <c r="Q169" s="4"/>
      <c r="R169" s="4"/>
      <c r="S169" s="4"/>
      <c r="T169" s="4"/>
      <c r="U169" s="4"/>
      <c r="V169" s="4"/>
      <c r="W169" s="4">
        <v>110.82</v>
      </c>
      <c r="X169" s="4">
        <v>1</v>
      </c>
      <c r="Y169" s="4">
        <v>110.82</v>
      </c>
      <c r="Z169" s="4"/>
      <c r="AA169" s="4"/>
      <c r="AB169" s="4"/>
    </row>
    <row r="170" spans="1:28" x14ac:dyDescent="0.3">
      <c r="A170" s="4">
        <v>50</v>
      </c>
      <c r="B170" s="4">
        <v>0</v>
      </c>
      <c r="C170" s="4">
        <v>0</v>
      </c>
      <c r="D170" s="4">
        <v>1</v>
      </c>
      <c r="E170" s="4">
        <v>208</v>
      </c>
      <c r="F170" s="4">
        <f>Source!V147</f>
        <v>0</v>
      </c>
      <c r="G170" s="4" t="s">
        <v>75</v>
      </c>
      <c r="H170" s="4" t="s">
        <v>76</v>
      </c>
      <c r="I170" s="4"/>
      <c r="J170" s="4"/>
      <c r="K170" s="4">
        <v>208</v>
      </c>
      <c r="L170" s="4">
        <v>22</v>
      </c>
      <c r="M170" s="4">
        <v>3</v>
      </c>
      <c r="N170" s="4" t="s">
        <v>3</v>
      </c>
      <c r="O170" s="4">
        <v>-1</v>
      </c>
      <c r="P170" s="4"/>
      <c r="Q170" s="4"/>
      <c r="R170" s="4"/>
      <c r="S170" s="4"/>
      <c r="T170" s="4"/>
      <c r="U170" s="4"/>
      <c r="V170" s="4"/>
      <c r="W170" s="4">
        <v>0</v>
      </c>
      <c r="X170" s="4">
        <v>1</v>
      </c>
      <c r="Y170" s="4">
        <v>0</v>
      </c>
      <c r="Z170" s="4"/>
      <c r="AA170" s="4"/>
      <c r="AB170" s="4"/>
    </row>
    <row r="171" spans="1:28" x14ac:dyDescent="0.3">
      <c r="A171" s="4">
        <v>50</v>
      </c>
      <c r="B171" s="4">
        <v>0</v>
      </c>
      <c r="C171" s="4">
        <v>0</v>
      </c>
      <c r="D171" s="4">
        <v>1</v>
      </c>
      <c r="E171" s="4">
        <v>209</v>
      </c>
      <c r="F171" s="4">
        <f>ROUND(Source!W147,O171)</f>
        <v>0</v>
      </c>
      <c r="G171" s="4" t="s">
        <v>77</v>
      </c>
      <c r="H171" s="4" t="s">
        <v>78</v>
      </c>
      <c r="I171" s="4"/>
      <c r="J171" s="4"/>
      <c r="K171" s="4">
        <v>209</v>
      </c>
      <c r="L171" s="4">
        <v>23</v>
      </c>
      <c r="M171" s="4">
        <v>3</v>
      </c>
      <c r="N171" s="4" t="s">
        <v>3</v>
      </c>
      <c r="O171" s="4">
        <v>2</v>
      </c>
      <c r="P171" s="4"/>
      <c r="Q171" s="4"/>
      <c r="R171" s="4"/>
      <c r="S171" s="4"/>
      <c r="T171" s="4"/>
      <c r="U171" s="4"/>
      <c r="V171" s="4"/>
      <c r="W171" s="4">
        <v>0</v>
      </c>
      <c r="X171" s="4">
        <v>1</v>
      </c>
      <c r="Y171" s="4">
        <v>0</v>
      </c>
      <c r="Z171" s="4"/>
      <c r="AA171" s="4"/>
      <c r="AB171" s="4"/>
    </row>
    <row r="172" spans="1:28" x14ac:dyDescent="0.3">
      <c r="A172" s="4">
        <v>50</v>
      </c>
      <c r="B172" s="4">
        <v>0</v>
      </c>
      <c r="C172" s="4">
        <v>0</v>
      </c>
      <c r="D172" s="4">
        <v>1</v>
      </c>
      <c r="E172" s="4">
        <v>233</v>
      </c>
      <c r="F172" s="4">
        <f>ROUND(Source!BD147,O172)</f>
        <v>0</v>
      </c>
      <c r="G172" s="4" t="s">
        <v>79</v>
      </c>
      <c r="H172" s="4" t="s">
        <v>80</v>
      </c>
      <c r="I172" s="4"/>
      <c r="J172" s="4"/>
      <c r="K172" s="4">
        <v>233</v>
      </c>
      <c r="L172" s="4">
        <v>24</v>
      </c>
      <c r="M172" s="4">
        <v>3</v>
      </c>
      <c r="N172" s="4" t="s">
        <v>3</v>
      </c>
      <c r="O172" s="4">
        <v>2</v>
      </c>
      <c r="P172" s="4"/>
      <c r="Q172" s="4"/>
      <c r="R172" s="4"/>
      <c r="S172" s="4"/>
      <c r="T172" s="4"/>
      <c r="U172" s="4"/>
      <c r="V172" s="4"/>
      <c r="W172" s="4">
        <v>0</v>
      </c>
      <c r="X172" s="4">
        <v>1</v>
      </c>
      <c r="Y172" s="4">
        <v>0</v>
      </c>
      <c r="Z172" s="4"/>
      <c r="AA172" s="4"/>
      <c r="AB172" s="4"/>
    </row>
    <row r="173" spans="1:28" x14ac:dyDescent="0.3">
      <c r="A173" s="4">
        <v>50</v>
      </c>
      <c r="B173" s="4">
        <v>0</v>
      </c>
      <c r="C173" s="4">
        <v>0</v>
      </c>
      <c r="D173" s="4">
        <v>1</v>
      </c>
      <c r="E173" s="4">
        <v>210</v>
      </c>
      <c r="F173" s="4">
        <f>ROUND(Source!X147,O173)</f>
        <v>49535.45</v>
      </c>
      <c r="G173" s="4" t="s">
        <v>81</v>
      </c>
      <c r="H173" s="4" t="s">
        <v>82</v>
      </c>
      <c r="I173" s="4"/>
      <c r="J173" s="4"/>
      <c r="K173" s="4">
        <v>210</v>
      </c>
      <c r="L173" s="4">
        <v>25</v>
      </c>
      <c r="M173" s="4">
        <v>3</v>
      </c>
      <c r="N173" s="4" t="s">
        <v>3</v>
      </c>
      <c r="O173" s="4">
        <v>2</v>
      </c>
      <c r="P173" s="4"/>
      <c r="Q173" s="4"/>
      <c r="R173" s="4"/>
      <c r="S173" s="4"/>
      <c r="T173" s="4"/>
      <c r="U173" s="4"/>
      <c r="V173" s="4"/>
      <c r="W173" s="4">
        <v>49535.45</v>
      </c>
      <c r="X173" s="4">
        <v>1</v>
      </c>
      <c r="Y173" s="4">
        <v>49535.45</v>
      </c>
      <c r="Z173" s="4"/>
      <c r="AA173" s="4"/>
      <c r="AB173" s="4"/>
    </row>
    <row r="174" spans="1:28" x14ac:dyDescent="0.3">
      <c r="A174" s="4">
        <v>50</v>
      </c>
      <c r="B174" s="4">
        <v>0</v>
      </c>
      <c r="C174" s="4">
        <v>0</v>
      </c>
      <c r="D174" s="4">
        <v>1</v>
      </c>
      <c r="E174" s="4">
        <v>211</v>
      </c>
      <c r="F174" s="4">
        <f>ROUND(Source!Y147,O174)</f>
        <v>7076.49</v>
      </c>
      <c r="G174" s="4" t="s">
        <v>83</v>
      </c>
      <c r="H174" s="4" t="s">
        <v>84</v>
      </c>
      <c r="I174" s="4"/>
      <c r="J174" s="4"/>
      <c r="K174" s="4">
        <v>211</v>
      </c>
      <c r="L174" s="4">
        <v>26</v>
      </c>
      <c r="M174" s="4">
        <v>3</v>
      </c>
      <c r="N174" s="4" t="s">
        <v>3</v>
      </c>
      <c r="O174" s="4">
        <v>2</v>
      </c>
      <c r="P174" s="4"/>
      <c r="Q174" s="4"/>
      <c r="R174" s="4"/>
      <c r="S174" s="4"/>
      <c r="T174" s="4"/>
      <c r="U174" s="4"/>
      <c r="V174" s="4"/>
      <c r="W174" s="4">
        <v>7076.49</v>
      </c>
      <c r="X174" s="4">
        <v>1</v>
      </c>
      <c r="Y174" s="4">
        <v>7076.49</v>
      </c>
      <c r="Z174" s="4"/>
      <c r="AA174" s="4"/>
      <c r="AB174" s="4"/>
    </row>
    <row r="175" spans="1:28" x14ac:dyDescent="0.3">
      <c r="A175" s="4">
        <v>50</v>
      </c>
      <c r="B175" s="4">
        <v>0</v>
      </c>
      <c r="C175" s="4">
        <v>0</v>
      </c>
      <c r="D175" s="4">
        <v>1</v>
      </c>
      <c r="E175" s="4">
        <v>224</v>
      </c>
      <c r="F175" s="4">
        <f>ROUND(Source!AR147,O175)</f>
        <v>534246.59</v>
      </c>
      <c r="G175" s="4" t="s">
        <v>85</v>
      </c>
      <c r="H175" s="4" t="s">
        <v>86</v>
      </c>
      <c r="I175" s="4"/>
      <c r="J175" s="4"/>
      <c r="K175" s="4">
        <v>224</v>
      </c>
      <c r="L175" s="4">
        <v>27</v>
      </c>
      <c r="M175" s="4">
        <v>3</v>
      </c>
      <c r="N175" s="4" t="s">
        <v>3</v>
      </c>
      <c r="O175" s="4">
        <v>2</v>
      </c>
      <c r="P175" s="4"/>
      <c r="Q175" s="4"/>
      <c r="R175" s="4"/>
      <c r="S175" s="4"/>
      <c r="T175" s="4"/>
      <c r="U175" s="4"/>
      <c r="V175" s="4"/>
      <c r="W175" s="4">
        <v>534246.59</v>
      </c>
      <c r="X175" s="4">
        <v>1</v>
      </c>
      <c r="Y175" s="4">
        <v>534246.59</v>
      </c>
      <c r="Z175" s="4"/>
      <c r="AA175" s="4"/>
      <c r="AB175" s="4"/>
    </row>
    <row r="177" spans="1:206" x14ac:dyDescent="0.3">
      <c r="A177" s="2">
        <v>51</v>
      </c>
      <c r="B177" s="2">
        <f>B12</f>
        <v>213</v>
      </c>
      <c r="C177" s="2">
        <f>A12</f>
        <v>1</v>
      </c>
      <c r="D177" s="2">
        <f>ROW(A12)</f>
        <v>12</v>
      </c>
      <c r="E177" s="2"/>
      <c r="F177" s="2" t="str">
        <f>IF(F12&lt;&gt;"",F12,"")</f>
        <v>Новый объект</v>
      </c>
      <c r="G177" s="2" t="str">
        <f>IF(G12&lt;&gt;"",G12,"")</f>
        <v>ИФП РАН - Ремонт теплообменников</v>
      </c>
      <c r="H177" s="2">
        <v>0</v>
      </c>
      <c r="I177" s="2"/>
      <c r="J177" s="2"/>
      <c r="K177" s="2"/>
      <c r="L177" s="2"/>
      <c r="M177" s="2"/>
      <c r="N177" s="2"/>
      <c r="O177" s="2">
        <f t="shared" ref="O177:T177" si="55">ROUND(O147,2)</f>
        <v>477633.06</v>
      </c>
      <c r="P177" s="2">
        <f t="shared" si="55"/>
        <v>406704.96</v>
      </c>
      <c r="Q177" s="2">
        <f t="shared" si="55"/>
        <v>163.16999999999999</v>
      </c>
      <c r="R177" s="2">
        <f t="shared" si="55"/>
        <v>1.47</v>
      </c>
      <c r="S177" s="2">
        <f t="shared" si="55"/>
        <v>70764.929999999993</v>
      </c>
      <c r="T177" s="2">
        <f t="shared" si="55"/>
        <v>0</v>
      </c>
      <c r="U177" s="2">
        <f>U147</f>
        <v>110.82</v>
      </c>
      <c r="V177" s="2">
        <f>V147</f>
        <v>0</v>
      </c>
      <c r="W177" s="2">
        <f>ROUND(W147,2)</f>
        <v>0</v>
      </c>
      <c r="X177" s="2">
        <f>ROUND(X147,2)</f>
        <v>49535.45</v>
      </c>
      <c r="Y177" s="2">
        <f>ROUND(Y147,2)</f>
        <v>7076.49</v>
      </c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>
        <f t="shared" ref="AO177:BD177" si="56">ROUND(AO147,2)</f>
        <v>0</v>
      </c>
      <c r="AP177" s="2">
        <f t="shared" si="56"/>
        <v>0</v>
      </c>
      <c r="AQ177" s="2">
        <f t="shared" si="56"/>
        <v>0</v>
      </c>
      <c r="AR177" s="2">
        <f t="shared" si="56"/>
        <v>534246.59</v>
      </c>
      <c r="AS177" s="2">
        <f t="shared" si="56"/>
        <v>0</v>
      </c>
      <c r="AT177" s="2">
        <f t="shared" si="56"/>
        <v>0</v>
      </c>
      <c r="AU177" s="2">
        <f t="shared" si="56"/>
        <v>534246.59</v>
      </c>
      <c r="AV177" s="2">
        <f t="shared" si="56"/>
        <v>406704.96</v>
      </c>
      <c r="AW177" s="2">
        <f t="shared" si="56"/>
        <v>406704.96</v>
      </c>
      <c r="AX177" s="2">
        <f t="shared" si="56"/>
        <v>0</v>
      </c>
      <c r="AY177" s="2">
        <f t="shared" si="56"/>
        <v>406704.96</v>
      </c>
      <c r="AZ177" s="2">
        <f t="shared" si="56"/>
        <v>0</v>
      </c>
      <c r="BA177" s="2">
        <f t="shared" si="56"/>
        <v>0</v>
      </c>
      <c r="BB177" s="2">
        <f t="shared" si="56"/>
        <v>0</v>
      </c>
      <c r="BC177" s="2">
        <f t="shared" si="56"/>
        <v>0</v>
      </c>
      <c r="BD177" s="2">
        <f t="shared" si="56"/>
        <v>0</v>
      </c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>
        <v>0</v>
      </c>
    </row>
    <row r="179" spans="1:206" x14ac:dyDescent="0.3">
      <c r="A179" s="4">
        <v>50</v>
      </c>
      <c r="B179" s="4">
        <v>0</v>
      </c>
      <c r="C179" s="4">
        <v>0</v>
      </c>
      <c r="D179" s="4">
        <v>1</v>
      </c>
      <c r="E179" s="4">
        <v>201</v>
      </c>
      <c r="F179" s="4">
        <f>ROUND(Source!O177,O179)</f>
        <v>477633.06</v>
      </c>
      <c r="G179" s="4" t="s">
        <v>33</v>
      </c>
      <c r="H179" s="4" t="s">
        <v>34</v>
      </c>
      <c r="I179" s="4"/>
      <c r="J179" s="4"/>
      <c r="K179" s="4">
        <v>201</v>
      </c>
      <c r="L179" s="4">
        <v>1</v>
      </c>
      <c r="M179" s="4">
        <v>3</v>
      </c>
      <c r="N179" s="4" t="s">
        <v>3</v>
      </c>
      <c r="O179" s="4">
        <v>2</v>
      </c>
      <c r="P179" s="4"/>
      <c r="Q179" s="4"/>
      <c r="R179" s="4"/>
      <c r="S179" s="4"/>
      <c r="T179" s="4"/>
      <c r="U179" s="4"/>
      <c r="V179" s="4"/>
      <c r="W179" s="4">
        <v>477633.06</v>
      </c>
      <c r="X179" s="4">
        <v>1</v>
      </c>
      <c r="Y179" s="4">
        <v>477633.06</v>
      </c>
      <c r="Z179" s="4"/>
      <c r="AA179" s="4"/>
      <c r="AB179" s="4"/>
    </row>
    <row r="180" spans="1:206" x14ac:dyDescent="0.3">
      <c r="A180" s="4">
        <v>50</v>
      </c>
      <c r="B180" s="4">
        <v>0</v>
      </c>
      <c r="C180" s="4">
        <v>0</v>
      </c>
      <c r="D180" s="4">
        <v>1</v>
      </c>
      <c r="E180" s="4">
        <v>202</v>
      </c>
      <c r="F180" s="4">
        <f>ROUND(Source!P177,O180)</f>
        <v>406704.96</v>
      </c>
      <c r="G180" s="4" t="s">
        <v>35</v>
      </c>
      <c r="H180" s="4" t="s">
        <v>36</v>
      </c>
      <c r="I180" s="4"/>
      <c r="J180" s="4"/>
      <c r="K180" s="4">
        <v>202</v>
      </c>
      <c r="L180" s="4">
        <v>2</v>
      </c>
      <c r="M180" s="4">
        <v>3</v>
      </c>
      <c r="N180" s="4" t="s">
        <v>3</v>
      </c>
      <c r="O180" s="4">
        <v>2</v>
      </c>
      <c r="P180" s="4"/>
      <c r="Q180" s="4"/>
      <c r="R180" s="4"/>
      <c r="S180" s="4"/>
      <c r="T180" s="4"/>
      <c r="U180" s="4"/>
      <c r="V180" s="4"/>
      <c r="W180" s="4">
        <v>406704.96</v>
      </c>
      <c r="X180" s="4">
        <v>1</v>
      </c>
      <c r="Y180" s="4">
        <v>406704.96</v>
      </c>
      <c r="Z180" s="4"/>
      <c r="AA180" s="4"/>
      <c r="AB180" s="4"/>
    </row>
    <row r="181" spans="1:206" x14ac:dyDescent="0.3">
      <c r="A181" s="4">
        <v>50</v>
      </c>
      <c r="B181" s="4">
        <v>0</v>
      </c>
      <c r="C181" s="4">
        <v>0</v>
      </c>
      <c r="D181" s="4">
        <v>1</v>
      </c>
      <c r="E181" s="4">
        <v>222</v>
      </c>
      <c r="F181" s="4">
        <f>ROUND(Source!AO177,O181)</f>
        <v>0</v>
      </c>
      <c r="G181" s="4" t="s">
        <v>37</v>
      </c>
      <c r="H181" s="4" t="s">
        <v>38</v>
      </c>
      <c r="I181" s="4"/>
      <c r="J181" s="4"/>
      <c r="K181" s="4">
        <v>222</v>
      </c>
      <c r="L181" s="4">
        <v>3</v>
      </c>
      <c r="M181" s="4">
        <v>3</v>
      </c>
      <c r="N181" s="4" t="s">
        <v>3</v>
      </c>
      <c r="O181" s="4">
        <v>2</v>
      </c>
      <c r="P181" s="4"/>
      <c r="Q181" s="4"/>
      <c r="R181" s="4"/>
      <c r="S181" s="4"/>
      <c r="T181" s="4"/>
      <c r="U181" s="4"/>
      <c r="V181" s="4"/>
      <c r="W181" s="4">
        <v>0</v>
      </c>
      <c r="X181" s="4">
        <v>1</v>
      </c>
      <c r="Y181" s="4">
        <v>0</v>
      </c>
      <c r="Z181" s="4"/>
      <c r="AA181" s="4"/>
      <c r="AB181" s="4"/>
    </row>
    <row r="182" spans="1:206" x14ac:dyDescent="0.3">
      <c r="A182" s="4">
        <v>50</v>
      </c>
      <c r="B182" s="4">
        <v>0</v>
      </c>
      <c r="C182" s="4">
        <v>0</v>
      </c>
      <c r="D182" s="4">
        <v>1</v>
      </c>
      <c r="E182" s="4">
        <v>225</v>
      </c>
      <c r="F182" s="4">
        <f>ROUND(Source!AV177,O182)</f>
        <v>406704.96</v>
      </c>
      <c r="G182" s="4" t="s">
        <v>39</v>
      </c>
      <c r="H182" s="4" t="s">
        <v>40</v>
      </c>
      <c r="I182" s="4"/>
      <c r="J182" s="4"/>
      <c r="K182" s="4">
        <v>225</v>
      </c>
      <c r="L182" s="4">
        <v>4</v>
      </c>
      <c r="M182" s="4">
        <v>3</v>
      </c>
      <c r="N182" s="4" t="s">
        <v>3</v>
      </c>
      <c r="O182" s="4">
        <v>2</v>
      </c>
      <c r="P182" s="4"/>
      <c r="Q182" s="4"/>
      <c r="R182" s="4"/>
      <c r="S182" s="4"/>
      <c r="T182" s="4"/>
      <c r="U182" s="4"/>
      <c r="V182" s="4"/>
      <c r="W182" s="4">
        <v>406704.96</v>
      </c>
      <c r="X182" s="4">
        <v>1</v>
      </c>
      <c r="Y182" s="4">
        <v>406704.96</v>
      </c>
      <c r="Z182" s="4"/>
      <c r="AA182" s="4"/>
      <c r="AB182" s="4"/>
    </row>
    <row r="183" spans="1:206" x14ac:dyDescent="0.3">
      <c r="A183" s="4">
        <v>50</v>
      </c>
      <c r="B183" s="4">
        <v>0</v>
      </c>
      <c r="C183" s="4">
        <v>0</v>
      </c>
      <c r="D183" s="4">
        <v>1</v>
      </c>
      <c r="E183" s="4">
        <v>226</v>
      </c>
      <c r="F183" s="4">
        <f>ROUND(Source!AW177,O183)</f>
        <v>406704.96</v>
      </c>
      <c r="G183" s="4" t="s">
        <v>41</v>
      </c>
      <c r="H183" s="4" t="s">
        <v>42</v>
      </c>
      <c r="I183" s="4"/>
      <c r="J183" s="4"/>
      <c r="K183" s="4">
        <v>226</v>
      </c>
      <c r="L183" s="4">
        <v>5</v>
      </c>
      <c r="M183" s="4">
        <v>3</v>
      </c>
      <c r="N183" s="4" t="s">
        <v>3</v>
      </c>
      <c r="O183" s="4">
        <v>2</v>
      </c>
      <c r="P183" s="4"/>
      <c r="Q183" s="4"/>
      <c r="R183" s="4"/>
      <c r="S183" s="4"/>
      <c r="T183" s="4"/>
      <c r="U183" s="4"/>
      <c r="V183" s="4"/>
      <c r="W183" s="4">
        <v>406704.96</v>
      </c>
      <c r="X183" s="4">
        <v>1</v>
      </c>
      <c r="Y183" s="4">
        <v>406704.96</v>
      </c>
      <c r="Z183" s="4"/>
      <c r="AA183" s="4"/>
      <c r="AB183" s="4"/>
    </row>
    <row r="184" spans="1:206" x14ac:dyDescent="0.3">
      <c r="A184" s="4">
        <v>50</v>
      </c>
      <c r="B184" s="4">
        <v>0</v>
      </c>
      <c r="C184" s="4">
        <v>0</v>
      </c>
      <c r="D184" s="4">
        <v>1</v>
      </c>
      <c r="E184" s="4">
        <v>227</v>
      </c>
      <c r="F184" s="4">
        <f>ROUND(Source!AX177,O184)</f>
        <v>0</v>
      </c>
      <c r="G184" s="4" t="s">
        <v>43</v>
      </c>
      <c r="H184" s="4" t="s">
        <v>44</v>
      </c>
      <c r="I184" s="4"/>
      <c r="J184" s="4"/>
      <c r="K184" s="4">
        <v>227</v>
      </c>
      <c r="L184" s="4">
        <v>6</v>
      </c>
      <c r="M184" s="4">
        <v>3</v>
      </c>
      <c r="N184" s="4" t="s">
        <v>3</v>
      </c>
      <c r="O184" s="4">
        <v>2</v>
      </c>
      <c r="P184" s="4"/>
      <c r="Q184" s="4"/>
      <c r="R184" s="4"/>
      <c r="S184" s="4"/>
      <c r="T184" s="4"/>
      <c r="U184" s="4"/>
      <c r="V184" s="4"/>
      <c r="W184" s="4">
        <v>0</v>
      </c>
      <c r="X184" s="4">
        <v>1</v>
      </c>
      <c r="Y184" s="4">
        <v>0</v>
      </c>
      <c r="Z184" s="4"/>
      <c r="AA184" s="4"/>
      <c r="AB184" s="4"/>
    </row>
    <row r="185" spans="1:206" x14ac:dyDescent="0.3">
      <c r="A185" s="4">
        <v>50</v>
      </c>
      <c r="B185" s="4">
        <v>0</v>
      </c>
      <c r="C185" s="4">
        <v>0</v>
      </c>
      <c r="D185" s="4">
        <v>1</v>
      </c>
      <c r="E185" s="4">
        <v>228</v>
      </c>
      <c r="F185" s="4">
        <f>ROUND(Source!AY177,O185)</f>
        <v>406704.96</v>
      </c>
      <c r="G185" s="4" t="s">
        <v>45</v>
      </c>
      <c r="H185" s="4" t="s">
        <v>46</v>
      </c>
      <c r="I185" s="4"/>
      <c r="J185" s="4"/>
      <c r="K185" s="4">
        <v>228</v>
      </c>
      <c r="L185" s="4">
        <v>7</v>
      </c>
      <c r="M185" s="4">
        <v>3</v>
      </c>
      <c r="N185" s="4" t="s">
        <v>3</v>
      </c>
      <c r="O185" s="4">
        <v>2</v>
      </c>
      <c r="P185" s="4"/>
      <c r="Q185" s="4"/>
      <c r="R185" s="4"/>
      <c r="S185" s="4"/>
      <c r="T185" s="4"/>
      <c r="U185" s="4"/>
      <c r="V185" s="4"/>
      <c r="W185" s="4">
        <v>406704.96</v>
      </c>
      <c r="X185" s="4">
        <v>1</v>
      </c>
      <c r="Y185" s="4">
        <v>406704.96</v>
      </c>
      <c r="Z185" s="4"/>
      <c r="AA185" s="4"/>
      <c r="AB185" s="4"/>
    </row>
    <row r="186" spans="1:206" x14ac:dyDescent="0.3">
      <c r="A186" s="4">
        <v>50</v>
      </c>
      <c r="B186" s="4">
        <v>0</v>
      </c>
      <c r="C186" s="4">
        <v>0</v>
      </c>
      <c r="D186" s="4">
        <v>1</v>
      </c>
      <c r="E186" s="4">
        <v>216</v>
      </c>
      <c r="F186" s="4">
        <f>ROUND(Source!AP177,O186)</f>
        <v>0</v>
      </c>
      <c r="G186" s="4" t="s">
        <v>47</v>
      </c>
      <c r="H186" s="4" t="s">
        <v>48</v>
      </c>
      <c r="I186" s="4"/>
      <c r="J186" s="4"/>
      <c r="K186" s="4">
        <v>216</v>
      </c>
      <c r="L186" s="4">
        <v>8</v>
      </c>
      <c r="M186" s="4">
        <v>3</v>
      </c>
      <c r="N186" s="4" t="s">
        <v>3</v>
      </c>
      <c r="O186" s="4">
        <v>2</v>
      </c>
      <c r="P186" s="4"/>
      <c r="Q186" s="4"/>
      <c r="R186" s="4"/>
      <c r="S186" s="4"/>
      <c r="T186" s="4"/>
      <c r="U186" s="4"/>
      <c r="V186" s="4"/>
      <c r="W186" s="4">
        <v>0</v>
      </c>
      <c r="X186" s="4">
        <v>1</v>
      </c>
      <c r="Y186" s="4">
        <v>0</v>
      </c>
      <c r="Z186" s="4"/>
      <c r="AA186" s="4"/>
      <c r="AB186" s="4"/>
    </row>
    <row r="187" spans="1:206" x14ac:dyDescent="0.3">
      <c r="A187" s="4">
        <v>50</v>
      </c>
      <c r="B187" s="4">
        <v>0</v>
      </c>
      <c r="C187" s="4">
        <v>0</v>
      </c>
      <c r="D187" s="4">
        <v>1</v>
      </c>
      <c r="E187" s="4">
        <v>223</v>
      </c>
      <c r="F187" s="4">
        <f>ROUND(Source!AQ177,O187)</f>
        <v>0</v>
      </c>
      <c r="G187" s="4" t="s">
        <v>49</v>
      </c>
      <c r="H187" s="4" t="s">
        <v>50</v>
      </c>
      <c r="I187" s="4"/>
      <c r="J187" s="4"/>
      <c r="K187" s="4">
        <v>223</v>
      </c>
      <c r="L187" s="4">
        <v>9</v>
      </c>
      <c r="M187" s="4">
        <v>3</v>
      </c>
      <c r="N187" s="4" t="s">
        <v>3</v>
      </c>
      <c r="O187" s="4">
        <v>2</v>
      </c>
      <c r="P187" s="4"/>
      <c r="Q187" s="4"/>
      <c r="R187" s="4"/>
      <c r="S187" s="4"/>
      <c r="T187" s="4"/>
      <c r="U187" s="4"/>
      <c r="V187" s="4"/>
      <c r="W187" s="4">
        <v>0</v>
      </c>
      <c r="X187" s="4">
        <v>1</v>
      </c>
      <c r="Y187" s="4">
        <v>0</v>
      </c>
      <c r="Z187" s="4"/>
      <c r="AA187" s="4"/>
      <c r="AB187" s="4"/>
    </row>
    <row r="188" spans="1:206" x14ac:dyDescent="0.3">
      <c r="A188" s="4">
        <v>50</v>
      </c>
      <c r="B188" s="4">
        <v>0</v>
      </c>
      <c r="C188" s="4">
        <v>0</v>
      </c>
      <c r="D188" s="4">
        <v>1</v>
      </c>
      <c r="E188" s="4">
        <v>229</v>
      </c>
      <c r="F188" s="4">
        <f>ROUND(Source!AZ177,O188)</f>
        <v>0</v>
      </c>
      <c r="G188" s="4" t="s">
        <v>51</v>
      </c>
      <c r="H188" s="4" t="s">
        <v>52</v>
      </c>
      <c r="I188" s="4"/>
      <c r="J188" s="4"/>
      <c r="K188" s="4">
        <v>229</v>
      </c>
      <c r="L188" s="4">
        <v>10</v>
      </c>
      <c r="M188" s="4">
        <v>3</v>
      </c>
      <c r="N188" s="4" t="s">
        <v>3</v>
      </c>
      <c r="O188" s="4">
        <v>2</v>
      </c>
      <c r="P188" s="4"/>
      <c r="Q188" s="4"/>
      <c r="R188" s="4"/>
      <c r="S188" s="4"/>
      <c r="T188" s="4"/>
      <c r="U188" s="4"/>
      <c r="V188" s="4"/>
      <c r="W188" s="4">
        <v>0</v>
      </c>
      <c r="X188" s="4">
        <v>1</v>
      </c>
      <c r="Y188" s="4">
        <v>0</v>
      </c>
      <c r="Z188" s="4"/>
      <c r="AA188" s="4"/>
      <c r="AB188" s="4"/>
    </row>
    <row r="189" spans="1:206" x14ac:dyDescent="0.3">
      <c r="A189" s="4">
        <v>50</v>
      </c>
      <c r="B189" s="4">
        <v>0</v>
      </c>
      <c r="C189" s="4">
        <v>0</v>
      </c>
      <c r="D189" s="4">
        <v>1</v>
      </c>
      <c r="E189" s="4">
        <v>203</v>
      </c>
      <c r="F189" s="4">
        <f>ROUND(Source!Q177,O189)</f>
        <v>163.16999999999999</v>
      </c>
      <c r="G189" s="4" t="s">
        <v>53</v>
      </c>
      <c r="H189" s="4" t="s">
        <v>54</v>
      </c>
      <c r="I189" s="4"/>
      <c r="J189" s="4"/>
      <c r="K189" s="4">
        <v>203</v>
      </c>
      <c r="L189" s="4">
        <v>11</v>
      </c>
      <c r="M189" s="4">
        <v>3</v>
      </c>
      <c r="N189" s="4" t="s">
        <v>3</v>
      </c>
      <c r="O189" s="4">
        <v>2</v>
      </c>
      <c r="P189" s="4"/>
      <c r="Q189" s="4"/>
      <c r="R189" s="4"/>
      <c r="S189" s="4"/>
      <c r="T189" s="4"/>
      <c r="U189" s="4"/>
      <c r="V189" s="4"/>
      <c r="W189" s="4">
        <v>163.16999999999999</v>
      </c>
      <c r="X189" s="4">
        <v>1</v>
      </c>
      <c r="Y189" s="4">
        <v>163.16999999999999</v>
      </c>
      <c r="Z189" s="4"/>
      <c r="AA189" s="4"/>
      <c r="AB189" s="4"/>
    </row>
    <row r="190" spans="1:206" x14ac:dyDescent="0.3">
      <c r="A190" s="4">
        <v>50</v>
      </c>
      <c r="B190" s="4">
        <v>0</v>
      </c>
      <c r="C190" s="4">
        <v>0</v>
      </c>
      <c r="D190" s="4">
        <v>1</v>
      </c>
      <c r="E190" s="4">
        <v>231</v>
      </c>
      <c r="F190" s="4">
        <f>ROUND(Source!BB177,O190)</f>
        <v>0</v>
      </c>
      <c r="G190" s="4" t="s">
        <v>55</v>
      </c>
      <c r="H190" s="4" t="s">
        <v>56</v>
      </c>
      <c r="I190" s="4"/>
      <c r="J190" s="4"/>
      <c r="K190" s="4">
        <v>231</v>
      </c>
      <c r="L190" s="4">
        <v>12</v>
      </c>
      <c r="M190" s="4">
        <v>3</v>
      </c>
      <c r="N190" s="4" t="s">
        <v>3</v>
      </c>
      <c r="O190" s="4">
        <v>2</v>
      </c>
      <c r="P190" s="4"/>
      <c r="Q190" s="4"/>
      <c r="R190" s="4"/>
      <c r="S190" s="4"/>
      <c r="T190" s="4"/>
      <c r="U190" s="4"/>
      <c r="V190" s="4"/>
      <c r="W190" s="4">
        <v>0</v>
      </c>
      <c r="X190" s="4">
        <v>1</v>
      </c>
      <c r="Y190" s="4">
        <v>0</v>
      </c>
      <c r="Z190" s="4"/>
      <c r="AA190" s="4"/>
      <c r="AB190" s="4"/>
    </row>
    <row r="191" spans="1:206" x14ac:dyDescent="0.3">
      <c r="A191" s="4">
        <v>50</v>
      </c>
      <c r="B191" s="4">
        <v>0</v>
      </c>
      <c r="C191" s="4">
        <v>0</v>
      </c>
      <c r="D191" s="4">
        <v>1</v>
      </c>
      <c r="E191" s="4">
        <v>204</v>
      </c>
      <c r="F191" s="4">
        <f>ROUND(Source!R177,O191)</f>
        <v>1.47</v>
      </c>
      <c r="G191" s="4" t="s">
        <v>57</v>
      </c>
      <c r="H191" s="4" t="s">
        <v>58</v>
      </c>
      <c r="I191" s="4"/>
      <c r="J191" s="4"/>
      <c r="K191" s="4">
        <v>204</v>
      </c>
      <c r="L191" s="4">
        <v>13</v>
      </c>
      <c r="M191" s="4">
        <v>3</v>
      </c>
      <c r="N191" s="4" t="s">
        <v>3</v>
      </c>
      <c r="O191" s="4">
        <v>2</v>
      </c>
      <c r="P191" s="4"/>
      <c r="Q191" s="4"/>
      <c r="R191" s="4"/>
      <c r="S191" s="4"/>
      <c r="T191" s="4"/>
      <c r="U191" s="4"/>
      <c r="V191" s="4"/>
      <c r="W191" s="4">
        <v>1.47</v>
      </c>
      <c r="X191" s="4">
        <v>1</v>
      </c>
      <c r="Y191" s="4">
        <v>1.47</v>
      </c>
      <c r="Z191" s="4"/>
      <c r="AA191" s="4"/>
      <c r="AB191" s="4"/>
    </row>
    <row r="192" spans="1:206" x14ac:dyDescent="0.3">
      <c r="A192" s="4">
        <v>50</v>
      </c>
      <c r="B192" s="4">
        <v>0</v>
      </c>
      <c r="C192" s="4">
        <v>0</v>
      </c>
      <c r="D192" s="4">
        <v>1</v>
      </c>
      <c r="E192" s="4">
        <v>205</v>
      </c>
      <c r="F192" s="4">
        <f>ROUND(Source!S177,O192)</f>
        <v>70764.929999999993</v>
      </c>
      <c r="G192" s="4" t="s">
        <v>59</v>
      </c>
      <c r="H192" s="4" t="s">
        <v>60</v>
      </c>
      <c r="I192" s="4"/>
      <c r="J192" s="4"/>
      <c r="K192" s="4">
        <v>205</v>
      </c>
      <c r="L192" s="4">
        <v>14</v>
      </c>
      <c r="M192" s="4">
        <v>3</v>
      </c>
      <c r="N192" s="4" t="s">
        <v>3</v>
      </c>
      <c r="O192" s="4">
        <v>2</v>
      </c>
      <c r="P192" s="4"/>
      <c r="Q192" s="4"/>
      <c r="R192" s="4"/>
      <c r="S192" s="4"/>
      <c r="T192" s="4"/>
      <c r="U192" s="4"/>
      <c r="V192" s="4"/>
      <c r="W192" s="4">
        <v>70764.929999999993</v>
      </c>
      <c r="X192" s="4">
        <v>1</v>
      </c>
      <c r="Y192" s="4">
        <v>70764.929999999993</v>
      </c>
      <c r="Z192" s="4"/>
      <c r="AA192" s="4"/>
      <c r="AB192" s="4"/>
    </row>
    <row r="193" spans="1:28" x14ac:dyDescent="0.3">
      <c r="A193" s="4">
        <v>50</v>
      </c>
      <c r="B193" s="4">
        <v>0</v>
      </c>
      <c r="C193" s="4">
        <v>0</v>
      </c>
      <c r="D193" s="4">
        <v>1</v>
      </c>
      <c r="E193" s="4">
        <v>232</v>
      </c>
      <c r="F193" s="4">
        <f>ROUND(Source!BC177,O193)</f>
        <v>0</v>
      </c>
      <c r="G193" s="4" t="s">
        <v>61</v>
      </c>
      <c r="H193" s="4" t="s">
        <v>62</v>
      </c>
      <c r="I193" s="4"/>
      <c r="J193" s="4"/>
      <c r="K193" s="4">
        <v>232</v>
      </c>
      <c r="L193" s="4">
        <v>15</v>
      </c>
      <c r="M193" s="4">
        <v>3</v>
      </c>
      <c r="N193" s="4" t="s">
        <v>3</v>
      </c>
      <c r="O193" s="4">
        <v>2</v>
      </c>
      <c r="P193" s="4"/>
      <c r="Q193" s="4"/>
      <c r="R193" s="4"/>
      <c r="S193" s="4"/>
      <c r="T193" s="4"/>
      <c r="U193" s="4"/>
      <c r="V193" s="4"/>
      <c r="W193" s="4">
        <v>0</v>
      </c>
      <c r="X193" s="4">
        <v>1</v>
      </c>
      <c r="Y193" s="4">
        <v>0</v>
      </c>
      <c r="Z193" s="4"/>
      <c r="AA193" s="4"/>
      <c r="AB193" s="4"/>
    </row>
    <row r="194" spans="1:28" x14ac:dyDescent="0.3">
      <c r="A194" s="4">
        <v>50</v>
      </c>
      <c r="B194" s="4">
        <v>0</v>
      </c>
      <c r="C194" s="4">
        <v>0</v>
      </c>
      <c r="D194" s="4">
        <v>1</v>
      </c>
      <c r="E194" s="4">
        <v>214</v>
      </c>
      <c r="F194" s="4">
        <f>ROUND(Source!AS177,O194)</f>
        <v>0</v>
      </c>
      <c r="G194" s="4" t="s">
        <v>63</v>
      </c>
      <c r="H194" s="4" t="s">
        <v>64</v>
      </c>
      <c r="I194" s="4"/>
      <c r="J194" s="4"/>
      <c r="K194" s="4">
        <v>214</v>
      </c>
      <c r="L194" s="4">
        <v>16</v>
      </c>
      <c r="M194" s="4">
        <v>3</v>
      </c>
      <c r="N194" s="4" t="s">
        <v>3</v>
      </c>
      <c r="O194" s="4">
        <v>2</v>
      </c>
      <c r="P194" s="4"/>
      <c r="Q194" s="4"/>
      <c r="R194" s="4"/>
      <c r="S194" s="4"/>
      <c r="T194" s="4"/>
      <c r="U194" s="4"/>
      <c r="V194" s="4"/>
      <c r="W194" s="4">
        <v>0</v>
      </c>
      <c r="X194" s="4">
        <v>1</v>
      </c>
      <c r="Y194" s="4">
        <v>0</v>
      </c>
      <c r="Z194" s="4"/>
      <c r="AA194" s="4"/>
      <c r="AB194" s="4"/>
    </row>
    <row r="195" spans="1:28" x14ac:dyDescent="0.3">
      <c r="A195" s="4">
        <v>50</v>
      </c>
      <c r="B195" s="4">
        <v>0</v>
      </c>
      <c r="C195" s="4">
        <v>0</v>
      </c>
      <c r="D195" s="4">
        <v>1</v>
      </c>
      <c r="E195" s="4">
        <v>215</v>
      </c>
      <c r="F195" s="4">
        <f>ROUND(Source!AT177,O195)</f>
        <v>0</v>
      </c>
      <c r="G195" s="4" t="s">
        <v>65</v>
      </c>
      <c r="H195" s="4" t="s">
        <v>66</v>
      </c>
      <c r="I195" s="4"/>
      <c r="J195" s="4"/>
      <c r="K195" s="4">
        <v>215</v>
      </c>
      <c r="L195" s="4">
        <v>17</v>
      </c>
      <c r="M195" s="4">
        <v>3</v>
      </c>
      <c r="N195" s="4" t="s">
        <v>3</v>
      </c>
      <c r="O195" s="4">
        <v>2</v>
      </c>
      <c r="P195" s="4"/>
      <c r="Q195" s="4"/>
      <c r="R195" s="4"/>
      <c r="S195" s="4"/>
      <c r="T195" s="4"/>
      <c r="U195" s="4"/>
      <c r="V195" s="4"/>
      <c r="W195" s="4">
        <v>0</v>
      </c>
      <c r="X195" s="4">
        <v>1</v>
      </c>
      <c r="Y195" s="4">
        <v>0</v>
      </c>
      <c r="Z195" s="4"/>
      <c r="AA195" s="4"/>
      <c r="AB195" s="4"/>
    </row>
    <row r="196" spans="1:28" x14ac:dyDescent="0.3">
      <c r="A196" s="4">
        <v>50</v>
      </c>
      <c r="B196" s="4">
        <v>0</v>
      </c>
      <c r="C196" s="4">
        <v>0</v>
      </c>
      <c r="D196" s="4">
        <v>1</v>
      </c>
      <c r="E196" s="4">
        <v>217</v>
      </c>
      <c r="F196" s="4">
        <f>ROUND(Source!AU177,O196)</f>
        <v>534246.59</v>
      </c>
      <c r="G196" s="4" t="s">
        <v>67</v>
      </c>
      <c r="H196" s="4" t="s">
        <v>68</v>
      </c>
      <c r="I196" s="4"/>
      <c r="J196" s="4"/>
      <c r="K196" s="4">
        <v>217</v>
      </c>
      <c r="L196" s="4">
        <v>18</v>
      </c>
      <c r="M196" s="4">
        <v>3</v>
      </c>
      <c r="N196" s="4" t="s">
        <v>3</v>
      </c>
      <c r="O196" s="4">
        <v>2</v>
      </c>
      <c r="P196" s="4"/>
      <c r="Q196" s="4"/>
      <c r="R196" s="4"/>
      <c r="S196" s="4"/>
      <c r="T196" s="4"/>
      <c r="U196" s="4"/>
      <c r="V196" s="4"/>
      <c r="W196" s="4">
        <v>534246.59</v>
      </c>
      <c r="X196" s="4">
        <v>1</v>
      </c>
      <c r="Y196" s="4">
        <v>534246.59</v>
      </c>
      <c r="Z196" s="4"/>
      <c r="AA196" s="4"/>
      <c r="AB196" s="4"/>
    </row>
    <row r="197" spans="1:28" x14ac:dyDescent="0.3">
      <c r="A197" s="4">
        <v>50</v>
      </c>
      <c r="B197" s="4">
        <v>0</v>
      </c>
      <c r="C197" s="4">
        <v>0</v>
      </c>
      <c r="D197" s="4">
        <v>1</v>
      </c>
      <c r="E197" s="4">
        <v>230</v>
      </c>
      <c r="F197" s="4">
        <f>ROUND(Source!BA177,O197)</f>
        <v>0</v>
      </c>
      <c r="G197" s="4" t="s">
        <v>69</v>
      </c>
      <c r="H197" s="4" t="s">
        <v>70</v>
      </c>
      <c r="I197" s="4"/>
      <c r="J197" s="4"/>
      <c r="K197" s="4">
        <v>230</v>
      </c>
      <c r="L197" s="4">
        <v>19</v>
      </c>
      <c r="M197" s="4">
        <v>3</v>
      </c>
      <c r="N197" s="4" t="s">
        <v>3</v>
      </c>
      <c r="O197" s="4">
        <v>2</v>
      </c>
      <c r="P197" s="4"/>
      <c r="Q197" s="4"/>
      <c r="R197" s="4"/>
      <c r="S197" s="4"/>
      <c r="T197" s="4"/>
      <c r="U197" s="4"/>
      <c r="V197" s="4"/>
      <c r="W197" s="4">
        <v>0</v>
      </c>
      <c r="X197" s="4">
        <v>1</v>
      </c>
      <c r="Y197" s="4">
        <v>0</v>
      </c>
      <c r="Z197" s="4"/>
      <c r="AA197" s="4"/>
      <c r="AB197" s="4"/>
    </row>
    <row r="198" spans="1:28" x14ac:dyDescent="0.3">
      <c r="A198" s="4">
        <v>50</v>
      </c>
      <c r="B198" s="4">
        <v>0</v>
      </c>
      <c r="C198" s="4">
        <v>0</v>
      </c>
      <c r="D198" s="4">
        <v>1</v>
      </c>
      <c r="E198" s="4">
        <v>206</v>
      </c>
      <c r="F198" s="4">
        <f>ROUND(Source!T177,O198)</f>
        <v>0</v>
      </c>
      <c r="G198" s="4" t="s">
        <v>71</v>
      </c>
      <c r="H198" s="4" t="s">
        <v>72</v>
      </c>
      <c r="I198" s="4"/>
      <c r="J198" s="4"/>
      <c r="K198" s="4">
        <v>206</v>
      </c>
      <c r="L198" s="4">
        <v>20</v>
      </c>
      <c r="M198" s="4">
        <v>3</v>
      </c>
      <c r="N198" s="4" t="s">
        <v>3</v>
      </c>
      <c r="O198" s="4">
        <v>2</v>
      </c>
      <c r="P198" s="4"/>
      <c r="Q198" s="4"/>
      <c r="R198" s="4"/>
      <c r="S198" s="4"/>
      <c r="T198" s="4"/>
      <c r="U198" s="4"/>
      <c r="V198" s="4"/>
      <c r="W198" s="4">
        <v>0</v>
      </c>
      <c r="X198" s="4">
        <v>1</v>
      </c>
      <c r="Y198" s="4">
        <v>0</v>
      </c>
      <c r="Z198" s="4"/>
      <c r="AA198" s="4"/>
      <c r="AB198" s="4"/>
    </row>
    <row r="199" spans="1:28" x14ac:dyDescent="0.3">
      <c r="A199" s="4">
        <v>50</v>
      </c>
      <c r="B199" s="4">
        <v>0</v>
      </c>
      <c r="C199" s="4">
        <v>0</v>
      </c>
      <c r="D199" s="4">
        <v>1</v>
      </c>
      <c r="E199" s="4">
        <v>207</v>
      </c>
      <c r="F199" s="4">
        <f>Source!U177</f>
        <v>110.82</v>
      </c>
      <c r="G199" s="4" t="s">
        <v>73</v>
      </c>
      <c r="H199" s="4" t="s">
        <v>74</v>
      </c>
      <c r="I199" s="4"/>
      <c r="J199" s="4"/>
      <c r="K199" s="4">
        <v>207</v>
      </c>
      <c r="L199" s="4">
        <v>21</v>
      </c>
      <c r="M199" s="4">
        <v>3</v>
      </c>
      <c r="N199" s="4" t="s">
        <v>3</v>
      </c>
      <c r="O199" s="4">
        <v>-1</v>
      </c>
      <c r="P199" s="4"/>
      <c r="Q199" s="4"/>
      <c r="R199" s="4"/>
      <c r="S199" s="4"/>
      <c r="T199" s="4"/>
      <c r="U199" s="4"/>
      <c r="V199" s="4"/>
      <c r="W199" s="4">
        <v>110.82</v>
      </c>
      <c r="X199" s="4">
        <v>1</v>
      </c>
      <c r="Y199" s="4">
        <v>110.82</v>
      </c>
      <c r="Z199" s="4"/>
      <c r="AA199" s="4"/>
      <c r="AB199" s="4"/>
    </row>
    <row r="200" spans="1:28" x14ac:dyDescent="0.3">
      <c r="A200" s="4">
        <v>50</v>
      </c>
      <c r="B200" s="4">
        <v>0</v>
      </c>
      <c r="C200" s="4">
        <v>0</v>
      </c>
      <c r="D200" s="4">
        <v>1</v>
      </c>
      <c r="E200" s="4">
        <v>208</v>
      </c>
      <c r="F200" s="4">
        <f>Source!V177</f>
        <v>0</v>
      </c>
      <c r="G200" s="4" t="s">
        <v>75</v>
      </c>
      <c r="H200" s="4" t="s">
        <v>76</v>
      </c>
      <c r="I200" s="4"/>
      <c r="J200" s="4"/>
      <c r="K200" s="4">
        <v>208</v>
      </c>
      <c r="L200" s="4">
        <v>22</v>
      </c>
      <c r="M200" s="4">
        <v>3</v>
      </c>
      <c r="N200" s="4" t="s">
        <v>3</v>
      </c>
      <c r="O200" s="4">
        <v>-1</v>
      </c>
      <c r="P200" s="4"/>
      <c r="Q200" s="4"/>
      <c r="R200" s="4"/>
      <c r="S200" s="4"/>
      <c r="T200" s="4"/>
      <c r="U200" s="4"/>
      <c r="V200" s="4"/>
      <c r="W200" s="4">
        <v>0</v>
      </c>
      <c r="X200" s="4">
        <v>1</v>
      </c>
      <c r="Y200" s="4">
        <v>0</v>
      </c>
      <c r="Z200" s="4"/>
      <c r="AA200" s="4"/>
      <c r="AB200" s="4"/>
    </row>
    <row r="201" spans="1:28" x14ac:dyDescent="0.3">
      <c r="A201" s="4">
        <v>50</v>
      </c>
      <c r="B201" s="4">
        <v>0</v>
      </c>
      <c r="C201" s="4">
        <v>0</v>
      </c>
      <c r="D201" s="4">
        <v>1</v>
      </c>
      <c r="E201" s="4">
        <v>209</v>
      </c>
      <c r="F201" s="4">
        <f>ROUND(Source!W177,O201)</f>
        <v>0</v>
      </c>
      <c r="G201" s="4" t="s">
        <v>77</v>
      </c>
      <c r="H201" s="4" t="s">
        <v>78</v>
      </c>
      <c r="I201" s="4"/>
      <c r="J201" s="4"/>
      <c r="K201" s="4">
        <v>209</v>
      </c>
      <c r="L201" s="4">
        <v>23</v>
      </c>
      <c r="M201" s="4">
        <v>3</v>
      </c>
      <c r="N201" s="4" t="s">
        <v>3</v>
      </c>
      <c r="O201" s="4">
        <v>2</v>
      </c>
      <c r="P201" s="4"/>
      <c r="Q201" s="4"/>
      <c r="R201" s="4"/>
      <c r="S201" s="4"/>
      <c r="T201" s="4"/>
      <c r="U201" s="4"/>
      <c r="V201" s="4"/>
      <c r="W201" s="4">
        <v>0</v>
      </c>
      <c r="X201" s="4">
        <v>1</v>
      </c>
      <c r="Y201" s="4">
        <v>0</v>
      </c>
      <c r="Z201" s="4"/>
      <c r="AA201" s="4"/>
      <c r="AB201" s="4"/>
    </row>
    <row r="202" spans="1:28" x14ac:dyDescent="0.3">
      <c r="A202" s="4">
        <v>50</v>
      </c>
      <c r="B202" s="4">
        <v>0</v>
      </c>
      <c r="C202" s="4">
        <v>0</v>
      </c>
      <c r="D202" s="4">
        <v>1</v>
      </c>
      <c r="E202" s="4">
        <v>233</v>
      </c>
      <c r="F202" s="4">
        <f>ROUND(Source!BD177,O202)</f>
        <v>0</v>
      </c>
      <c r="G202" s="4" t="s">
        <v>79</v>
      </c>
      <c r="H202" s="4" t="s">
        <v>80</v>
      </c>
      <c r="I202" s="4"/>
      <c r="J202" s="4"/>
      <c r="K202" s="4">
        <v>233</v>
      </c>
      <c r="L202" s="4">
        <v>24</v>
      </c>
      <c r="M202" s="4">
        <v>3</v>
      </c>
      <c r="N202" s="4" t="s">
        <v>3</v>
      </c>
      <c r="O202" s="4">
        <v>2</v>
      </c>
      <c r="P202" s="4"/>
      <c r="Q202" s="4"/>
      <c r="R202" s="4"/>
      <c r="S202" s="4"/>
      <c r="T202" s="4"/>
      <c r="U202" s="4"/>
      <c r="V202" s="4"/>
      <c r="W202" s="4">
        <v>0</v>
      </c>
      <c r="X202" s="4">
        <v>1</v>
      </c>
      <c r="Y202" s="4">
        <v>0</v>
      </c>
      <c r="Z202" s="4"/>
      <c r="AA202" s="4"/>
      <c r="AB202" s="4"/>
    </row>
    <row r="203" spans="1:28" x14ac:dyDescent="0.3">
      <c r="A203" s="4">
        <v>50</v>
      </c>
      <c r="B203" s="4">
        <v>0</v>
      </c>
      <c r="C203" s="4">
        <v>0</v>
      </c>
      <c r="D203" s="4">
        <v>1</v>
      </c>
      <c r="E203" s="4">
        <v>210</v>
      </c>
      <c r="F203" s="4">
        <f>ROUND(Source!X177,O203)</f>
        <v>49535.45</v>
      </c>
      <c r="G203" s="4" t="s">
        <v>81</v>
      </c>
      <c r="H203" s="4" t="s">
        <v>82</v>
      </c>
      <c r="I203" s="4"/>
      <c r="J203" s="4"/>
      <c r="K203" s="4">
        <v>210</v>
      </c>
      <c r="L203" s="4">
        <v>25</v>
      </c>
      <c r="M203" s="4">
        <v>3</v>
      </c>
      <c r="N203" s="4" t="s">
        <v>3</v>
      </c>
      <c r="O203" s="4">
        <v>2</v>
      </c>
      <c r="P203" s="4"/>
      <c r="Q203" s="4"/>
      <c r="R203" s="4"/>
      <c r="S203" s="4"/>
      <c r="T203" s="4"/>
      <c r="U203" s="4"/>
      <c r="V203" s="4"/>
      <c r="W203" s="4">
        <v>49535.45</v>
      </c>
      <c r="X203" s="4">
        <v>1</v>
      </c>
      <c r="Y203" s="4">
        <v>49535.45</v>
      </c>
      <c r="Z203" s="4"/>
      <c r="AA203" s="4"/>
      <c r="AB203" s="4"/>
    </row>
    <row r="204" spans="1:28" x14ac:dyDescent="0.3">
      <c r="A204" s="4">
        <v>50</v>
      </c>
      <c r="B204" s="4">
        <v>0</v>
      </c>
      <c r="C204" s="4">
        <v>0</v>
      </c>
      <c r="D204" s="4">
        <v>1</v>
      </c>
      <c r="E204" s="4">
        <v>211</v>
      </c>
      <c r="F204" s="4">
        <f>ROUND(Source!Y177,O204)</f>
        <v>7076.49</v>
      </c>
      <c r="G204" s="4" t="s">
        <v>83</v>
      </c>
      <c r="H204" s="4" t="s">
        <v>84</v>
      </c>
      <c r="I204" s="4"/>
      <c r="J204" s="4"/>
      <c r="K204" s="4">
        <v>211</v>
      </c>
      <c r="L204" s="4">
        <v>26</v>
      </c>
      <c r="M204" s="4">
        <v>3</v>
      </c>
      <c r="N204" s="4" t="s">
        <v>3</v>
      </c>
      <c r="O204" s="4">
        <v>2</v>
      </c>
      <c r="P204" s="4"/>
      <c r="Q204" s="4"/>
      <c r="R204" s="4"/>
      <c r="S204" s="4"/>
      <c r="T204" s="4"/>
      <c r="U204" s="4"/>
      <c r="V204" s="4"/>
      <c r="W204" s="4">
        <v>7076.49</v>
      </c>
      <c r="X204" s="4">
        <v>1</v>
      </c>
      <c r="Y204" s="4">
        <v>7076.49</v>
      </c>
      <c r="Z204" s="4"/>
      <c r="AA204" s="4"/>
      <c r="AB204" s="4"/>
    </row>
    <row r="205" spans="1:28" x14ac:dyDescent="0.3">
      <c r="A205" s="4">
        <v>50</v>
      </c>
      <c r="B205" s="4">
        <v>0</v>
      </c>
      <c r="C205" s="4">
        <v>0</v>
      </c>
      <c r="D205" s="4">
        <v>1</v>
      </c>
      <c r="E205" s="4">
        <v>224</v>
      </c>
      <c r="F205" s="4">
        <f>ROUND(Source!AR177,O205)</f>
        <v>534246.59</v>
      </c>
      <c r="G205" s="4" t="s">
        <v>85</v>
      </c>
      <c r="H205" s="4" t="s">
        <v>86</v>
      </c>
      <c r="I205" s="4"/>
      <c r="J205" s="4"/>
      <c r="K205" s="4">
        <v>224</v>
      </c>
      <c r="L205" s="4">
        <v>27</v>
      </c>
      <c r="M205" s="4">
        <v>3</v>
      </c>
      <c r="N205" s="4" t="s">
        <v>3</v>
      </c>
      <c r="O205" s="4">
        <v>2</v>
      </c>
      <c r="P205" s="4"/>
      <c r="Q205" s="4"/>
      <c r="R205" s="4"/>
      <c r="S205" s="4"/>
      <c r="T205" s="4"/>
      <c r="U205" s="4"/>
      <c r="V205" s="4"/>
      <c r="W205" s="4">
        <v>534246.59</v>
      </c>
      <c r="X205" s="4">
        <v>1</v>
      </c>
      <c r="Y205" s="4">
        <v>534246.59</v>
      </c>
      <c r="Z205" s="4"/>
      <c r="AA205" s="4"/>
      <c r="AB205" s="4"/>
    </row>
    <row r="206" spans="1:28" x14ac:dyDescent="0.3">
      <c r="A206" s="4">
        <v>50</v>
      </c>
      <c r="B206" s="4">
        <v>1</v>
      </c>
      <c r="C206" s="4">
        <v>0</v>
      </c>
      <c r="D206" s="4">
        <v>2</v>
      </c>
      <c r="E206" s="4">
        <v>0</v>
      </c>
      <c r="F206" s="4">
        <f>ROUND(F205,O206)</f>
        <v>534246.59</v>
      </c>
      <c r="G206" s="4" t="s">
        <v>87</v>
      </c>
      <c r="H206" s="4" t="s">
        <v>88</v>
      </c>
      <c r="I206" s="4"/>
      <c r="J206" s="4"/>
      <c r="K206" s="4">
        <v>212</v>
      </c>
      <c r="L206" s="4">
        <v>28</v>
      </c>
      <c r="M206" s="4">
        <v>0</v>
      </c>
      <c r="N206" s="4" t="s">
        <v>3</v>
      </c>
      <c r="O206" s="4">
        <v>2</v>
      </c>
      <c r="P206" s="4"/>
      <c r="Q206" s="4"/>
      <c r="R206" s="4"/>
      <c r="S206" s="4"/>
      <c r="T206" s="4"/>
      <c r="U206" s="4"/>
      <c r="V206" s="4"/>
      <c r="W206" s="4">
        <v>534246.59</v>
      </c>
      <c r="X206" s="4">
        <v>1</v>
      </c>
      <c r="Y206" s="4">
        <v>534246.59</v>
      </c>
      <c r="Z206" s="4"/>
      <c r="AA206" s="4"/>
      <c r="AB206" s="4"/>
    </row>
    <row r="207" spans="1:28" x14ac:dyDescent="0.3">
      <c r="A207" s="4">
        <v>50</v>
      </c>
      <c r="B207" s="4">
        <v>1</v>
      </c>
      <c r="C207" s="4">
        <v>0</v>
      </c>
      <c r="D207" s="4">
        <v>2</v>
      </c>
      <c r="E207" s="4">
        <v>0</v>
      </c>
      <c r="F207" s="4">
        <f>ROUND(F206*0.22,O207)</f>
        <v>117534.25</v>
      </c>
      <c r="G207" s="4" t="s">
        <v>89</v>
      </c>
      <c r="H207" s="4" t="s">
        <v>90</v>
      </c>
      <c r="I207" s="4"/>
      <c r="J207" s="4"/>
      <c r="K207" s="4">
        <v>212</v>
      </c>
      <c r="L207" s="4">
        <v>29</v>
      </c>
      <c r="M207" s="4">
        <v>0</v>
      </c>
      <c r="N207" s="4" t="s">
        <v>3</v>
      </c>
      <c r="O207" s="4">
        <v>2</v>
      </c>
      <c r="P207" s="4"/>
      <c r="Q207" s="4"/>
      <c r="R207" s="4"/>
      <c r="S207" s="4"/>
      <c r="T207" s="4"/>
      <c r="U207" s="4"/>
      <c r="V207" s="4"/>
      <c r="W207" s="4">
        <v>117534.25</v>
      </c>
      <c r="X207" s="4">
        <v>1</v>
      </c>
      <c r="Y207" s="4">
        <v>117534.25</v>
      </c>
      <c r="Z207" s="4"/>
      <c r="AA207" s="4"/>
      <c r="AB207" s="4"/>
    </row>
    <row r="208" spans="1:28" x14ac:dyDescent="0.3">
      <c r="A208" s="4">
        <v>50</v>
      </c>
      <c r="B208" s="4">
        <v>1</v>
      </c>
      <c r="C208" s="4">
        <v>0</v>
      </c>
      <c r="D208" s="4">
        <v>2</v>
      </c>
      <c r="E208" s="4">
        <v>213</v>
      </c>
      <c r="F208" s="4">
        <f>ROUND(F206+F207,O208)</f>
        <v>651780.84</v>
      </c>
      <c r="G208" s="4" t="s">
        <v>91</v>
      </c>
      <c r="H208" s="4" t="s">
        <v>85</v>
      </c>
      <c r="I208" s="4"/>
      <c r="J208" s="4"/>
      <c r="K208" s="4">
        <v>212</v>
      </c>
      <c r="L208" s="4">
        <v>30</v>
      </c>
      <c r="M208" s="4">
        <v>0</v>
      </c>
      <c r="N208" s="4" t="s">
        <v>3</v>
      </c>
      <c r="O208" s="4">
        <v>2</v>
      </c>
      <c r="P208" s="4"/>
      <c r="Q208" s="4"/>
      <c r="R208" s="4"/>
      <c r="S208" s="4"/>
      <c r="T208" s="4"/>
      <c r="U208" s="4"/>
      <c r="V208" s="4"/>
      <c r="W208" s="4">
        <v>651780.84</v>
      </c>
      <c r="X208" s="4">
        <v>1</v>
      </c>
      <c r="Y208" s="4">
        <v>651780.84</v>
      </c>
      <c r="Z208" s="4"/>
      <c r="AA208" s="4"/>
      <c r="AB208" s="4"/>
    </row>
    <row r="211" spans="1:15" x14ac:dyDescent="0.3">
      <c r="A211">
        <v>-1</v>
      </c>
    </row>
    <row r="213" spans="1:15" x14ac:dyDescent="0.3">
      <c r="A213" s="3">
        <v>75</v>
      </c>
      <c r="B213" s="3" t="s">
        <v>104</v>
      </c>
      <c r="C213" s="3">
        <v>2026</v>
      </c>
      <c r="D213" s="3">
        <v>0</v>
      </c>
      <c r="E213" s="3">
        <v>7</v>
      </c>
      <c r="F213" s="3">
        <v>0</v>
      </c>
      <c r="G213" s="3">
        <v>0</v>
      </c>
      <c r="H213" s="3">
        <v>1</v>
      </c>
      <c r="I213" s="3">
        <v>0</v>
      </c>
      <c r="J213" s="3">
        <v>1</v>
      </c>
      <c r="K213" s="3">
        <v>78</v>
      </c>
      <c r="L213" s="3">
        <v>30</v>
      </c>
      <c r="M213" s="3">
        <v>0</v>
      </c>
      <c r="N213" s="3">
        <v>66366214</v>
      </c>
      <c r="O213" s="3">
        <v>1</v>
      </c>
    </row>
    <row r="217" spans="1:15" x14ac:dyDescent="0.3">
      <c r="A217">
        <v>65</v>
      </c>
      <c r="C217">
        <v>1</v>
      </c>
      <c r="D217">
        <v>0</v>
      </c>
      <c r="E217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DEC2-0B5D-4A69-AC91-B93956D8C1D4}">
  <dimension ref="A1:EC54"/>
  <sheetViews>
    <sheetView workbookViewId="0"/>
  </sheetViews>
  <sheetFormatPr defaultColWidth="9.15234375" defaultRowHeight="12.45" x14ac:dyDescent="0.3"/>
  <cols>
    <col min="1" max="256" width="9.15234375" customWidth="1"/>
  </cols>
  <sheetData>
    <row r="1" spans="1:133" x14ac:dyDescent="0.3">
      <c r="A1">
        <v>0</v>
      </c>
      <c r="B1" t="s">
        <v>0</v>
      </c>
      <c r="D1" t="s">
        <v>105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64472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33" x14ac:dyDescent="0.3">
      <c r="A12" s="1">
        <v>1</v>
      </c>
      <c r="B12" s="1">
        <v>54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1</v>
      </c>
      <c r="BU12" s="1">
        <v>0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32776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3">
      <c r="A14" s="1">
        <v>22</v>
      </c>
      <c r="B14" s="1">
        <v>1</v>
      </c>
      <c r="C14" s="1">
        <v>0</v>
      </c>
      <c r="D14" s="1">
        <v>66366214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3">
      <c r="A16" s="5">
        <v>3</v>
      </c>
      <c r="B16" s="5">
        <v>1</v>
      </c>
      <c r="C16" s="5" t="s">
        <v>12</v>
      </c>
      <c r="D16" s="5" t="s">
        <v>13</v>
      </c>
      <c r="E16" s="6">
        <f>ROUND((Source!F164)/1000,2)</f>
        <v>0</v>
      </c>
      <c r="F16" s="6">
        <f>ROUND((Source!F165)/1000,2)</f>
        <v>0</v>
      </c>
      <c r="G16" s="6">
        <f>ROUND((Source!F156)/1000,2)</f>
        <v>0</v>
      </c>
      <c r="H16" s="6">
        <f>ROUND((Source!F166)/1000+(Source!F167)/1000,2)</f>
        <v>534.25</v>
      </c>
      <c r="I16" s="6">
        <f>E16+F16+G16+H16</f>
        <v>534.25</v>
      </c>
      <c r="J16" s="6">
        <f>ROUND((Source!F162+Source!F161)/1000,2)</f>
        <v>70.77</v>
      </c>
      <c r="K16" s="6">
        <v>884.34</v>
      </c>
      <c r="L16" s="6">
        <v>0</v>
      </c>
      <c r="M16" s="6">
        <v>0</v>
      </c>
      <c r="N16" s="6">
        <f>I16+L16+M16</f>
        <v>534.25</v>
      </c>
      <c r="AI16" s="5">
        <v>0</v>
      </c>
      <c r="AJ16" s="5">
        <v>0</v>
      </c>
      <c r="AK16" s="5" t="s">
        <v>3</v>
      </c>
      <c r="AL16" s="5" t="s">
        <v>3</v>
      </c>
      <c r="AM16" s="5" t="s">
        <v>3</v>
      </c>
      <c r="AN16" s="5">
        <v>0</v>
      </c>
      <c r="AO16" s="5" t="s">
        <v>3</v>
      </c>
      <c r="AP16" s="5" t="s">
        <v>3</v>
      </c>
      <c r="AT16" s="6">
        <v>477633.06</v>
      </c>
      <c r="AU16" s="6">
        <v>406704.96</v>
      </c>
      <c r="AV16" s="6">
        <v>0</v>
      </c>
      <c r="AW16" s="6">
        <v>0</v>
      </c>
      <c r="AX16" s="6">
        <v>0</v>
      </c>
      <c r="AY16" s="6">
        <v>163.16999999999999</v>
      </c>
      <c r="AZ16" s="6">
        <v>1.47</v>
      </c>
      <c r="BA16" s="6">
        <v>70764.929999999993</v>
      </c>
      <c r="BB16" s="6">
        <v>0</v>
      </c>
      <c r="BC16" s="6">
        <v>0</v>
      </c>
      <c r="BD16" s="6">
        <v>534246.59</v>
      </c>
      <c r="BE16" s="6">
        <v>0</v>
      </c>
      <c r="BF16" s="6">
        <v>110.82</v>
      </c>
      <c r="BG16" s="6">
        <v>0</v>
      </c>
      <c r="BH16" s="6">
        <v>0</v>
      </c>
      <c r="BI16" s="6">
        <v>49535.45</v>
      </c>
      <c r="BJ16" s="6">
        <v>7076.49</v>
      </c>
      <c r="BK16" s="6">
        <v>534246.59</v>
      </c>
    </row>
    <row r="18" spans="1:16" x14ac:dyDescent="0.3">
      <c r="A18">
        <v>51</v>
      </c>
      <c r="E18">
        <v>0</v>
      </c>
      <c r="F18">
        <v>0</v>
      </c>
      <c r="G18">
        <v>0</v>
      </c>
      <c r="H18">
        <v>534.25</v>
      </c>
      <c r="I18">
        <v>534.25</v>
      </c>
      <c r="J18">
        <v>70.77</v>
      </c>
      <c r="K18">
        <v>884.34</v>
      </c>
      <c r="L18">
        <v>0</v>
      </c>
      <c r="M18">
        <v>0</v>
      </c>
      <c r="N18">
        <v>534.25</v>
      </c>
    </row>
    <row r="20" spans="1:16" x14ac:dyDescent="0.3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477633.06</v>
      </c>
      <c r="G20" s="4" t="s">
        <v>33</v>
      </c>
      <c r="H20" s="4" t="s">
        <v>34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2</v>
      </c>
      <c r="P20" s="4"/>
    </row>
    <row r="21" spans="1:16" x14ac:dyDescent="0.3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406704.96</v>
      </c>
      <c r="G21" s="4" t="s">
        <v>35</v>
      </c>
      <c r="H21" s="4" t="s">
        <v>36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6" x14ac:dyDescent="0.3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37</v>
      </c>
      <c r="H22" s="4" t="s">
        <v>38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6" x14ac:dyDescent="0.3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406704.96</v>
      </c>
      <c r="G23" s="4" t="s">
        <v>39</v>
      </c>
      <c r="H23" s="4" t="s">
        <v>40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6" x14ac:dyDescent="0.3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406704.96</v>
      </c>
      <c r="G24" s="4" t="s">
        <v>41</v>
      </c>
      <c r="H24" s="4" t="s">
        <v>42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2</v>
      </c>
      <c r="P24" s="4"/>
    </row>
    <row r="25" spans="1:16" x14ac:dyDescent="0.3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43</v>
      </c>
      <c r="H25" s="4" t="s">
        <v>44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6" x14ac:dyDescent="0.3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406704.96</v>
      </c>
      <c r="G26" s="4" t="s">
        <v>45</v>
      </c>
      <c r="H26" s="4" t="s">
        <v>46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6" x14ac:dyDescent="0.3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0</v>
      </c>
      <c r="G27" s="4" t="s">
        <v>47</v>
      </c>
      <c r="H27" s="4" t="s">
        <v>48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6" x14ac:dyDescent="0.3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49</v>
      </c>
      <c r="H28" s="4" t="s">
        <v>50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6" x14ac:dyDescent="0.3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0</v>
      </c>
      <c r="G29" s="4" t="s">
        <v>51</v>
      </c>
      <c r="H29" s="4" t="s">
        <v>52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6" x14ac:dyDescent="0.3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163.16999999999999</v>
      </c>
      <c r="G30" s="4" t="s">
        <v>53</v>
      </c>
      <c r="H30" s="4" t="s">
        <v>54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2</v>
      </c>
      <c r="P30" s="4"/>
    </row>
    <row r="31" spans="1:16" x14ac:dyDescent="0.3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55</v>
      </c>
      <c r="H31" s="4" t="s">
        <v>56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6" x14ac:dyDescent="0.3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1.47</v>
      </c>
      <c r="G32" s="4" t="s">
        <v>57</v>
      </c>
      <c r="H32" s="4" t="s">
        <v>58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2</v>
      </c>
      <c r="P32" s="4"/>
    </row>
    <row r="33" spans="1:16" x14ac:dyDescent="0.3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70764.929999999993</v>
      </c>
      <c r="G33" s="4" t="s">
        <v>59</v>
      </c>
      <c r="H33" s="4" t="s">
        <v>60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2</v>
      </c>
      <c r="P33" s="4"/>
    </row>
    <row r="34" spans="1:16" x14ac:dyDescent="0.3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61</v>
      </c>
      <c r="H34" s="4" t="s">
        <v>62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 x14ac:dyDescent="0.3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0</v>
      </c>
      <c r="G35" s="4" t="s">
        <v>63</v>
      </c>
      <c r="H35" s="4" t="s">
        <v>64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 x14ac:dyDescent="0.3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0</v>
      </c>
      <c r="G36" s="4" t="s">
        <v>65</v>
      </c>
      <c r="H36" s="4" t="s">
        <v>66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 x14ac:dyDescent="0.3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534246.59</v>
      </c>
      <c r="G37" s="4" t="s">
        <v>67</v>
      </c>
      <c r="H37" s="4" t="s">
        <v>68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 x14ac:dyDescent="0.3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69</v>
      </c>
      <c r="H38" s="4" t="s">
        <v>70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 x14ac:dyDescent="0.3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71</v>
      </c>
      <c r="H39" s="4" t="s">
        <v>72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 x14ac:dyDescent="0.3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110.82</v>
      </c>
      <c r="G40" s="4" t="s">
        <v>73</v>
      </c>
      <c r="H40" s="4" t="s">
        <v>74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x14ac:dyDescent="0.3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0</v>
      </c>
      <c r="G41" s="4" t="s">
        <v>75</v>
      </c>
      <c r="H41" s="4" t="s">
        <v>76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x14ac:dyDescent="0.3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77</v>
      </c>
      <c r="H42" s="4" t="s">
        <v>78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 x14ac:dyDescent="0.3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0</v>
      </c>
      <c r="G43" s="4" t="s">
        <v>79</v>
      </c>
      <c r="H43" s="4" t="s">
        <v>80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 x14ac:dyDescent="0.3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49535.45</v>
      </c>
      <c r="G44" s="4" t="s">
        <v>81</v>
      </c>
      <c r="H44" s="4" t="s">
        <v>82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2</v>
      </c>
      <c r="P44" s="4"/>
    </row>
    <row r="45" spans="1:16" x14ac:dyDescent="0.3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7076.49</v>
      </c>
      <c r="G45" s="4" t="s">
        <v>83</v>
      </c>
      <c r="H45" s="4" t="s">
        <v>84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2</v>
      </c>
      <c r="P45" s="4"/>
    </row>
    <row r="46" spans="1:16" x14ac:dyDescent="0.3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534246.59</v>
      </c>
      <c r="G46" s="4" t="s">
        <v>85</v>
      </c>
      <c r="H46" s="4" t="s">
        <v>86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2</v>
      </c>
      <c r="P46" s="4"/>
    </row>
    <row r="47" spans="1:16" x14ac:dyDescent="0.3">
      <c r="A47" s="4">
        <v>50</v>
      </c>
      <c r="B47" s="4">
        <v>1</v>
      </c>
      <c r="C47" s="4">
        <v>0</v>
      </c>
      <c r="D47" s="4">
        <v>2</v>
      </c>
      <c r="E47" s="4">
        <v>0</v>
      </c>
      <c r="F47" s="4">
        <v>534246.59</v>
      </c>
      <c r="G47" s="4" t="s">
        <v>87</v>
      </c>
      <c r="H47" s="4" t="s">
        <v>88</v>
      </c>
      <c r="I47" s="4"/>
      <c r="J47" s="4"/>
      <c r="K47" s="4">
        <v>212</v>
      </c>
      <c r="L47" s="4">
        <v>28</v>
      </c>
      <c r="M47" s="4">
        <v>0</v>
      </c>
      <c r="N47" s="4" t="s">
        <v>3</v>
      </c>
      <c r="O47" s="4">
        <v>2</v>
      </c>
      <c r="P47" s="4"/>
    </row>
    <row r="48" spans="1:16" x14ac:dyDescent="0.3">
      <c r="A48" s="4">
        <v>50</v>
      </c>
      <c r="B48" s="4">
        <v>1</v>
      </c>
      <c r="C48" s="4">
        <v>0</v>
      </c>
      <c r="D48" s="4">
        <v>2</v>
      </c>
      <c r="E48" s="4">
        <v>0</v>
      </c>
      <c r="F48" s="4">
        <v>117534.25</v>
      </c>
      <c r="G48" s="4" t="s">
        <v>89</v>
      </c>
      <c r="H48" s="4" t="s">
        <v>90</v>
      </c>
      <c r="I48" s="4"/>
      <c r="J48" s="4"/>
      <c r="K48" s="4">
        <v>212</v>
      </c>
      <c r="L48" s="4">
        <v>29</v>
      </c>
      <c r="M48" s="4">
        <v>0</v>
      </c>
      <c r="N48" s="4" t="s">
        <v>3</v>
      </c>
      <c r="O48" s="4">
        <v>2</v>
      </c>
      <c r="P48" s="4"/>
    </row>
    <row r="49" spans="1:16" x14ac:dyDescent="0.3">
      <c r="A49" s="4">
        <v>50</v>
      </c>
      <c r="B49" s="4">
        <v>1</v>
      </c>
      <c r="C49" s="4">
        <v>0</v>
      </c>
      <c r="D49" s="4">
        <v>2</v>
      </c>
      <c r="E49" s="4">
        <v>213</v>
      </c>
      <c r="F49" s="4">
        <v>651780.84</v>
      </c>
      <c r="G49" s="4" t="s">
        <v>91</v>
      </c>
      <c r="H49" s="4" t="s">
        <v>85</v>
      </c>
      <c r="I49" s="4"/>
      <c r="J49" s="4"/>
      <c r="K49" s="4">
        <v>212</v>
      </c>
      <c r="L49" s="4">
        <v>30</v>
      </c>
      <c r="M49" s="4">
        <v>0</v>
      </c>
      <c r="N49" s="4" t="s">
        <v>3</v>
      </c>
      <c r="O49" s="4">
        <v>2</v>
      </c>
      <c r="P49" s="4"/>
    </row>
    <row r="51" spans="1:16" x14ac:dyDescent="0.3">
      <c r="A51">
        <v>-1</v>
      </c>
    </row>
    <row r="54" spans="1:16" x14ac:dyDescent="0.3">
      <c r="A54" s="3">
        <v>75</v>
      </c>
      <c r="B54" s="3" t="s">
        <v>104</v>
      </c>
      <c r="C54" s="3">
        <v>2026</v>
      </c>
      <c r="D54" s="3">
        <v>0</v>
      </c>
      <c r="E54" s="3">
        <v>7</v>
      </c>
      <c r="F54" s="3">
        <v>0</v>
      </c>
      <c r="G54" s="3">
        <v>0</v>
      </c>
      <c r="H54" s="3">
        <v>1</v>
      </c>
      <c r="I54" s="3">
        <v>0</v>
      </c>
      <c r="J54" s="3">
        <v>1</v>
      </c>
      <c r="K54" s="3">
        <v>78</v>
      </c>
      <c r="L54" s="3">
        <v>30</v>
      </c>
      <c r="M54" s="3">
        <v>0</v>
      </c>
      <c r="N54" s="3">
        <v>66366214</v>
      </c>
      <c r="O54" s="3">
        <v>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8F85-F1CD-49E5-993A-98F94ADE2DB7}">
  <dimension ref="A1:DO21"/>
  <sheetViews>
    <sheetView workbookViewId="0"/>
  </sheetViews>
  <sheetFormatPr defaultColWidth="9.15234375" defaultRowHeight="12.45" x14ac:dyDescent="0.3"/>
  <cols>
    <col min="1" max="256" width="9.15234375" customWidth="1"/>
  </cols>
  <sheetData>
    <row r="1" spans="1:119" x14ac:dyDescent="0.3">
      <c r="A1">
        <f>ROW(Source!A28)</f>
        <v>28</v>
      </c>
      <c r="B1">
        <v>66366214</v>
      </c>
      <c r="C1">
        <v>66366553</v>
      </c>
      <c r="D1">
        <v>66106474</v>
      </c>
      <c r="E1">
        <v>16536011</v>
      </c>
      <c r="F1">
        <v>1</v>
      </c>
      <c r="G1">
        <v>16536011</v>
      </c>
      <c r="H1">
        <v>1</v>
      </c>
      <c r="I1" t="s">
        <v>106</v>
      </c>
      <c r="J1" t="s">
        <v>3</v>
      </c>
      <c r="K1" t="s">
        <v>107</v>
      </c>
      <c r="L1">
        <v>1191</v>
      </c>
      <c r="N1">
        <v>1013</v>
      </c>
      <c r="O1" t="s">
        <v>108</v>
      </c>
      <c r="P1" t="s">
        <v>108</v>
      </c>
      <c r="Q1">
        <v>1</v>
      </c>
      <c r="W1">
        <v>0</v>
      </c>
      <c r="X1">
        <v>476480486</v>
      </c>
      <c r="Y1">
        <f t="shared" ref="Y1:Y21" si="0">AT1</f>
        <v>2.64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1</v>
      </c>
      <c r="AP1">
        <v>0</v>
      </c>
      <c r="AQ1">
        <v>0</v>
      </c>
      <c r="AR1">
        <v>0</v>
      </c>
      <c r="AS1" t="s">
        <v>3</v>
      </c>
      <c r="AT1">
        <v>2.64</v>
      </c>
      <c r="AU1" t="s">
        <v>3</v>
      </c>
      <c r="AV1">
        <v>1</v>
      </c>
      <c r="AW1">
        <v>2</v>
      </c>
      <c r="AX1">
        <v>66366557</v>
      </c>
      <c r="AY1">
        <v>1</v>
      </c>
      <c r="AZ1">
        <v>0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U1">
        <f>ROUND(AT1*Source!I28*AH1*AL1,2)</f>
        <v>0</v>
      </c>
      <c r="CV1">
        <f>ROUND(Y1*Source!I28,9)</f>
        <v>2.64</v>
      </c>
      <c r="CW1">
        <v>0</v>
      </c>
      <c r="CX1">
        <f>ROUND(Y1*Source!I28,9)</f>
        <v>2.64</v>
      </c>
      <c r="CY1">
        <f>AD1</f>
        <v>0</v>
      </c>
      <c r="CZ1">
        <f>AH1</f>
        <v>0</v>
      </c>
      <c r="DA1">
        <f>AL1</f>
        <v>1</v>
      </c>
      <c r="DB1">
        <f t="shared" ref="DB1:DB21" si="1">ROUND(ROUND(AT1*CZ1,2),6)</f>
        <v>0</v>
      </c>
      <c r="DC1">
        <f t="shared" ref="DC1:DC21" si="2">ROUND(ROUND(AT1*AG1,2),6)</f>
        <v>0</v>
      </c>
      <c r="DD1" t="s">
        <v>3</v>
      </c>
      <c r="DE1" t="s">
        <v>3</v>
      </c>
      <c r="DF1">
        <f t="shared" ref="DF1:DF21" si="3">ROUND(ROUND(AE1,2)*CX1,2)</f>
        <v>0</v>
      </c>
      <c r="DG1">
        <f t="shared" ref="DG1:DG21" si="4">ROUND(ROUND(AF1,2)*CX1,2)</f>
        <v>0</v>
      </c>
      <c r="DH1">
        <f t="shared" ref="DH1:DH21" si="5">ROUND(ROUND(AG1,2)*CX1,2)</f>
        <v>0</v>
      </c>
      <c r="DI1">
        <f t="shared" ref="DI1:DI21" si="6">ROUND(ROUND(AH1,2)*CX1,2)</f>
        <v>0</v>
      </c>
      <c r="DJ1">
        <f>DI1</f>
        <v>0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 x14ac:dyDescent="0.3">
      <c r="A2">
        <f>ROW(Source!A28)</f>
        <v>28</v>
      </c>
      <c r="B2">
        <v>66366214</v>
      </c>
      <c r="C2">
        <v>66366553</v>
      </c>
      <c r="D2">
        <v>66118926</v>
      </c>
      <c r="E2">
        <v>1</v>
      </c>
      <c r="F2">
        <v>1</v>
      </c>
      <c r="G2">
        <v>16536011</v>
      </c>
      <c r="H2">
        <v>3</v>
      </c>
      <c r="I2" t="s">
        <v>109</v>
      </c>
      <c r="J2" t="s">
        <v>110</v>
      </c>
      <c r="K2" t="s">
        <v>111</v>
      </c>
      <c r="L2">
        <v>1354</v>
      </c>
      <c r="N2">
        <v>1010</v>
      </c>
      <c r="O2" t="s">
        <v>19</v>
      </c>
      <c r="P2" t="s">
        <v>19</v>
      </c>
      <c r="Q2">
        <v>1</v>
      </c>
      <c r="W2">
        <v>0</v>
      </c>
      <c r="X2">
        <v>-1539020579</v>
      </c>
      <c r="Y2">
        <f t="shared" si="0"/>
        <v>1</v>
      </c>
      <c r="AA2">
        <v>6946.98</v>
      </c>
      <c r="AB2">
        <v>0</v>
      </c>
      <c r="AC2">
        <v>0</v>
      </c>
      <c r="AD2">
        <v>0</v>
      </c>
      <c r="AE2">
        <v>6946.98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1</v>
      </c>
      <c r="AP2">
        <v>0</v>
      </c>
      <c r="AQ2">
        <v>0</v>
      </c>
      <c r="AR2">
        <v>0</v>
      </c>
      <c r="AS2" t="s">
        <v>3</v>
      </c>
      <c r="AT2">
        <v>1</v>
      </c>
      <c r="AU2" t="s">
        <v>3</v>
      </c>
      <c r="AV2">
        <v>0</v>
      </c>
      <c r="AW2">
        <v>2</v>
      </c>
      <c r="AX2">
        <v>66366558</v>
      </c>
      <c r="AY2">
        <v>1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ROUND(Y2*Source!I28,9)</f>
        <v>1</v>
      </c>
      <c r="CY2">
        <f>AA2</f>
        <v>6946.98</v>
      </c>
      <c r="CZ2">
        <f>AE2</f>
        <v>6946.98</v>
      </c>
      <c r="DA2">
        <f>AI2</f>
        <v>1</v>
      </c>
      <c r="DB2">
        <f t="shared" si="1"/>
        <v>6946.98</v>
      </c>
      <c r="DC2">
        <f t="shared" si="2"/>
        <v>0</v>
      </c>
      <c r="DD2" t="s">
        <v>3</v>
      </c>
      <c r="DE2" t="s">
        <v>3</v>
      </c>
      <c r="DF2">
        <f t="shared" si="3"/>
        <v>6946.98</v>
      </c>
      <c r="DG2">
        <f t="shared" si="4"/>
        <v>0</v>
      </c>
      <c r="DH2">
        <f t="shared" si="5"/>
        <v>0</v>
      </c>
      <c r="DI2">
        <f t="shared" si="6"/>
        <v>0</v>
      </c>
      <c r="DJ2">
        <f>DF2</f>
        <v>6946.98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3">
      <c r="A3">
        <f>ROW(Source!A28)</f>
        <v>28</v>
      </c>
      <c r="B3">
        <v>66366214</v>
      </c>
      <c r="C3">
        <v>66366553</v>
      </c>
      <c r="D3">
        <v>66118929</v>
      </c>
      <c r="E3">
        <v>1</v>
      </c>
      <c r="F3">
        <v>1</v>
      </c>
      <c r="G3">
        <v>16536011</v>
      </c>
      <c r="H3">
        <v>3</v>
      </c>
      <c r="I3" t="s">
        <v>112</v>
      </c>
      <c r="J3" t="s">
        <v>113</v>
      </c>
      <c r="K3" t="s">
        <v>114</v>
      </c>
      <c r="L3">
        <v>1354</v>
      </c>
      <c r="N3">
        <v>1010</v>
      </c>
      <c r="O3" t="s">
        <v>19</v>
      </c>
      <c r="P3" t="s">
        <v>19</v>
      </c>
      <c r="Q3">
        <v>1</v>
      </c>
      <c r="W3">
        <v>0</v>
      </c>
      <c r="X3">
        <v>2071953021</v>
      </c>
      <c r="Y3">
        <f t="shared" si="0"/>
        <v>1</v>
      </c>
      <c r="AA3">
        <v>1525.87</v>
      </c>
      <c r="AB3">
        <v>0</v>
      </c>
      <c r="AC3">
        <v>0</v>
      </c>
      <c r="AD3">
        <v>0</v>
      </c>
      <c r="AE3">
        <v>1525.87</v>
      </c>
      <c r="AF3">
        <v>0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1</v>
      </c>
      <c r="AP3">
        <v>0</v>
      </c>
      <c r="AQ3">
        <v>0</v>
      </c>
      <c r="AR3">
        <v>0</v>
      </c>
      <c r="AS3" t="s">
        <v>3</v>
      </c>
      <c r="AT3">
        <v>1</v>
      </c>
      <c r="AU3" t="s">
        <v>3</v>
      </c>
      <c r="AV3">
        <v>0</v>
      </c>
      <c r="AW3">
        <v>2</v>
      </c>
      <c r="AX3">
        <v>66366559</v>
      </c>
      <c r="AY3">
        <v>1</v>
      </c>
      <c r="AZ3">
        <v>0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V3">
        <v>0</v>
      </c>
      <c r="CW3">
        <v>0</v>
      </c>
      <c r="CX3">
        <f>ROUND(Y3*Source!I28,9)</f>
        <v>1</v>
      </c>
      <c r="CY3">
        <f>AA3</f>
        <v>1525.87</v>
      </c>
      <c r="CZ3">
        <f>AE3</f>
        <v>1525.87</v>
      </c>
      <c r="DA3">
        <f>AI3</f>
        <v>1</v>
      </c>
      <c r="DB3">
        <f t="shared" si="1"/>
        <v>1525.87</v>
      </c>
      <c r="DC3">
        <f t="shared" si="2"/>
        <v>0</v>
      </c>
      <c r="DD3" t="s">
        <v>3</v>
      </c>
      <c r="DE3" t="s">
        <v>3</v>
      </c>
      <c r="DF3">
        <f t="shared" si="3"/>
        <v>1525.87</v>
      </c>
      <c r="DG3">
        <f t="shared" si="4"/>
        <v>0</v>
      </c>
      <c r="DH3">
        <f t="shared" si="5"/>
        <v>0</v>
      </c>
      <c r="DI3">
        <f t="shared" si="6"/>
        <v>0</v>
      </c>
      <c r="DJ3">
        <f>DF3</f>
        <v>1525.87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 x14ac:dyDescent="0.3">
      <c r="A4">
        <f>ROW(Source!A29)</f>
        <v>29</v>
      </c>
      <c r="B4">
        <v>66366214</v>
      </c>
      <c r="C4">
        <v>66366560</v>
      </c>
      <c r="D4">
        <v>66106474</v>
      </c>
      <c r="E4">
        <v>16536011</v>
      </c>
      <c r="F4">
        <v>1</v>
      </c>
      <c r="G4">
        <v>16536011</v>
      </c>
      <c r="H4">
        <v>1</v>
      </c>
      <c r="I4" t="s">
        <v>106</v>
      </c>
      <c r="J4" t="s">
        <v>3</v>
      </c>
      <c r="K4" t="s">
        <v>107</v>
      </c>
      <c r="L4">
        <v>1191</v>
      </c>
      <c r="N4">
        <v>1013</v>
      </c>
      <c r="O4" t="s">
        <v>108</v>
      </c>
      <c r="P4" t="s">
        <v>108</v>
      </c>
      <c r="Q4">
        <v>1</v>
      </c>
      <c r="W4">
        <v>0</v>
      </c>
      <c r="X4">
        <v>476480486</v>
      </c>
      <c r="Y4">
        <f t="shared" si="0"/>
        <v>0.7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1</v>
      </c>
      <c r="AP4">
        <v>0</v>
      </c>
      <c r="AQ4">
        <v>0</v>
      </c>
      <c r="AR4">
        <v>0</v>
      </c>
      <c r="AS4" t="s">
        <v>3</v>
      </c>
      <c r="AT4">
        <v>0.7</v>
      </c>
      <c r="AU4" t="s">
        <v>3</v>
      </c>
      <c r="AV4">
        <v>1</v>
      </c>
      <c r="AW4">
        <v>2</v>
      </c>
      <c r="AX4">
        <v>66366564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U4">
        <f>ROUND(AT4*Source!I29*AH4*AL4,2)</f>
        <v>0</v>
      </c>
      <c r="CV4">
        <f>ROUND(Y4*Source!I29,9)</f>
        <v>60.9</v>
      </c>
      <c r="CW4">
        <v>0</v>
      </c>
      <c r="CX4">
        <f>ROUND(Y4*Source!I29,9)</f>
        <v>60.9</v>
      </c>
      <c r="CY4">
        <f>AD4</f>
        <v>0</v>
      </c>
      <c r="CZ4">
        <f>AH4</f>
        <v>0</v>
      </c>
      <c r="DA4">
        <f>AL4</f>
        <v>1</v>
      </c>
      <c r="DB4">
        <f t="shared" si="1"/>
        <v>0</v>
      </c>
      <c r="DC4">
        <f t="shared" si="2"/>
        <v>0</v>
      </c>
      <c r="DD4" t="s">
        <v>3</v>
      </c>
      <c r="DE4" t="s">
        <v>3</v>
      </c>
      <c r="DF4">
        <f t="shared" si="3"/>
        <v>0</v>
      </c>
      <c r="DG4">
        <f t="shared" si="4"/>
        <v>0</v>
      </c>
      <c r="DH4">
        <f t="shared" si="5"/>
        <v>0</v>
      </c>
      <c r="DI4">
        <f t="shared" si="6"/>
        <v>0</v>
      </c>
      <c r="DJ4">
        <f>DI4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3">
      <c r="A5">
        <f>ROW(Source!A29)</f>
        <v>29</v>
      </c>
      <c r="B5">
        <v>66366214</v>
      </c>
      <c r="C5">
        <v>66366560</v>
      </c>
      <c r="D5">
        <v>66108107</v>
      </c>
      <c r="E5">
        <v>1</v>
      </c>
      <c r="F5">
        <v>1</v>
      </c>
      <c r="G5">
        <v>16536011</v>
      </c>
      <c r="H5">
        <v>2</v>
      </c>
      <c r="I5" t="s">
        <v>115</v>
      </c>
      <c r="J5" t="s">
        <v>116</v>
      </c>
      <c r="K5" t="s">
        <v>117</v>
      </c>
      <c r="L5">
        <v>1368</v>
      </c>
      <c r="N5">
        <v>1011</v>
      </c>
      <c r="O5" t="s">
        <v>118</v>
      </c>
      <c r="P5" t="s">
        <v>118</v>
      </c>
      <c r="Q5">
        <v>1</v>
      </c>
      <c r="W5">
        <v>0</v>
      </c>
      <c r="X5">
        <v>-559052119</v>
      </c>
      <c r="Y5">
        <f t="shared" si="0"/>
        <v>0.05</v>
      </c>
      <c r="AA5">
        <v>0</v>
      </c>
      <c r="AB5">
        <v>22.25</v>
      </c>
      <c r="AC5">
        <v>0.22</v>
      </c>
      <c r="AD5">
        <v>0</v>
      </c>
      <c r="AE5">
        <v>0</v>
      </c>
      <c r="AF5">
        <v>22.25</v>
      </c>
      <c r="AG5">
        <v>0.22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1</v>
      </c>
      <c r="AP5">
        <v>0</v>
      </c>
      <c r="AQ5">
        <v>0</v>
      </c>
      <c r="AR5">
        <v>0</v>
      </c>
      <c r="AS5" t="s">
        <v>3</v>
      </c>
      <c r="AT5">
        <v>0.05</v>
      </c>
      <c r="AU5" t="s">
        <v>3</v>
      </c>
      <c r="AV5">
        <v>0</v>
      </c>
      <c r="AW5">
        <v>2</v>
      </c>
      <c r="AX5">
        <v>66366565</v>
      </c>
      <c r="AY5">
        <v>1</v>
      </c>
      <c r="AZ5">
        <v>0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V5">
        <v>0</v>
      </c>
      <c r="CW5">
        <f>ROUND(Y5*Source!I29*DO5,9)</f>
        <v>0</v>
      </c>
      <c r="CX5">
        <f>ROUND(Y5*Source!I29,9)</f>
        <v>4.3499999999999996</v>
      </c>
      <c r="CY5">
        <f>AB5</f>
        <v>22.25</v>
      </c>
      <c r="CZ5">
        <f>AF5</f>
        <v>22.25</v>
      </c>
      <c r="DA5">
        <f>AJ5</f>
        <v>1</v>
      </c>
      <c r="DB5">
        <f t="shared" si="1"/>
        <v>1.1100000000000001</v>
      </c>
      <c r="DC5">
        <f t="shared" si="2"/>
        <v>0.01</v>
      </c>
      <c r="DD5" t="s">
        <v>3</v>
      </c>
      <c r="DE5" t="s">
        <v>3</v>
      </c>
      <c r="DF5">
        <f t="shared" si="3"/>
        <v>0</v>
      </c>
      <c r="DG5">
        <f t="shared" si="4"/>
        <v>96.79</v>
      </c>
      <c r="DH5">
        <f t="shared" si="5"/>
        <v>0.96</v>
      </c>
      <c r="DI5">
        <f t="shared" si="6"/>
        <v>0</v>
      </c>
      <c r="DJ5">
        <f>DG5</f>
        <v>96.79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3">
      <c r="A6">
        <f>ROW(Source!A29)</f>
        <v>29</v>
      </c>
      <c r="B6">
        <v>66366214</v>
      </c>
      <c r="C6">
        <v>66366560</v>
      </c>
      <c r="D6">
        <v>66118929</v>
      </c>
      <c r="E6">
        <v>1</v>
      </c>
      <c r="F6">
        <v>1</v>
      </c>
      <c r="G6">
        <v>16536011</v>
      </c>
      <c r="H6">
        <v>3</v>
      </c>
      <c r="I6" t="s">
        <v>112</v>
      </c>
      <c r="J6" t="s">
        <v>113</v>
      </c>
      <c r="K6" t="s">
        <v>114</v>
      </c>
      <c r="L6">
        <v>1354</v>
      </c>
      <c r="N6">
        <v>1010</v>
      </c>
      <c r="O6" t="s">
        <v>19</v>
      </c>
      <c r="P6" t="s">
        <v>19</v>
      </c>
      <c r="Q6">
        <v>1</v>
      </c>
      <c r="W6">
        <v>0</v>
      </c>
      <c r="X6">
        <v>2071953021</v>
      </c>
      <c r="Y6">
        <f t="shared" si="0"/>
        <v>1</v>
      </c>
      <c r="AA6">
        <v>1525.87</v>
      </c>
      <c r="AB6">
        <v>0</v>
      </c>
      <c r="AC6">
        <v>0</v>
      </c>
      <c r="AD6">
        <v>0</v>
      </c>
      <c r="AE6">
        <v>1525.87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1</v>
      </c>
      <c r="AP6">
        <v>0</v>
      </c>
      <c r="AQ6">
        <v>0</v>
      </c>
      <c r="AR6">
        <v>0</v>
      </c>
      <c r="AS6" t="s">
        <v>3</v>
      </c>
      <c r="AT6">
        <v>1</v>
      </c>
      <c r="AU6" t="s">
        <v>3</v>
      </c>
      <c r="AV6">
        <v>0</v>
      </c>
      <c r="AW6">
        <v>2</v>
      </c>
      <c r="AX6">
        <v>66366566</v>
      </c>
      <c r="AY6">
        <v>1</v>
      </c>
      <c r="AZ6">
        <v>0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ROUND(Y6*Source!I29,9)</f>
        <v>87</v>
      </c>
      <c r="CY6">
        <f>AA6</f>
        <v>1525.87</v>
      </c>
      <c r="CZ6">
        <f>AE6</f>
        <v>1525.87</v>
      </c>
      <c r="DA6">
        <f>AI6</f>
        <v>1</v>
      </c>
      <c r="DB6">
        <f t="shared" si="1"/>
        <v>1525.87</v>
      </c>
      <c r="DC6">
        <f t="shared" si="2"/>
        <v>0</v>
      </c>
      <c r="DD6" t="s">
        <v>3</v>
      </c>
      <c r="DE6" t="s">
        <v>3</v>
      </c>
      <c r="DF6">
        <f t="shared" si="3"/>
        <v>132750.69</v>
      </c>
      <c r="DG6">
        <f t="shared" si="4"/>
        <v>0</v>
      </c>
      <c r="DH6">
        <f t="shared" si="5"/>
        <v>0</v>
      </c>
      <c r="DI6">
        <f t="shared" si="6"/>
        <v>0</v>
      </c>
      <c r="DJ6">
        <f>DF6</f>
        <v>132750.69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3">
      <c r="A7">
        <f>ROW(Source!A29)</f>
        <v>29</v>
      </c>
      <c r="B7">
        <v>66366214</v>
      </c>
      <c r="C7">
        <v>66366560</v>
      </c>
      <c r="D7">
        <v>0</v>
      </c>
      <c r="E7">
        <v>0</v>
      </c>
      <c r="F7">
        <v>1</v>
      </c>
      <c r="G7">
        <v>16536011</v>
      </c>
      <c r="H7">
        <v>3</v>
      </c>
      <c r="I7" t="s">
        <v>29</v>
      </c>
      <c r="J7" t="s">
        <v>3</v>
      </c>
      <c r="K7" t="s">
        <v>30</v>
      </c>
      <c r="L7">
        <v>1354</v>
      </c>
      <c r="N7">
        <v>1010</v>
      </c>
      <c r="O7" t="s">
        <v>19</v>
      </c>
      <c r="P7" t="s">
        <v>19</v>
      </c>
      <c r="Q7">
        <v>1</v>
      </c>
      <c r="W7">
        <v>0</v>
      </c>
      <c r="X7">
        <v>-183389432</v>
      </c>
      <c r="Y7">
        <f t="shared" si="0"/>
        <v>1.0114942499999999</v>
      </c>
      <c r="AA7">
        <v>1352.46</v>
      </c>
      <c r="AB7">
        <v>0</v>
      </c>
      <c r="AC7">
        <v>0</v>
      </c>
      <c r="AD7">
        <v>0</v>
      </c>
      <c r="AE7">
        <v>1352.46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0</v>
      </c>
      <c r="AN7">
        <v>0</v>
      </c>
      <c r="AO7">
        <v>0</v>
      </c>
      <c r="AP7">
        <v>1</v>
      </c>
      <c r="AQ7">
        <v>0</v>
      </c>
      <c r="AR7">
        <v>0</v>
      </c>
      <c r="AS7" t="s">
        <v>3</v>
      </c>
      <c r="AT7">
        <v>1.0114942499999999</v>
      </c>
      <c r="AU7" t="s">
        <v>3</v>
      </c>
      <c r="AV7">
        <v>0</v>
      </c>
      <c r="AW7">
        <v>1</v>
      </c>
      <c r="AX7">
        <v>-1</v>
      </c>
      <c r="AY7">
        <v>0</v>
      </c>
      <c r="AZ7">
        <v>0</v>
      </c>
      <c r="BA7" t="s">
        <v>3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V7">
        <v>0</v>
      </c>
      <c r="CW7">
        <v>0</v>
      </c>
      <c r="CX7">
        <f>ROUND(Y7*Source!I29,9)</f>
        <v>87.999999750000001</v>
      </c>
      <c r="CY7">
        <f>AA7</f>
        <v>1352.46</v>
      </c>
      <c r="CZ7">
        <f>AE7</f>
        <v>1352.46</v>
      </c>
      <c r="DA7">
        <f>AI7</f>
        <v>1</v>
      </c>
      <c r="DB7">
        <f t="shared" si="1"/>
        <v>1368.01</v>
      </c>
      <c r="DC7">
        <f t="shared" si="2"/>
        <v>0</v>
      </c>
      <c r="DD7" t="s">
        <v>3</v>
      </c>
      <c r="DE7" t="s">
        <v>3</v>
      </c>
      <c r="DF7">
        <f t="shared" si="3"/>
        <v>119016.48</v>
      </c>
      <c r="DG7">
        <f t="shared" si="4"/>
        <v>0</v>
      </c>
      <c r="DH7">
        <f t="shared" si="5"/>
        <v>0</v>
      </c>
      <c r="DI7">
        <f t="shared" si="6"/>
        <v>0</v>
      </c>
      <c r="DJ7">
        <f>DF7</f>
        <v>119016.48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3">
      <c r="A8">
        <f>ROW(Source!A69)</f>
        <v>69</v>
      </c>
      <c r="B8">
        <v>66366214</v>
      </c>
      <c r="C8">
        <v>66366597</v>
      </c>
      <c r="D8">
        <v>66106474</v>
      </c>
      <c r="E8">
        <v>16536011</v>
      </c>
      <c r="F8">
        <v>1</v>
      </c>
      <c r="G8">
        <v>16536011</v>
      </c>
      <c r="H8">
        <v>1</v>
      </c>
      <c r="I8" t="s">
        <v>106</v>
      </c>
      <c r="J8" t="s">
        <v>3</v>
      </c>
      <c r="K8" t="s">
        <v>107</v>
      </c>
      <c r="L8">
        <v>1191</v>
      </c>
      <c r="N8">
        <v>1013</v>
      </c>
      <c r="O8" t="s">
        <v>108</v>
      </c>
      <c r="P8" t="s">
        <v>108</v>
      </c>
      <c r="Q8">
        <v>1</v>
      </c>
      <c r="W8">
        <v>0</v>
      </c>
      <c r="X8">
        <v>476480486</v>
      </c>
      <c r="Y8">
        <f t="shared" si="0"/>
        <v>2.64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1</v>
      </c>
      <c r="AP8">
        <v>0</v>
      </c>
      <c r="AQ8">
        <v>0</v>
      </c>
      <c r="AR8">
        <v>0</v>
      </c>
      <c r="AS8" t="s">
        <v>3</v>
      </c>
      <c r="AT8">
        <v>2.64</v>
      </c>
      <c r="AU8" t="s">
        <v>3</v>
      </c>
      <c r="AV8">
        <v>1</v>
      </c>
      <c r="AW8">
        <v>2</v>
      </c>
      <c r="AX8">
        <v>66366601</v>
      </c>
      <c r="AY8">
        <v>1</v>
      </c>
      <c r="AZ8">
        <v>0</v>
      </c>
      <c r="BA8">
        <v>7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U8">
        <f>ROUND(AT8*Source!I69*AH8*AL8,2)</f>
        <v>0</v>
      </c>
      <c r="CV8">
        <f>ROUND(Y8*Source!I69,9)</f>
        <v>2.64</v>
      </c>
      <c r="CW8">
        <v>0</v>
      </c>
      <c r="CX8">
        <f>ROUND(Y8*Source!I69,9)</f>
        <v>2.64</v>
      </c>
      <c r="CY8">
        <f>AD8</f>
        <v>0</v>
      </c>
      <c r="CZ8">
        <f>AH8</f>
        <v>0</v>
      </c>
      <c r="DA8">
        <f>AL8</f>
        <v>1</v>
      </c>
      <c r="DB8">
        <f t="shared" si="1"/>
        <v>0</v>
      </c>
      <c r="DC8">
        <f t="shared" si="2"/>
        <v>0</v>
      </c>
      <c r="DD8" t="s">
        <v>3</v>
      </c>
      <c r="DE8" t="s">
        <v>3</v>
      </c>
      <c r="DF8">
        <f t="shared" si="3"/>
        <v>0</v>
      </c>
      <c r="DG8">
        <f t="shared" si="4"/>
        <v>0</v>
      </c>
      <c r="DH8">
        <f t="shared" si="5"/>
        <v>0</v>
      </c>
      <c r="DI8">
        <f t="shared" si="6"/>
        <v>0</v>
      </c>
      <c r="DJ8">
        <f>DI8</f>
        <v>0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3">
      <c r="A9">
        <f>ROW(Source!A69)</f>
        <v>69</v>
      </c>
      <c r="B9">
        <v>66366214</v>
      </c>
      <c r="C9">
        <v>66366597</v>
      </c>
      <c r="D9">
        <v>66118926</v>
      </c>
      <c r="E9">
        <v>1</v>
      </c>
      <c r="F9">
        <v>1</v>
      </c>
      <c r="G9">
        <v>16536011</v>
      </c>
      <c r="H9">
        <v>3</v>
      </c>
      <c r="I9" t="s">
        <v>109</v>
      </c>
      <c r="J9" t="s">
        <v>110</v>
      </c>
      <c r="K9" t="s">
        <v>111</v>
      </c>
      <c r="L9">
        <v>1354</v>
      </c>
      <c r="N9">
        <v>1010</v>
      </c>
      <c r="O9" t="s">
        <v>19</v>
      </c>
      <c r="P9" t="s">
        <v>19</v>
      </c>
      <c r="Q9">
        <v>1</v>
      </c>
      <c r="W9">
        <v>0</v>
      </c>
      <c r="X9">
        <v>-1539020579</v>
      </c>
      <c r="Y9">
        <f t="shared" si="0"/>
        <v>1</v>
      </c>
      <c r="AA9">
        <v>6946.98</v>
      </c>
      <c r="AB9">
        <v>0</v>
      </c>
      <c r="AC9">
        <v>0</v>
      </c>
      <c r="AD9">
        <v>0</v>
      </c>
      <c r="AE9">
        <v>6946.98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1</v>
      </c>
      <c r="AP9">
        <v>0</v>
      </c>
      <c r="AQ9">
        <v>0</v>
      </c>
      <c r="AR9">
        <v>0</v>
      </c>
      <c r="AS9" t="s">
        <v>3</v>
      </c>
      <c r="AT9">
        <v>1</v>
      </c>
      <c r="AU9" t="s">
        <v>3</v>
      </c>
      <c r="AV9">
        <v>0</v>
      </c>
      <c r="AW9">
        <v>2</v>
      </c>
      <c r="AX9">
        <v>66366602</v>
      </c>
      <c r="AY9">
        <v>1</v>
      </c>
      <c r="AZ9">
        <v>0</v>
      </c>
      <c r="BA9">
        <v>8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ROUND(Y9*Source!I69,9)</f>
        <v>1</v>
      </c>
      <c r="CY9">
        <f>AA9</f>
        <v>6946.98</v>
      </c>
      <c r="CZ9">
        <f>AE9</f>
        <v>6946.98</v>
      </c>
      <c r="DA9">
        <f>AI9</f>
        <v>1</v>
      </c>
      <c r="DB9">
        <f t="shared" si="1"/>
        <v>6946.98</v>
      </c>
      <c r="DC9">
        <f t="shared" si="2"/>
        <v>0</v>
      </c>
      <c r="DD9" t="s">
        <v>3</v>
      </c>
      <c r="DE9" t="s">
        <v>3</v>
      </c>
      <c r="DF9">
        <f t="shared" si="3"/>
        <v>6946.98</v>
      </c>
      <c r="DG9">
        <f t="shared" si="4"/>
        <v>0</v>
      </c>
      <c r="DH9">
        <f t="shared" si="5"/>
        <v>0</v>
      </c>
      <c r="DI9">
        <f t="shared" si="6"/>
        <v>0</v>
      </c>
      <c r="DJ9">
        <f>DF9</f>
        <v>6946.98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3">
      <c r="A10">
        <f>ROW(Source!A69)</f>
        <v>69</v>
      </c>
      <c r="B10">
        <v>66366214</v>
      </c>
      <c r="C10">
        <v>66366597</v>
      </c>
      <c r="D10">
        <v>66118929</v>
      </c>
      <c r="E10">
        <v>1</v>
      </c>
      <c r="F10">
        <v>1</v>
      </c>
      <c r="G10">
        <v>16536011</v>
      </c>
      <c r="H10">
        <v>3</v>
      </c>
      <c r="I10" t="s">
        <v>112</v>
      </c>
      <c r="J10" t="s">
        <v>113</v>
      </c>
      <c r="K10" t="s">
        <v>114</v>
      </c>
      <c r="L10">
        <v>1354</v>
      </c>
      <c r="N10">
        <v>1010</v>
      </c>
      <c r="O10" t="s">
        <v>19</v>
      </c>
      <c r="P10" t="s">
        <v>19</v>
      </c>
      <c r="Q10">
        <v>1</v>
      </c>
      <c r="W10">
        <v>0</v>
      </c>
      <c r="X10">
        <v>2071953021</v>
      </c>
      <c r="Y10">
        <f t="shared" si="0"/>
        <v>1</v>
      </c>
      <c r="AA10">
        <v>1525.87</v>
      </c>
      <c r="AB10">
        <v>0</v>
      </c>
      <c r="AC10">
        <v>0</v>
      </c>
      <c r="AD10">
        <v>0</v>
      </c>
      <c r="AE10">
        <v>1525.87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1</v>
      </c>
      <c r="AP10">
        <v>0</v>
      </c>
      <c r="AQ10">
        <v>0</v>
      </c>
      <c r="AR10">
        <v>0</v>
      </c>
      <c r="AS10" t="s">
        <v>3</v>
      </c>
      <c r="AT10">
        <v>1</v>
      </c>
      <c r="AU10" t="s">
        <v>3</v>
      </c>
      <c r="AV10">
        <v>0</v>
      </c>
      <c r="AW10">
        <v>2</v>
      </c>
      <c r="AX10">
        <v>66366603</v>
      </c>
      <c r="AY10">
        <v>1</v>
      </c>
      <c r="AZ10">
        <v>0</v>
      </c>
      <c r="BA10">
        <v>9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V10">
        <v>0</v>
      </c>
      <c r="CW10">
        <v>0</v>
      </c>
      <c r="CX10">
        <f>ROUND(Y10*Source!I69,9)</f>
        <v>1</v>
      </c>
      <c r="CY10">
        <f>AA10</f>
        <v>1525.87</v>
      </c>
      <c r="CZ10">
        <f>AE10</f>
        <v>1525.87</v>
      </c>
      <c r="DA10">
        <f>AI10</f>
        <v>1</v>
      </c>
      <c r="DB10">
        <f t="shared" si="1"/>
        <v>1525.87</v>
      </c>
      <c r="DC10">
        <f t="shared" si="2"/>
        <v>0</v>
      </c>
      <c r="DD10" t="s">
        <v>3</v>
      </c>
      <c r="DE10" t="s">
        <v>3</v>
      </c>
      <c r="DF10">
        <f t="shared" si="3"/>
        <v>1525.87</v>
      </c>
      <c r="DG10">
        <f t="shared" si="4"/>
        <v>0</v>
      </c>
      <c r="DH10">
        <f t="shared" si="5"/>
        <v>0</v>
      </c>
      <c r="DI10">
        <f t="shared" si="6"/>
        <v>0</v>
      </c>
      <c r="DJ10">
        <f>DF10</f>
        <v>1525.87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3">
      <c r="A11">
        <f>ROW(Source!A70)</f>
        <v>70</v>
      </c>
      <c r="B11">
        <v>66366214</v>
      </c>
      <c r="C11">
        <v>66366604</v>
      </c>
      <c r="D11">
        <v>66106474</v>
      </c>
      <c r="E11">
        <v>16536011</v>
      </c>
      <c r="F11">
        <v>1</v>
      </c>
      <c r="G11">
        <v>16536011</v>
      </c>
      <c r="H11">
        <v>1</v>
      </c>
      <c r="I11" t="s">
        <v>106</v>
      </c>
      <c r="J11" t="s">
        <v>3</v>
      </c>
      <c r="K11" t="s">
        <v>107</v>
      </c>
      <c r="L11">
        <v>1191</v>
      </c>
      <c r="N11">
        <v>1013</v>
      </c>
      <c r="O11" t="s">
        <v>108</v>
      </c>
      <c r="P11" t="s">
        <v>108</v>
      </c>
      <c r="Q11">
        <v>1</v>
      </c>
      <c r="W11">
        <v>0</v>
      </c>
      <c r="X11">
        <v>476480486</v>
      </c>
      <c r="Y11">
        <f t="shared" si="0"/>
        <v>0.7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3</v>
      </c>
      <c r="AT11">
        <v>0.7</v>
      </c>
      <c r="AU11" t="s">
        <v>3</v>
      </c>
      <c r="AV11">
        <v>1</v>
      </c>
      <c r="AW11">
        <v>2</v>
      </c>
      <c r="AX11">
        <v>66366608</v>
      </c>
      <c r="AY11">
        <v>1</v>
      </c>
      <c r="AZ11">
        <v>0</v>
      </c>
      <c r="BA11">
        <v>10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U11">
        <f>ROUND(AT11*Source!I70*AH11*AL11,2)</f>
        <v>0</v>
      </c>
      <c r="CV11">
        <f>ROUND(Y11*Source!I70,9)</f>
        <v>16.100000000000001</v>
      </c>
      <c r="CW11">
        <v>0</v>
      </c>
      <c r="CX11">
        <f>ROUND(Y11*Source!I70,9)</f>
        <v>16.100000000000001</v>
      </c>
      <c r="CY11">
        <f>AD11</f>
        <v>0</v>
      </c>
      <c r="CZ11">
        <f>AH11</f>
        <v>0</v>
      </c>
      <c r="DA11">
        <f>AL11</f>
        <v>1</v>
      </c>
      <c r="DB11">
        <f t="shared" si="1"/>
        <v>0</v>
      </c>
      <c r="DC11">
        <f t="shared" si="2"/>
        <v>0</v>
      </c>
      <c r="DD11" t="s">
        <v>3</v>
      </c>
      <c r="DE11" t="s">
        <v>3</v>
      </c>
      <c r="DF11">
        <f t="shared" si="3"/>
        <v>0</v>
      </c>
      <c r="DG11">
        <f t="shared" si="4"/>
        <v>0</v>
      </c>
      <c r="DH11">
        <f t="shared" si="5"/>
        <v>0</v>
      </c>
      <c r="DI11">
        <f t="shared" si="6"/>
        <v>0</v>
      </c>
      <c r="DJ11">
        <f>DI11</f>
        <v>0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3">
      <c r="A12">
        <f>ROW(Source!A70)</f>
        <v>70</v>
      </c>
      <c r="B12">
        <v>66366214</v>
      </c>
      <c r="C12">
        <v>66366604</v>
      </c>
      <c r="D12">
        <v>66108107</v>
      </c>
      <c r="E12">
        <v>1</v>
      </c>
      <c r="F12">
        <v>1</v>
      </c>
      <c r="G12">
        <v>16536011</v>
      </c>
      <c r="H12">
        <v>2</v>
      </c>
      <c r="I12" t="s">
        <v>115</v>
      </c>
      <c r="J12" t="s">
        <v>116</v>
      </c>
      <c r="K12" t="s">
        <v>117</v>
      </c>
      <c r="L12">
        <v>1368</v>
      </c>
      <c r="N12">
        <v>1011</v>
      </c>
      <c r="O12" t="s">
        <v>118</v>
      </c>
      <c r="P12" t="s">
        <v>118</v>
      </c>
      <c r="Q12">
        <v>1</v>
      </c>
      <c r="W12">
        <v>0</v>
      </c>
      <c r="X12">
        <v>-559052119</v>
      </c>
      <c r="Y12">
        <f t="shared" si="0"/>
        <v>0.05</v>
      </c>
      <c r="AA12">
        <v>0</v>
      </c>
      <c r="AB12">
        <v>22.25</v>
      </c>
      <c r="AC12">
        <v>0.22</v>
      </c>
      <c r="AD12">
        <v>0</v>
      </c>
      <c r="AE12">
        <v>0</v>
      </c>
      <c r="AF12">
        <v>22.25</v>
      </c>
      <c r="AG12">
        <v>0.22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1</v>
      </c>
      <c r="AP12">
        <v>0</v>
      </c>
      <c r="AQ12">
        <v>0</v>
      </c>
      <c r="AR12">
        <v>0</v>
      </c>
      <c r="AS12" t="s">
        <v>3</v>
      </c>
      <c r="AT12">
        <v>0.05</v>
      </c>
      <c r="AU12" t="s">
        <v>3</v>
      </c>
      <c r="AV12">
        <v>0</v>
      </c>
      <c r="AW12">
        <v>2</v>
      </c>
      <c r="AX12">
        <v>66366609</v>
      </c>
      <c r="AY12">
        <v>1</v>
      </c>
      <c r="AZ12">
        <v>0</v>
      </c>
      <c r="BA12">
        <v>11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V12">
        <v>0</v>
      </c>
      <c r="CW12">
        <f>ROUND(Y12*Source!I70*DO12,9)</f>
        <v>0</v>
      </c>
      <c r="CX12">
        <f>ROUND(Y12*Source!I70,9)</f>
        <v>1.1499999999999999</v>
      </c>
      <c r="CY12">
        <f>AB12</f>
        <v>22.25</v>
      </c>
      <c r="CZ12">
        <f>AF12</f>
        <v>22.25</v>
      </c>
      <c r="DA12">
        <f>AJ12</f>
        <v>1</v>
      </c>
      <c r="DB12">
        <f t="shared" si="1"/>
        <v>1.1100000000000001</v>
      </c>
      <c r="DC12">
        <f t="shared" si="2"/>
        <v>0.01</v>
      </c>
      <c r="DD12" t="s">
        <v>3</v>
      </c>
      <c r="DE12" t="s">
        <v>3</v>
      </c>
      <c r="DF12">
        <f t="shared" si="3"/>
        <v>0</v>
      </c>
      <c r="DG12">
        <f t="shared" si="4"/>
        <v>25.59</v>
      </c>
      <c r="DH12">
        <f t="shared" si="5"/>
        <v>0.25</v>
      </c>
      <c r="DI12">
        <f t="shared" si="6"/>
        <v>0</v>
      </c>
      <c r="DJ12">
        <f>DG12</f>
        <v>25.59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3">
      <c r="A13">
        <f>ROW(Source!A70)</f>
        <v>70</v>
      </c>
      <c r="B13">
        <v>66366214</v>
      </c>
      <c r="C13">
        <v>66366604</v>
      </c>
      <c r="D13">
        <v>66118929</v>
      </c>
      <c r="E13">
        <v>1</v>
      </c>
      <c r="F13">
        <v>1</v>
      </c>
      <c r="G13">
        <v>16536011</v>
      </c>
      <c r="H13">
        <v>3</v>
      </c>
      <c r="I13" t="s">
        <v>112</v>
      </c>
      <c r="J13" t="s">
        <v>113</v>
      </c>
      <c r="K13" t="s">
        <v>114</v>
      </c>
      <c r="L13">
        <v>1354</v>
      </c>
      <c r="N13">
        <v>1010</v>
      </c>
      <c r="O13" t="s">
        <v>19</v>
      </c>
      <c r="P13" t="s">
        <v>19</v>
      </c>
      <c r="Q13">
        <v>1</v>
      </c>
      <c r="W13">
        <v>0</v>
      </c>
      <c r="X13">
        <v>2071953021</v>
      </c>
      <c r="Y13">
        <f t="shared" si="0"/>
        <v>1</v>
      </c>
      <c r="AA13">
        <v>1525.87</v>
      </c>
      <c r="AB13">
        <v>0</v>
      </c>
      <c r="AC13">
        <v>0</v>
      </c>
      <c r="AD13">
        <v>0</v>
      </c>
      <c r="AE13">
        <v>1525.87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1</v>
      </c>
      <c r="AP13">
        <v>0</v>
      </c>
      <c r="AQ13">
        <v>0</v>
      </c>
      <c r="AR13">
        <v>0</v>
      </c>
      <c r="AS13" t="s">
        <v>3</v>
      </c>
      <c r="AT13">
        <v>1</v>
      </c>
      <c r="AU13" t="s">
        <v>3</v>
      </c>
      <c r="AV13">
        <v>0</v>
      </c>
      <c r="AW13">
        <v>2</v>
      </c>
      <c r="AX13">
        <v>66366610</v>
      </c>
      <c r="AY13">
        <v>1</v>
      </c>
      <c r="AZ13">
        <v>0</v>
      </c>
      <c r="BA13">
        <v>12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v>0</v>
      </c>
      <c r="CX13">
        <f>ROUND(Y13*Source!I70,9)</f>
        <v>23</v>
      </c>
      <c r="CY13">
        <f>AA13</f>
        <v>1525.87</v>
      </c>
      <c r="CZ13">
        <f>AE13</f>
        <v>1525.87</v>
      </c>
      <c r="DA13">
        <f>AI13</f>
        <v>1</v>
      </c>
      <c r="DB13">
        <f t="shared" si="1"/>
        <v>1525.87</v>
      </c>
      <c r="DC13">
        <f t="shared" si="2"/>
        <v>0</v>
      </c>
      <c r="DD13" t="s">
        <v>3</v>
      </c>
      <c r="DE13" t="s">
        <v>3</v>
      </c>
      <c r="DF13">
        <f t="shared" si="3"/>
        <v>35095.01</v>
      </c>
      <c r="DG13">
        <f t="shared" si="4"/>
        <v>0</v>
      </c>
      <c r="DH13">
        <f t="shared" si="5"/>
        <v>0</v>
      </c>
      <c r="DI13">
        <f t="shared" si="6"/>
        <v>0</v>
      </c>
      <c r="DJ13">
        <f>DF13</f>
        <v>35095.01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3">
      <c r="A14">
        <f>ROW(Source!A70)</f>
        <v>70</v>
      </c>
      <c r="B14">
        <v>66366214</v>
      </c>
      <c r="C14">
        <v>66366604</v>
      </c>
      <c r="D14">
        <v>0</v>
      </c>
      <c r="E14">
        <v>16536011</v>
      </c>
      <c r="F14">
        <v>1</v>
      </c>
      <c r="G14">
        <v>16536011</v>
      </c>
      <c r="H14">
        <v>3</v>
      </c>
      <c r="I14" t="s">
        <v>29</v>
      </c>
      <c r="J14" t="s">
        <v>3</v>
      </c>
      <c r="K14" t="s">
        <v>96</v>
      </c>
      <c r="L14">
        <v>1354</v>
      </c>
      <c r="N14">
        <v>1010</v>
      </c>
      <c r="O14" t="s">
        <v>19</v>
      </c>
      <c r="P14" t="s">
        <v>19</v>
      </c>
      <c r="Q14">
        <v>1</v>
      </c>
      <c r="W14">
        <v>0</v>
      </c>
      <c r="X14">
        <v>-959015690</v>
      </c>
      <c r="Y14">
        <f t="shared" si="0"/>
        <v>1.0434782600000001</v>
      </c>
      <c r="AA14">
        <v>647.54</v>
      </c>
      <c r="AB14">
        <v>0</v>
      </c>
      <c r="AC14">
        <v>0</v>
      </c>
      <c r="AD14">
        <v>0</v>
      </c>
      <c r="AE14">
        <v>647.54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s">
        <v>3</v>
      </c>
      <c r="AT14">
        <v>1.0434782600000001</v>
      </c>
      <c r="AU14" t="s">
        <v>3</v>
      </c>
      <c r="AV14">
        <v>0</v>
      </c>
      <c r="AW14">
        <v>1</v>
      </c>
      <c r="AX14">
        <v>-1</v>
      </c>
      <c r="AY14">
        <v>0</v>
      </c>
      <c r="AZ14">
        <v>0</v>
      </c>
      <c r="BA14" t="s">
        <v>3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V14">
        <v>0</v>
      </c>
      <c r="CW14">
        <v>0</v>
      </c>
      <c r="CX14">
        <f>ROUND(Y14*Source!I70,9)</f>
        <v>23.999999979999998</v>
      </c>
      <c r="CY14">
        <f>AA14</f>
        <v>647.54</v>
      </c>
      <c r="CZ14">
        <f>AE14</f>
        <v>647.54</v>
      </c>
      <c r="DA14">
        <f>AI14</f>
        <v>1</v>
      </c>
      <c r="DB14">
        <f t="shared" si="1"/>
        <v>675.69</v>
      </c>
      <c r="DC14">
        <f t="shared" si="2"/>
        <v>0</v>
      </c>
      <c r="DD14" t="s">
        <v>3</v>
      </c>
      <c r="DE14" t="s">
        <v>3</v>
      </c>
      <c r="DF14">
        <f t="shared" si="3"/>
        <v>15540.96</v>
      </c>
      <c r="DG14">
        <f t="shared" si="4"/>
        <v>0</v>
      </c>
      <c r="DH14">
        <f t="shared" si="5"/>
        <v>0</v>
      </c>
      <c r="DI14">
        <f t="shared" si="6"/>
        <v>0</v>
      </c>
      <c r="DJ14">
        <f>DF14</f>
        <v>15540.96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3">
      <c r="A15">
        <f>ROW(Source!A110)</f>
        <v>110</v>
      </c>
      <c r="B15">
        <v>66366214</v>
      </c>
      <c r="C15">
        <v>66366641</v>
      </c>
      <c r="D15">
        <v>66106474</v>
      </c>
      <c r="E15">
        <v>16536011</v>
      </c>
      <c r="F15">
        <v>1</v>
      </c>
      <c r="G15">
        <v>16536011</v>
      </c>
      <c r="H15">
        <v>1</v>
      </c>
      <c r="I15" t="s">
        <v>106</v>
      </c>
      <c r="J15" t="s">
        <v>3</v>
      </c>
      <c r="K15" t="s">
        <v>107</v>
      </c>
      <c r="L15">
        <v>1191</v>
      </c>
      <c r="N15">
        <v>1013</v>
      </c>
      <c r="O15" t="s">
        <v>108</v>
      </c>
      <c r="P15" t="s">
        <v>108</v>
      </c>
      <c r="Q15">
        <v>1</v>
      </c>
      <c r="W15">
        <v>0</v>
      </c>
      <c r="X15">
        <v>476480486</v>
      </c>
      <c r="Y15">
        <f t="shared" si="0"/>
        <v>2.64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1</v>
      </c>
      <c r="AP15">
        <v>0</v>
      </c>
      <c r="AQ15">
        <v>0</v>
      </c>
      <c r="AR15">
        <v>0</v>
      </c>
      <c r="AS15" t="s">
        <v>3</v>
      </c>
      <c r="AT15">
        <v>2.64</v>
      </c>
      <c r="AU15" t="s">
        <v>3</v>
      </c>
      <c r="AV15">
        <v>1</v>
      </c>
      <c r="AW15">
        <v>2</v>
      </c>
      <c r="AX15">
        <v>66366645</v>
      </c>
      <c r="AY15">
        <v>1</v>
      </c>
      <c r="AZ15">
        <v>0</v>
      </c>
      <c r="BA15">
        <v>13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U15">
        <f>ROUND(AT15*Source!I110*AH15*AL15,2)</f>
        <v>0</v>
      </c>
      <c r="CV15">
        <f>ROUND(Y15*Source!I110,9)</f>
        <v>2.64</v>
      </c>
      <c r="CW15">
        <v>0</v>
      </c>
      <c r="CX15">
        <f>ROUND(Y15*Source!I110,9)</f>
        <v>2.64</v>
      </c>
      <c r="CY15">
        <f>AD15</f>
        <v>0</v>
      </c>
      <c r="CZ15">
        <f>AH15</f>
        <v>0</v>
      </c>
      <c r="DA15">
        <f>AL15</f>
        <v>1</v>
      </c>
      <c r="DB15">
        <f t="shared" si="1"/>
        <v>0</v>
      </c>
      <c r="DC15">
        <f t="shared" si="2"/>
        <v>0</v>
      </c>
      <c r="DD15" t="s">
        <v>3</v>
      </c>
      <c r="DE15" t="s">
        <v>3</v>
      </c>
      <c r="DF15">
        <f t="shared" si="3"/>
        <v>0</v>
      </c>
      <c r="DG15">
        <f t="shared" si="4"/>
        <v>0</v>
      </c>
      <c r="DH15">
        <f t="shared" si="5"/>
        <v>0</v>
      </c>
      <c r="DI15">
        <f t="shared" si="6"/>
        <v>0</v>
      </c>
      <c r="DJ15">
        <f>DI15</f>
        <v>0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3">
      <c r="A16">
        <f>ROW(Source!A110)</f>
        <v>110</v>
      </c>
      <c r="B16">
        <v>66366214</v>
      </c>
      <c r="C16">
        <v>66366641</v>
      </c>
      <c r="D16">
        <v>66118926</v>
      </c>
      <c r="E16">
        <v>1</v>
      </c>
      <c r="F16">
        <v>1</v>
      </c>
      <c r="G16">
        <v>16536011</v>
      </c>
      <c r="H16">
        <v>3</v>
      </c>
      <c r="I16" t="s">
        <v>109</v>
      </c>
      <c r="J16" t="s">
        <v>110</v>
      </c>
      <c r="K16" t="s">
        <v>111</v>
      </c>
      <c r="L16">
        <v>1354</v>
      </c>
      <c r="N16">
        <v>1010</v>
      </c>
      <c r="O16" t="s">
        <v>19</v>
      </c>
      <c r="P16" t="s">
        <v>19</v>
      </c>
      <c r="Q16">
        <v>1</v>
      </c>
      <c r="W16">
        <v>0</v>
      </c>
      <c r="X16">
        <v>-1539020579</v>
      </c>
      <c r="Y16">
        <f t="shared" si="0"/>
        <v>1</v>
      </c>
      <c r="AA16">
        <v>6946.98</v>
      </c>
      <c r="AB16">
        <v>0</v>
      </c>
      <c r="AC16">
        <v>0</v>
      </c>
      <c r="AD16">
        <v>0</v>
      </c>
      <c r="AE16">
        <v>6946.98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1</v>
      </c>
      <c r="AP16">
        <v>0</v>
      </c>
      <c r="AQ16">
        <v>0</v>
      </c>
      <c r="AR16">
        <v>0</v>
      </c>
      <c r="AS16" t="s">
        <v>3</v>
      </c>
      <c r="AT16">
        <v>1</v>
      </c>
      <c r="AU16" t="s">
        <v>3</v>
      </c>
      <c r="AV16">
        <v>0</v>
      </c>
      <c r="AW16">
        <v>2</v>
      </c>
      <c r="AX16">
        <v>66366646</v>
      </c>
      <c r="AY16">
        <v>1</v>
      </c>
      <c r="AZ16">
        <v>0</v>
      </c>
      <c r="BA16">
        <v>14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V16">
        <v>0</v>
      </c>
      <c r="CW16">
        <v>0</v>
      </c>
      <c r="CX16">
        <f>ROUND(Y16*Source!I110,9)</f>
        <v>1</v>
      </c>
      <c r="CY16">
        <f>AA16</f>
        <v>6946.98</v>
      </c>
      <c r="CZ16">
        <f>AE16</f>
        <v>6946.98</v>
      </c>
      <c r="DA16">
        <f>AI16</f>
        <v>1</v>
      </c>
      <c r="DB16">
        <f t="shared" si="1"/>
        <v>6946.98</v>
      </c>
      <c r="DC16">
        <f t="shared" si="2"/>
        <v>0</v>
      </c>
      <c r="DD16" t="s">
        <v>3</v>
      </c>
      <c r="DE16" t="s">
        <v>3</v>
      </c>
      <c r="DF16">
        <f t="shared" si="3"/>
        <v>6946.98</v>
      </c>
      <c r="DG16">
        <f t="shared" si="4"/>
        <v>0</v>
      </c>
      <c r="DH16">
        <f t="shared" si="5"/>
        <v>0</v>
      </c>
      <c r="DI16">
        <f t="shared" si="6"/>
        <v>0</v>
      </c>
      <c r="DJ16">
        <f>DF16</f>
        <v>6946.98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3">
      <c r="A17">
        <f>ROW(Source!A110)</f>
        <v>110</v>
      </c>
      <c r="B17">
        <v>66366214</v>
      </c>
      <c r="C17">
        <v>66366641</v>
      </c>
      <c r="D17">
        <v>66118929</v>
      </c>
      <c r="E17">
        <v>1</v>
      </c>
      <c r="F17">
        <v>1</v>
      </c>
      <c r="G17">
        <v>16536011</v>
      </c>
      <c r="H17">
        <v>3</v>
      </c>
      <c r="I17" t="s">
        <v>112</v>
      </c>
      <c r="J17" t="s">
        <v>113</v>
      </c>
      <c r="K17" t="s">
        <v>114</v>
      </c>
      <c r="L17">
        <v>1354</v>
      </c>
      <c r="N17">
        <v>1010</v>
      </c>
      <c r="O17" t="s">
        <v>19</v>
      </c>
      <c r="P17" t="s">
        <v>19</v>
      </c>
      <c r="Q17">
        <v>1</v>
      </c>
      <c r="W17">
        <v>0</v>
      </c>
      <c r="X17">
        <v>2071953021</v>
      </c>
      <c r="Y17">
        <f t="shared" si="0"/>
        <v>1</v>
      </c>
      <c r="AA17">
        <v>1525.87</v>
      </c>
      <c r="AB17">
        <v>0</v>
      </c>
      <c r="AC17">
        <v>0</v>
      </c>
      <c r="AD17">
        <v>0</v>
      </c>
      <c r="AE17">
        <v>1525.87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1</v>
      </c>
      <c r="AP17">
        <v>0</v>
      </c>
      <c r="AQ17">
        <v>0</v>
      </c>
      <c r="AR17">
        <v>0</v>
      </c>
      <c r="AS17" t="s">
        <v>3</v>
      </c>
      <c r="AT17">
        <v>1</v>
      </c>
      <c r="AU17" t="s">
        <v>3</v>
      </c>
      <c r="AV17">
        <v>0</v>
      </c>
      <c r="AW17">
        <v>2</v>
      </c>
      <c r="AX17">
        <v>66366647</v>
      </c>
      <c r="AY17">
        <v>1</v>
      </c>
      <c r="AZ17">
        <v>0</v>
      </c>
      <c r="BA17">
        <v>15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V17">
        <v>0</v>
      </c>
      <c r="CW17">
        <v>0</v>
      </c>
      <c r="CX17">
        <f>ROUND(Y17*Source!I110,9)</f>
        <v>1</v>
      </c>
      <c r="CY17">
        <f>AA17</f>
        <v>1525.87</v>
      </c>
      <c r="CZ17">
        <f>AE17</f>
        <v>1525.87</v>
      </c>
      <c r="DA17">
        <f>AI17</f>
        <v>1</v>
      </c>
      <c r="DB17">
        <f t="shared" si="1"/>
        <v>1525.87</v>
      </c>
      <c r="DC17">
        <f t="shared" si="2"/>
        <v>0</v>
      </c>
      <c r="DD17" t="s">
        <v>3</v>
      </c>
      <c r="DE17" t="s">
        <v>3</v>
      </c>
      <c r="DF17">
        <f t="shared" si="3"/>
        <v>1525.87</v>
      </c>
      <c r="DG17">
        <f t="shared" si="4"/>
        <v>0</v>
      </c>
      <c r="DH17">
        <f t="shared" si="5"/>
        <v>0</v>
      </c>
      <c r="DI17">
        <f t="shared" si="6"/>
        <v>0</v>
      </c>
      <c r="DJ17">
        <f>DF17</f>
        <v>1525.87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3">
      <c r="A18">
        <f>ROW(Source!A111)</f>
        <v>111</v>
      </c>
      <c r="B18">
        <v>66366214</v>
      </c>
      <c r="C18">
        <v>66366648</v>
      </c>
      <c r="D18">
        <v>66106474</v>
      </c>
      <c r="E18">
        <v>16536011</v>
      </c>
      <c r="F18">
        <v>1</v>
      </c>
      <c r="G18">
        <v>16536011</v>
      </c>
      <c r="H18">
        <v>1</v>
      </c>
      <c r="I18" t="s">
        <v>106</v>
      </c>
      <c r="J18" t="s">
        <v>3</v>
      </c>
      <c r="K18" t="s">
        <v>107</v>
      </c>
      <c r="L18">
        <v>1191</v>
      </c>
      <c r="N18">
        <v>1013</v>
      </c>
      <c r="O18" t="s">
        <v>108</v>
      </c>
      <c r="P18" t="s">
        <v>108</v>
      </c>
      <c r="Q18">
        <v>1</v>
      </c>
      <c r="W18">
        <v>0</v>
      </c>
      <c r="X18">
        <v>476480486</v>
      </c>
      <c r="Y18">
        <f t="shared" si="0"/>
        <v>0.7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1</v>
      </c>
      <c r="AP18">
        <v>0</v>
      </c>
      <c r="AQ18">
        <v>0</v>
      </c>
      <c r="AR18">
        <v>0</v>
      </c>
      <c r="AS18" t="s">
        <v>3</v>
      </c>
      <c r="AT18">
        <v>0.7</v>
      </c>
      <c r="AU18" t="s">
        <v>3</v>
      </c>
      <c r="AV18">
        <v>1</v>
      </c>
      <c r="AW18">
        <v>2</v>
      </c>
      <c r="AX18">
        <v>66366652</v>
      </c>
      <c r="AY18">
        <v>1</v>
      </c>
      <c r="AZ18">
        <v>0</v>
      </c>
      <c r="BA18">
        <v>16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U18">
        <f>ROUND(AT18*Source!I111*AH18*AL18,2)</f>
        <v>0</v>
      </c>
      <c r="CV18">
        <f>ROUND(Y18*Source!I111,9)</f>
        <v>25.9</v>
      </c>
      <c r="CW18">
        <v>0</v>
      </c>
      <c r="CX18">
        <f>ROUND(Y18*Source!I111,9)</f>
        <v>25.9</v>
      </c>
      <c r="CY18">
        <f>AD18</f>
        <v>0</v>
      </c>
      <c r="CZ18">
        <f>AH18</f>
        <v>0</v>
      </c>
      <c r="DA18">
        <f>AL18</f>
        <v>1</v>
      </c>
      <c r="DB18">
        <f t="shared" si="1"/>
        <v>0</v>
      </c>
      <c r="DC18">
        <f t="shared" si="2"/>
        <v>0</v>
      </c>
      <c r="DD18" t="s">
        <v>3</v>
      </c>
      <c r="DE18" t="s">
        <v>3</v>
      </c>
      <c r="DF18">
        <f t="shared" si="3"/>
        <v>0</v>
      </c>
      <c r="DG18">
        <f t="shared" si="4"/>
        <v>0</v>
      </c>
      <c r="DH18">
        <f t="shared" si="5"/>
        <v>0</v>
      </c>
      <c r="DI18">
        <f t="shared" si="6"/>
        <v>0</v>
      </c>
      <c r="DJ18">
        <f>DI18</f>
        <v>0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3">
      <c r="A19">
        <f>ROW(Source!A111)</f>
        <v>111</v>
      </c>
      <c r="B19">
        <v>66366214</v>
      </c>
      <c r="C19">
        <v>66366648</v>
      </c>
      <c r="D19">
        <v>66108107</v>
      </c>
      <c r="E19">
        <v>1</v>
      </c>
      <c r="F19">
        <v>1</v>
      </c>
      <c r="G19">
        <v>16536011</v>
      </c>
      <c r="H19">
        <v>2</v>
      </c>
      <c r="I19" t="s">
        <v>115</v>
      </c>
      <c r="J19" t="s">
        <v>116</v>
      </c>
      <c r="K19" t="s">
        <v>117</v>
      </c>
      <c r="L19">
        <v>1368</v>
      </c>
      <c r="N19">
        <v>1011</v>
      </c>
      <c r="O19" t="s">
        <v>118</v>
      </c>
      <c r="P19" t="s">
        <v>118</v>
      </c>
      <c r="Q19">
        <v>1</v>
      </c>
      <c r="W19">
        <v>0</v>
      </c>
      <c r="X19">
        <v>-559052119</v>
      </c>
      <c r="Y19">
        <f t="shared" si="0"/>
        <v>0.05</v>
      </c>
      <c r="AA19">
        <v>0</v>
      </c>
      <c r="AB19">
        <v>22.25</v>
      </c>
      <c r="AC19">
        <v>0.22</v>
      </c>
      <c r="AD19">
        <v>0</v>
      </c>
      <c r="AE19">
        <v>0</v>
      </c>
      <c r="AF19">
        <v>22.25</v>
      </c>
      <c r="AG19">
        <v>0.22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1</v>
      </c>
      <c r="AP19">
        <v>0</v>
      </c>
      <c r="AQ19">
        <v>0</v>
      </c>
      <c r="AR19">
        <v>0</v>
      </c>
      <c r="AS19" t="s">
        <v>3</v>
      </c>
      <c r="AT19">
        <v>0.05</v>
      </c>
      <c r="AU19" t="s">
        <v>3</v>
      </c>
      <c r="AV19">
        <v>0</v>
      </c>
      <c r="AW19">
        <v>2</v>
      </c>
      <c r="AX19">
        <v>66366653</v>
      </c>
      <c r="AY19">
        <v>1</v>
      </c>
      <c r="AZ19">
        <v>0</v>
      </c>
      <c r="BA19">
        <v>17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f>ROUND(Y19*Source!I111*DO19,9)</f>
        <v>0</v>
      </c>
      <c r="CX19">
        <f>ROUND(Y19*Source!I111,9)</f>
        <v>1.85</v>
      </c>
      <c r="CY19">
        <f>AB19</f>
        <v>22.25</v>
      </c>
      <c r="CZ19">
        <f>AF19</f>
        <v>22.25</v>
      </c>
      <c r="DA19">
        <f>AJ19</f>
        <v>1</v>
      </c>
      <c r="DB19">
        <f t="shared" si="1"/>
        <v>1.1100000000000001</v>
      </c>
      <c r="DC19">
        <f t="shared" si="2"/>
        <v>0.01</v>
      </c>
      <c r="DD19" t="s">
        <v>3</v>
      </c>
      <c r="DE19" t="s">
        <v>3</v>
      </c>
      <c r="DF19">
        <f t="shared" si="3"/>
        <v>0</v>
      </c>
      <c r="DG19">
        <f t="shared" si="4"/>
        <v>41.16</v>
      </c>
      <c r="DH19">
        <f t="shared" si="5"/>
        <v>0.41</v>
      </c>
      <c r="DI19">
        <f t="shared" si="6"/>
        <v>0</v>
      </c>
      <c r="DJ19">
        <f>DG19</f>
        <v>41.16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3">
      <c r="A20">
        <f>ROW(Source!A111)</f>
        <v>111</v>
      </c>
      <c r="B20">
        <v>66366214</v>
      </c>
      <c r="C20">
        <v>66366648</v>
      </c>
      <c r="D20">
        <v>66118929</v>
      </c>
      <c r="E20">
        <v>1</v>
      </c>
      <c r="F20">
        <v>1</v>
      </c>
      <c r="G20">
        <v>16536011</v>
      </c>
      <c r="H20">
        <v>3</v>
      </c>
      <c r="I20" t="s">
        <v>112</v>
      </c>
      <c r="J20" t="s">
        <v>113</v>
      </c>
      <c r="K20" t="s">
        <v>114</v>
      </c>
      <c r="L20">
        <v>1354</v>
      </c>
      <c r="N20">
        <v>1010</v>
      </c>
      <c r="O20" t="s">
        <v>19</v>
      </c>
      <c r="P20" t="s">
        <v>19</v>
      </c>
      <c r="Q20">
        <v>1</v>
      </c>
      <c r="W20">
        <v>0</v>
      </c>
      <c r="X20">
        <v>2071953021</v>
      </c>
      <c r="Y20">
        <f t="shared" si="0"/>
        <v>1</v>
      </c>
      <c r="AA20">
        <v>1525.87</v>
      </c>
      <c r="AB20">
        <v>0</v>
      </c>
      <c r="AC20">
        <v>0</v>
      </c>
      <c r="AD20">
        <v>0</v>
      </c>
      <c r="AE20">
        <v>1525.87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-2</v>
      </c>
      <c r="AN20">
        <v>0</v>
      </c>
      <c r="AO20">
        <v>1</v>
      </c>
      <c r="AP20">
        <v>0</v>
      </c>
      <c r="AQ20">
        <v>0</v>
      </c>
      <c r="AR20">
        <v>0</v>
      </c>
      <c r="AS20" t="s">
        <v>3</v>
      </c>
      <c r="AT20">
        <v>1</v>
      </c>
      <c r="AU20" t="s">
        <v>3</v>
      </c>
      <c r="AV20">
        <v>0</v>
      </c>
      <c r="AW20">
        <v>2</v>
      </c>
      <c r="AX20">
        <v>66366654</v>
      </c>
      <c r="AY20">
        <v>1</v>
      </c>
      <c r="AZ20">
        <v>0</v>
      </c>
      <c r="BA20">
        <v>18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v>0</v>
      </c>
      <c r="CX20">
        <f>ROUND(Y20*Source!I111,9)</f>
        <v>37</v>
      </c>
      <c r="CY20">
        <f>AA20</f>
        <v>1525.87</v>
      </c>
      <c r="CZ20">
        <f>AE20</f>
        <v>1525.87</v>
      </c>
      <c r="DA20">
        <f>AI20</f>
        <v>1</v>
      </c>
      <c r="DB20">
        <f t="shared" si="1"/>
        <v>1525.87</v>
      </c>
      <c r="DC20">
        <f t="shared" si="2"/>
        <v>0</v>
      </c>
      <c r="DD20" t="s">
        <v>3</v>
      </c>
      <c r="DE20" t="s">
        <v>3</v>
      </c>
      <c r="DF20">
        <f t="shared" si="3"/>
        <v>56457.19</v>
      </c>
      <c r="DG20">
        <f t="shared" si="4"/>
        <v>0</v>
      </c>
      <c r="DH20">
        <f t="shared" si="5"/>
        <v>0</v>
      </c>
      <c r="DI20">
        <f t="shared" si="6"/>
        <v>0</v>
      </c>
      <c r="DJ20">
        <f>DF20</f>
        <v>56457.19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3">
      <c r="A21">
        <f>ROW(Source!A111)</f>
        <v>111</v>
      </c>
      <c r="B21">
        <v>66366214</v>
      </c>
      <c r="C21">
        <v>66366648</v>
      </c>
      <c r="D21">
        <v>0</v>
      </c>
      <c r="E21">
        <v>16536011</v>
      </c>
      <c r="F21">
        <v>1</v>
      </c>
      <c r="G21">
        <v>16536011</v>
      </c>
      <c r="H21">
        <v>3</v>
      </c>
      <c r="I21" t="s">
        <v>29</v>
      </c>
      <c r="J21" t="s">
        <v>3</v>
      </c>
      <c r="K21" t="s">
        <v>102</v>
      </c>
      <c r="L21">
        <v>1354</v>
      </c>
      <c r="N21">
        <v>1010</v>
      </c>
      <c r="O21" t="s">
        <v>19</v>
      </c>
      <c r="P21" t="s">
        <v>19</v>
      </c>
      <c r="Q21">
        <v>1</v>
      </c>
      <c r="W21">
        <v>0</v>
      </c>
      <c r="X21">
        <v>-1185429040</v>
      </c>
      <c r="Y21">
        <f t="shared" si="0"/>
        <v>1.02702703</v>
      </c>
      <c r="AA21">
        <v>590.16</v>
      </c>
      <c r="AB21">
        <v>0</v>
      </c>
      <c r="AC21">
        <v>0</v>
      </c>
      <c r="AD21">
        <v>0</v>
      </c>
      <c r="AE21">
        <v>590.16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 t="s">
        <v>3</v>
      </c>
      <c r="AT21">
        <v>1.02702703</v>
      </c>
      <c r="AU21" t="s">
        <v>3</v>
      </c>
      <c r="AV21">
        <v>0</v>
      </c>
      <c r="AW21">
        <v>1</v>
      </c>
      <c r="AX21">
        <v>-1</v>
      </c>
      <c r="AY21">
        <v>0</v>
      </c>
      <c r="AZ21">
        <v>0</v>
      </c>
      <c r="BA21" t="s">
        <v>3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V21">
        <v>0</v>
      </c>
      <c r="CW21">
        <v>0</v>
      </c>
      <c r="CX21">
        <f>ROUND(Y21*Source!I111,9)</f>
        <v>38.000000110000002</v>
      </c>
      <c r="CY21">
        <f>AA21</f>
        <v>590.16</v>
      </c>
      <c r="CZ21">
        <f>AE21</f>
        <v>590.16</v>
      </c>
      <c r="DA21">
        <f>AI21</f>
        <v>1</v>
      </c>
      <c r="DB21">
        <f t="shared" si="1"/>
        <v>606.11</v>
      </c>
      <c r="DC21">
        <f t="shared" si="2"/>
        <v>0</v>
      </c>
      <c r="DD21" t="s">
        <v>3</v>
      </c>
      <c r="DE21" t="s">
        <v>3</v>
      </c>
      <c r="DF21">
        <f t="shared" si="3"/>
        <v>22426.080000000002</v>
      </c>
      <c r="DG21">
        <f t="shared" si="4"/>
        <v>0</v>
      </c>
      <c r="DH21">
        <f t="shared" si="5"/>
        <v>0</v>
      </c>
      <c r="DI21">
        <f t="shared" si="6"/>
        <v>0</v>
      </c>
      <c r="DJ21">
        <f>DF21</f>
        <v>22426.080000000002</v>
      </c>
      <c r="DK21">
        <v>0</v>
      </c>
      <c r="DL21" t="s">
        <v>3</v>
      </c>
      <c r="DM21">
        <v>0</v>
      </c>
      <c r="DN21" t="s">
        <v>3</v>
      </c>
      <c r="DO21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4B3F-1819-451D-9139-7B140418D605}">
  <dimension ref="A1:AR18"/>
  <sheetViews>
    <sheetView workbookViewId="0"/>
  </sheetViews>
  <sheetFormatPr defaultColWidth="9.15234375" defaultRowHeight="12.45" x14ac:dyDescent="0.3"/>
  <cols>
    <col min="1" max="256" width="9.15234375" customWidth="1"/>
  </cols>
  <sheetData>
    <row r="1" spans="1:44" x14ac:dyDescent="0.3">
      <c r="A1">
        <f>ROW(Source!A28)</f>
        <v>28</v>
      </c>
      <c r="B1">
        <v>66366557</v>
      </c>
      <c r="C1">
        <v>66366553</v>
      </c>
      <c r="D1">
        <v>66106474</v>
      </c>
      <c r="E1">
        <v>16536011</v>
      </c>
      <c r="F1">
        <v>1</v>
      </c>
      <c r="G1">
        <v>16536011</v>
      </c>
      <c r="H1">
        <v>1</v>
      </c>
      <c r="I1" t="s">
        <v>106</v>
      </c>
      <c r="J1" t="s">
        <v>3</v>
      </c>
      <c r="K1" t="s">
        <v>107</v>
      </c>
      <c r="L1">
        <v>1191</v>
      </c>
      <c r="N1">
        <v>1013</v>
      </c>
      <c r="O1" t="s">
        <v>108</v>
      </c>
      <c r="P1" t="s">
        <v>108</v>
      </c>
      <c r="Q1">
        <v>1</v>
      </c>
      <c r="X1">
        <v>2.64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1</v>
      </c>
      <c r="AF1" t="s">
        <v>3</v>
      </c>
      <c r="AG1">
        <v>2.64</v>
      </c>
      <c r="AH1">
        <v>2</v>
      </c>
      <c r="AI1">
        <v>66366554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3">
      <c r="A2">
        <f>ROW(Source!A28)</f>
        <v>28</v>
      </c>
      <c r="B2">
        <v>66366558</v>
      </c>
      <c r="C2">
        <v>66366553</v>
      </c>
      <c r="D2">
        <v>66118926</v>
      </c>
      <c r="E2">
        <v>1</v>
      </c>
      <c r="F2">
        <v>1</v>
      </c>
      <c r="G2">
        <v>16536011</v>
      </c>
      <c r="H2">
        <v>3</v>
      </c>
      <c r="I2" t="s">
        <v>109</v>
      </c>
      <c r="J2" t="s">
        <v>110</v>
      </c>
      <c r="K2" t="s">
        <v>111</v>
      </c>
      <c r="L2">
        <v>1354</v>
      </c>
      <c r="N2">
        <v>1010</v>
      </c>
      <c r="O2" t="s">
        <v>19</v>
      </c>
      <c r="P2" t="s">
        <v>19</v>
      </c>
      <c r="Q2">
        <v>1</v>
      </c>
      <c r="X2">
        <v>1</v>
      </c>
      <c r="Y2">
        <v>6946.98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 t="s">
        <v>3</v>
      </c>
      <c r="AG2">
        <v>1</v>
      </c>
      <c r="AH2">
        <v>2</v>
      </c>
      <c r="AI2">
        <v>66366555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3">
      <c r="A3">
        <f>ROW(Source!A28)</f>
        <v>28</v>
      </c>
      <c r="B3">
        <v>66366559</v>
      </c>
      <c r="C3">
        <v>66366553</v>
      </c>
      <c r="D3">
        <v>66118929</v>
      </c>
      <c r="E3">
        <v>1</v>
      </c>
      <c r="F3">
        <v>1</v>
      </c>
      <c r="G3">
        <v>16536011</v>
      </c>
      <c r="H3">
        <v>3</v>
      </c>
      <c r="I3" t="s">
        <v>112</v>
      </c>
      <c r="J3" t="s">
        <v>113</v>
      </c>
      <c r="K3" t="s">
        <v>114</v>
      </c>
      <c r="L3">
        <v>1354</v>
      </c>
      <c r="N3">
        <v>1010</v>
      </c>
      <c r="O3" t="s">
        <v>19</v>
      </c>
      <c r="P3" t="s">
        <v>19</v>
      </c>
      <c r="Q3">
        <v>1</v>
      </c>
      <c r="X3">
        <v>1</v>
      </c>
      <c r="Y3">
        <v>1525.87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1</v>
      </c>
      <c r="AH3">
        <v>2</v>
      </c>
      <c r="AI3">
        <v>66366556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3">
      <c r="A4">
        <f>ROW(Source!A29)</f>
        <v>29</v>
      </c>
      <c r="B4">
        <v>66366564</v>
      </c>
      <c r="C4">
        <v>66366560</v>
      </c>
      <c r="D4">
        <v>66106474</v>
      </c>
      <c r="E4">
        <v>16536011</v>
      </c>
      <c r="F4">
        <v>1</v>
      </c>
      <c r="G4">
        <v>16536011</v>
      </c>
      <c r="H4">
        <v>1</v>
      </c>
      <c r="I4" t="s">
        <v>106</v>
      </c>
      <c r="J4" t="s">
        <v>3</v>
      </c>
      <c r="K4" t="s">
        <v>107</v>
      </c>
      <c r="L4">
        <v>1191</v>
      </c>
      <c r="N4">
        <v>1013</v>
      </c>
      <c r="O4" t="s">
        <v>108</v>
      </c>
      <c r="P4" t="s">
        <v>108</v>
      </c>
      <c r="Q4">
        <v>1</v>
      </c>
      <c r="X4">
        <v>0.7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1</v>
      </c>
      <c r="AF4" t="s">
        <v>3</v>
      </c>
      <c r="AG4">
        <v>0.7</v>
      </c>
      <c r="AH4">
        <v>2</v>
      </c>
      <c r="AI4">
        <v>66366561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3">
      <c r="A5">
        <f>ROW(Source!A29)</f>
        <v>29</v>
      </c>
      <c r="B5">
        <v>66366565</v>
      </c>
      <c r="C5">
        <v>66366560</v>
      </c>
      <c r="D5">
        <v>66108107</v>
      </c>
      <c r="E5">
        <v>1</v>
      </c>
      <c r="F5">
        <v>1</v>
      </c>
      <c r="G5">
        <v>16536011</v>
      </c>
      <c r="H5">
        <v>2</v>
      </c>
      <c r="I5" t="s">
        <v>115</v>
      </c>
      <c r="J5" t="s">
        <v>116</v>
      </c>
      <c r="K5" t="s">
        <v>117</v>
      </c>
      <c r="L5">
        <v>1368</v>
      </c>
      <c r="N5">
        <v>1011</v>
      </c>
      <c r="O5" t="s">
        <v>118</v>
      </c>
      <c r="P5" t="s">
        <v>118</v>
      </c>
      <c r="Q5">
        <v>1</v>
      </c>
      <c r="X5">
        <v>0.05</v>
      </c>
      <c r="Y5">
        <v>0</v>
      </c>
      <c r="Z5">
        <v>22.25</v>
      </c>
      <c r="AA5">
        <v>0.22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0.05</v>
      </c>
      <c r="AH5">
        <v>2</v>
      </c>
      <c r="AI5">
        <v>66366562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3">
      <c r="A6">
        <f>ROW(Source!A29)</f>
        <v>29</v>
      </c>
      <c r="B6">
        <v>66366566</v>
      </c>
      <c r="C6">
        <v>66366560</v>
      </c>
      <c r="D6">
        <v>66118929</v>
      </c>
      <c r="E6">
        <v>1</v>
      </c>
      <c r="F6">
        <v>1</v>
      </c>
      <c r="G6">
        <v>16536011</v>
      </c>
      <c r="H6">
        <v>3</v>
      </c>
      <c r="I6" t="s">
        <v>112</v>
      </c>
      <c r="J6" t="s">
        <v>113</v>
      </c>
      <c r="K6" t="s">
        <v>114</v>
      </c>
      <c r="L6">
        <v>1354</v>
      </c>
      <c r="N6">
        <v>1010</v>
      </c>
      <c r="O6" t="s">
        <v>19</v>
      </c>
      <c r="P6" t="s">
        <v>19</v>
      </c>
      <c r="Q6">
        <v>1</v>
      </c>
      <c r="X6">
        <v>1</v>
      </c>
      <c r="Y6">
        <v>1525.87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 t="s">
        <v>3</v>
      </c>
      <c r="AG6">
        <v>1</v>
      </c>
      <c r="AH6">
        <v>2</v>
      </c>
      <c r="AI6">
        <v>66366563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3">
      <c r="A7">
        <f>ROW(Source!A69)</f>
        <v>69</v>
      </c>
      <c r="B7">
        <v>66366601</v>
      </c>
      <c r="C7">
        <v>66366597</v>
      </c>
      <c r="D7">
        <v>66106474</v>
      </c>
      <c r="E7">
        <v>16536011</v>
      </c>
      <c r="F7">
        <v>1</v>
      </c>
      <c r="G7">
        <v>16536011</v>
      </c>
      <c r="H7">
        <v>1</v>
      </c>
      <c r="I7" t="s">
        <v>106</v>
      </c>
      <c r="J7" t="s">
        <v>3</v>
      </c>
      <c r="K7" t="s">
        <v>107</v>
      </c>
      <c r="L7">
        <v>1191</v>
      </c>
      <c r="N7">
        <v>1013</v>
      </c>
      <c r="O7" t="s">
        <v>108</v>
      </c>
      <c r="P7" t="s">
        <v>108</v>
      </c>
      <c r="Q7">
        <v>1</v>
      </c>
      <c r="X7">
        <v>2.64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1</v>
      </c>
      <c r="AF7" t="s">
        <v>3</v>
      </c>
      <c r="AG7">
        <v>2.64</v>
      </c>
      <c r="AH7">
        <v>2</v>
      </c>
      <c r="AI7">
        <v>66366598</v>
      </c>
      <c r="AJ7">
        <v>8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3">
      <c r="A8">
        <f>ROW(Source!A69)</f>
        <v>69</v>
      </c>
      <c r="B8">
        <v>66366602</v>
      </c>
      <c r="C8">
        <v>66366597</v>
      </c>
      <c r="D8">
        <v>66118926</v>
      </c>
      <c r="E8">
        <v>1</v>
      </c>
      <c r="F8">
        <v>1</v>
      </c>
      <c r="G8">
        <v>16536011</v>
      </c>
      <c r="H8">
        <v>3</v>
      </c>
      <c r="I8" t="s">
        <v>109</v>
      </c>
      <c r="J8" t="s">
        <v>110</v>
      </c>
      <c r="K8" t="s">
        <v>111</v>
      </c>
      <c r="L8">
        <v>1354</v>
      </c>
      <c r="N8">
        <v>1010</v>
      </c>
      <c r="O8" t="s">
        <v>19</v>
      </c>
      <c r="P8" t="s">
        <v>19</v>
      </c>
      <c r="Q8">
        <v>1</v>
      </c>
      <c r="X8">
        <v>1</v>
      </c>
      <c r="Y8">
        <v>6946.98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1</v>
      </c>
      <c r="AH8">
        <v>2</v>
      </c>
      <c r="AI8">
        <v>66366599</v>
      </c>
      <c r="AJ8">
        <v>9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3">
      <c r="A9">
        <f>ROW(Source!A69)</f>
        <v>69</v>
      </c>
      <c r="B9">
        <v>66366603</v>
      </c>
      <c r="C9">
        <v>66366597</v>
      </c>
      <c r="D9">
        <v>66118929</v>
      </c>
      <c r="E9">
        <v>1</v>
      </c>
      <c r="F9">
        <v>1</v>
      </c>
      <c r="G9">
        <v>16536011</v>
      </c>
      <c r="H9">
        <v>3</v>
      </c>
      <c r="I9" t="s">
        <v>112</v>
      </c>
      <c r="J9" t="s">
        <v>113</v>
      </c>
      <c r="K9" t="s">
        <v>114</v>
      </c>
      <c r="L9">
        <v>1354</v>
      </c>
      <c r="N9">
        <v>1010</v>
      </c>
      <c r="O9" t="s">
        <v>19</v>
      </c>
      <c r="P9" t="s">
        <v>19</v>
      </c>
      <c r="Q9">
        <v>1</v>
      </c>
      <c r="X9">
        <v>1</v>
      </c>
      <c r="Y9">
        <v>1525.87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1</v>
      </c>
      <c r="AH9">
        <v>2</v>
      </c>
      <c r="AI9">
        <v>66366600</v>
      </c>
      <c r="AJ9">
        <v>10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3">
      <c r="A10">
        <f>ROW(Source!A70)</f>
        <v>70</v>
      </c>
      <c r="B10">
        <v>66366608</v>
      </c>
      <c r="C10">
        <v>66366604</v>
      </c>
      <c r="D10">
        <v>66106474</v>
      </c>
      <c r="E10">
        <v>16536011</v>
      </c>
      <c r="F10">
        <v>1</v>
      </c>
      <c r="G10">
        <v>16536011</v>
      </c>
      <c r="H10">
        <v>1</v>
      </c>
      <c r="I10" t="s">
        <v>106</v>
      </c>
      <c r="J10" t="s">
        <v>3</v>
      </c>
      <c r="K10" t="s">
        <v>107</v>
      </c>
      <c r="L10">
        <v>1191</v>
      </c>
      <c r="N10">
        <v>1013</v>
      </c>
      <c r="O10" t="s">
        <v>108</v>
      </c>
      <c r="P10" t="s">
        <v>108</v>
      </c>
      <c r="Q10">
        <v>1</v>
      </c>
      <c r="X10">
        <v>0.7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1</v>
      </c>
      <c r="AF10" t="s">
        <v>3</v>
      </c>
      <c r="AG10">
        <v>0.7</v>
      </c>
      <c r="AH10">
        <v>2</v>
      </c>
      <c r="AI10">
        <v>66366605</v>
      </c>
      <c r="AJ10">
        <v>11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3">
      <c r="A11">
        <f>ROW(Source!A70)</f>
        <v>70</v>
      </c>
      <c r="B11">
        <v>66366609</v>
      </c>
      <c r="C11">
        <v>66366604</v>
      </c>
      <c r="D11">
        <v>66108107</v>
      </c>
      <c r="E11">
        <v>1</v>
      </c>
      <c r="F11">
        <v>1</v>
      </c>
      <c r="G11">
        <v>16536011</v>
      </c>
      <c r="H11">
        <v>2</v>
      </c>
      <c r="I11" t="s">
        <v>115</v>
      </c>
      <c r="J11" t="s">
        <v>116</v>
      </c>
      <c r="K11" t="s">
        <v>117</v>
      </c>
      <c r="L11">
        <v>1368</v>
      </c>
      <c r="N11">
        <v>1011</v>
      </c>
      <c r="O11" t="s">
        <v>118</v>
      </c>
      <c r="P11" t="s">
        <v>118</v>
      </c>
      <c r="Q11">
        <v>1</v>
      </c>
      <c r="X11">
        <v>0.05</v>
      </c>
      <c r="Y11">
        <v>0</v>
      </c>
      <c r="Z11">
        <v>22.25</v>
      </c>
      <c r="AA11">
        <v>0.22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0.05</v>
      </c>
      <c r="AH11">
        <v>2</v>
      </c>
      <c r="AI11">
        <v>66366606</v>
      </c>
      <c r="AJ11">
        <v>12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3">
      <c r="A12">
        <f>ROW(Source!A70)</f>
        <v>70</v>
      </c>
      <c r="B12">
        <v>66366610</v>
      </c>
      <c r="C12">
        <v>66366604</v>
      </c>
      <c r="D12">
        <v>66118929</v>
      </c>
      <c r="E12">
        <v>1</v>
      </c>
      <c r="F12">
        <v>1</v>
      </c>
      <c r="G12">
        <v>16536011</v>
      </c>
      <c r="H12">
        <v>3</v>
      </c>
      <c r="I12" t="s">
        <v>112</v>
      </c>
      <c r="J12" t="s">
        <v>113</v>
      </c>
      <c r="K12" t="s">
        <v>114</v>
      </c>
      <c r="L12">
        <v>1354</v>
      </c>
      <c r="N12">
        <v>1010</v>
      </c>
      <c r="O12" t="s">
        <v>19</v>
      </c>
      <c r="P12" t="s">
        <v>19</v>
      </c>
      <c r="Q12">
        <v>1</v>
      </c>
      <c r="X12">
        <v>1</v>
      </c>
      <c r="Y12">
        <v>1525.87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1</v>
      </c>
      <c r="AH12">
        <v>2</v>
      </c>
      <c r="AI12">
        <v>66366607</v>
      </c>
      <c r="AJ12">
        <v>13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3">
      <c r="A13">
        <f>ROW(Source!A110)</f>
        <v>110</v>
      </c>
      <c r="B13">
        <v>66366645</v>
      </c>
      <c r="C13">
        <v>66366641</v>
      </c>
      <c r="D13">
        <v>66106474</v>
      </c>
      <c r="E13">
        <v>16536011</v>
      </c>
      <c r="F13">
        <v>1</v>
      </c>
      <c r="G13">
        <v>16536011</v>
      </c>
      <c r="H13">
        <v>1</v>
      </c>
      <c r="I13" t="s">
        <v>106</v>
      </c>
      <c r="J13" t="s">
        <v>3</v>
      </c>
      <c r="K13" t="s">
        <v>107</v>
      </c>
      <c r="L13">
        <v>1191</v>
      </c>
      <c r="N13">
        <v>1013</v>
      </c>
      <c r="O13" t="s">
        <v>108</v>
      </c>
      <c r="P13" t="s">
        <v>108</v>
      </c>
      <c r="Q13">
        <v>1</v>
      </c>
      <c r="X13">
        <v>2.64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1</v>
      </c>
      <c r="AF13" t="s">
        <v>3</v>
      </c>
      <c r="AG13">
        <v>2.64</v>
      </c>
      <c r="AH13">
        <v>2</v>
      </c>
      <c r="AI13">
        <v>66366642</v>
      </c>
      <c r="AJ13">
        <v>15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3">
      <c r="A14">
        <f>ROW(Source!A110)</f>
        <v>110</v>
      </c>
      <c r="B14">
        <v>66366646</v>
      </c>
      <c r="C14">
        <v>66366641</v>
      </c>
      <c r="D14">
        <v>66118926</v>
      </c>
      <c r="E14">
        <v>1</v>
      </c>
      <c r="F14">
        <v>1</v>
      </c>
      <c r="G14">
        <v>16536011</v>
      </c>
      <c r="H14">
        <v>3</v>
      </c>
      <c r="I14" t="s">
        <v>109</v>
      </c>
      <c r="J14" t="s">
        <v>110</v>
      </c>
      <c r="K14" t="s">
        <v>111</v>
      </c>
      <c r="L14">
        <v>1354</v>
      </c>
      <c r="N14">
        <v>1010</v>
      </c>
      <c r="O14" t="s">
        <v>19</v>
      </c>
      <c r="P14" t="s">
        <v>19</v>
      </c>
      <c r="Q14">
        <v>1</v>
      </c>
      <c r="X14">
        <v>1</v>
      </c>
      <c r="Y14">
        <v>6946.98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 t="s">
        <v>3</v>
      </c>
      <c r="AG14">
        <v>1</v>
      </c>
      <c r="AH14">
        <v>2</v>
      </c>
      <c r="AI14">
        <v>66366643</v>
      </c>
      <c r="AJ14">
        <v>16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3">
      <c r="A15">
        <f>ROW(Source!A110)</f>
        <v>110</v>
      </c>
      <c r="B15">
        <v>66366647</v>
      </c>
      <c r="C15">
        <v>66366641</v>
      </c>
      <c r="D15">
        <v>66118929</v>
      </c>
      <c r="E15">
        <v>1</v>
      </c>
      <c r="F15">
        <v>1</v>
      </c>
      <c r="G15">
        <v>16536011</v>
      </c>
      <c r="H15">
        <v>3</v>
      </c>
      <c r="I15" t="s">
        <v>112</v>
      </c>
      <c r="J15" t="s">
        <v>113</v>
      </c>
      <c r="K15" t="s">
        <v>114</v>
      </c>
      <c r="L15">
        <v>1354</v>
      </c>
      <c r="N15">
        <v>1010</v>
      </c>
      <c r="O15" t="s">
        <v>19</v>
      </c>
      <c r="P15" t="s">
        <v>19</v>
      </c>
      <c r="Q15">
        <v>1</v>
      </c>
      <c r="X15">
        <v>1</v>
      </c>
      <c r="Y15">
        <v>1525.87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</v>
      </c>
      <c r="AG15">
        <v>1</v>
      </c>
      <c r="AH15">
        <v>2</v>
      </c>
      <c r="AI15">
        <v>66366644</v>
      </c>
      <c r="AJ15">
        <v>17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3">
      <c r="A16">
        <f>ROW(Source!A111)</f>
        <v>111</v>
      </c>
      <c r="B16">
        <v>66366652</v>
      </c>
      <c r="C16">
        <v>66366648</v>
      </c>
      <c r="D16">
        <v>66106474</v>
      </c>
      <c r="E16">
        <v>16536011</v>
      </c>
      <c r="F16">
        <v>1</v>
      </c>
      <c r="G16">
        <v>16536011</v>
      </c>
      <c r="H16">
        <v>1</v>
      </c>
      <c r="I16" t="s">
        <v>106</v>
      </c>
      <c r="J16" t="s">
        <v>3</v>
      </c>
      <c r="K16" t="s">
        <v>107</v>
      </c>
      <c r="L16">
        <v>1191</v>
      </c>
      <c r="N16">
        <v>1013</v>
      </c>
      <c r="O16" t="s">
        <v>108</v>
      </c>
      <c r="P16" t="s">
        <v>108</v>
      </c>
      <c r="Q16">
        <v>1</v>
      </c>
      <c r="X16">
        <v>0.7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1</v>
      </c>
      <c r="AF16" t="s">
        <v>3</v>
      </c>
      <c r="AG16">
        <v>0.7</v>
      </c>
      <c r="AH16">
        <v>2</v>
      </c>
      <c r="AI16">
        <v>66366649</v>
      </c>
      <c r="AJ16">
        <v>18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3">
      <c r="A17">
        <f>ROW(Source!A111)</f>
        <v>111</v>
      </c>
      <c r="B17">
        <v>66366653</v>
      </c>
      <c r="C17">
        <v>66366648</v>
      </c>
      <c r="D17">
        <v>66108107</v>
      </c>
      <c r="E17">
        <v>1</v>
      </c>
      <c r="F17">
        <v>1</v>
      </c>
      <c r="G17">
        <v>16536011</v>
      </c>
      <c r="H17">
        <v>2</v>
      </c>
      <c r="I17" t="s">
        <v>115</v>
      </c>
      <c r="J17" t="s">
        <v>116</v>
      </c>
      <c r="K17" t="s">
        <v>117</v>
      </c>
      <c r="L17">
        <v>1368</v>
      </c>
      <c r="N17">
        <v>1011</v>
      </c>
      <c r="O17" t="s">
        <v>118</v>
      </c>
      <c r="P17" t="s">
        <v>118</v>
      </c>
      <c r="Q17">
        <v>1</v>
      </c>
      <c r="X17">
        <v>0.05</v>
      </c>
      <c r="Y17">
        <v>0</v>
      </c>
      <c r="Z17">
        <v>22.25</v>
      </c>
      <c r="AA17">
        <v>0.22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0.05</v>
      </c>
      <c r="AH17">
        <v>2</v>
      </c>
      <c r="AI17">
        <v>66366650</v>
      </c>
      <c r="AJ17">
        <v>19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3">
      <c r="A18">
        <f>ROW(Source!A111)</f>
        <v>111</v>
      </c>
      <c r="B18">
        <v>66366654</v>
      </c>
      <c r="C18">
        <v>66366648</v>
      </c>
      <c r="D18">
        <v>66118929</v>
      </c>
      <c r="E18">
        <v>1</v>
      </c>
      <c r="F18">
        <v>1</v>
      </c>
      <c r="G18">
        <v>16536011</v>
      </c>
      <c r="H18">
        <v>3</v>
      </c>
      <c r="I18" t="s">
        <v>112</v>
      </c>
      <c r="J18" t="s">
        <v>113</v>
      </c>
      <c r="K18" t="s">
        <v>114</v>
      </c>
      <c r="L18">
        <v>1354</v>
      </c>
      <c r="N18">
        <v>1010</v>
      </c>
      <c r="O18" t="s">
        <v>19</v>
      </c>
      <c r="P18" t="s">
        <v>19</v>
      </c>
      <c r="Q18">
        <v>1</v>
      </c>
      <c r="X18">
        <v>1</v>
      </c>
      <c r="Y18">
        <v>1525.87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1</v>
      </c>
      <c r="AH18">
        <v>2</v>
      </c>
      <c r="AI18">
        <v>66366651</v>
      </c>
      <c r="AJ18">
        <v>20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16D7-1EAC-4ED8-BE82-85C4F13FB444}">
  <dimension ref="A1"/>
  <sheetViews>
    <sheetView workbookViewId="0"/>
  </sheetViews>
  <sheetFormatPr defaultColWidth="9.15234375" defaultRowHeight="12.45" x14ac:dyDescent="0.3"/>
  <cols>
    <col min="1" max="256" width="9.1523437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C77D-1757-48DE-8965-706A7D048921}">
  <dimension ref="A1:CY12"/>
  <sheetViews>
    <sheetView workbookViewId="0"/>
  </sheetViews>
  <sheetFormatPr defaultColWidth="9.15234375" defaultRowHeight="12.45" x14ac:dyDescent="0.3"/>
  <cols>
    <col min="1" max="256" width="9.15234375" customWidth="1"/>
  </cols>
  <sheetData>
    <row r="1" spans="1:103" x14ac:dyDescent="0.3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64472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03" x14ac:dyDescent="0.3">
      <c r="F12" t="str">
        <f>Source!F12</f>
        <v>Новый объект</v>
      </c>
      <c r="G12" t="str">
        <f>Source!G12</f>
        <v>ИФП РАН - Ремонт теплообменников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СН-2012 по гл. 1-5,7</vt:lpstr>
      <vt:lpstr>Дефектная ведомость</vt:lpstr>
      <vt:lpstr>Source</vt:lpstr>
      <vt:lpstr>SourceObSm</vt:lpstr>
      <vt:lpstr>SmtRes</vt:lpstr>
      <vt:lpstr>EtalonRes</vt:lpstr>
      <vt:lpstr>SrcPoprs</vt:lpstr>
      <vt:lpstr>SrcKA</vt:lpstr>
      <vt:lpstr>'Дефектная ведомость'!Заголовки_для_печати</vt:lpstr>
      <vt:lpstr>'Смета СН-2012 по гл. 1-5,7'!Заголовки_для_печати</vt:lpstr>
      <vt:lpstr>'Дефектная ведомость'!Область_печати</vt:lpstr>
      <vt:lpstr>'Смета СН-2012 по гл. 1-5,7'!Область_печати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Ravil Isianov</cp:lastModifiedBy>
  <dcterms:created xsi:type="dcterms:W3CDTF">2026-07-27T15:01:04Z</dcterms:created>
  <dcterms:modified xsi:type="dcterms:W3CDTF">2026-07-27T15:02:30Z</dcterms:modified>
</cp:coreProperties>
</file>