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3020" firstSheet="1" activeTab="1"/>
  </bookViews>
  <sheets>
    <sheet name="RV_DATA" sheetId="9" state="hidden" r:id="rId1"/>
    <sheet name="Смета по ФЕР 421+557пр (12" sheetId="13" r:id="rId2"/>
    <sheet name="Source" sheetId="1" state="hidden" r:id="rId3"/>
    <sheet name="SourceObSm" sheetId="2" state="hidden" r:id="rId4"/>
    <sheet name="SmtRes" sheetId="3" state="hidden" r:id="rId5"/>
    <sheet name="EtalonRes" sheetId="4" state="hidden" r:id="rId6"/>
    <sheet name="SrcPoprs" sheetId="5" state="hidden" r:id="rId7"/>
    <sheet name="SrcKA" sheetId="6" state="hidden" r:id="rId8"/>
  </sheets>
  <externalReferences>
    <externalReference r:id="rId9"/>
  </externalReferences>
  <definedNames>
    <definedName name="_xlnm.Print_Titles" localSheetId="1">'Смета по ФЕР 421+557пр (12'!$57:$57</definedName>
    <definedName name="_xlnm.Print_Area" localSheetId="1">'Смета по ФЕР 421+557пр (12'!$A$1:$L$370</definedName>
  </definedNames>
  <calcPr calcId="162913" iterate="1"/>
</workbook>
</file>

<file path=xl/calcChain.xml><?xml version="1.0" encoding="utf-8"?>
<calcChain xmlns="http://schemas.openxmlformats.org/spreadsheetml/2006/main">
  <c r="F14" i="13" l="1"/>
  <c r="F12" i="13"/>
  <c r="H368" i="13" l="1"/>
  <c r="H365" i="13"/>
  <c r="C368" i="13"/>
  <c r="C365" i="13"/>
  <c r="D50" i="13"/>
  <c r="D49" i="13"/>
  <c r="D48" i="13"/>
  <c r="L362" i="13"/>
  <c r="C45" i="13" s="1"/>
  <c r="C362" i="13"/>
  <c r="L361" i="13"/>
  <c r="C361" i="13"/>
  <c r="L357" i="13"/>
  <c r="J357" i="13"/>
  <c r="L356" i="13"/>
  <c r="J356" i="13"/>
  <c r="L353" i="13"/>
  <c r="J353" i="13"/>
  <c r="L352" i="13"/>
  <c r="J352" i="13"/>
  <c r="J350" i="13" s="1"/>
  <c r="L345" i="13"/>
  <c r="J345" i="13"/>
  <c r="L341" i="13"/>
  <c r="J341" i="13"/>
  <c r="L329" i="13"/>
  <c r="J329" i="13"/>
  <c r="L328" i="13"/>
  <c r="J328" i="13"/>
  <c r="L327" i="13"/>
  <c r="J327" i="13"/>
  <c r="L326" i="13"/>
  <c r="J326" i="13"/>
  <c r="L325" i="13"/>
  <c r="J325" i="13"/>
  <c r="L324" i="13"/>
  <c r="L322" i="13" s="1"/>
  <c r="J324" i="13"/>
  <c r="J322" i="13" s="1"/>
  <c r="L321" i="13"/>
  <c r="J321" i="13"/>
  <c r="L320" i="13"/>
  <c r="J320" i="13"/>
  <c r="L318" i="13"/>
  <c r="L316" i="13" s="1"/>
  <c r="J318" i="13"/>
  <c r="J316" i="13" s="1"/>
  <c r="L315" i="13"/>
  <c r="J315" i="13"/>
  <c r="L310" i="13"/>
  <c r="J310" i="13"/>
  <c r="J309" i="13"/>
  <c r="L305" i="13"/>
  <c r="J305" i="13"/>
  <c r="L304" i="13"/>
  <c r="L302" i="13" s="1"/>
  <c r="J304" i="13"/>
  <c r="J302" i="13" s="1"/>
  <c r="L300" i="13"/>
  <c r="J300" i="13"/>
  <c r="L299" i="13"/>
  <c r="J299" i="13"/>
  <c r="L298" i="13"/>
  <c r="J298" i="13"/>
  <c r="L297" i="13"/>
  <c r="J297" i="13"/>
  <c r="L296" i="13"/>
  <c r="J296" i="13"/>
  <c r="L295" i="13"/>
  <c r="L293" i="13" s="1"/>
  <c r="J295" i="13"/>
  <c r="J293" i="13" s="1"/>
  <c r="L292" i="13"/>
  <c r="J292" i="13"/>
  <c r="L291" i="13"/>
  <c r="J291" i="13"/>
  <c r="L289" i="13"/>
  <c r="L287" i="13" s="1"/>
  <c r="J289" i="13"/>
  <c r="J287" i="13" s="1"/>
  <c r="L286" i="13"/>
  <c r="L284" i="13" s="1"/>
  <c r="L282" i="13" s="1"/>
  <c r="J286" i="13"/>
  <c r="J284" i="13" s="1"/>
  <c r="J282" i="13" s="1"/>
  <c r="L276" i="13"/>
  <c r="J276" i="13"/>
  <c r="L272" i="13"/>
  <c r="J272" i="13"/>
  <c r="L255" i="13"/>
  <c r="J255" i="13"/>
  <c r="L254" i="13"/>
  <c r="J254" i="13"/>
  <c r="L251" i="13"/>
  <c r="J251" i="13"/>
  <c r="J250" i="13"/>
  <c r="L249" i="13"/>
  <c r="J249" i="13"/>
  <c r="L248" i="13"/>
  <c r="L246" i="13" s="1"/>
  <c r="J248" i="13"/>
  <c r="L241" i="13"/>
  <c r="J241" i="13"/>
  <c r="L237" i="13"/>
  <c r="J237" i="13"/>
  <c r="G226" i="13"/>
  <c r="F226" i="13"/>
  <c r="E226" i="13"/>
  <c r="G225" i="13"/>
  <c r="F225" i="13"/>
  <c r="E225" i="13"/>
  <c r="F222" i="13"/>
  <c r="E222" i="13"/>
  <c r="F221" i="13"/>
  <c r="E221" i="13"/>
  <c r="K220" i="13"/>
  <c r="H220" i="13"/>
  <c r="K219" i="13"/>
  <c r="I219" i="13"/>
  <c r="H219" i="13"/>
  <c r="K218" i="13"/>
  <c r="I218" i="13"/>
  <c r="H218" i="13"/>
  <c r="K217" i="13"/>
  <c r="I217" i="13"/>
  <c r="H217" i="13"/>
  <c r="D214" i="13"/>
  <c r="C214" i="13"/>
  <c r="B214" i="13"/>
  <c r="G212" i="13"/>
  <c r="F212" i="13"/>
  <c r="E212" i="13"/>
  <c r="G211" i="13"/>
  <c r="F211" i="13"/>
  <c r="E211" i="13"/>
  <c r="F208" i="13"/>
  <c r="E208" i="13"/>
  <c r="F207" i="13"/>
  <c r="E207" i="13"/>
  <c r="K206" i="13"/>
  <c r="H206" i="13"/>
  <c r="K205" i="13"/>
  <c r="I205" i="13"/>
  <c r="H205" i="13"/>
  <c r="K204" i="13"/>
  <c r="I204" i="13"/>
  <c r="H204" i="13"/>
  <c r="K203" i="13"/>
  <c r="I203" i="13"/>
  <c r="H203" i="13"/>
  <c r="D200" i="13"/>
  <c r="C200" i="13"/>
  <c r="B200" i="13"/>
  <c r="AW199" i="13"/>
  <c r="AT199" i="13"/>
  <c r="AO199" i="13"/>
  <c r="AA199" i="13"/>
  <c r="X199" i="13"/>
  <c r="P199" i="13"/>
  <c r="G198" i="13"/>
  <c r="F198" i="13"/>
  <c r="E198" i="13"/>
  <c r="G197" i="13"/>
  <c r="F197" i="13"/>
  <c r="E197" i="13"/>
  <c r="F194" i="13"/>
  <c r="E194" i="13"/>
  <c r="K193" i="13"/>
  <c r="I193" i="13"/>
  <c r="H193" i="13"/>
  <c r="H195" i="13" s="1"/>
  <c r="E191" i="13"/>
  <c r="G191" i="13"/>
  <c r="D191" i="13"/>
  <c r="C191" i="13"/>
  <c r="B191" i="13"/>
  <c r="G189" i="13"/>
  <c r="F189" i="13"/>
  <c r="E189" i="13"/>
  <c r="G188" i="13"/>
  <c r="F188" i="13"/>
  <c r="E188" i="13"/>
  <c r="K186" i="13"/>
  <c r="H186" i="13"/>
  <c r="E186" i="13"/>
  <c r="D186" i="13"/>
  <c r="C186" i="13"/>
  <c r="B186" i="13"/>
  <c r="F184" i="13"/>
  <c r="E184" i="13"/>
  <c r="F183" i="13"/>
  <c r="E183" i="13"/>
  <c r="K182" i="13"/>
  <c r="H182" i="13"/>
  <c r="K181" i="13"/>
  <c r="I181" i="13"/>
  <c r="H181" i="13"/>
  <c r="K180" i="13"/>
  <c r="I180" i="13"/>
  <c r="H180" i="13"/>
  <c r="K179" i="13"/>
  <c r="I179" i="13"/>
  <c r="H179" i="13"/>
  <c r="H185" i="13" s="1"/>
  <c r="D176" i="13"/>
  <c r="C176" i="13"/>
  <c r="B176" i="13"/>
  <c r="G174" i="13"/>
  <c r="F174" i="13"/>
  <c r="E174" i="13"/>
  <c r="G173" i="13"/>
  <c r="F173" i="13"/>
  <c r="E173" i="13"/>
  <c r="K171" i="13"/>
  <c r="H171" i="13"/>
  <c r="E171" i="13"/>
  <c r="D171" i="13"/>
  <c r="C171" i="13"/>
  <c r="B171" i="13"/>
  <c r="F169" i="13"/>
  <c r="E169" i="13"/>
  <c r="F168" i="13"/>
  <c r="E168" i="13"/>
  <c r="K167" i="13"/>
  <c r="H167" i="13"/>
  <c r="K166" i="13"/>
  <c r="I166" i="13"/>
  <c r="H166" i="13"/>
  <c r="K165" i="13"/>
  <c r="I165" i="13"/>
  <c r="H165" i="13"/>
  <c r="K164" i="13"/>
  <c r="I164" i="13"/>
  <c r="H164" i="13"/>
  <c r="D161" i="13"/>
  <c r="C161" i="13"/>
  <c r="B161" i="13"/>
  <c r="G159" i="13"/>
  <c r="E159" i="13"/>
  <c r="G158" i="13"/>
  <c r="E158" i="13"/>
  <c r="K156" i="13"/>
  <c r="H156" i="13"/>
  <c r="E156" i="13"/>
  <c r="D156" i="13"/>
  <c r="C156" i="13"/>
  <c r="B156" i="13"/>
  <c r="F154" i="13"/>
  <c r="E154" i="13"/>
  <c r="F153" i="13"/>
  <c r="E153" i="13"/>
  <c r="K152" i="13"/>
  <c r="H152" i="13"/>
  <c r="K151" i="13"/>
  <c r="I151" i="13"/>
  <c r="H151" i="13"/>
  <c r="K150" i="13"/>
  <c r="I150" i="13"/>
  <c r="H150" i="13"/>
  <c r="K149" i="13"/>
  <c r="I149" i="13"/>
  <c r="H149" i="13"/>
  <c r="B147" i="13"/>
  <c r="D146" i="13"/>
  <c r="B146" i="13"/>
  <c r="G144" i="13"/>
  <c r="F144" i="13"/>
  <c r="E144" i="13"/>
  <c r="G143" i="13"/>
  <c r="F143" i="13"/>
  <c r="E143" i="13"/>
  <c r="K141" i="13"/>
  <c r="H141" i="13"/>
  <c r="E141" i="13"/>
  <c r="D141" i="13"/>
  <c r="C141" i="13"/>
  <c r="B141" i="13"/>
  <c r="K140" i="13"/>
  <c r="H140" i="13"/>
  <c r="E140" i="13"/>
  <c r="D140" i="13"/>
  <c r="C140" i="13"/>
  <c r="B140" i="13"/>
  <c r="K139" i="13"/>
  <c r="H139" i="13"/>
  <c r="E139" i="13"/>
  <c r="D139" i="13"/>
  <c r="B139" i="13"/>
  <c r="K138" i="13"/>
  <c r="H138" i="13"/>
  <c r="E138" i="13"/>
  <c r="D138" i="13"/>
  <c r="B138" i="13"/>
  <c r="F136" i="13"/>
  <c r="E136" i="13"/>
  <c r="F135" i="13"/>
  <c r="E135" i="13"/>
  <c r="K134" i="13"/>
  <c r="H134" i="13"/>
  <c r="K133" i="13"/>
  <c r="I133" i="13"/>
  <c r="H133" i="13"/>
  <c r="K132" i="13"/>
  <c r="I132" i="13"/>
  <c r="H132" i="13"/>
  <c r="K131" i="13"/>
  <c r="I131" i="13"/>
  <c r="H131" i="13"/>
  <c r="D128" i="13"/>
  <c r="C128" i="13"/>
  <c r="B128" i="13"/>
  <c r="G126" i="13"/>
  <c r="F126" i="13"/>
  <c r="E126" i="13"/>
  <c r="G125" i="13"/>
  <c r="F125" i="13"/>
  <c r="E125" i="13"/>
  <c r="K123" i="13"/>
  <c r="H123" i="13"/>
  <c r="E123" i="13"/>
  <c r="D123" i="13"/>
  <c r="C123" i="13"/>
  <c r="B123" i="13"/>
  <c r="F121" i="13"/>
  <c r="E121" i="13"/>
  <c r="F120" i="13"/>
  <c r="E120" i="13"/>
  <c r="K119" i="13"/>
  <c r="H119" i="13"/>
  <c r="K118" i="13"/>
  <c r="I118" i="13"/>
  <c r="H118" i="13"/>
  <c r="K117" i="13"/>
  <c r="I117" i="13"/>
  <c r="H117" i="13"/>
  <c r="K116" i="13"/>
  <c r="I116" i="13"/>
  <c r="H116" i="13"/>
  <c r="D113" i="13"/>
  <c r="C113" i="13"/>
  <c r="B113" i="13"/>
  <c r="G111" i="13"/>
  <c r="F111" i="13"/>
  <c r="E111" i="13"/>
  <c r="G110" i="13"/>
  <c r="F110" i="13"/>
  <c r="E110" i="13"/>
  <c r="F107" i="13"/>
  <c r="E107" i="13"/>
  <c r="F106" i="13"/>
  <c r="E106" i="13"/>
  <c r="K105" i="13"/>
  <c r="H105" i="13"/>
  <c r="K104" i="13"/>
  <c r="I104" i="13"/>
  <c r="H104" i="13"/>
  <c r="K103" i="13"/>
  <c r="I103" i="13"/>
  <c r="H103" i="13"/>
  <c r="K102" i="13"/>
  <c r="I102" i="13"/>
  <c r="H102" i="13"/>
  <c r="D99" i="13"/>
  <c r="C99" i="13"/>
  <c r="B99" i="13"/>
  <c r="AU98" i="13"/>
  <c r="AS98" i="13"/>
  <c r="AP98" i="13"/>
  <c r="Y98" i="13"/>
  <c r="U98" i="13"/>
  <c r="T98" i="13"/>
  <c r="Q98" i="13"/>
  <c r="AE98" i="13"/>
  <c r="AD98" i="13"/>
  <c r="K97" i="13"/>
  <c r="H97" i="13"/>
  <c r="E97" i="13"/>
  <c r="G97" i="13"/>
  <c r="D97" i="13"/>
  <c r="C97" i="13"/>
  <c r="B97" i="13"/>
  <c r="AU96" i="13"/>
  <c r="AS96" i="13"/>
  <c r="AP96" i="13"/>
  <c r="Y96" i="13"/>
  <c r="U96" i="13"/>
  <c r="T96" i="13"/>
  <c r="Q96" i="13"/>
  <c r="AE96" i="13"/>
  <c r="AD96" i="13"/>
  <c r="K95" i="13"/>
  <c r="H95" i="13"/>
  <c r="E95" i="13"/>
  <c r="G95" i="13"/>
  <c r="D95" i="13"/>
  <c r="C95" i="13"/>
  <c r="B95" i="13"/>
  <c r="AW94" i="13"/>
  <c r="AA94" i="13"/>
  <c r="G93" i="13"/>
  <c r="E93" i="13"/>
  <c r="G92" i="13"/>
  <c r="E92" i="13"/>
  <c r="K90" i="13"/>
  <c r="H90" i="13"/>
  <c r="E90" i="13"/>
  <c r="D90" i="13"/>
  <c r="C90" i="13"/>
  <c r="B90" i="13"/>
  <c r="E88" i="13"/>
  <c r="E87" i="13"/>
  <c r="K86" i="13"/>
  <c r="H86" i="13"/>
  <c r="K85" i="13"/>
  <c r="H85" i="13"/>
  <c r="K84" i="13"/>
  <c r="H84" i="13"/>
  <c r="H89" i="13" s="1"/>
  <c r="D82" i="13"/>
  <c r="C82" i="13"/>
  <c r="B82" i="13"/>
  <c r="AT81" i="13"/>
  <c r="AO81" i="13"/>
  <c r="X81" i="13"/>
  <c r="P81" i="13"/>
  <c r="G80" i="13"/>
  <c r="E80" i="13"/>
  <c r="G79" i="13"/>
  <c r="E79" i="13"/>
  <c r="E76" i="13"/>
  <c r="K75" i="13"/>
  <c r="H75" i="13"/>
  <c r="K74" i="13"/>
  <c r="H74" i="13"/>
  <c r="H77" i="13" s="1"/>
  <c r="E73" i="13"/>
  <c r="G73" i="13"/>
  <c r="D73" i="13"/>
  <c r="C73" i="13"/>
  <c r="B73" i="13"/>
  <c r="AW72" i="13"/>
  <c r="AA72" i="13"/>
  <c r="G71" i="13"/>
  <c r="E71" i="13"/>
  <c r="G70" i="13"/>
  <c r="E70" i="13"/>
  <c r="K68" i="13"/>
  <c r="H68" i="13"/>
  <c r="E68" i="13"/>
  <c r="D68" i="13"/>
  <c r="C68" i="13"/>
  <c r="B68" i="13"/>
  <c r="E66" i="13"/>
  <c r="E65" i="13"/>
  <c r="K64" i="13"/>
  <c r="H64" i="13"/>
  <c r="K63" i="13"/>
  <c r="H63" i="13"/>
  <c r="K62" i="13"/>
  <c r="H62" i="13"/>
  <c r="H67" i="13" s="1"/>
  <c r="D60" i="13"/>
  <c r="C60" i="13"/>
  <c r="B60" i="13"/>
  <c r="B6" i="13"/>
  <c r="A1" i="13"/>
  <c r="Z81" i="9"/>
  <c r="S81" i="9"/>
  <c r="P81" i="9"/>
  <c r="N81" i="9"/>
  <c r="K81" i="9"/>
  <c r="J81" i="9"/>
  <c r="H81" i="9"/>
  <c r="G81" i="9"/>
  <c r="F81" i="9"/>
  <c r="E81" i="9"/>
  <c r="Z80" i="9"/>
  <c r="S80" i="9"/>
  <c r="P80" i="9"/>
  <c r="N80" i="9"/>
  <c r="K80" i="9"/>
  <c r="J80" i="9"/>
  <c r="H80" i="9"/>
  <c r="G80" i="9"/>
  <c r="F80" i="9"/>
  <c r="E80" i="9"/>
  <c r="Z79" i="9"/>
  <c r="S79" i="9"/>
  <c r="P79" i="9"/>
  <c r="N79" i="9"/>
  <c r="K79" i="9"/>
  <c r="J79" i="9"/>
  <c r="H79" i="9"/>
  <c r="G79" i="9"/>
  <c r="F79" i="9"/>
  <c r="E79" i="9"/>
  <c r="Z78" i="9"/>
  <c r="S78" i="9"/>
  <c r="P78" i="9"/>
  <c r="N78" i="9"/>
  <c r="K78" i="9"/>
  <c r="J78" i="9"/>
  <c r="H78" i="9"/>
  <c r="G78" i="9"/>
  <c r="F78" i="9"/>
  <c r="E78" i="9"/>
  <c r="Z77" i="9"/>
  <c r="S77" i="9"/>
  <c r="P77" i="9"/>
  <c r="N77" i="9"/>
  <c r="K77" i="9"/>
  <c r="J77" i="9"/>
  <c r="H77" i="9"/>
  <c r="G77" i="9"/>
  <c r="F77" i="9"/>
  <c r="E77" i="9"/>
  <c r="Z76" i="9"/>
  <c r="S76" i="9"/>
  <c r="P76" i="9"/>
  <c r="N76" i="9"/>
  <c r="K76" i="9"/>
  <c r="J76" i="9"/>
  <c r="H76" i="9"/>
  <c r="G76" i="9"/>
  <c r="F76" i="9"/>
  <c r="E76" i="9"/>
  <c r="Z75" i="9"/>
  <c r="S75" i="9"/>
  <c r="P75" i="9"/>
  <c r="N75" i="9"/>
  <c r="K75" i="9"/>
  <c r="J75" i="9"/>
  <c r="H75" i="9"/>
  <c r="G75" i="9"/>
  <c r="F75" i="9"/>
  <c r="E75" i="9"/>
  <c r="Z74" i="9"/>
  <c r="S74" i="9"/>
  <c r="P74" i="9"/>
  <c r="N74" i="9"/>
  <c r="K74" i="9"/>
  <c r="J74" i="9"/>
  <c r="H74" i="9"/>
  <c r="G74" i="9"/>
  <c r="F74" i="9"/>
  <c r="E74" i="9"/>
  <c r="Z73" i="9"/>
  <c r="S73" i="9"/>
  <c r="P73" i="9"/>
  <c r="N73" i="9"/>
  <c r="K73" i="9"/>
  <c r="J73" i="9"/>
  <c r="H73" i="9"/>
  <c r="G73" i="9"/>
  <c r="F73" i="9"/>
  <c r="E73" i="9"/>
  <c r="Z72" i="9"/>
  <c r="S72" i="9"/>
  <c r="P72" i="9"/>
  <c r="N72" i="9"/>
  <c r="K72" i="9"/>
  <c r="J72" i="9"/>
  <c r="H72" i="9"/>
  <c r="G72" i="9"/>
  <c r="F72" i="9"/>
  <c r="E72" i="9"/>
  <c r="Z71" i="9"/>
  <c r="S71" i="9"/>
  <c r="P71" i="9"/>
  <c r="N71" i="9"/>
  <c r="K71" i="9"/>
  <c r="J71" i="9"/>
  <c r="H71" i="9"/>
  <c r="G71" i="9"/>
  <c r="F71" i="9"/>
  <c r="E71" i="9"/>
  <c r="Z70" i="9"/>
  <c r="S70" i="9"/>
  <c r="P70" i="9"/>
  <c r="N70" i="9"/>
  <c r="K70" i="9"/>
  <c r="J70" i="9"/>
  <c r="H70" i="9"/>
  <c r="G70" i="9"/>
  <c r="F70" i="9"/>
  <c r="E70" i="9"/>
  <c r="Z69" i="9"/>
  <c r="S69" i="9"/>
  <c r="P69" i="9"/>
  <c r="N69" i="9"/>
  <c r="K69" i="9"/>
  <c r="J69" i="9"/>
  <c r="H69" i="9"/>
  <c r="G69" i="9"/>
  <c r="F69" i="9"/>
  <c r="E69" i="9"/>
  <c r="Z68" i="9"/>
  <c r="S68" i="9"/>
  <c r="P68" i="9"/>
  <c r="N68" i="9"/>
  <c r="K68" i="9"/>
  <c r="J68" i="9"/>
  <c r="H68" i="9"/>
  <c r="G68" i="9"/>
  <c r="F68" i="9"/>
  <c r="E68" i="9"/>
  <c r="Z67" i="9"/>
  <c r="S67" i="9"/>
  <c r="P67" i="9"/>
  <c r="N67" i="9"/>
  <c r="K67" i="9"/>
  <c r="J67" i="9"/>
  <c r="H67" i="9"/>
  <c r="G67" i="9"/>
  <c r="F67" i="9"/>
  <c r="E67" i="9"/>
  <c r="Z66" i="9"/>
  <c r="S66" i="9"/>
  <c r="P66" i="9"/>
  <c r="N66" i="9"/>
  <c r="K66" i="9"/>
  <c r="J66" i="9"/>
  <c r="H66" i="9"/>
  <c r="G66" i="9"/>
  <c r="F66" i="9"/>
  <c r="E66" i="9"/>
  <c r="Z65" i="9"/>
  <c r="S65" i="9"/>
  <c r="P65" i="9"/>
  <c r="N65" i="9"/>
  <c r="K65" i="9"/>
  <c r="J65" i="9"/>
  <c r="H65" i="9"/>
  <c r="G65" i="9"/>
  <c r="F65" i="9"/>
  <c r="E65" i="9"/>
  <c r="Z64" i="9"/>
  <c r="H64" i="9"/>
  <c r="G64" i="9"/>
  <c r="F64" i="9"/>
  <c r="E64" i="9"/>
  <c r="D64" i="9"/>
  <c r="A64" i="9"/>
  <c r="Z63" i="9"/>
  <c r="S63" i="9"/>
  <c r="P63" i="9"/>
  <c r="N63" i="9"/>
  <c r="K63" i="9"/>
  <c r="J63" i="9"/>
  <c r="H63" i="9"/>
  <c r="G63" i="9"/>
  <c r="F63" i="9"/>
  <c r="E63" i="9"/>
  <c r="Z62" i="9"/>
  <c r="S62" i="9"/>
  <c r="P62" i="9"/>
  <c r="N62" i="9"/>
  <c r="K62" i="9"/>
  <c r="J62" i="9"/>
  <c r="H62" i="9"/>
  <c r="G62" i="9"/>
  <c r="F62" i="9"/>
  <c r="E62" i="9"/>
  <c r="Z61" i="9"/>
  <c r="S61" i="9"/>
  <c r="P61" i="9"/>
  <c r="N61" i="9"/>
  <c r="K61" i="9"/>
  <c r="J61" i="9"/>
  <c r="H61" i="9"/>
  <c r="G61" i="9"/>
  <c r="F61" i="9"/>
  <c r="E61" i="9"/>
  <c r="Z60" i="9"/>
  <c r="H60" i="9"/>
  <c r="G60" i="9"/>
  <c r="F60" i="9"/>
  <c r="E60" i="9"/>
  <c r="D60" i="9"/>
  <c r="A60" i="9"/>
  <c r="Z59" i="9"/>
  <c r="S59" i="9"/>
  <c r="P59" i="9"/>
  <c r="N59" i="9"/>
  <c r="K59" i="9"/>
  <c r="J59" i="9"/>
  <c r="H59" i="9"/>
  <c r="G59" i="9"/>
  <c r="F59" i="9"/>
  <c r="E59" i="9"/>
  <c r="Z58" i="9"/>
  <c r="S58" i="9"/>
  <c r="P58" i="9"/>
  <c r="N58" i="9"/>
  <c r="K58" i="9"/>
  <c r="J58" i="9"/>
  <c r="H58" i="9"/>
  <c r="G58" i="9"/>
  <c r="F58" i="9"/>
  <c r="E58" i="9"/>
  <c r="Z57" i="9"/>
  <c r="S57" i="9"/>
  <c r="P57" i="9"/>
  <c r="N57" i="9"/>
  <c r="K57" i="9"/>
  <c r="J57" i="9"/>
  <c r="H57" i="9"/>
  <c r="G57" i="9"/>
  <c r="F57" i="9"/>
  <c r="E57" i="9"/>
  <c r="Z56" i="9"/>
  <c r="S56" i="9"/>
  <c r="P56" i="9"/>
  <c r="N56" i="9"/>
  <c r="K56" i="9"/>
  <c r="J56" i="9"/>
  <c r="H56" i="9"/>
  <c r="G56" i="9"/>
  <c r="F56" i="9"/>
  <c r="E56" i="9"/>
  <c r="Z55" i="9"/>
  <c r="S55" i="9"/>
  <c r="P55" i="9"/>
  <c r="N55" i="9"/>
  <c r="K55" i="9"/>
  <c r="J55" i="9"/>
  <c r="H55" i="9"/>
  <c r="G55" i="9"/>
  <c r="F55" i="9"/>
  <c r="E55" i="9"/>
  <c r="Z54" i="9"/>
  <c r="S54" i="9"/>
  <c r="P54" i="9"/>
  <c r="N54" i="9"/>
  <c r="K54" i="9"/>
  <c r="J54" i="9"/>
  <c r="H54" i="9"/>
  <c r="G54" i="9"/>
  <c r="F54" i="9"/>
  <c r="E54" i="9"/>
  <c r="Z53" i="9"/>
  <c r="S53" i="9"/>
  <c r="P53" i="9"/>
  <c r="N53" i="9"/>
  <c r="K53" i="9"/>
  <c r="J53" i="9"/>
  <c r="H53" i="9"/>
  <c r="G53" i="9"/>
  <c r="F53" i="9"/>
  <c r="E53" i="9"/>
  <c r="Z52" i="9"/>
  <c r="H52" i="9"/>
  <c r="G52" i="9"/>
  <c r="F52" i="9"/>
  <c r="E52" i="9"/>
  <c r="D52" i="9"/>
  <c r="A52" i="9"/>
  <c r="Z51" i="9"/>
  <c r="S51" i="9"/>
  <c r="P51" i="9"/>
  <c r="N51" i="9"/>
  <c r="K51" i="9"/>
  <c r="J51" i="9"/>
  <c r="H51" i="9"/>
  <c r="G51" i="9"/>
  <c r="F51" i="9"/>
  <c r="E51" i="9"/>
  <c r="Z50" i="9"/>
  <c r="S50" i="9"/>
  <c r="P50" i="9"/>
  <c r="N50" i="9"/>
  <c r="K50" i="9"/>
  <c r="J50" i="9"/>
  <c r="H50" i="9"/>
  <c r="G50" i="9"/>
  <c r="F50" i="9"/>
  <c r="E50" i="9"/>
  <c r="Z49" i="9"/>
  <c r="S49" i="9"/>
  <c r="P49" i="9"/>
  <c r="N49" i="9"/>
  <c r="K49" i="9"/>
  <c r="J49" i="9"/>
  <c r="H49" i="9"/>
  <c r="G49" i="9"/>
  <c r="F49" i="9"/>
  <c r="E49" i="9"/>
  <c r="Z48" i="9"/>
  <c r="S48" i="9"/>
  <c r="P48" i="9"/>
  <c r="N48" i="9"/>
  <c r="K48" i="9"/>
  <c r="J48" i="9"/>
  <c r="H48" i="9"/>
  <c r="G48" i="9"/>
  <c r="F48" i="9"/>
  <c r="E48" i="9"/>
  <c r="Z47" i="9"/>
  <c r="S47" i="9"/>
  <c r="P47" i="9"/>
  <c r="N47" i="9"/>
  <c r="K47" i="9"/>
  <c r="J47" i="9"/>
  <c r="H47" i="9"/>
  <c r="G47" i="9"/>
  <c r="F47" i="9"/>
  <c r="E47" i="9"/>
  <c r="Z46" i="9"/>
  <c r="S46" i="9"/>
  <c r="P46" i="9"/>
  <c r="N46" i="9"/>
  <c r="K46" i="9"/>
  <c r="J46" i="9"/>
  <c r="H46" i="9"/>
  <c r="G46" i="9"/>
  <c r="F46" i="9"/>
  <c r="E46" i="9"/>
  <c r="Z45" i="9"/>
  <c r="S45" i="9"/>
  <c r="P45" i="9"/>
  <c r="N45" i="9"/>
  <c r="K45" i="9"/>
  <c r="J45" i="9"/>
  <c r="H45" i="9"/>
  <c r="G45" i="9"/>
  <c r="F45" i="9"/>
  <c r="E45" i="9"/>
  <c r="Z44" i="9"/>
  <c r="S44" i="9"/>
  <c r="P44" i="9"/>
  <c r="N44" i="9"/>
  <c r="K44" i="9"/>
  <c r="J44" i="9"/>
  <c r="H44" i="9"/>
  <c r="G44" i="9"/>
  <c r="F44" i="9"/>
  <c r="E44" i="9"/>
  <c r="Z43" i="9"/>
  <c r="S43" i="9"/>
  <c r="P43" i="9"/>
  <c r="N43" i="9"/>
  <c r="K43" i="9"/>
  <c r="J43" i="9"/>
  <c r="H43" i="9"/>
  <c r="G43" i="9"/>
  <c r="F43" i="9"/>
  <c r="E43" i="9"/>
  <c r="Z42" i="9"/>
  <c r="S42" i="9"/>
  <c r="P42" i="9"/>
  <c r="N42" i="9"/>
  <c r="K42" i="9"/>
  <c r="J42" i="9"/>
  <c r="H42" i="9"/>
  <c r="G42" i="9"/>
  <c r="F42" i="9"/>
  <c r="E42" i="9"/>
  <c r="Z41" i="9"/>
  <c r="S41" i="9"/>
  <c r="P41" i="9"/>
  <c r="N41" i="9"/>
  <c r="K41" i="9"/>
  <c r="J41" i="9"/>
  <c r="H41" i="9"/>
  <c r="G41" i="9"/>
  <c r="F41" i="9"/>
  <c r="E41" i="9"/>
  <c r="Z40" i="9"/>
  <c r="H40" i="9"/>
  <c r="G40" i="9"/>
  <c r="F40" i="9"/>
  <c r="E40" i="9"/>
  <c r="D40" i="9"/>
  <c r="A40" i="9"/>
  <c r="Z39" i="9"/>
  <c r="H39" i="9"/>
  <c r="G39" i="9"/>
  <c r="F39" i="9"/>
  <c r="E39" i="9"/>
  <c r="D39" i="9"/>
  <c r="A39" i="9"/>
  <c r="Z38" i="9"/>
  <c r="S38" i="9"/>
  <c r="P38" i="9"/>
  <c r="N38" i="9"/>
  <c r="K38" i="9"/>
  <c r="J38" i="9"/>
  <c r="H38" i="9"/>
  <c r="G38" i="9"/>
  <c r="F38" i="9"/>
  <c r="E38" i="9"/>
  <c r="Z37" i="9"/>
  <c r="S37" i="9"/>
  <c r="P37" i="9"/>
  <c r="N37" i="9"/>
  <c r="K37" i="9"/>
  <c r="J37" i="9"/>
  <c r="H37" i="9"/>
  <c r="G37" i="9"/>
  <c r="F37" i="9"/>
  <c r="E37" i="9"/>
  <c r="Z36" i="9"/>
  <c r="S36" i="9"/>
  <c r="P36" i="9"/>
  <c r="N36" i="9"/>
  <c r="K36" i="9"/>
  <c r="J36" i="9"/>
  <c r="H36" i="9"/>
  <c r="G36" i="9"/>
  <c r="F36" i="9"/>
  <c r="E36" i="9"/>
  <c r="Z35" i="9"/>
  <c r="S35" i="9"/>
  <c r="P35" i="9"/>
  <c r="N35" i="9"/>
  <c r="K35" i="9"/>
  <c r="J35" i="9"/>
  <c r="H35" i="9"/>
  <c r="G35" i="9"/>
  <c r="F35" i="9"/>
  <c r="E35" i="9"/>
  <c r="Z34" i="9"/>
  <c r="S34" i="9"/>
  <c r="P34" i="9"/>
  <c r="N34" i="9"/>
  <c r="K34" i="9"/>
  <c r="J34" i="9"/>
  <c r="H34" i="9"/>
  <c r="G34" i="9"/>
  <c r="F34" i="9"/>
  <c r="E34" i="9"/>
  <c r="Z33" i="9"/>
  <c r="S33" i="9"/>
  <c r="P33" i="9"/>
  <c r="N33" i="9"/>
  <c r="K33" i="9"/>
  <c r="J33" i="9"/>
  <c r="H33" i="9"/>
  <c r="G33" i="9"/>
  <c r="F33" i="9"/>
  <c r="E33" i="9"/>
  <c r="Z32" i="9"/>
  <c r="H32" i="9"/>
  <c r="G32" i="9"/>
  <c r="F32" i="9"/>
  <c r="E32" i="9"/>
  <c r="D32" i="9"/>
  <c r="A32" i="9"/>
  <c r="Z31" i="9"/>
  <c r="S31" i="9"/>
  <c r="P31" i="9"/>
  <c r="N31" i="9"/>
  <c r="K31" i="9"/>
  <c r="J31" i="9"/>
  <c r="H31" i="9"/>
  <c r="G31" i="9"/>
  <c r="F31" i="9"/>
  <c r="E31" i="9"/>
  <c r="Z30" i="9"/>
  <c r="S30" i="9"/>
  <c r="P30" i="9"/>
  <c r="N30" i="9"/>
  <c r="K30" i="9"/>
  <c r="J30" i="9"/>
  <c r="H30" i="9"/>
  <c r="G30" i="9"/>
  <c r="F30" i="9"/>
  <c r="E30" i="9"/>
  <c r="Z29" i="9"/>
  <c r="S29" i="9"/>
  <c r="P29" i="9"/>
  <c r="N29" i="9"/>
  <c r="K29" i="9"/>
  <c r="J29" i="9"/>
  <c r="H29" i="9"/>
  <c r="G29" i="9"/>
  <c r="F29" i="9"/>
  <c r="E29" i="9"/>
  <c r="Z28" i="9"/>
  <c r="S28" i="9"/>
  <c r="P28" i="9"/>
  <c r="N28" i="9"/>
  <c r="K28" i="9"/>
  <c r="J28" i="9"/>
  <c r="H28" i="9"/>
  <c r="G28" i="9"/>
  <c r="F28" i="9"/>
  <c r="E28" i="9"/>
  <c r="Z27" i="9"/>
  <c r="S27" i="9"/>
  <c r="P27" i="9"/>
  <c r="N27" i="9"/>
  <c r="K27" i="9"/>
  <c r="J27" i="9"/>
  <c r="H27" i="9"/>
  <c r="G27" i="9"/>
  <c r="F27" i="9"/>
  <c r="E27" i="9"/>
  <c r="Z26" i="9"/>
  <c r="S26" i="9"/>
  <c r="P26" i="9"/>
  <c r="N26" i="9"/>
  <c r="K26" i="9"/>
  <c r="J26" i="9"/>
  <c r="H26" i="9"/>
  <c r="G26" i="9"/>
  <c r="F26" i="9"/>
  <c r="E26" i="9"/>
  <c r="Z25" i="9"/>
  <c r="S25" i="9"/>
  <c r="P25" i="9"/>
  <c r="N25" i="9"/>
  <c r="K25" i="9"/>
  <c r="J25" i="9"/>
  <c r="H25" i="9"/>
  <c r="G25" i="9"/>
  <c r="F25" i="9"/>
  <c r="E25" i="9"/>
  <c r="Z24" i="9"/>
  <c r="S24" i="9"/>
  <c r="P24" i="9"/>
  <c r="N24" i="9"/>
  <c r="K24" i="9"/>
  <c r="J24" i="9"/>
  <c r="H24" i="9"/>
  <c r="G24" i="9"/>
  <c r="F24" i="9"/>
  <c r="E24" i="9"/>
  <c r="Z23" i="9"/>
  <c r="S23" i="9"/>
  <c r="P23" i="9"/>
  <c r="N23" i="9"/>
  <c r="K23" i="9"/>
  <c r="J23" i="9"/>
  <c r="H23" i="9"/>
  <c r="G23" i="9"/>
  <c r="F23" i="9"/>
  <c r="E23" i="9"/>
  <c r="Z22" i="9"/>
  <c r="S22" i="9"/>
  <c r="P22" i="9"/>
  <c r="N22" i="9"/>
  <c r="K22" i="9"/>
  <c r="J22" i="9"/>
  <c r="H22" i="9"/>
  <c r="G22" i="9"/>
  <c r="F22" i="9"/>
  <c r="E22" i="9"/>
  <c r="Z21" i="9"/>
  <c r="S21" i="9"/>
  <c r="P21" i="9"/>
  <c r="N21" i="9"/>
  <c r="K21" i="9"/>
  <c r="J21" i="9"/>
  <c r="H21" i="9"/>
  <c r="G21" i="9"/>
  <c r="F21" i="9"/>
  <c r="E21" i="9"/>
  <c r="Z20" i="9"/>
  <c r="S20" i="9"/>
  <c r="P20" i="9"/>
  <c r="N20" i="9"/>
  <c r="K20" i="9"/>
  <c r="J20" i="9"/>
  <c r="H20" i="9"/>
  <c r="G20" i="9"/>
  <c r="F20" i="9"/>
  <c r="E20" i="9"/>
  <c r="Z19" i="9"/>
  <c r="S19" i="9"/>
  <c r="P19" i="9"/>
  <c r="N19" i="9"/>
  <c r="K19" i="9"/>
  <c r="J19" i="9"/>
  <c r="H19" i="9"/>
  <c r="G19" i="9"/>
  <c r="F19" i="9"/>
  <c r="E19" i="9"/>
  <c r="Z18" i="9"/>
  <c r="S18" i="9"/>
  <c r="P18" i="9"/>
  <c r="N18" i="9"/>
  <c r="K18" i="9"/>
  <c r="J18" i="9"/>
  <c r="H18" i="9"/>
  <c r="G18" i="9"/>
  <c r="F18" i="9"/>
  <c r="E18" i="9"/>
  <c r="Z17" i="9"/>
  <c r="S17" i="9"/>
  <c r="P17" i="9"/>
  <c r="N17" i="9"/>
  <c r="K17" i="9"/>
  <c r="J17" i="9"/>
  <c r="H17" i="9"/>
  <c r="G17" i="9"/>
  <c r="F17" i="9"/>
  <c r="E17" i="9"/>
  <c r="Z16" i="9"/>
  <c r="S16" i="9"/>
  <c r="P16" i="9"/>
  <c r="N16" i="9"/>
  <c r="K16" i="9"/>
  <c r="J16" i="9"/>
  <c r="H16" i="9"/>
  <c r="G16" i="9"/>
  <c r="F16" i="9"/>
  <c r="E16" i="9"/>
  <c r="Z15" i="9"/>
  <c r="S15" i="9"/>
  <c r="P15" i="9"/>
  <c r="N15" i="9"/>
  <c r="K15" i="9"/>
  <c r="J15" i="9"/>
  <c r="H15" i="9"/>
  <c r="G15" i="9"/>
  <c r="F15" i="9"/>
  <c r="E15" i="9"/>
  <c r="Z14" i="9"/>
  <c r="S14" i="9"/>
  <c r="P14" i="9"/>
  <c r="N14" i="9"/>
  <c r="K14" i="9"/>
  <c r="J14" i="9"/>
  <c r="H14" i="9"/>
  <c r="G14" i="9"/>
  <c r="F14" i="9"/>
  <c r="E14" i="9"/>
  <c r="Z13" i="9"/>
  <c r="S13" i="9"/>
  <c r="P13" i="9"/>
  <c r="N13" i="9"/>
  <c r="K13" i="9"/>
  <c r="J13" i="9"/>
  <c r="H13" i="9"/>
  <c r="G13" i="9"/>
  <c r="F13" i="9"/>
  <c r="E13" i="9"/>
  <c r="Z12" i="9"/>
  <c r="S12" i="9"/>
  <c r="P12" i="9"/>
  <c r="N12" i="9"/>
  <c r="K12" i="9"/>
  <c r="J12" i="9"/>
  <c r="H12" i="9"/>
  <c r="G12" i="9"/>
  <c r="F12" i="9"/>
  <c r="E12" i="9"/>
  <c r="Z11" i="9"/>
  <c r="S11" i="9"/>
  <c r="P11" i="9"/>
  <c r="N11" i="9"/>
  <c r="K11" i="9"/>
  <c r="J11" i="9"/>
  <c r="H11" i="9"/>
  <c r="G11" i="9"/>
  <c r="F11" i="9"/>
  <c r="E11" i="9"/>
  <c r="Z10" i="9"/>
  <c r="S10" i="9"/>
  <c r="P10" i="9"/>
  <c r="N10" i="9"/>
  <c r="K10" i="9"/>
  <c r="J10" i="9"/>
  <c r="H10" i="9"/>
  <c r="G10" i="9"/>
  <c r="F10" i="9"/>
  <c r="E10" i="9"/>
  <c r="Z9" i="9"/>
  <c r="S9" i="9"/>
  <c r="P9" i="9"/>
  <c r="N9" i="9"/>
  <c r="K9" i="9"/>
  <c r="J9" i="9"/>
  <c r="H9" i="9"/>
  <c r="G9" i="9"/>
  <c r="F9" i="9"/>
  <c r="E9" i="9"/>
  <c r="Z8" i="9"/>
  <c r="S8" i="9"/>
  <c r="P8" i="9"/>
  <c r="N8" i="9"/>
  <c r="K8" i="9"/>
  <c r="J8" i="9"/>
  <c r="H8" i="9"/>
  <c r="G8" i="9"/>
  <c r="F8" i="9"/>
  <c r="E8" i="9"/>
  <c r="G7" i="9"/>
  <c r="A7" i="9"/>
  <c r="G6" i="9"/>
  <c r="A6" i="9"/>
  <c r="A1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1" i="3"/>
  <c r="Y1" i="3"/>
  <c r="CY1" i="3"/>
  <c r="CZ1" i="3"/>
  <c r="DB1" i="3" s="1"/>
  <c r="L9" i="9" s="1"/>
  <c r="DA1" i="3"/>
  <c r="DC1" i="3"/>
  <c r="Q9" i="9" s="1"/>
  <c r="A2" i="3"/>
  <c r="Y2" i="3"/>
  <c r="CY2" i="3"/>
  <c r="CZ2" i="3"/>
  <c r="DB2" i="3" s="1"/>
  <c r="DA2" i="3"/>
  <c r="DC2" i="3"/>
  <c r="A3" i="3"/>
  <c r="Y3" i="3"/>
  <c r="CY3" i="3"/>
  <c r="CZ3" i="3"/>
  <c r="DB3" i="3" s="1"/>
  <c r="L8" i="9" s="1"/>
  <c r="DA3" i="3"/>
  <c r="DC3" i="3"/>
  <c r="Q8" i="9" s="1"/>
  <c r="A4" i="3"/>
  <c r="Y4" i="3"/>
  <c r="CY4" i="3"/>
  <c r="CZ4" i="3"/>
  <c r="DB4" i="3" s="1"/>
  <c r="DA4" i="3"/>
  <c r="DC4" i="3"/>
  <c r="A5" i="3"/>
  <c r="Y5" i="3"/>
  <c r="I11" i="9" s="1"/>
  <c r="CU5" i="3"/>
  <c r="CX5" i="3"/>
  <c r="DI5" i="3" s="1"/>
  <c r="DJ5" i="3" s="1"/>
  <c r="CY5" i="3"/>
  <c r="CZ5" i="3"/>
  <c r="DA5" i="3"/>
  <c r="DB5" i="3"/>
  <c r="L11" i="9" s="1"/>
  <c r="DC5" i="3"/>
  <c r="Q11" i="9" s="1"/>
  <c r="R11" i="9" s="1"/>
  <c r="A6" i="3"/>
  <c r="Y6" i="3"/>
  <c r="CY6" i="3"/>
  <c r="CZ6" i="3"/>
  <c r="DB6" i="3" s="1"/>
  <c r="L10" i="9" s="1"/>
  <c r="DA6" i="3"/>
  <c r="DC6" i="3"/>
  <c r="Q10" i="9" s="1"/>
  <c r="A7" i="3"/>
  <c r="Y7" i="3"/>
  <c r="CY7" i="3"/>
  <c r="CZ7" i="3"/>
  <c r="DA7" i="3"/>
  <c r="DB7" i="3"/>
  <c r="L15" i="9" s="1"/>
  <c r="DC7" i="3"/>
  <c r="Q15" i="9" s="1"/>
  <c r="A8" i="3"/>
  <c r="Y8" i="3"/>
  <c r="CY8" i="3"/>
  <c r="CZ8" i="3"/>
  <c r="DB8" i="3" s="1"/>
  <c r="DA8" i="3"/>
  <c r="DC8" i="3"/>
  <c r="A9" i="3"/>
  <c r="Y9" i="3"/>
  <c r="CY9" i="3"/>
  <c r="CZ9" i="3"/>
  <c r="DB9" i="3" s="1"/>
  <c r="L14" i="9" s="1"/>
  <c r="DA9" i="3"/>
  <c r="DC9" i="3"/>
  <c r="Q14" i="9" s="1"/>
  <c r="A10" i="3"/>
  <c r="Y10" i="3"/>
  <c r="CY10" i="3"/>
  <c r="CZ10" i="3"/>
  <c r="DB10" i="3" s="1"/>
  <c r="L13" i="9" s="1"/>
  <c r="DA10" i="3"/>
  <c r="DC10" i="3"/>
  <c r="Q13" i="9" s="1"/>
  <c r="A11" i="3"/>
  <c r="Y11" i="3"/>
  <c r="CY11" i="3"/>
  <c r="CZ11" i="3"/>
  <c r="DB11" i="3" s="1"/>
  <c r="L12" i="9" s="1"/>
  <c r="DA11" i="3"/>
  <c r="DC11" i="3"/>
  <c r="Q12" i="9" s="1"/>
  <c r="A12" i="3"/>
  <c r="Y12" i="3"/>
  <c r="CY12" i="3"/>
  <c r="CZ12" i="3"/>
  <c r="DB12" i="3" s="1"/>
  <c r="DA12" i="3"/>
  <c r="DC12" i="3"/>
  <c r="A13" i="3"/>
  <c r="Y13" i="3"/>
  <c r="CY13" i="3"/>
  <c r="CZ13" i="3"/>
  <c r="DA13" i="3"/>
  <c r="DB13" i="3"/>
  <c r="L25" i="9" s="1"/>
  <c r="DC13" i="3"/>
  <c r="Q25" i="9" s="1"/>
  <c r="A14" i="3"/>
  <c r="Y14" i="3"/>
  <c r="CY14" i="3"/>
  <c r="CZ14" i="3"/>
  <c r="DA14" i="3"/>
  <c r="DB14" i="3"/>
  <c r="DC14" i="3"/>
  <c r="A15" i="3"/>
  <c r="Y15" i="3"/>
  <c r="CY15" i="3"/>
  <c r="CZ15" i="3"/>
  <c r="DB15" i="3" s="1"/>
  <c r="L24" i="9" s="1"/>
  <c r="DA15" i="3"/>
  <c r="DC15" i="3"/>
  <c r="Q24" i="9" s="1"/>
  <c r="A16" i="3"/>
  <c r="Y16" i="3"/>
  <c r="CY16" i="3"/>
  <c r="CZ16" i="3"/>
  <c r="DA16" i="3"/>
  <c r="DB16" i="3"/>
  <c r="L23" i="9" s="1"/>
  <c r="DC16" i="3"/>
  <c r="Q23" i="9" s="1"/>
  <c r="A17" i="3"/>
  <c r="Y17" i="3"/>
  <c r="CY17" i="3"/>
  <c r="CZ17" i="3"/>
  <c r="DB17" i="3" s="1"/>
  <c r="L22" i="9" s="1"/>
  <c r="DA17" i="3"/>
  <c r="DC17" i="3"/>
  <c r="Q22" i="9" s="1"/>
  <c r="A18" i="3"/>
  <c r="Y18" i="3"/>
  <c r="CY18" i="3"/>
  <c r="CZ18" i="3"/>
  <c r="DB18" i="3" s="1"/>
  <c r="L21" i="9" s="1"/>
  <c r="DA18" i="3"/>
  <c r="DC18" i="3"/>
  <c r="Q21" i="9" s="1"/>
  <c r="A19" i="3"/>
  <c r="Y19" i="3"/>
  <c r="CY19" i="3"/>
  <c r="CZ19" i="3"/>
  <c r="DA19" i="3"/>
  <c r="DB19" i="3"/>
  <c r="L20" i="9" s="1"/>
  <c r="DC19" i="3"/>
  <c r="Q20" i="9" s="1"/>
  <c r="A20" i="3"/>
  <c r="Y20" i="3"/>
  <c r="CY20" i="3"/>
  <c r="CZ20" i="3"/>
  <c r="DB20" i="3" s="1"/>
  <c r="L19" i="9" s="1"/>
  <c r="DA20" i="3"/>
  <c r="DC20" i="3"/>
  <c r="Q19" i="9" s="1"/>
  <c r="A21" i="3"/>
  <c r="Y21" i="3"/>
  <c r="CY21" i="3"/>
  <c r="CZ21" i="3"/>
  <c r="DB21" i="3" s="1"/>
  <c r="L18" i="9" s="1"/>
  <c r="DA21" i="3"/>
  <c r="DC21" i="3"/>
  <c r="Q18" i="9" s="1"/>
  <c r="A22" i="3"/>
  <c r="Y22" i="3"/>
  <c r="CY22" i="3"/>
  <c r="CZ22" i="3"/>
  <c r="DA22" i="3"/>
  <c r="DB22" i="3"/>
  <c r="L17" i="9" s="1"/>
  <c r="DC22" i="3"/>
  <c r="Q17" i="9" s="1"/>
  <c r="A23" i="3"/>
  <c r="Y23" i="3"/>
  <c r="CY23" i="3"/>
  <c r="CZ23" i="3"/>
  <c r="DB23" i="3" s="1"/>
  <c r="L16" i="9" s="1"/>
  <c r="DA23" i="3"/>
  <c r="DC23" i="3"/>
  <c r="Q16" i="9" s="1"/>
  <c r="A24" i="3"/>
  <c r="Y24" i="3"/>
  <c r="CY24" i="3"/>
  <c r="CZ24" i="3"/>
  <c r="DB24" i="3" s="1"/>
  <c r="L31" i="9" s="1"/>
  <c r="DA24" i="3"/>
  <c r="DC24" i="3"/>
  <c r="Q31" i="9" s="1"/>
  <c r="A25" i="3"/>
  <c r="Y25" i="3"/>
  <c r="CY25" i="3"/>
  <c r="CZ25" i="3"/>
  <c r="DA25" i="3"/>
  <c r="DB25" i="3"/>
  <c r="DC25" i="3"/>
  <c r="A26" i="3"/>
  <c r="Y26" i="3"/>
  <c r="CY26" i="3"/>
  <c r="CZ26" i="3"/>
  <c r="DB26" i="3" s="1"/>
  <c r="L30" i="9" s="1"/>
  <c r="DA26" i="3"/>
  <c r="DC26" i="3"/>
  <c r="Q30" i="9" s="1"/>
  <c r="A27" i="3"/>
  <c r="Y27" i="3"/>
  <c r="CY27" i="3"/>
  <c r="CZ27" i="3"/>
  <c r="DB27" i="3" s="1"/>
  <c r="L29" i="9" s="1"/>
  <c r="DA27" i="3"/>
  <c r="DC27" i="3"/>
  <c r="Q29" i="9" s="1"/>
  <c r="A28" i="3"/>
  <c r="Y28" i="3"/>
  <c r="CY28" i="3"/>
  <c r="CZ28" i="3"/>
  <c r="DB28" i="3" s="1"/>
  <c r="L28" i="9" s="1"/>
  <c r="DA28" i="3"/>
  <c r="DC28" i="3"/>
  <c r="Q28" i="9" s="1"/>
  <c r="A29" i="3"/>
  <c r="Y29" i="3"/>
  <c r="CY29" i="3"/>
  <c r="CZ29" i="3"/>
  <c r="DB29" i="3" s="1"/>
  <c r="L27" i="9" s="1"/>
  <c r="DA29" i="3"/>
  <c r="DC29" i="3"/>
  <c r="Q27" i="9" s="1"/>
  <c r="A30" i="3"/>
  <c r="Y30" i="3"/>
  <c r="CY30" i="3"/>
  <c r="CZ30" i="3"/>
  <c r="DB30" i="3" s="1"/>
  <c r="L26" i="9" s="1"/>
  <c r="DA30" i="3"/>
  <c r="DC30" i="3"/>
  <c r="Q26" i="9" s="1"/>
  <c r="A31" i="3"/>
  <c r="Y31" i="3"/>
  <c r="CY31" i="3"/>
  <c r="CZ31" i="3"/>
  <c r="DB31" i="3" s="1"/>
  <c r="DA31" i="3"/>
  <c r="DC31" i="3"/>
  <c r="A32" i="3"/>
  <c r="Y32" i="3"/>
  <c r="CY32" i="3"/>
  <c r="CZ32" i="3"/>
  <c r="DB32" i="3" s="1"/>
  <c r="L38" i="9" s="1"/>
  <c r="DA32" i="3"/>
  <c r="DC32" i="3"/>
  <c r="Q38" i="9" s="1"/>
  <c r="A33" i="3"/>
  <c r="Y33" i="3"/>
  <c r="CY33" i="3"/>
  <c r="CZ33" i="3"/>
  <c r="DB33" i="3" s="1"/>
  <c r="DA33" i="3"/>
  <c r="DC33" i="3"/>
  <c r="A34" i="3"/>
  <c r="Y34" i="3"/>
  <c r="CY34" i="3"/>
  <c r="CZ34" i="3"/>
  <c r="DA34" i="3"/>
  <c r="DB34" i="3"/>
  <c r="L37" i="9" s="1"/>
  <c r="DC34" i="3"/>
  <c r="Q37" i="9" s="1"/>
  <c r="A35" i="3"/>
  <c r="Y35" i="3"/>
  <c r="CY35" i="3"/>
  <c r="CZ35" i="3"/>
  <c r="DB35" i="3" s="1"/>
  <c r="L36" i="9" s="1"/>
  <c r="DA35" i="3"/>
  <c r="DC35" i="3"/>
  <c r="Q36" i="9" s="1"/>
  <c r="A36" i="3"/>
  <c r="Y36" i="3"/>
  <c r="CY36" i="3"/>
  <c r="CZ36" i="3"/>
  <c r="DA36" i="3"/>
  <c r="DB36" i="3"/>
  <c r="L35" i="9" s="1"/>
  <c r="DC36" i="3"/>
  <c r="Q35" i="9" s="1"/>
  <c r="A37" i="3"/>
  <c r="Y37" i="3"/>
  <c r="CY37" i="3"/>
  <c r="CZ37" i="3"/>
  <c r="DA37" i="3"/>
  <c r="DB37" i="3"/>
  <c r="L34" i="9" s="1"/>
  <c r="DC37" i="3"/>
  <c r="Q34" i="9" s="1"/>
  <c r="A38" i="3"/>
  <c r="Y38" i="3"/>
  <c r="CY38" i="3"/>
  <c r="CZ38" i="3"/>
  <c r="DB38" i="3" s="1"/>
  <c r="L33" i="9" s="1"/>
  <c r="DA38" i="3"/>
  <c r="DC38" i="3"/>
  <c r="Q33" i="9" s="1"/>
  <c r="A39" i="3"/>
  <c r="Y39" i="3"/>
  <c r="CY39" i="3"/>
  <c r="CZ39" i="3"/>
  <c r="DB39" i="3" s="1"/>
  <c r="DA39" i="3"/>
  <c r="DC39" i="3"/>
  <c r="A40" i="3"/>
  <c r="Y40" i="3"/>
  <c r="CY40" i="3"/>
  <c r="CZ40" i="3"/>
  <c r="DB40" i="3" s="1"/>
  <c r="DA40" i="3"/>
  <c r="DC40" i="3"/>
  <c r="A41" i="3"/>
  <c r="Y41" i="3"/>
  <c r="CY41" i="3"/>
  <c r="CZ41" i="3"/>
  <c r="DB41" i="3" s="1"/>
  <c r="DA41" i="3"/>
  <c r="DC41" i="3"/>
  <c r="A42" i="3"/>
  <c r="Y42" i="3"/>
  <c r="CY42" i="3"/>
  <c r="CZ42" i="3"/>
  <c r="DB42" i="3" s="1"/>
  <c r="DA42" i="3"/>
  <c r="DC42" i="3"/>
  <c r="A43" i="3"/>
  <c r="Y43" i="3"/>
  <c r="CY43" i="3"/>
  <c r="CZ43" i="3"/>
  <c r="DB43" i="3" s="1"/>
  <c r="L51" i="9" s="1"/>
  <c r="DA43" i="3"/>
  <c r="DC43" i="3"/>
  <c r="Q51" i="9" s="1"/>
  <c r="A44" i="3"/>
  <c r="Y44" i="3"/>
  <c r="CY44" i="3"/>
  <c r="CZ44" i="3"/>
  <c r="DB44" i="3" s="1"/>
  <c r="DA44" i="3"/>
  <c r="DC44" i="3"/>
  <c r="A45" i="3"/>
  <c r="Y45" i="3"/>
  <c r="CY45" i="3"/>
  <c r="CZ45" i="3"/>
  <c r="DA45" i="3"/>
  <c r="DB45" i="3"/>
  <c r="L50" i="9" s="1"/>
  <c r="DC45" i="3"/>
  <c r="Q50" i="9" s="1"/>
  <c r="A46" i="3"/>
  <c r="Y46" i="3"/>
  <c r="CY46" i="3"/>
  <c r="CZ46" i="3"/>
  <c r="DB46" i="3" s="1"/>
  <c r="L49" i="9" s="1"/>
  <c r="DA46" i="3"/>
  <c r="DC46" i="3"/>
  <c r="Q49" i="9" s="1"/>
  <c r="A47" i="3"/>
  <c r="Y47" i="3"/>
  <c r="CY47" i="3"/>
  <c r="CZ47" i="3"/>
  <c r="DB47" i="3" s="1"/>
  <c r="L48" i="9" s="1"/>
  <c r="DA47" i="3"/>
  <c r="DC47" i="3"/>
  <c r="Q48" i="9" s="1"/>
  <c r="A48" i="3"/>
  <c r="Y48" i="3"/>
  <c r="CY48" i="3"/>
  <c r="CZ48" i="3"/>
  <c r="DB48" i="3" s="1"/>
  <c r="L47" i="9" s="1"/>
  <c r="DA48" i="3"/>
  <c r="DC48" i="3"/>
  <c r="Q47" i="9" s="1"/>
  <c r="A49" i="3"/>
  <c r="Y49" i="3"/>
  <c r="CY49" i="3"/>
  <c r="CZ49" i="3"/>
  <c r="DB49" i="3" s="1"/>
  <c r="L46" i="9" s="1"/>
  <c r="DA49" i="3"/>
  <c r="DC49" i="3"/>
  <c r="Q46" i="9" s="1"/>
  <c r="A50" i="3"/>
  <c r="Y50" i="3"/>
  <c r="CY50" i="3"/>
  <c r="CZ50" i="3"/>
  <c r="DB50" i="3" s="1"/>
  <c r="L45" i="9" s="1"/>
  <c r="DA50" i="3"/>
  <c r="DC50" i="3"/>
  <c r="Q45" i="9" s="1"/>
  <c r="A51" i="3"/>
  <c r="Y51" i="3"/>
  <c r="CY51" i="3"/>
  <c r="CZ51" i="3"/>
  <c r="DB51" i="3" s="1"/>
  <c r="L44" i="9" s="1"/>
  <c r="DA51" i="3"/>
  <c r="DC51" i="3"/>
  <c r="Q44" i="9" s="1"/>
  <c r="A52" i="3"/>
  <c r="Y52" i="3"/>
  <c r="CY52" i="3"/>
  <c r="CZ52" i="3"/>
  <c r="DA52" i="3"/>
  <c r="DB52" i="3"/>
  <c r="L43" i="9" s="1"/>
  <c r="DC52" i="3"/>
  <c r="Q43" i="9" s="1"/>
  <c r="A53" i="3"/>
  <c r="Y53" i="3"/>
  <c r="CY53" i="3"/>
  <c r="CZ53" i="3"/>
  <c r="DA53" i="3"/>
  <c r="DB53" i="3"/>
  <c r="L42" i="9" s="1"/>
  <c r="DC53" i="3"/>
  <c r="Q42" i="9" s="1"/>
  <c r="A54" i="3"/>
  <c r="Y54" i="3"/>
  <c r="CY54" i="3"/>
  <c r="CZ54" i="3"/>
  <c r="DB54" i="3" s="1"/>
  <c r="DA54" i="3"/>
  <c r="DC54" i="3"/>
  <c r="A55" i="3"/>
  <c r="Y55" i="3"/>
  <c r="CY55" i="3"/>
  <c r="CZ55" i="3"/>
  <c r="DB55" i="3" s="1"/>
  <c r="L41" i="9" s="1"/>
  <c r="DA55" i="3"/>
  <c r="DC55" i="3"/>
  <c r="Q41" i="9" s="1"/>
  <c r="A56" i="3"/>
  <c r="Y56" i="3"/>
  <c r="CY56" i="3"/>
  <c r="CZ56" i="3"/>
  <c r="DB56" i="3" s="1"/>
  <c r="DA56" i="3"/>
  <c r="DC56" i="3"/>
  <c r="A57" i="3"/>
  <c r="Y57" i="3"/>
  <c r="CY57" i="3"/>
  <c r="CZ57" i="3"/>
  <c r="DB57" i="3" s="1"/>
  <c r="DA57" i="3"/>
  <c r="DC57" i="3"/>
  <c r="A58" i="3"/>
  <c r="Y58" i="3"/>
  <c r="CY58" i="3"/>
  <c r="CZ58" i="3"/>
  <c r="DA58" i="3"/>
  <c r="DB58" i="3"/>
  <c r="L59" i="9" s="1"/>
  <c r="DC58" i="3"/>
  <c r="Q59" i="9" s="1"/>
  <c r="A59" i="3"/>
  <c r="Y59" i="3"/>
  <c r="CY59" i="3"/>
  <c r="CZ59" i="3"/>
  <c r="DA59" i="3"/>
  <c r="DB59" i="3"/>
  <c r="DC59" i="3"/>
  <c r="A60" i="3"/>
  <c r="Y60" i="3"/>
  <c r="CY60" i="3"/>
  <c r="CZ60" i="3"/>
  <c r="DB60" i="3" s="1"/>
  <c r="L58" i="9" s="1"/>
  <c r="DA60" i="3"/>
  <c r="DC60" i="3"/>
  <c r="Q58" i="9" s="1"/>
  <c r="A61" i="3"/>
  <c r="Y61" i="3"/>
  <c r="CY61" i="3"/>
  <c r="CZ61" i="3"/>
  <c r="DA61" i="3"/>
  <c r="DB61" i="3"/>
  <c r="L57" i="9" s="1"/>
  <c r="DC61" i="3"/>
  <c r="Q57" i="9" s="1"/>
  <c r="A62" i="3"/>
  <c r="Y62" i="3"/>
  <c r="CY62" i="3"/>
  <c r="CZ62" i="3"/>
  <c r="DB62" i="3" s="1"/>
  <c r="L56" i="9" s="1"/>
  <c r="DA62" i="3"/>
  <c r="DC62" i="3"/>
  <c r="Q56" i="9" s="1"/>
  <c r="A63" i="3"/>
  <c r="Y63" i="3"/>
  <c r="CY63" i="3"/>
  <c r="CZ63" i="3"/>
  <c r="DB63" i="3" s="1"/>
  <c r="L55" i="9" s="1"/>
  <c r="DA63" i="3"/>
  <c r="DC63" i="3"/>
  <c r="Q55" i="9" s="1"/>
  <c r="A64" i="3"/>
  <c r="Y64" i="3"/>
  <c r="CY64" i="3"/>
  <c r="CZ64" i="3"/>
  <c r="DA64" i="3"/>
  <c r="DB64" i="3"/>
  <c r="L54" i="9" s="1"/>
  <c r="DC64" i="3"/>
  <c r="Q54" i="9" s="1"/>
  <c r="A65" i="3"/>
  <c r="Y65" i="3"/>
  <c r="CY65" i="3"/>
  <c r="CZ65" i="3"/>
  <c r="DB65" i="3" s="1"/>
  <c r="DA65" i="3"/>
  <c r="DC65" i="3"/>
  <c r="A66" i="3"/>
  <c r="Y66" i="3"/>
  <c r="CY66" i="3"/>
  <c r="CZ66" i="3"/>
  <c r="DB66" i="3" s="1"/>
  <c r="L53" i="9" s="1"/>
  <c r="DA66" i="3"/>
  <c r="DC66" i="3"/>
  <c r="Q53" i="9" s="1"/>
  <c r="A67" i="3"/>
  <c r="Y67" i="3"/>
  <c r="CY67" i="3"/>
  <c r="CZ67" i="3"/>
  <c r="DB67" i="3" s="1"/>
  <c r="DA67" i="3"/>
  <c r="DC67" i="3"/>
  <c r="A68" i="3"/>
  <c r="Y68" i="3"/>
  <c r="CY68" i="3"/>
  <c r="CZ68" i="3"/>
  <c r="DB68" i="3" s="1"/>
  <c r="DA68" i="3"/>
  <c r="DC68" i="3"/>
  <c r="A69" i="3"/>
  <c r="Y69" i="3"/>
  <c r="CY69" i="3"/>
  <c r="CZ69" i="3"/>
  <c r="DA69" i="3"/>
  <c r="DB69" i="3"/>
  <c r="DC69" i="3"/>
  <c r="A70" i="3"/>
  <c r="Y70" i="3"/>
  <c r="CY70" i="3"/>
  <c r="CZ70" i="3"/>
  <c r="DB70" i="3" s="1"/>
  <c r="DA70" i="3"/>
  <c r="DC70" i="3"/>
  <c r="A71" i="3"/>
  <c r="Y71" i="3"/>
  <c r="CY71" i="3"/>
  <c r="CZ71" i="3"/>
  <c r="DB71" i="3" s="1"/>
  <c r="L63" i="9" s="1"/>
  <c r="DA71" i="3"/>
  <c r="DC71" i="3"/>
  <c r="Q63" i="9" s="1"/>
  <c r="A72" i="3"/>
  <c r="Y72" i="3"/>
  <c r="CY72" i="3"/>
  <c r="CZ72" i="3"/>
  <c r="DB72" i="3" s="1"/>
  <c r="DA72" i="3"/>
  <c r="DC72" i="3"/>
  <c r="A73" i="3"/>
  <c r="Y73" i="3"/>
  <c r="CY73" i="3"/>
  <c r="CZ73" i="3"/>
  <c r="DB73" i="3" s="1"/>
  <c r="L62" i="9" s="1"/>
  <c r="DA73" i="3"/>
  <c r="DC73" i="3"/>
  <c r="Q62" i="9" s="1"/>
  <c r="A74" i="3"/>
  <c r="Y74" i="3"/>
  <c r="CY74" i="3"/>
  <c r="CZ74" i="3"/>
  <c r="DB74" i="3" s="1"/>
  <c r="L61" i="9" s="1"/>
  <c r="M61" i="9" s="1"/>
  <c r="DA74" i="3"/>
  <c r="DC74" i="3"/>
  <c r="Q61" i="9" s="1"/>
  <c r="A75" i="3"/>
  <c r="Y75" i="3"/>
  <c r="CY75" i="3"/>
  <c r="CZ75" i="3"/>
  <c r="DB75" i="3" s="1"/>
  <c r="DA75" i="3"/>
  <c r="DC75" i="3"/>
  <c r="A76" i="3"/>
  <c r="Y76" i="3"/>
  <c r="CY76" i="3"/>
  <c r="CZ76" i="3"/>
  <c r="DB76" i="3" s="1"/>
  <c r="DA76" i="3"/>
  <c r="DC76" i="3"/>
  <c r="A77" i="3"/>
  <c r="Y77" i="3"/>
  <c r="CY77" i="3"/>
  <c r="CZ77" i="3"/>
  <c r="DA77" i="3"/>
  <c r="DB77" i="3"/>
  <c r="DC77" i="3"/>
  <c r="A78" i="3"/>
  <c r="Y78" i="3"/>
  <c r="CU78" i="3"/>
  <c r="CY78" i="3"/>
  <c r="CZ78" i="3"/>
  <c r="DB78" i="3" s="1"/>
  <c r="L65" i="9" s="1"/>
  <c r="DA78" i="3"/>
  <c r="DC78" i="3"/>
  <c r="Q65" i="9" s="1"/>
  <c r="R65" i="9" s="1"/>
  <c r="A79" i="3"/>
  <c r="Y79" i="3"/>
  <c r="CY79" i="3"/>
  <c r="CZ79" i="3"/>
  <c r="DB79" i="3" s="1"/>
  <c r="L73" i="9" s="1"/>
  <c r="DA79" i="3"/>
  <c r="DC79" i="3"/>
  <c r="Q73" i="9" s="1"/>
  <c r="A80" i="3"/>
  <c r="Y80" i="3"/>
  <c r="CY80" i="3"/>
  <c r="CZ80" i="3"/>
  <c r="DB80" i="3" s="1"/>
  <c r="DA80" i="3"/>
  <c r="DC80" i="3"/>
  <c r="A81" i="3"/>
  <c r="Y81" i="3"/>
  <c r="CY81" i="3"/>
  <c r="CZ81" i="3"/>
  <c r="DB81" i="3" s="1"/>
  <c r="L72" i="9" s="1"/>
  <c r="DA81" i="3"/>
  <c r="DC81" i="3"/>
  <c r="Q72" i="9" s="1"/>
  <c r="A82" i="3"/>
  <c r="Y82" i="3"/>
  <c r="CY82" i="3"/>
  <c r="CZ82" i="3"/>
  <c r="DB82" i="3" s="1"/>
  <c r="L71" i="9" s="1"/>
  <c r="DA82" i="3"/>
  <c r="DC82" i="3"/>
  <c r="Q71" i="9" s="1"/>
  <c r="A83" i="3"/>
  <c r="Y83" i="3"/>
  <c r="CY83" i="3"/>
  <c r="CZ83" i="3"/>
  <c r="DA83" i="3"/>
  <c r="DB83" i="3"/>
  <c r="L70" i="9" s="1"/>
  <c r="DC83" i="3"/>
  <c r="Q70" i="9" s="1"/>
  <c r="A84" i="3"/>
  <c r="Y84" i="3"/>
  <c r="CY84" i="3"/>
  <c r="CZ84" i="3"/>
  <c r="DB84" i="3" s="1"/>
  <c r="L69" i="9" s="1"/>
  <c r="DA84" i="3"/>
  <c r="DC84" i="3"/>
  <c r="Q69" i="9" s="1"/>
  <c r="A85" i="3"/>
  <c r="Y85" i="3"/>
  <c r="CY85" i="3"/>
  <c r="CZ85" i="3"/>
  <c r="DA85" i="3"/>
  <c r="DB85" i="3"/>
  <c r="DC85" i="3"/>
  <c r="A86" i="3"/>
  <c r="Y86" i="3"/>
  <c r="CY86" i="3"/>
  <c r="CZ86" i="3"/>
  <c r="DA86" i="3"/>
  <c r="DB86" i="3"/>
  <c r="DC86" i="3"/>
  <c r="A87" i="3"/>
  <c r="Y87" i="3"/>
  <c r="CY87" i="3"/>
  <c r="CZ87" i="3"/>
  <c r="DB87" i="3" s="1"/>
  <c r="L68" i="9" s="1"/>
  <c r="DA87" i="3"/>
  <c r="DC87" i="3"/>
  <c r="Q68" i="9" s="1"/>
  <c r="A88" i="3"/>
  <c r="Y88" i="3"/>
  <c r="CY88" i="3"/>
  <c r="CZ88" i="3"/>
  <c r="DB88" i="3" s="1"/>
  <c r="L67" i="9" s="1"/>
  <c r="DA88" i="3"/>
  <c r="DC88" i="3"/>
  <c r="Q67" i="9" s="1"/>
  <c r="A89" i="3"/>
  <c r="Y89" i="3"/>
  <c r="CY89" i="3"/>
  <c r="CZ89" i="3"/>
  <c r="DB89" i="3" s="1"/>
  <c r="L66" i="9" s="1"/>
  <c r="M66" i="9" s="1"/>
  <c r="DA89" i="3"/>
  <c r="DC89" i="3"/>
  <c r="Q66" i="9" s="1"/>
  <c r="A90" i="3"/>
  <c r="Y90" i="3"/>
  <c r="CY90" i="3"/>
  <c r="CZ90" i="3"/>
  <c r="DB90" i="3" s="1"/>
  <c r="L81" i="9" s="1"/>
  <c r="DA90" i="3"/>
  <c r="DC90" i="3"/>
  <c r="Q81" i="9" s="1"/>
  <c r="A91" i="3"/>
  <c r="Y91" i="3"/>
  <c r="CY91" i="3"/>
  <c r="CZ91" i="3"/>
  <c r="DA91" i="3"/>
  <c r="DB91" i="3"/>
  <c r="DC91" i="3"/>
  <c r="A92" i="3"/>
  <c r="Y92" i="3"/>
  <c r="CY92" i="3"/>
  <c r="CZ92" i="3"/>
  <c r="DB92" i="3" s="1"/>
  <c r="L80" i="9" s="1"/>
  <c r="DA92" i="3"/>
  <c r="DC92" i="3"/>
  <c r="Q80" i="9" s="1"/>
  <c r="A93" i="3"/>
  <c r="Y93" i="3"/>
  <c r="CY93" i="3"/>
  <c r="CZ93" i="3"/>
  <c r="DA93" i="3"/>
  <c r="DB93" i="3"/>
  <c r="L79" i="9" s="1"/>
  <c r="DC93" i="3"/>
  <c r="Q79" i="9" s="1"/>
  <c r="A94" i="3"/>
  <c r="Y94" i="3"/>
  <c r="CY94" i="3"/>
  <c r="CZ94" i="3"/>
  <c r="DB94" i="3" s="1"/>
  <c r="L78" i="9" s="1"/>
  <c r="DA94" i="3"/>
  <c r="DC94" i="3"/>
  <c r="Q78" i="9" s="1"/>
  <c r="A95" i="3"/>
  <c r="Y95" i="3"/>
  <c r="CY95" i="3"/>
  <c r="CZ95" i="3"/>
  <c r="DB95" i="3" s="1"/>
  <c r="L77" i="9" s="1"/>
  <c r="DA95" i="3"/>
  <c r="DC95" i="3"/>
  <c r="Q77" i="9" s="1"/>
  <c r="A96" i="3"/>
  <c r="Y96" i="3"/>
  <c r="CY96" i="3"/>
  <c r="CZ96" i="3"/>
  <c r="DA96" i="3"/>
  <c r="DB96" i="3"/>
  <c r="L76" i="9" s="1"/>
  <c r="DC96" i="3"/>
  <c r="Q76" i="9" s="1"/>
  <c r="A97" i="3"/>
  <c r="Y97" i="3"/>
  <c r="CY97" i="3"/>
  <c r="CZ97" i="3"/>
  <c r="DB97" i="3" s="1"/>
  <c r="DA97" i="3"/>
  <c r="DC97" i="3"/>
  <c r="A98" i="3"/>
  <c r="Y98" i="3"/>
  <c r="CY98" i="3"/>
  <c r="CZ98" i="3"/>
  <c r="DB98" i="3" s="1"/>
  <c r="L75" i="9" s="1"/>
  <c r="DA98" i="3"/>
  <c r="DC98" i="3"/>
  <c r="Q75" i="9" s="1"/>
  <c r="A99" i="3"/>
  <c r="Y99" i="3"/>
  <c r="CY99" i="3"/>
  <c r="CZ99" i="3"/>
  <c r="DA99" i="3"/>
  <c r="DB99" i="3"/>
  <c r="L74" i="9" s="1"/>
  <c r="DC99" i="3"/>
  <c r="Q74" i="9" s="1"/>
  <c r="D12" i="1"/>
  <c r="E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DU18" i="1"/>
  <c r="DV18" i="1"/>
  <c r="DW18" i="1"/>
  <c r="DX18" i="1"/>
  <c r="DY18" i="1"/>
  <c r="DZ18" i="1"/>
  <c r="EA18" i="1"/>
  <c r="EB18" i="1"/>
  <c r="EC18" i="1"/>
  <c r="ED18" i="1"/>
  <c r="EE18" i="1"/>
  <c r="EF18" i="1"/>
  <c r="EG18" i="1"/>
  <c r="EH18" i="1"/>
  <c r="EI18" i="1"/>
  <c r="EJ18" i="1"/>
  <c r="EK18" i="1"/>
  <c r="EL18" i="1"/>
  <c r="EM18" i="1"/>
  <c r="EN18" i="1"/>
  <c r="EO18" i="1"/>
  <c r="EP18" i="1"/>
  <c r="EQ18" i="1"/>
  <c r="ER18" i="1"/>
  <c r="ES18" i="1"/>
  <c r="ET18" i="1"/>
  <c r="EU18" i="1"/>
  <c r="EV18" i="1"/>
  <c r="EW18" i="1"/>
  <c r="EX18" i="1"/>
  <c r="EY18" i="1"/>
  <c r="EZ18" i="1"/>
  <c r="FA18" i="1"/>
  <c r="FB18" i="1"/>
  <c r="FC18" i="1"/>
  <c r="FD18" i="1"/>
  <c r="FE18" i="1"/>
  <c r="FF18" i="1"/>
  <c r="FG18" i="1"/>
  <c r="FH18" i="1"/>
  <c r="FI18" i="1"/>
  <c r="FJ18" i="1"/>
  <c r="FK18" i="1"/>
  <c r="FL18" i="1"/>
  <c r="FM18" i="1"/>
  <c r="FN18" i="1"/>
  <c r="FO18" i="1"/>
  <c r="FP18" i="1"/>
  <c r="FQ18" i="1"/>
  <c r="FR18" i="1"/>
  <c r="FS18" i="1"/>
  <c r="FT18" i="1"/>
  <c r="FU18" i="1"/>
  <c r="FV18" i="1"/>
  <c r="FW18" i="1"/>
  <c r="FX18" i="1"/>
  <c r="FY18" i="1"/>
  <c r="FZ18" i="1"/>
  <c r="GA18" i="1"/>
  <c r="GB18" i="1"/>
  <c r="GC18" i="1"/>
  <c r="GD18" i="1"/>
  <c r="GE18" i="1"/>
  <c r="GF18" i="1"/>
  <c r="GG18" i="1"/>
  <c r="GH18" i="1"/>
  <c r="GI18" i="1"/>
  <c r="GJ18" i="1"/>
  <c r="GK18" i="1"/>
  <c r="GL18" i="1"/>
  <c r="GM18" i="1"/>
  <c r="GN18" i="1"/>
  <c r="GO18" i="1"/>
  <c r="GP18" i="1"/>
  <c r="GQ18" i="1"/>
  <c r="GR18" i="1"/>
  <c r="GS18" i="1"/>
  <c r="GT18" i="1"/>
  <c r="GU18" i="1"/>
  <c r="GV18" i="1"/>
  <c r="GW18" i="1"/>
  <c r="GX18" i="1"/>
  <c r="D20" i="1"/>
  <c r="E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U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FR22" i="1"/>
  <c r="FS22" i="1"/>
  <c r="FT22" i="1"/>
  <c r="FU22" i="1"/>
  <c r="FV22" i="1"/>
  <c r="FW22" i="1"/>
  <c r="FX22" i="1"/>
  <c r="FY22" i="1"/>
  <c r="FZ22" i="1"/>
  <c r="GA22" i="1"/>
  <c r="GB22" i="1"/>
  <c r="GC22" i="1"/>
  <c r="GD22" i="1"/>
  <c r="GE22" i="1"/>
  <c r="GF22" i="1"/>
  <c r="GG22" i="1"/>
  <c r="GH22" i="1"/>
  <c r="GI22" i="1"/>
  <c r="GJ22" i="1"/>
  <c r="GK22" i="1"/>
  <c r="GL22" i="1"/>
  <c r="GM22" i="1"/>
  <c r="GN22" i="1"/>
  <c r="GO22" i="1"/>
  <c r="GP22" i="1"/>
  <c r="GQ22" i="1"/>
  <c r="GR22" i="1"/>
  <c r="GS22" i="1"/>
  <c r="GT22" i="1"/>
  <c r="GU22" i="1"/>
  <c r="GV22" i="1"/>
  <c r="GW22" i="1"/>
  <c r="GX22" i="1"/>
  <c r="D24" i="1"/>
  <c r="E26" i="1"/>
  <c r="Z26" i="1"/>
  <c r="AA26" i="1"/>
  <c r="AM26" i="1"/>
  <c r="AN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EE26" i="1"/>
  <c r="EF26" i="1"/>
  <c r="EG26" i="1"/>
  <c r="EH26" i="1"/>
  <c r="EI26" i="1"/>
  <c r="EJ26" i="1"/>
  <c r="EK26" i="1"/>
  <c r="EL26" i="1"/>
  <c r="EM26" i="1"/>
  <c r="EN26" i="1"/>
  <c r="EO26" i="1"/>
  <c r="EP26" i="1"/>
  <c r="EQ26" i="1"/>
  <c r="ER26" i="1"/>
  <c r="ES26" i="1"/>
  <c r="ET26" i="1"/>
  <c r="EU26" i="1"/>
  <c r="EV26" i="1"/>
  <c r="EW26" i="1"/>
  <c r="EX26" i="1"/>
  <c r="EY26" i="1"/>
  <c r="EZ26" i="1"/>
  <c r="FA26" i="1"/>
  <c r="FB26" i="1"/>
  <c r="FC26" i="1"/>
  <c r="FD26" i="1"/>
  <c r="FE26" i="1"/>
  <c r="FF26" i="1"/>
  <c r="FG26" i="1"/>
  <c r="FH26" i="1"/>
  <c r="FI26" i="1"/>
  <c r="FJ26" i="1"/>
  <c r="FK26" i="1"/>
  <c r="FL26" i="1"/>
  <c r="FM26" i="1"/>
  <c r="FN26" i="1"/>
  <c r="FO26" i="1"/>
  <c r="FP26" i="1"/>
  <c r="FQ26" i="1"/>
  <c r="FR26" i="1"/>
  <c r="FS26" i="1"/>
  <c r="FT26" i="1"/>
  <c r="FU26" i="1"/>
  <c r="FV26" i="1"/>
  <c r="FW26" i="1"/>
  <c r="FX26" i="1"/>
  <c r="FY26" i="1"/>
  <c r="FZ26" i="1"/>
  <c r="GA26" i="1"/>
  <c r="GB26" i="1"/>
  <c r="GC26" i="1"/>
  <c r="GD26" i="1"/>
  <c r="GE26" i="1"/>
  <c r="GF26" i="1"/>
  <c r="GG26" i="1"/>
  <c r="GH26" i="1"/>
  <c r="GI26" i="1"/>
  <c r="GJ26" i="1"/>
  <c r="GK26" i="1"/>
  <c r="GL26" i="1"/>
  <c r="GM26" i="1"/>
  <c r="GN26" i="1"/>
  <c r="GO26" i="1"/>
  <c r="GP26" i="1"/>
  <c r="GQ26" i="1"/>
  <c r="GR26" i="1"/>
  <c r="GS26" i="1"/>
  <c r="GT26" i="1"/>
  <c r="GU26" i="1"/>
  <c r="GV26" i="1"/>
  <c r="GW26" i="1"/>
  <c r="GX26" i="1"/>
  <c r="C28" i="1"/>
  <c r="D28" i="1"/>
  <c r="I28" i="1"/>
  <c r="K28" i="1"/>
  <c r="E60" i="13" s="1"/>
  <c r="AC28" i="1"/>
  <c r="AD28" i="1"/>
  <c r="AE28" i="1"/>
  <c r="Q28" i="1" s="1"/>
  <c r="AF28" i="1"/>
  <c r="AG28" i="1"/>
  <c r="AH28" i="1"/>
  <c r="CV28" i="1" s="1"/>
  <c r="U28" i="1" s="1"/>
  <c r="AI28" i="1"/>
  <c r="AJ28" i="1"/>
  <c r="CX28" i="1" s="1"/>
  <c r="W28" i="1" s="1"/>
  <c r="CQ28" i="1"/>
  <c r="P28" i="1" s="1"/>
  <c r="CR28" i="1"/>
  <c r="CS28" i="1"/>
  <c r="CT28" i="1"/>
  <c r="S28" i="1" s="1"/>
  <c r="CU28" i="1"/>
  <c r="T28" i="1" s="1"/>
  <c r="CW28" i="1"/>
  <c r="V28" i="1" s="1"/>
  <c r="G66" i="13" s="1"/>
  <c r="FR28" i="1"/>
  <c r="GL28" i="1"/>
  <c r="GO28" i="1"/>
  <c r="GP28" i="1"/>
  <c r="GV28" i="1"/>
  <c r="HC28" i="1"/>
  <c r="GX28" i="1" s="1"/>
  <c r="I29" i="1"/>
  <c r="AC29" i="1"/>
  <c r="AE29" i="1"/>
  <c r="AD29" i="1" s="1"/>
  <c r="AF29" i="1"/>
  <c r="AG29" i="1"/>
  <c r="AH29" i="1"/>
  <c r="AI29" i="1"/>
  <c r="CW29" i="1" s="1"/>
  <c r="V29" i="1" s="1"/>
  <c r="AJ29" i="1"/>
  <c r="CX29" i="1" s="1"/>
  <c r="CQ29" i="1"/>
  <c r="CS29" i="1"/>
  <c r="CU29" i="1"/>
  <c r="CV29" i="1"/>
  <c r="FR29" i="1"/>
  <c r="GL29" i="1"/>
  <c r="GO29" i="1"/>
  <c r="GP29" i="1"/>
  <c r="GV29" i="1"/>
  <c r="HC29" i="1"/>
  <c r="C30" i="1"/>
  <c r="D30" i="1"/>
  <c r="AC30" i="1"/>
  <c r="AD30" i="1"/>
  <c r="AE30" i="1"/>
  <c r="R30" i="1" s="1"/>
  <c r="AF30" i="1"/>
  <c r="AG30" i="1"/>
  <c r="CU30" i="1" s="1"/>
  <c r="T30" i="1" s="1"/>
  <c r="AH30" i="1"/>
  <c r="CV30" i="1" s="1"/>
  <c r="U30" i="1" s="1"/>
  <c r="AI30" i="1"/>
  <c r="CW30" i="1" s="1"/>
  <c r="V30" i="1" s="1"/>
  <c r="AJ30" i="1"/>
  <c r="CQ30" i="1"/>
  <c r="P30" i="1" s="1"/>
  <c r="CR30" i="1"/>
  <c r="CX30" i="1"/>
  <c r="W30" i="1" s="1"/>
  <c r="FR30" i="1"/>
  <c r="GL30" i="1"/>
  <c r="GO30" i="1"/>
  <c r="GP30" i="1"/>
  <c r="GV30" i="1"/>
  <c r="HC30" i="1" s="1"/>
  <c r="GX30" i="1" s="1"/>
  <c r="C31" i="1"/>
  <c r="D31" i="1"/>
  <c r="I31" i="1"/>
  <c r="K31" i="1"/>
  <c r="E82" i="13" s="1"/>
  <c r="AC31" i="1"/>
  <c r="AE31" i="1"/>
  <c r="CS31" i="1" s="1"/>
  <c r="AF31" i="1"/>
  <c r="AG31" i="1"/>
  <c r="AH31" i="1"/>
  <c r="CV31" i="1" s="1"/>
  <c r="AI31" i="1"/>
  <c r="CW31" i="1" s="1"/>
  <c r="AJ31" i="1"/>
  <c r="CQ31" i="1"/>
  <c r="P31" i="1" s="1"/>
  <c r="CU31" i="1"/>
  <c r="T31" i="1" s="1"/>
  <c r="CX31" i="1"/>
  <c r="W31" i="1" s="1"/>
  <c r="FR31" i="1"/>
  <c r="GL31" i="1"/>
  <c r="GO31" i="1"/>
  <c r="GP31" i="1"/>
  <c r="GV31" i="1"/>
  <c r="HC31" i="1" s="1"/>
  <c r="I32" i="1"/>
  <c r="AC32" i="1"/>
  <c r="AE32" i="1"/>
  <c r="R32" i="1" s="1"/>
  <c r="AF32" i="1"/>
  <c r="AG32" i="1"/>
  <c r="CU32" i="1" s="1"/>
  <c r="AH32" i="1"/>
  <c r="CV32" i="1" s="1"/>
  <c r="U32" i="1" s="1"/>
  <c r="AI32" i="1"/>
  <c r="CW32" i="1" s="1"/>
  <c r="V32" i="1" s="1"/>
  <c r="AJ32" i="1"/>
  <c r="CS32" i="1"/>
  <c r="CT32" i="1"/>
  <c r="S32" i="1" s="1"/>
  <c r="CX32" i="1"/>
  <c r="FR32" i="1"/>
  <c r="GL32" i="1"/>
  <c r="GO32" i="1"/>
  <c r="GP32" i="1"/>
  <c r="GV32" i="1"/>
  <c r="HC32" i="1" s="1"/>
  <c r="GX32" i="1" s="1"/>
  <c r="O33" i="1"/>
  <c r="P33" i="1"/>
  <c r="Q33" i="1"/>
  <c r="R33" i="1"/>
  <c r="S33" i="1"/>
  <c r="T33" i="1"/>
  <c r="U33" i="1"/>
  <c r="V33" i="1"/>
  <c r="W33" i="1"/>
  <c r="X33" i="1"/>
  <c r="Y33" i="1"/>
  <c r="AB33" i="1"/>
  <c r="CP33" i="1" s="1"/>
  <c r="GM33" i="1" s="1"/>
  <c r="AC33" i="1"/>
  <c r="AD33" i="1"/>
  <c r="AE33" i="1"/>
  <c r="AF33" i="1"/>
  <c r="AG33" i="1"/>
  <c r="AH33" i="1"/>
  <c r="AI33" i="1"/>
  <c r="AJ33" i="1"/>
  <c r="FR33" i="1"/>
  <c r="GL33" i="1"/>
  <c r="GO33" i="1"/>
  <c r="GP33" i="1"/>
  <c r="GV33" i="1"/>
  <c r="GX33" i="1"/>
  <c r="O34" i="1"/>
  <c r="P34" i="1"/>
  <c r="Q34" i="1"/>
  <c r="R34" i="1"/>
  <c r="S34" i="1"/>
  <c r="T34" i="1"/>
  <c r="U34" i="1"/>
  <c r="V34" i="1"/>
  <c r="W34" i="1"/>
  <c r="X34" i="1"/>
  <c r="Y34" i="1"/>
  <c r="AB34" i="1"/>
  <c r="AC34" i="1"/>
  <c r="AD34" i="1"/>
  <c r="AE34" i="1"/>
  <c r="AF34" i="1"/>
  <c r="AG34" i="1"/>
  <c r="AH34" i="1"/>
  <c r="AI34" i="1"/>
  <c r="AJ34" i="1"/>
  <c r="FR34" i="1"/>
  <c r="GL34" i="1"/>
  <c r="GO34" i="1"/>
  <c r="GP34" i="1"/>
  <c r="GV34" i="1"/>
  <c r="GX34" i="1"/>
  <c r="C35" i="1"/>
  <c r="D35" i="1"/>
  <c r="I35" i="1"/>
  <c r="K35" i="1"/>
  <c r="E99" i="13" s="1"/>
  <c r="AC35" i="1"/>
  <c r="AE35" i="1"/>
  <c r="Q35" i="1" s="1"/>
  <c r="AF35" i="1"/>
  <c r="AG35" i="1"/>
  <c r="CU35" i="1" s="1"/>
  <c r="T35" i="1" s="1"/>
  <c r="AH35" i="1"/>
  <c r="CV35" i="1" s="1"/>
  <c r="U35" i="1" s="1"/>
  <c r="AI35" i="1"/>
  <c r="CW35" i="1" s="1"/>
  <c r="V35" i="1" s="1"/>
  <c r="G107" i="13" s="1"/>
  <c r="AJ35" i="1"/>
  <c r="CR35" i="1"/>
  <c r="CT35" i="1"/>
  <c r="S35" i="1" s="1"/>
  <c r="CX35" i="1"/>
  <c r="W35" i="1" s="1"/>
  <c r="FR35" i="1"/>
  <c r="GL35" i="1"/>
  <c r="GO35" i="1"/>
  <c r="GP35" i="1"/>
  <c r="GV35" i="1"/>
  <c r="HC35" i="1" s="1"/>
  <c r="GX35" i="1" s="1"/>
  <c r="C36" i="1"/>
  <c r="D36" i="1"/>
  <c r="I36" i="1"/>
  <c r="K36" i="1"/>
  <c r="E113" i="13" s="1"/>
  <c r="AC36" i="1"/>
  <c r="AE36" i="1"/>
  <c r="CR36" i="1" s="1"/>
  <c r="AF36" i="1"/>
  <c r="AG36" i="1"/>
  <c r="CU36" i="1" s="1"/>
  <c r="AH36" i="1"/>
  <c r="AI36" i="1"/>
  <c r="CW36" i="1" s="1"/>
  <c r="V36" i="1" s="1"/>
  <c r="G121" i="13" s="1"/>
  <c r="AJ36" i="1"/>
  <c r="CT36" i="1"/>
  <c r="CV36" i="1"/>
  <c r="U36" i="1" s="1"/>
  <c r="CX36" i="1"/>
  <c r="W36" i="1" s="1"/>
  <c r="FR36" i="1"/>
  <c r="GL36" i="1"/>
  <c r="GO36" i="1"/>
  <c r="GP36" i="1"/>
  <c r="GV36" i="1"/>
  <c r="HC36" i="1"/>
  <c r="GX36" i="1" s="1"/>
  <c r="I37" i="1"/>
  <c r="AC37" i="1"/>
  <c r="AE37" i="1"/>
  <c r="AD37" i="1" s="1"/>
  <c r="AB37" i="1" s="1"/>
  <c r="AF37" i="1"/>
  <c r="AG37" i="1"/>
  <c r="CU37" i="1" s="1"/>
  <c r="T37" i="1" s="1"/>
  <c r="AH37" i="1"/>
  <c r="CV37" i="1" s="1"/>
  <c r="AI37" i="1"/>
  <c r="CW37" i="1" s="1"/>
  <c r="V37" i="1" s="1"/>
  <c r="AJ37" i="1"/>
  <c r="CX37" i="1" s="1"/>
  <c r="CQ37" i="1"/>
  <c r="P37" i="1" s="1"/>
  <c r="CS37" i="1"/>
  <c r="FR37" i="1"/>
  <c r="GL37" i="1"/>
  <c r="GO37" i="1"/>
  <c r="GP37" i="1"/>
  <c r="GV37" i="1"/>
  <c r="HC37" i="1" s="1"/>
  <c r="C38" i="1"/>
  <c r="D38" i="1"/>
  <c r="I38" i="1"/>
  <c r="K38" i="1"/>
  <c r="E128" i="13" s="1"/>
  <c r="AC38" i="1"/>
  <c r="AE38" i="1"/>
  <c r="CS38" i="1" s="1"/>
  <c r="AF38" i="1"/>
  <c r="AG38" i="1"/>
  <c r="CU38" i="1" s="1"/>
  <c r="T38" i="1" s="1"/>
  <c r="AH38" i="1"/>
  <c r="AI38" i="1"/>
  <c r="CW38" i="1" s="1"/>
  <c r="V38" i="1" s="1"/>
  <c r="G136" i="13" s="1"/>
  <c r="AJ38" i="1"/>
  <c r="CX38" i="1" s="1"/>
  <c r="W38" i="1" s="1"/>
  <c r="CQ38" i="1"/>
  <c r="P38" i="1" s="1"/>
  <c r="CV38" i="1"/>
  <c r="U38" i="1" s="1"/>
  <c r="FR38" i="1"/>
  <c r="GL38" i="1"/>
  <c r="GO38" i="1"/>
  <c r="GP38" i="1"/>
  <c r="GV38" i="1"/>
  <c r="HC38" i="1" s="1"/>
  <c r="GX38" i="1" s="1"/>
  <c r="I39" i="1"/>
  <c r="R39" i="1"/>
  <c r="AC39" i="1"/>
  <c r="AD39" i="1"/>
  <c r="AE39" i="1"/>
  <c r="AF39" i="1"/>
  <c r="AG39" i="1"/>
  <c r="AH39" i="1"/>
  <c r="CV39" i="1" s="1"/>
  <c r="U39" i="1" s="1"/>
  <c r="AI39" i="1"/>
  <c r="AJ39" i="1"/>
  <c r="CX39" i="1" s="1"/>
  <c r="W39" i="1" s="1"/>
  <c r="CQ39" i="1"/>
  <c r="CR39" i="1"/>
  <c r="CS39" i="1"/>
  <c r="CT39" i="1"/>
  <c r="S39" i="1" s="1"/>
  <c r="CU39" i="1"/>
  <c r="CW39" i="1"/>
  <c r="V39" i="1" s="1"/>
  <c r="FR39" i="1"/>
  <c r="GL39" i="1"/>
  <c r="GO39" i="1"/>
  <c r="GP39" i="1"/>
  <c r="GV39" i="1"/>
  <c r="HC39" i="1" s="1"/>
  <c r="GX39" i="1" s="1"/>
  <c r="AC40" i="1"/>
  <c r="AE40" i="1"/>
  <c r="AD40" i="1" s="1"/>
  <c r="AF40" i="1"/>
  <c r="AG40" i="1"/>
  <c r="CU40" i="1" s="1"/>
  <c r="AH40" i="1"/>
  <c r="CV40" i="1" s="1"/>
  <c r="AI40" i="1"/>
  <c r="CW40" i="1" s="1"/>
  <c r="AJ40" i="1"/>
  <c r="CT40" i="1"/>
  <c r="CX40" i="1"/>
  <c r="FR40" i="1"/>
  <c r="GL40" i="1"/>
  <c r="GO40" i="1"/>
  <c r="GP40" i="1"/>
  <c r="GV40" i="1"/>
  <c r="HC40" i="1" s="1"/>
  <c r="I41" i="1"/>
  <c r="R41" i="1" s="1"/>
  <c r="AC41" i="1"/>
  <c r="CQ41" i="1" s="1"/>
  <c r="P41" i="1" s="1"/>
  <c r="L140" i="13" s="1"/>
  <c r="AE41" i="1"/>
  <c r="AF41" i="1"/>
  <c r="AG41" i="1"/>
  <c r="AH41" i="1"/>
  <c r="CV41" i="1" s="1"/>
  <c r="U41" i="1" s="1"/>
  <c r="AI41" i="1"/>
  <c r="AJ41" i="1"/>
  <c r="CX41" i="1" s="1"/>
  <c r="W41" i="1" s="1"/>
  <c r="CR41" i="1"/>
  <c r="CS41" i="1"/>
  <c r="CU41" i="1"/>
  <c r="T41" i="1" s="1"/>
  <c r="CW41" i="1"/>
  <c r="V41" i="1" s="1"/>
  <c r="FR41" i="1"/>
  <c r="GL41" i="1"/>
  <c r="GO41" i="1"/>
  <c r="GP41" i="1"/>
  <c r="GV41" i="1"/>
  <c r="HC41" i="1"/>
  <c r="GX41" i="1" s="1"/>
  <c r="I42" i="1"/>
  <c r="AC42" i="1"/>
  <c r="CQ42" i="1" s="1"/>
  <c r="P42" i="1" s="1"/>
  <c r="L141" i="13" s="1"/>
  <c r="AN141" i="13" s="1"/>
  <c r="AE42" i="1"/>
  <c r="AF42" i="1"/>
  <c r="AG42" i="1"/>
  <c r="AH42" i="1"/>
  <c r="CV42" i="1" s="1"/>
  <c r="U42" i="1" s="1"/>
  <c r="AI42" i="1"/>
  <c r="CW42" i="1" s="1"/>
  <c r="AJ42" i="1"/>
  <c r="CR42" i="1"/>
  <c r="CU42" i="1"/>
  <c r="T42" i="1" s="1"/>
  <c r="CX42" i="1"/>
  <c r="W42" i="1" s="1"/>
  <c r="FR42" i="1"/>
  <c r="GL42" i="1"/>
  <c r="GO42" i="1"/>
  <c r="GP42" i="1"/>
  <c r="GV42" i="1"/>
  <c r="HC42" i="1" s="1"/>
  <c r="C43" i="1"/>
  <c r="D43" i="1"/>
  <c r="I43" i="1"/>
  <c r="I46" i="1" s="1"/>
  <c r="K43" i="1"/>
  <c r="E146" i="13" s="1"/>
  <c r="AC43" i="1"/>
  <c r="AE43" i="1"/>
  <c r="AD43" i="1" s="1"/>
  <c r="AF43" i="1"/>
  <c r="CT43" i="1" s="1"/>
  <c r="S43" i="1" s="1"/>
  <c r="AG43" i="1"/>
  <c r="AH43" i="1"/>
  <c r="CV43" i="1" s="1"/>
  <c r="U43" i="1" s="1"/>
  <c r="AI43" i="1"/>
  <c r="CW43" i="1" s="1"/>
  <c r="AJ43" i="1"/>
  <c r="CX43" i="1" s="1"/>
  <c r="W43" i="1" s="1"/>
  <c r="CR43" i="1"/>
  <c r="CU43" i="1"/>
  <c r="T43" i="1" s="1"/>
  <c r="FR43" i="1"/>
  <c r="GL43" i="1"/>
  <c r="GO43" i="1"/>
  <c r="GP43" i="1"/>
  <c r="GV43" i="1"/>
  <c r="HC43" i="1" s="1"/>
  <c r="AC44" i="1"/>
  <c r="AE44" i="1"/>
  <c r="AD44" i="1" s="1"/>
  <c r="AF44" i="1"/>
  <c r="AG44" i="1"/>
  <c r="AH44" i="1"/>
  <c r="CV44" i="1" s="1"/>
  <c r="AI44" i="1"/>
  <c r="CW44" i="1" s="1"/>
  <c r="AJ44" i="1"/>
  <c r="CQ44" i="1"/>
  <c r="CS44" i="1"/>
  <c r="CT44" i="1"/>
  <c r="CU44" i="1"/>
  <c r="CX44" i="1"/>
  <c r="FR44" i="1"/>
  <c r="GL44" i="1"/>
  <c r="GO44" i="1"/>
  <c r="GP44" i="1"/>
  <c r="GV44" i="1"/>
  <c r="HC44" i="1" s="1"/>
  <c r="I45" i="1"/>
  <c r="R45" i="1" s="1"/>
  <c r="AC45" i="1"/>
  <c r="AE45" i="1"/>
  <c r="AD45" i="1" s="1"/>
  <c r="AF45" i="1"/>
  <c r="CT45" i="1" s="1"/>
  <c r="S45" i="1" s="1"/>
  <c r="AG45" i="1"/>
  <c r="CU45" i="1" s="1"/>
  <c r="AH45" i="1"/>
  <c r="AI45" i="1"/>
  <c r="CW45" i="1" s="1"/>
  <c r="V45" i="1" s="1"/>
  <c r="AJ45" i="1"/>
  <c r="CX45" i="1" s="1"/>
  <c r="W45" i="1" s="1"/>
  <c r="CS45" i="1"/>
  <c r="CV45" i="1"/>
  <c r="U45" i="1" s="1"/>
  <c r="FR45" i="1"/>
  <c r="GL45" i="1"/>
  <c r="GO45" i="1"/>
  <c r="GP45" i="1"/>
  <c r="GV45" i="1"/>
  <c r="HC45" i="1"/>
  <c r="GX45" i="1" s="1"/>
  <c r="AC46" i="1"/>
  <c r="AE46" i="1"/>
  <c r="CR46" i="1" s="1"/>
  <c r="AF46" i="1"/>
  <c r="AG46" i="1"/>
  <c r="CU46" i="1" s="1"/>
  <c r="T46" i="1" s="1"/>
  <c r="AH46" i="1"/>
  <c r="AI46" i="1"/>
  <c r="CW46" i="1" s="1"/>
  <c r="V46" i="1" s="1"/>
  <c r="AJ46" i="1"/>
  <c r="CX46" i="1" s="1"/>
  <c r="CQ46" i="1"/>
  <c r="CS46" i="1"/>
  <c r="CV46" i="1"/>
  <c r="FR46" i="1"/>
  <c r="GL46" i="1"/>
  <c r="GO46" i="1"/>
  <c r="GP46" i="1"/>
  <c r="GV46" i="1"/>
  <c r="HC46" i="1" s="1"/>
  <c r="C47" i="1"/>
  <c r="D47" i="1"/>
  <c r="I47" i="1"/>
  <c r="R47" i="1" s="1"/>
  <c r="K47" i="1"/>
  <c r="E161" i="13" s="1"/>
  <c r="AC47" i="1"/>
  <c r="AE47" i="1"/>
  <c r="Q47" i="1" s="1"/>
  <c r="AF47" i="1"/>
  <c r="AG47" i="1"/>
  <c r="CU47" i="1" s="1"/>
  <c r="T47" i="1" s="1"/>
  <c r="AH47" i="1"/>
  <c r="AI47" i="1"/>
  <c r="CW47" i="1" s="1"/>
  <c r="V47" i="1" s="1"/>
  <c r="G169" i="13" s="1"/>
  <c r="AJ47" i="1"/>
  <c r="CX47" i="1" s="1"/>
  <c r="CQ47" i="1"/>
  <c r="CS47" i="1"/>
  <c r="CV47" i="1"/>
  <c r="FR47" i="1"/>
  <c r="GL47" i="1"/>
  <c r="GO47" i="1"/>
  <c r="GP47" i="1"/>
  <c r="GV47" i="1"/>
  <c r="HC47" i="1" s="1"/>
  <c r="GX47" i="1" s="1"/>
  <c r="AC48" i="1"/>
  <c r="AE48" i="1"/>
  <c r="AF48" i="1"/>
  <c r="CT48" i="1" s="1"/>
  <c r="AG48" i="1"/>
  <c r="AH48" i="1"/>
  <c r="CV48" i="1" s="1"/>
  <c r="AI48" i="1"/>
  <c r="CW48" i="1" s="1"/>
  <c r="AJ48" i="1"/>
  <c r="CX48" i="1" s="1"/>
  <c r="CR48" i="1"/>
  <c r="CU48" i="1"/>
  <c r="FR48" i="1"/>
  <c r="GL48" i="1"/>
  <c r="GO48" i="1"/>
  <c r="GP48" i="1"/>
  <c r="GV48" i="1"/>
  <c r="HC48" i="1" s="1"/>
  <c r="I49" i="1"/>
  <c r="R49" i="1" s="1"/>
  <c r="AC49" i="1"/>
  <c r="AE49" i="1"/>
  <c r="AD49" i="1" s="1"/>
  <c r="AF49" i="1"/>
  <c r="AG49" i="1"/>
  <c r="AH49" i="1"/>
  <c r="CV49" i="1" s="1"/>
  <c r="AI49" i="1"/>
  <c r="CW49" i="1" s="1"/>
  <c r="V49" i="1" s="1"/>
  <c r="AJ49" i="1"/>
  <c r="CQ49" i="1"/>
  <c r="CS49" i="1"/>
  <c r="CT49" i="1"/>
  <c r="CU49" i="1"/>
  <c r="CX49" i="1"/>
  <c r="W49" i="1" s="1"/>
  <c r="FR49" i="1"/>
  <c r="GL49" i="1"/>
  <c r="GO49" i="1"/>
  <c r="GP49" i="1"/>
  <c r="GV49" i="1"/>
  <c r="HC49" i="1" s="1"/>
  <c r="I50" i="1"/>
  <c r="Q50" i="1" s="1"/>
  <c r="AC50" i="1"/>
  <c r="AE50" i="1"/>
  <c r="AD50" i="1" s="1"/>
  <c r="AF50" i="1"/>
  <c r="CT50" i="1" s="1"/>
  <c r="S50" i="1" s="1"/>
  <c r="AG50" i="1"/>
  <c r="CU50" i="1" s="1"/>
  <c r="AH50" i="1"/>
  <c r="CV50" i="1" s="1"/>
  <c r="U50" i="1" s="1"/>
  <c r="AI50" i="1"/>
  <c r="AJ50" i="1"/>
  <c r="CR50" i="1"/>
  <c r="CS50" i="1"/>
  <c r="CW50" i="1"/>
  <c r="CX50" i="1"/>
  <c r="W50" i="1" s="1"/>
  <c r="FR50" i="1"/>
  <c r="GL50" i="1"/>
  <c r="GO50" i="1"/>
  <c r="GP50" i="1"/>
  <c r="GV50" i="1"/>
  <c r="HC50" i="1"/>
  <c r="GX50" i="1" s="1"/>
  <c r="AC51" i="1"/>
  <c r="AE51" i="1"/>
  <c r="AD51" i="1" s="1"/>
  <c r="AB51" i="1" s="1"/>
  <c r="AF51" i="1"/>
  <c r="CT51" i="1" s="1"/>
  <c r="AG51" i="1"/>
  <c r="CU51" i="1" s="1"/>
  <c r="AH51" i="1"/>
  <c r="AI51" i="1"/>
  <c r="CW51" i="1" s="1"/>
  <c r="AJ51" i="1"/>
  <c r="CX51" i="1" s="1"/>
  <c r="CQ51" i="1"/>
  <c r="CS51" i="1"/>
  <c r="CV51" i="1"/>
  <c r="FR51" i="1"/>
  <c r="GL51" i="1"/>
  <c r="GO51" i="1"/>
  <c r="GP51" i="1"/>
  <c r="GV51" i="1"/>
  <c r="HC51" i="1" s="1"/>
  <c r="I52" i="1"/>
  <c r="AC52" i="1"/>
  <c r="AE52" i="1"/>
  <c r="AD52" i="1" s="1"/>
  <c r="AF52" i="1"/>
  <c r="AG52" i="1"/>
  <c r="CU52" i="1" s="1"/>
  <c r="T52" i="1" s="1"/>
  <c r="AH52" i="1"/>
  <c r="AI52" i="1"/>
  <c r="CW52" i="1" s="1"/>
  <c r="AJ52" i="1"/>
  <c r="CX52" i="1" s="1"/>
  <c r="W52" i="1" s="1"/>
  <c r="CQ52" i="1"/>
  <c r="P52" i="1" s="1"/>
  <c r="CT52" i="1"/>
  <c r="CV52" i="1"/>
  <c r="U52" i="1" s="1"/>
  <c r="FR52" i="1"/>
  <c r="GL52" i="1"/>
  <c r="GO52" i="1"/>
  <c r="GP52" i="1"/>
  <c r="GV52" i="1"/>
  <c r="HC52" i="1" s="1"/>
  <c r="C53" i="1"/>
  <c r="D53" i="1"/>
  <c r="I53" i="1"/>
  <c r="K53" i="1"/>
  <c r="E176" i="13" s="1"/>
  <c r="AC53" i="1"/>
  <c r="AE53" i="1"/>
  <c r="AD53" i="1" s="1"/>
  <c r="AF53" i="1"/>
  <c r="AG53" i="1"/>
  <c r="CU53" i="1" s="1"/>
  <c r="T53" i="1" s="1"/>
  <c r="AH53" i="1"/>
  <c r="AI53" i="1"/>
  <c r="CW53" i="1" s="1"/>
  <c r="V53" i="1" s="1"/>
  <c r="G184" i="13" s="1"/>
  <c r="AJ53" i="1"/>
  <c r="CQ53" i="1"/>
  <c r="P53" i="1" s="1"/>
  <c r="CT53" i="1"/>
  <c r="S53" i="1" s="1"/>
  <c r="CV53" i="1"/>
  <c r="U53" i="1" s="1"/>
  <c r="CX53" i="1"/>
  <c r="W53" i="1" s="1"/>
  <c r="FR53" i="1"/>
  <c r="GL53" i="1"/>
  <c r="GO53" i="1"/>
  <c r="GP53" i="1"/>
  <c r="GV53" i="1"/>
  <c r="HC53" i="1" s="1"/>
  <c r="GX53" i="1" s="1"/>
  <c r="AC54" i="1"/>
  <c r="AD54" i="1"/>
  <c r="AE54" i="1"/>
  <c r="AF54" i="1"/>
  <c r="AG54" i="1"/>
  <c r="AH54" i="1"/>
  <c r="CV54" i="1" s="1"/>
  <c r="AI54" i="1"/>
  <c r="AJ54" i="1"/>
  <c r="CX54" i="1" s="1"/>
  <c r="CQ54" i="1"/>
  <c r="CR54" i="1"/>
  <c r="CS54" i="1"/>
  <c r="CT54" i="1"/>
  <c r="CU54" i="1"/>
  <c r="CW54" i="1"/>
  <c r="FR54" i="1"/>
  <c r="GL54" i="1"/>
  <c r="GO54" i="1"/>
  <c r="GP54" i="1"/>
  <c r="GV54" i="1"/>
  <c r="HC54" i="1" s="1"/>
  <c r="AC55" i="1"/>
  <c r="AE55" i="1"/>
  <c r="AD55" i="1" s="1"/>
  <c r="AF55" i="1"/>
  <c r="AG55" i="1"/>
  <c r="CU55" i="1" s="1"/>
  <c r="AH55" i="1"/>
  <c r="AI55" i="1"/>
  <c r="AJ55" i="1"/>
  <c r="CX55" i="1" s="1"/>
  <c r="CR55" i="1"/>
  <c r="CT55" i="1"/>
  <c r="CV55" i="1"/>
  <c r="CW55" i="1"/>
  <c r="FR55" i="1"/>
  <c r="GL55" i="1"/>
  <c r="GO55" i="1"/>
  <c r="GP55" i="1"/>
  <c r="GV55" i="1"/>
  <c r="HC55" i="1" s="1"/>
  <c r="I56" i="1"/>
  <c r="R56" i="1" s="1"/>
  <c r="AC56" i="1"/>
  <c r="AE56" i="1"/>
  <c r="AF56" i="1"/>
  <c r="AG56" i="1"/>
  <c r="AH56" i="1"/>
  <c r="CV56" i="1" s="1"/>
  <c r="U56" i="1" s="1"/>
  <c r="AI56" i="1"/>
  <c r="AJ56" i="1"/>
  <c r="CX56" i="1" s="1"/>
  <c r="W56" i="1" s="1"/>
  <c r="CR56" i="1"/>
  <c r="CS56" i="1"/>
  <c r="CU56" i="1"/>
  <c r="T56" i="1" s="1"/>
  <c r="CW56" i="1"/>
  <c r="FR56" i="1"/>
  <c r="GL56" i="1"/>
  <c r="GO56" i="1"/>
  <c r="GP56" i="1"/>
  <c r="GV56" i="1"/>
  <c r="HC56" i="1"/>
  <c r="GX56" i="1" s="1"/>
  <c r="C57" i="1"/>
  <c r="D57" i="1"/>
  <c r="AC57" i="1"/>
  <c r="AE57" i="1"/>
  <c r="Q57" i="1" s="1"/>
  <c r="AF57" i="1"/>
  <c r="AG57" i="1"/>
  <c r="AH57" i="1"/>
  <c r="CV57" i="1" s="1"/>
  <c r="U57" i="1" s="1"/>
  <c r="AI57" i="1"/>
  <c r="CW57" i="1" s="1"/>
  <c r="V57" i="1" s="1"/>
  <c r="AJ57" i="1"/>
  <c r="CQ57" i="1"/>
  <c r="P57" i="1" s="1"/>
  <c r="CP57" i="1" s="1"/>
  <c r="O57" i="1" s="1"/>
  <c r="CS57" i="1"/>
  <c r="CT57" i="1"/>
  <c r="S57" i="1" s="1"/>
  <c r="CU57" i="1"/>
  <c r="T57" i="1" s="1"/>
  <c r="CX57" i="1"/>
  <c r="W57" i="1" s="1"/>
  <c r="FR57" i="1"/>
  <c r="GL57" i="1"/>
  <c r="GO57" i="1"/>
  <c r="GP57" i="1"/>
  <c r="GV57" i="1"/>
  <c r="HC57" i="1" s="1"/>
  <c r="GX57" i="1" s="1"/>
  <c r="C58" i="1"/>
  <c r="D58" i="1"/>
  <c r="I58" i="1"/>
  <c r="I59" i="1" s="1"/>
  <c r="K58" i="1"/>
  <c r="E200" i="13" s="1"/>
  <c r="R58" i="1"/>
  <c r="AC58" i="1"/>
  <c r="AD58" i="1"/>
  <c r="AE58" i="1"/>
  <c r="AF58" i="1"/>
  <c r="AG58" i="1"/>
  <c r="AH58" i="1"/>
  <c r="CV58" i="1" s="1"/>
  <c r="U58" i="1" s="1"/>
  <c r="AI58" i="1"/>
  <c r="CW58" i="1" s="1"/>
  <c r="V58" i="1" s="1"/>
  <c r="G208" i="13" s="1"/>
  <c r="AJ58" i="1"/>
  <c r="CX58" i="1" s="1"/>
  <c r="W58" i="1" s="1"/>
  <c r="CQ58" i="1"/>
  <c r="CR58" i="1"/>
  <c r="CS58" i="1"/>
  <c r="CU58" i="1"/>
  <c r="T58" i="1" s="1"/>
  <c r="FR58" i="1"/>
  <c r="GL58" i="1"/>
  <c r="GO58" i="1"/>
  <c r="GP58" i="1"/>
  <c r="GV58" i="1"/>
  <c r="HC58" i="1" s="1"/>
  <c r="GX58" i="1" s="1"/>
  <c r="AC59" i="1"/>
  <c r="AE59" i="1"/>
  <c r="AF59" i="1"/>
  <c r="AG59" i="1"/>
  <c r="CU59" i="1" s="1"/>
  <c r="AH59" i="1"/>
  <c r="CV59" i="1" s="1"/>
  <c r="U59" i="1" s="1"/>
  <c r="AI59" i="1"/>
  <c r="CW59" i="1" s="1"/>
  <c r="AJ59" i="1"/>
  <c r="CR59" i="1"/>
  <c r="CT59" i="1"/>
  <c r="CX59" i="1"/>
  <c r="FR59" i="1"/>
  <c r="GL59" i="1"/>
  <c r="BZ64" i="1" s="1"/>
  <c r="BZ26" i="1" s="1"/>
  <c r="GO59" i="1"/>
  <c r="GP59" i="1"/>
  <c r="GV59" i="1"/>
  <c r="HC59" i="1" s="1"/>
  <c r="I60" i="1"/>
  <c r="R60" i="1" s="1"/>
  <c r="AC60" i="1"/>
  <c r="AE60" i="1"/>
  <c r="AD60" i="1" s="1"/>
  <c r="AF60" i="1"/>
  <c r="CT60" i="1" s="1"/>
  <c r="AG60" i="1"/>
  <c r="CU60" i="1" s="1"/>
  <c r="T60" i="1" s="1"/>
  <c r="AH60" i="1"/>
  <c r="CV60" i="1" s="1"/>
  <c r="AI60" i="1"/>
  <c r="AJ60" i="1"/>
  <c r="CX60" i="1" s="1"/>
  <c r="CQ60" i="1"/>
  <c r="P60" i="1" s="1"/>
  <c r="CS60" i="1"/>
  <c r="CW60" i="1"/>
  <c r="V60" i="1" s="1"/>
  <c r="FR60" i="1"/>
  <c r="GL60" i="1"/>
  <c r="GO60" i="1"/>
  <c r="GP60" i="1"/>
  <c r="CD64" i="1" s="1"/>
  <c r="CD26" i="1" s="1"/>
  <c r="GV60" i="1"/>
  <c r="HC60" i="1"/>
  <c r="GX60" i="1" s="1"/>
  <c r="C61" i="1"/>
  <c r="D61" i="1"/>
  <c r="I61" i="1"/>
  <c r="K61" i="1"/>
  <c r="E214" i="13" s="1"/>
  <c r="AC61" i="1"/>
  <c r="AE61" i="1"/>
  <c r="Q61" i="1" s="1"/>
  <c r="AF61" i="1"/>
  <c r="AG61" i="1"/>
  <c r="CU61" i="1" s="1"/>
  <c r="T61" i="1" s="1"/>
  <c r="AH61" i="1"/>
  <c r="CV61" i="1" s="1"/>
  <c r="U61" i="1" s="1"/>
  <c r="AI61" i="1"/>
  <c r="AJ61" i="1"/>
  <c r="CX61" i="1" s="1"/>
  <c r="W61" i="1" s="1"/>
  <c r="CS61" i="1"/>
  <c r="CW61" i="1"/>
  <c r="V61" i="1" s="1"/>
  <c r="G222" i="13" s="1"/>
  <c r="FR61" i="1"/>
  <c r="GL61" i="1"/>
  <c r="GO61" i="1"/>
  <c r="GP61" i="1"/>
  <c r="GV61" i="1"/>
  <c r="HC61" i="1"/>
  <c r="GX61" i="1" s="1"/>
  <c r="I62" i="1"/>
  <c r="AC62" i="1"/>
  <c r="CQ62" i="1" s="1"/>
  <c r="P62" i="1" s="1"/>
  <c r="AE62" i="1"/>
  <c r="AD62" i="1" s="1"/>
  <c r="AF62" i="1"/>
  <c r="CT62" i="1" s="1"/>
  <c r="S62" i="1" s="1"/>
  <c r="AG62" i="1"/>
  <c r="CU62" i="1" s="1"/>
  <c r="T62" i="1" s="1"/>
  <c r="AH62" i="1"/>
  <c r="CV62" i="1" s="1"/>
  <c r="U62" i="1" s="1"/>
  <c r="AI62" i="1"/>
  <c r="CW62" i="1" s="1"/>
  <c r="AJ62" i="1"/>
  <c r="CX62" i="1" s="1"/>
  <c r="W62" i="1" s="1"/>
  <c r="CR62" i="1"/>
  <c r="FR62" i="1"/>
  <c r="GL62" i="1"/>
  <c r="GO62" i="1"/>
  <c r="GP62" i="1"/>
  <c r="GV62" i="1"/>
  <c r="HC62" i="1" s="1"/>
  <c r="GX62" i="1" s="1"/>
  <c r="B64" i="1"/>
  <c r="B26" i="1" s="1"/>
  <c r="C64" i="1"/>
  <c r="C26" i="1" s="1"/>
  <c r="D64" i="1"/>
  <c r="D26" i="1" s="1"/>
  <c r="F64" i="1"/>
  <c r="F26" i="1" s="1"/>
  <c r="G64" i="1"/>
  <c r="BX64" i="1"/>
  <c r="BX26" i="1" s="1"/>
  <c r="BY64" i="1"/>
  <c r="BY26" i="1" s="1"/>
  <c r="CC64" i="1"/>
  <c r="CC26" i="1" s="1"/>
  <c r="CK64" i="1"/>
  <c r="CK26" i="1" s="1"/>
  <c r="CL64" i="1"/>
  <c r="CL26" i="1" s="1"/>
  <c r="B94" i="1"/>
  <c r="B22" i="1" s="1"/>
  <c r="C94" i="1"/>
  <c r="C22" i="1" s="1"/>
  <c r="D94" i="1"/>
  <c r="D22" i="1" s="1"/>
  <c r="F94" i="1"/>
  <c r="F22" i="1" s="1"/>
  <c r="G94" i="1"/>
  <c r="B126" i="1"/>
  <c r="B18" i="1" s="1"/>
  <c r="C126" i="1"/>
  <c r="C18" i="1" s="1"/>
  <c r="D126" i="1"/>
  <c r="D18" i="1" s="1"/>
  <c r="F126" i="1"/>
  <c r="F18" i="1" s="1"/>
  <c r="G126" i="1"/>
  <c r="F12" i="6"/>
  <c r="G12" i="6"/>
  <c r="CY12" i="6"/>
  <c r="L166" i="13" l="1"/>
  <c r="AT175" i="13" s="1"/>
  <c r="G153" i="13"/>
  <c r="M72" i="9"/>
  <c r="O72" i="9"/>
  <c r="AW140" i="13"/>
  <c r="AN140" i="13"/>
  <c r="L102" i="13"/>
  <c r="AR112" i="13" s="1"/>
  <c r="G106" i="13"/>
  <c r="GX59" i="1"/>
  <c r="L149" i="13"/>
  <c r="AR160" i="13" s="1"/>
  <c r="Q46" i="1"/>
  <c r="G156" i="13"/>
  <c r="I52" i="9"/>
  <c r="R46" i="1"/>
  <c r="L123" i="13"/>
  <c r="HD33" i="1"/>
  <c r="L95" i="13" s="1"/>
  <c r="BB96" i="13" s="1"/>
  <c r="O62" i="9"/>
  <c r="M62" i="9"/>
  <c r="M63" i="9"/>
  <c r="O63" i="9"/>
  <c r="GX46" i="1"/>
  <c r="O77" i="9"/>
  <c r="M77" i="9"/>
  <c r="G22" i="1"/>
  <c r="G26" i="1"/>
  <c r="J220" i="13"/>
  <c r="AA227" i="13" s="1"/>
  <c r="CT61" i="1"/>
  <c r="S61" i="1" s="1"/>
  <c r="AE227" i="13"/>
  <c r="J226" i="13" s="1"/>
  <c r="AD227" i="13"/>
  <c r="J225" i="13" s="1"/>
  <c r="J217" i="13"/>
  <c r="R61" i="1"/>
  <c r="W60" i="1"/>
  <c r="S60" i="1"/>
  <c r="T59" i="1"/>
  <c r="Q58" i="1"/>
  <c r="L193" i="13"/>
  <c r="AD199" i="13"/>
  <c r="J197" i="13" s="1"/>
  <c r="J193" i="13"/>
  <c r="U199" i="13" s="1"/>
  <c r="AE199" i="13"/>
  <c r="J198" i="13" s="1"/>
  <c r="R57" i="1"/>
  <c r="AD56" i="1"/>
  <c r="AB56" i="1" s="1"/>
  <c r="P64" i="9"/>
  <c r="S64" i="9"/>
  <c r="CR53" i="1"/>
  <c r="J182" i="13"/>
  <c r="AA190" i="13" s="1"/>
  <c r="W51" i="1"/>
  <c r="S51" i="1"/>
  <c r="I51" i="1"/>
  <c r="T51" i="1" s="1"/>
  <c r="V50" i="1"/>
  <c r="T50" i="1"/>
  <c r="R50" i="1"/>
  <c r="CR49" i="1"/>
  <c r="U49" i="1"/>
  <c r="AD48" i="1"/>
  <c r="S60" i="9"/>
  <c r="P60" i="9"/>
  <c r="CR47" i="1"/>
  <c r="J167" i="13"/>
  <c r="AA175" i="13" s="1"/>
  <c r="J156" i="13"/>
  <c r="K52" i="9"/>
  <c r="M52" i="9" s="1"/>
  <c r="N52" i="9"/>
  <c r="O52" i="9" s="1"/>
  <c r="GX43" i="1"/>
  <c r="V43" i="1"/>
  <c r="G154" i="13" s="1"/>
  <c r="G141" i="13"/>
  <c r="I40" i="9"/>
  <c r="CS40" i="1"/>
  <c r="Q39" i="1"/>
  <c r="G138" i="13"/>
  <c r="AE145" i="13"/>
  <c r="J131" i="13"/>
  <c r="AD145" i="13"/>
  <c r="GX37" i="1"/>
  <c r="CR37" i="1"/>
  <c r="U37" i="1"/>
  <c r="G120" i="13"/>
  <c r="J119" i="13"/>
  <c r="AA127" i="13" s="1"/>
  <c r="J97" i="13"/>
  <c r="BA96" i="13"/>
  <c r="AD32" i="1"/>
  <c r="Q32" i="1"/>
  <c r="G90" i="13"/>
  <c r="AE94" i="13"/>
  <c r="AD94" i="13"/>
  <c r="J84" i="13"/>
  <c r="L75" i="13"/>
  <c r="AW81" i="13" s="1"/>
  <c r="AB30" i="1"/>
  <c r="J75" i="13"/>
  <c r="AA81" i="13" s="1"/>
  <c r="CT29" i="1"/>
  <c r="AE68" i="13"/>
  <c r="AD68" i="13"/>
  <c r="AB28" i="1"/>
  <c r="M74" i="9"/>
  <c r="I74" i="9"/>
  <c r="O75" i="9"/>
  <c r="M75" i="9"/>
  <c r="T78" i="9"/>
  <c r="R78" i="9"/>
  <c r="I78" i="9"/>
  <c r="O81" i="9"/>
  <c r="M81" i="9"/>
  <c r="T66" i="9"/>
  <c r="R66" i="9"/>
  <c r="M70" i="9"/>
  <c r="I70" i="9"/>
  <c r="O71" i="9"/>
  <c r="M71" i="9"/>
  <c r="T72" i="9"/>
  <c r="R72" i="9"/>
  <c r="CV78" i="3"/>
  <c r="I65" i="9"/>
  <c r="R62" i="9"/>
  <c r="T62" i="9"/>
  <c r="M53" i="9"/>
  <c r="M54" i="9"/>
  <c r="O54" i="9"/>
  <c r="I54" i="9"/>
  <c r="M55" i="9"/>
  <c r="O55" i="9"/>
  <c r="R56" i="9"/>
  <c r="I56" i="9"/>
  <c r="O31" i="9"/>
  <c r="M31" i="9"/>
  <c r="L218" i="13"/>
  <c r="AO227" i="13" s="1"/>
  <c r="Q60" i="1"/>
  <c r="W59" i="1"/>
  <c r="G207" i="13"/>
  <c r="AB58" i="1"/>
  <c r="J205" i="13"/>
  <c r="X213" i="13" s="1"/>
  <c r="G200" i="13"/>
  <c r="J204" i="13"/>
  <c r="P213" i="13" s="1"/>
  <c r="C202" i="13"/>
  <c r="V56" i="1"/>
  <c r="J186" i="13"/>
  <c r="BH186" i="13" s="1"/>
  <c r="N64" i="9"/>
  <c r="K64" i="9"/>
  <c r="G183" i="13"/>
  <c r="L182" i="13"/>
  <c r="AW190" i="13" s="1"/>
  <c r="GX52" i="1"/>
  <c r="S52" i="1"/>
  <c r="V52" i="1"/>
  <c r="T49" i="1"/>
  <c r="P49" i="1"/>
  <c r="AB49" i="1"/>
  <c r="AB48" i="1"/>
  <c r="N60" i="9"/>
  <c r="K60" i="9"/>
  <c r="U47" i="1"/>
  <c r="P47" i="1"/>
  <c r="U46" i="1"/>
  <c r="P46" i="1"/>
  <c r="L156" i="13" s="1"/>
  <c r="AB43" i="1"/>
  <c r="J152" i="13"/>
  <c r="AA160" i="13" s="1"/>
  <c r="AE141" i="13"/>
  <c r="AD141" i="13"/>
  <c r="CT41" i="1"/>
  <c r="S41" i="1" s="1"/>
  <c r="AE140" i="13"/>
  <c r="AD140" i="13"/>
  <c r="Q41" i="1"/>
  <c r="G140" i="13"/>
  <c r="I39" i="9"/>
  <c r="CR40" i="1"/>
  <c r="CT38" i="1"/>
  <c r="S38" i="1" s="1"/>
  <c r="J133" i="13"/>
  <c r="X145" i="13" s="1"/>
  <c r="G128" i="13"/>
  <c r="J132" i="13"/>
  <c r="P145" i="13" s="1"/>
  <c r="C130" i="13"/>
  <c r="J123" i="13"/>
  <c r="K32" i="9"/>
  <c r="N32" i="9"/>
  <c r="S36" i="1"/>
  <c r="T36" i="1"/>
  <c r="AD112" i="13"/>
  <c r="J110" i="13" s="1"/>
  <c r="J102" i="13"/>
  <c r="AE112" i="13"/>
  <c r="J111" i="13" s="1"/>
  <c r="BA98" i="13"/>
  <c r="AZ96" i="13"/>
  <c r="W32" i="1"/>
  <c r="CR32" i="1"/>
  <c r="T32" i="1"/>
  <c r="J90" i="13"/>
  <c r="GX31" i="1"/>
  <c r="CT31" i="1"/>
  <c r="S31" i="1" s="1"/>
  <c r="V31" i="1"/>
  <c r="G88" i="13" s="1"/>
  <c r="AE81" i="13"/>
  <c r="J80" i="13" s="1"/>
  <c r="AD81" i="13"/>
  <c r="J79" i="13" s="1"/>
  <c r="J74" i="13"/>
  <c r="AB29" i="1"/>
  <c r="L62" i="13"/>
  <c r="AE72" i="13"/>
  <c r="AD72" i="13"/>
  <c r="J62" i="13"/>
  <c r="R77" i="9"/>
  <c r="R80" i="9"/>
  <c r="T80" i="9"/>
  <c r="I80" i="9"/>
  <c r="I66" i="9"/>
  <c r="O67" i="9"/>
  <c r="M67" i="9"/>
  <c r="T68" i="9"/>
  <c r="R68" i="9"/>
  <c r="I68" i="9"/>
  <c r="R69" i="9"/>
  <c r="I69" i="9"/>
  <c r="I72" i="9"/>
  <c r="R73" i="9"/>
  <c r="I73" i="9"/>
  <c r="M65" i="9"/>
  <c r="O65" i="9"/>
  <c r="T61" i="9"/>
  <c r="R61" i="9"/>
  <c r="I62" i="9"/>
  <c r="R63" i="9"/>
  <c r="T63" i="9"/>
  <c r="R58" i="9"/>
  <c r="T58" i="9"/>
  <c r="I58" i="9"/>
  <c r="T41" i="9"/>
  <c r="R41" i="9"/>
  <c r="I41" i="9"/>
  <c r="R42" i="9"/>
  <c r="M43" i="9"/>
  <c r="I43" i="9"/>
  <c r="M44" i="9"/>
  <c r="R45" i="9"/>
  <c r="T45" i="9"/>
  <c r="I45" i="9"/>
  <c r="M46" i="9"/>
  <c r="O46" i="9"/>
  <c r="O27" i="9"/>
  <c r="M27" i="9"/>
  <c r="M29" i="9"/>
  <c r="G18" i="1"/>
  <c r="V62" i="1"/>
  <c r="CR61" i="1"/>
  <c r="G221" i="13"/>
  <c r="AD61" i="1"/>
  <c r="J218" i="13"/>
  <c r="P227" i="13" s="1"/>
  <c r="C216" i="13"/>
  <c r="J219" i="13"/>
  <c r="X227" i="13" s="1"/>
  <c r="G214" i="13"/>
  <c r="CR60" i="1"/>
  <c r="U60" i="1"/>
  <c r="V59" i="1"/>
  <c r="R59" i="1"/>
  <c r="P58" i="1"/>
  <c r="J206" i="13"/>
  <c r="AA213" i="13" s="1"/>
  <c r="CR57" i="1"/>
  <c r="G194" i="13"/>
  <c r="AD57" i="1"/>
  <c r="CQ56" i="1"/>
  <c r="P56" i="1" s="1"/>
  <c r="CS55" i="1"/>
  <c r="AB55" i="1"/>
  <c r="AB54" i="1"/>
  <c r="AE190" i="13"/>
  <c r="AD190" i="13"/>
  <c r="J179" i="13"/>
  <c r="J181" i="13"/>
  <c r="X190" i="13" s="1"/>
  <c r="G176" i="13"/>
  <c r="J180" i="13"/>
  <c r="P190" i="13" s="1"/>
  <c r="C178" i="13"/>
  <c r="CR52" i="1"/>
  <c r="AB52" i="1"/>
  <c r="CR51" i="1"/>
  <c r="GX49" i="1"/>
  <c r="S49" i="1"/>
  <c r="CQ48" i="1"/>
  <c r="W47" i="1"/>
  <c r="CT47" i="1"/>
  <c r="S47" i="1" s="1"/>
  <c r="AE175" i="13"/>
  <c r="AD175" i="13"/>
  <c r="J164" i="13"/>
  <c r="W46" i="1"/>
  <c r="CT46" i="1"/>
  <c r="S46" i="1" s="1"/>
  <c r="AE156" i="13"/>
  <c r="AD156" i="13"/>
  <c r="CR45" i="1"/>
  <c r="T45" i="1"/>
  <c r="CR44" i="1"/>
  <c r="CQ43" i="1"/>
  <c r="P43" i="1" s="1"/>
  <c r="GX42" i="1"/>
  <c r="CT42" i="1"/>
  <c r="S42" i="1" s="1"/>
  <c r="V42" i="1"/>
  <c r="AD42" i="1"/>
  <c r="S40" i="9"/>
  <c r="P40" i="9"/>
  <c r="R40" i="9" s="1"/>
  <c r="AD41" i="1"/>
  <c r="AB41" i="1" s="1"/>
  <c r="S39" i="9"/>
  <c r="P39" i="9"/>
  <c r="R39" i="9" s="1"/>
  <c r="AD139" i="13"/>
  <c r="I40" i="1"/>
  <c r="GX40" i="1" s="1"/>
  <c r="T39" i="1"/>
  <c r="P39" i="1"/>
  <c r="AB39" i="1"/>
  <c r="J138" i="13"/>
  <c r="CR38" i="1"/>
  <c r="AD38" i="1"/>
  <c r="W37" i="1"/>
  <c r="CT37" i="1"/>
  <c r="S37" i="1" s="1"/>
  <c r="AE123" i="13"/>
  <c r="AD123" i="13"/>
  <c r="AE127" i="13"/>
  <c r="AD127" i="13"/>
  <c r="J116" i="13"/>
  <c r="L103" i="13"/>
  <c r="CU13" i="3"/>
  <c r="J103" i="13"/>
  <c r="P112" i="13" s="1"/>
  <c r="C101" i="13"/>
  <c r="J104" i="13"/>
  <c r="X112" i="13" s="1"/>
  <c r="G99" i="13"/>
  <c r="AZ98" i="13"/>
  <c r="AE90" i="13"/>
  <c r="J93" i="13" s="1"/>
  <c r="AD90" i="13"/>
  <c r="J92" i="13" s="1"/>
  <c r="CR31" i="1"/>
  <c r="U31" i="1"/>
  <c r="AD31" i="1"/>
  <c r="CT30" i="1"/>
  <c r="S30" i="1" s="1"/>
  <c r="CR29" i="1"/>
  <c r="J68" i="13"/>
  <c r="BH68" i="13" s="1"/>
  <c r="L63" i="13"/>
  <c r="AO72" i="13" s="1"/>
  <c r="CX1" i="3"/>
  <c r="G60" i="13"/>
  <c r="C61" i="13"/>
  <c r="J64" i="13"/>
  <c r="X72" i="13" s="1"/>
  <c r="J63" i="13"/>
  <c r="P72" i="13" s="1"/>
  <c r="R75" i="9"/>
  <c r="T75" i="9"/>
  <c r="I75" i="9"/>
  <c r="T76" i="9"/>
  <c r="R76" i="9"/>
  <c r="I77" i="9"/>
  <c r="M78" i="9"/>
  <c r="R79" i="9"/>
  <c r="T79" i="9"/>
  <c r="R81" i="9"/>
  <c r="I81" i="9"/>
  <c r="R71" i="9"/>
  <c r="T71" i="9"/>
  <c r="I71" i="9"/>
  <c r="I61" i="9"/>
  <c r="I63" i="9"/>
  <c r="R53" i="9"/>
  <c r="T53" i="9"/>
  <c r="M51" i="9"/>
  <c r="M16" i="9"/>
  <c r="M21" i="9"/>
  <c r="CQ61" i="1"/>
  <c r="P61" i="1" s="1"/>
  <c r="CP60" i="1"/>
  <c r="O60" i="1" s="1"/>
  <c r="S59" i="1"/>
  <c r="CT58" i="1"/>
  <c r="S58" i="1" s="1"/>
  <c r="AE213" i="13"/>
  <c r="J212" i="13" s="1"/>
  <c r="AD213" i="13"/>
  <c r="J211" i="13" s="1"/>
  <c r="J203" i="13"/>
  <c r="L205" i="13"/>
  <c r="AT213" i="13" s="1"/>
  <c r="AB57" i="1"/>
  <c r="CT56" i="1"/>
  <c r="S56" i="1" s="1"/>
  <c r="AE186" i="13"/>
  <c r="J189" i="13" s="1"/>
  <c r="AD186" i="13"/>
  <c r="J188" i="13" s="1"/>
  <c r="Q56" i="1"/>
  <c r="G186" i="13"/>
  <c r="I64" i="9"/>
  <c r="L179" i="13"/>
  <c r="U51" i="1"/>
  <c r="P51" i="1"/>
  <c r="Q49" i="1"/>
  <c r="AE171" i="13"/>
  <c r="J174" i="13" s="1"/>
  <c r="L165" i="13"/>
  <c r="I48" i="1"/>
  <c r="GX48" i="1" s="1"/>
  <c r="J166" i="13"/>
  <c r="X175" i="13" s="1"/>
  <c r="G161" i="13"/>
  <c r="J165" i="13"/>
  <c r="P175" i="13" s="1"/>
  <c r="C163" i="13"/>
  <c r="AD46" i="1"/>
  <c r="AB46" i="1" s="1"/>
  <c r="S52" i="9"/>
  <c r="T52" i="9" s="1"/>
  <c r="P52" i="9"/>
  <c r="R52" i="9" s="1"/>
  <c r="Q45" i="1"/>
  <c r="AB44" i="1"/>
  <c r="AD160" i="13"/>
  <c r="AE160" i="13"/>
  <c r="J149" i="13"/>
  <c r="J151" i="13"/>
  <c r="X160" i="13" s="1"/>
  <c r="J150" i="13"/>
  <c r="P160" i="13" s="1"/>
  <c r="G146" i="13"/>
  <c r="C148" i="13"/>
  <c r="J141" i="13"/>
  <c r="BH141" i="13" s="1"/>
  <c r="K40" i="9"/>
  <c r="N40" i="9"/>
  <c r="J140" i="13"/>
  <c r="K39" i="9"/>
  <c r="N39" i="9"/>
  <c r="S40" i="1"/>
  <c r="AD138" i="13"/>
  <c r="J143" i="13" s="1"/>
  <c r="AE138" i="13"/>
  <c r="G135" i="13"/>
  <c r="L134" i="13"/>
  <c r="AW145" i="13" s="1"/>
  <c r="AB38" i="1"/>
  <c r="J134" i="13"/>
  <c r="AA145" i="13" s="1"/>
  <c r="P32" i="9"/>
  <c r="R32" i="9" s="1"/>
  <c r="S32" i="9"/>
  <c r="Q37" i="1"/>
  <c r="CP37" i="1" s="1"/>
  <c r="O37" i="1" s="1"/>
  <c r="G123" i="13"/>
  <c r="I32" i="9"/>
  <c r="CU24" i="3"/>
  <c r="J118" i="13"/>
  <c r="X127" i="13" s="1"/>
  <c r="G113" i="13"/>
  <c r="J117" i="13"/>
  <c r="P127" i="13" s="1"/>
  <c r="C115" i="13"/>
  <c r="J105" i="13"/>
  <c r="AA112" i="13" s="1"/>
  <c r="CP34" i="1"/>
  <c r="GM34" i="1" s="1"/>
  <c r="J95" i="13"/>
  <c r="R31" i="1"/>
  <c r="G82" i="13"/>
  <c r="C83" i="13"/>
  <c r="J86" i="13"/>
  <c r="X94" i="13" s="1"/>
  <c r="J85" i="13"/>
  <c r="P94" i="13" s="1"/>
  <c r="G76" i="13"/>
  <c r="Q29" i="1"/>
  <c r="G68" i="13"/>
  <c r="G65" i="13"/>
  <c r="T74" i="9"/>
  <c r="R74" i="9"/>
  <c r="M76" i="9"/>
  <c r="O76" i="9"/>
  <c r="I76" i="9"/>
  <c r="O79" i="9"/>
  <c r="M79" i="9"/>
  <c r="I79" i="9"/>
  <c r="M80" i="9"/>
  <c r="O80" i="9"/>
  <c r="R67" i="9"/>
  <c r="T67" i="9"/>
  <c r="I67" i="9"/>
  <c r="M68" i="9"/>
  <c r="O68" i="9"/>
  <c r="O69" i="9"/>
  <c r="M69" i="9"/>
  <c r="T70" i="9"/>
  <c r="R70" i="9"/>
  <c r="O73" i="9"/>
  <c r="M73" i="9"/>
  <c r="R54" i="9"/>
  <c r="T54" i="9"/>
  <c r="M57" i="9"/>
  <c r="I57" i="9"/>
  <c r="M58" i="9"/>
  <c r="O58" i="9"/>
  <c r="M59" i="9"/>
  <c r="O59" i="9"/>
  <c r="I59" i="9"/>
  <c r="M47" i="9"/>
  <c r="R48" i="9"/>
  <c r="T48" i="9"/>
  <c r="I48" i="9"/>
  <c r="M49" i="9"/>
  <c r="O49" i="9"/>
  <c r="R50" i="9"/>
  <c r="M38" i="9"/>
  <c r="M26" i="9"/>
  <c r="O26" i="9"/>
  <c r="M12" i="9"/>
  <c r="M14" i="9"/>
  <c r="O14" i="9"/>
  <c r="M8" i="9"/>
  <c r="M41" i="9"/>
  <c r="O41" i="9"/>
  <c r="R44" i="9"/>
  <c r="T44" i="9"/>
  <c r="I44" i="9"/>
  <c r="M45" i="9"/>
  <c r="O45" i="9"/>
  <c r="R46" i="9"/>
  <c r="I47" i="9"/>
  <c r="M48" i="9"/>
  <c r="T49" i="9"/>
  <c r="R49" i="9"/>
  <c r="I49" i="9"/>
  <c r="I51" i="9"/>
  <c r="R33" i="9"/>
  <c r="I33" i="9"/>
  <c r="R36" i="9"/>
  <c r="I36" i="9"/>
  <c r="I38" i="9"/>
  <c r="T26" i="9"/>
  <c r="R26" i="9"/>
  <c r="I27" i="9"/>
  <c r="M28" i="9"/>
  <c r="T29" i="9"/>
  <c r="R29" i="9"/>
  <c r="R31" i="9"/>
  <c r="CX23" i="3"/>
  <c r="I16" i="9"/>
  <c r="R21" i="9"/>
  <c r="T21" i="9"/>
  <c r="R24" i="9"/>
  <c r="CW15" i="3"/>
  <c r="I24" i="9"/>
  <c r="I12" i="9"/>
  <c r="M13" i="9"/>
  <c r="R14" i="9"/>
  <c r="T14" i="9"/>
  <c r="T10" i="9"/>
  <c r="R10" i="9"/>
  <c r="CX6" i="3"/>
  <c r="I10" i="9"/>
  <c r="CV5" i="3"/>
  <c r="CX4" i="3"/>
  <c r="I53" i="9"/>
  <c r="R55" i="9"/>
  <c r="I55" i="9"/>
  <c r="M56" i="9"/>
  <c r="R57" i="9"/>
  <c r="T57" i="9"/>
  <c r="R59" i="9"/>
  <c r="R43" i="9"/>
  <c r="I46" i="9"/>
  <c r="T35" i="9"/>
  <c r="R35" i="9"/>
  <c r="CX30" i="3"/>
  <c r="I26" i="9"/>
  <c r="I29" i="9"/>
  <c r="O30" i="9"/>
  <c r="M30" i="9"/>
  <c r="CV24" i="3"/>
  <c r="I31" i="9"/>
  <c r="T18" i="9"/>
  <c r="R18" i="9"/>
  <c r="CX21" i="3"/>
  <c r="I18" i="9"/>
  <c r="O19" i="9"/>
  <c r="M19" i="9"/>
  <c r="R20" i="9"/>
  <c r="I21" i="9"/>
  <c r="M22" i="9"/>
  <c r="O22" i="9"/>
  <c r="R23" i="9"/>
  <c r="R25" i="9"/>
  <c r="T25" i="9"/>
  <c r="CX12" i="3"/>
  <c r="CW9" i="3"/>
  <c r="I14" i="9"/>
  <c r="R15" i="9"/>
  <c r="M9" i="9"/>
  <c r="M33" i="9"/>
  <c r="R34" i="9"/>
  <c r="T34" i="9"/>
  <c r="M35" i="9"/>
  <c r="O35" i="9"/>
  <c r="I35" i="9"/>
  <c r="O36" i="9"/>
  <c r="M36" i="9"/>
  <c r="R37" i="9"/>
  <c r="CX31" i="3"/>
  <c r="R28" i="9"/>
  <c r="CW28" i="3"/>
  <c r="I28" i="9"/>
  <c r="CX25" i="3"/>
  <c r="T17" i="9"/>
  <c r="R17" i="9"/>
  <c r="M20" i="9"/>
  <c r="CX19" i="3"/>
  <c r="I20" i="9"/>
  <c r="O23" i="9"/>
  <c r="M23" i="9"/>
  <c r="I23" i="9"/>
  <c r="M24" i="9"/>
  <c r="M25" i="9"/>
  <c r="CV13" i="3"/>
  <c r="I25" i="9"/>
  <c r="R13" i="9"/>
  <c r="T13" i="9"/>
  <c r="CX10" i="3"/>
  <c r="I13" i="9"/>
  <c r="M15" i="9"/>
  <c r="O15" i="9"/>
  <c r="I15" i="9"/>
  <c r="M10" i="9"/>
  <c r="O10" i="9"/>
  <c r="R8" i="9"/>
  <c r="O42" i="9"/>
  <c r="M42" i="9"/>
  <c r="I42" i="9"/>
  <c r="R47" i="9"/>
  <c r="O50" i="9"/>
  <c r="M50" i="9"/>
  <c r="I50" i="9"/>
  <c r="R51" i="9"/>
  <c r="M34" i="9"/>
  <c r="I34" i="9"/>
  <c r="M37" i="9"/>
  <c r="I37" i="9"/>
  <c r="T38" i="9"/>
  <c r="R38" i="9"/>
  <c r="R27" i="9"/>
  <c r="T30" i="9"/>
  <c r="R30" i="9"/>
  <c r="CW26" i="3"/>
  <c r="I30" i="9"/>
  <c r="R16" i="9"/>
  <c r="M17" i="9"/>
  <c r="I17" i="9"/>
  <c r="M18" i="9"/>
  <c r="O18" i="9"/>
  <c r="R19" i="9"/>
  <c r="CX20" i="3"/>
  <c r="DH20" i="3" s="1"/>
  <c r="I19" i="9"/>
  <c r="T22" i="9"/>
  <c r="R22" i="9"/>
  <c r="CW17" i="3"/>
  <c r="I22" i="9"/>
  <c r="CX14" i="3"/>
  <c r="R12" i="9"/>
  <c r="CX8" i="3"/>
  <c r="DH8" i="3" s="1"/>
  <c r="O11" i="9"/>
  <c r="M11" i="9"/>
  <c r="I8" i="9"/>
  <c r="R9" i="9"/>
  <c r="T9" i="9"/>
  <c r="I9" i="9"/>
  <c r="H108" i="13"/>
  <c r="L313" i="13"/>
  <c r="H209" i="13"/>
  <c r="L350" i="13"/>
  <c r="H137" i="13"/>
  <c r="H155" i="13"/>
  <c r="H122" i="13"/>
  <c r="H170" i="13"/>
  <c r="H223" i="13"/>
  <c r="J246" i="13"/>
  <c r="BH213" i="13"/>
  <c r="J313" i="13"/>
  <c r="BH112" i="13"/>
  <c r="I112" i="13"/>
  <c r="L307" i="13"/>
  <c r="L354" i="13" s="1"/>
  <c r="L311" i="13"/>
  <c r="BH81" i="13"/>
  <c r="I81" i="13"/>
  <c r="O81" i="13"/>
  <c r="I94" i="13"/>
  <c r="BH94" i="13"/>
  <c r="J269" i="13"/>
  <c r="J267" i="13" s="1"/>
  <c r="J338" i="13"/>
  <c r="J336" i="13" s="1"/>
  <c r="J234" i="13"/>
  <c r="J232" i="13" s="1"/>
  <c r="J271" i="13"/>
  <c r="J340" i="13"/>
  <c r="J236" i="13"/>
  <c r="AA68" i="13"/>
  <c r="U72" i="13"/>
  <c r="I190" i="13"/>
  <c r="AW141" i="13"/>
  <c r="BH190" i="13"/>
  <c r="O199" i="13"/>
  <c r="O213" i="13"/>
  <c r="AR190" i="13"/>
  <c r="U213" i="13"/>
  <c r="U227" i="13"/>
  <c r="O68" i="13"/>
  <c r="O94" i="13"/>
  <c r="K96" i="13"/>
  <c r="AF98" i="13"/>
  <c r="O112" i="13"/>
  <c r="AO112" i="13"/>
  <c r="S127" i="13"/>
  <c r="J124" i="13" s="1"/>
  <c r="J137" i="13"/>
  <c r="S175" i="13"/>
  <c r="J172" i="13" s="1"/>
  <c r="J185" i="13"/>
  <c r="O190" i="13"/>
  <c r="J195" i="13"/>
  <c r="I199" i="13"/>
  <c r="S199" i="13"/>
  <c r="J196" i="13" s="1"/>
  <c r="BH199" i="13"/>
  <c r="J209" i="13"/>
  <c r="I213" i="13"/>
  <c r="S213" i="13"/>
  <c r="J210" i="13" s="1"/>
  <c r="J223" i="13"/>
  <c r="I227" i="13"/>
  <c r="S227" i="13"/>
  <c r="J224" i="13" s="1"/>
  <c r="O227" i="13"/>
  <c r="J67" i="13"/>
  <c r="S72" i="13"/>
  <c r="O96" i="13"/>
  <c r="AA141" i="13"/>
  <c r="AA186" i="13"/>
  <c r="AN96" i="13"/>
  <c r="O141" i="13"/>
  <c r="O186" i="13"/>
  <c r="O39" i="9"/>
  <c r="O40" i="9"/>
  <c r="T40" i="9"/>
  <c r="T8" i="9"/>
  <c r="O9" i="9"/>
  <c r="T12" i="9"/>
  <c r="O13" i="9"/>
  <c r="T16" i="9"/>
  <c r="O17" i="9"/>
  <c r="T20" i="9"/>
  <c r="O21" i="9"/>
  <c r="T24" i="9"/>
  <c r="O25" i="9"/>
  <c r="T28" i="9"/>
  <c r="O29" i="9"/>
  <c r="T33" i="9"/>
  <c r="O34" i="9"/>
  <c r="T37" i="9"/>
  <c r="O38" i="9"/>
  <c r="T43" i="9"/>
  <c r="O44" i="9"/>
  <c r="T47" i="9"/>
  <c r="O48" i="9"/>
  <c r="T51" i="9"/>
  <c r="O53" i="9"/>
  <c r="T56" i="9"/>
  <c r="O57" i="9"/>
  <c r="M64" i="9"/>
  <c r="T39" i="9"/>
  <c r="O8" i="9"/>
  <c r="T11" i="9"/>
  <c r="O12" i="9"/>
  <c r="T15" i="9"/>
  <c r="O16" i="9"/>
  <c r="T19" i="9"/>
  <c r="O20" i="9"/>
  <c r="T23" i="9"/>
  <c r="O24" i="9"/>
  <c r="T27" i="9"/>
  <c r="O28" i="9"/>
  <c r="T31" i="9"/>
  <c r="O32" i="9"/>
  <c r="O33" i="9"/>
  <c r="T36" i="9"/>
  <c r="O37" i="9"/>
  <c r="M39" i="9"/>
  <c r="M40" i="9"/>
  <c r="T42" i="9"/>
  <c r="O43" i="9"/>
  <c r="T46" i="9"/>
  <c r="O47" i="9"/>
  <c r="T50" i="9"/>
  <c r="O51" i="9"/>
  <c r="T55" i="9"/>
  <c r="O56" i="9"/>
  <c r="T59" i="9"/>
  <c r="O61" i="9"/>
  <c r="T65" i="9"/>
  <c r="O66" i="9"/>
  <c r="T69" i="9"/>
  <c r="O70" i="9"/>
  <c r="T73" i="9"/>
  <c r="O74" i="9"/>
  <c r="T77" i="9"/>
  <c r="O78" i="9"/>
  <c r="T81" i="9"/>
  <c r="O64" i="9"/>
  <c r="DG5" i="3"/>
  <c r="DH5" i="3"/>
  <c r="CZ50" i="1"/>
  <c r="Y50" i="1" s="1"/>
  <c r="CY50" i="1"/>
  <c r="X50" i="1" s="1"/>
  <c r="CZ49" i="1"/>
  <c r="Y49" i="1" s="1"/>
  <c r="CY49" i="1"/>
  <c r="X49" i="1" s="1"/>
  <c r="CZ47" i="1"/>
  <c r="Y47" i="1" s="1"/>
  <c r="CY47" i="1"/>
  <c r="X47" i="1" s="1"/>
  <c r="CZ46" i="1"/>
  <c r="Y46" i="1" s="1"/>
  <c r="CY46" i="1"/>
  <c r="X46" i="1" s="1"/>
  <c r="CZ41" i="1"/>
  <c r="Y41" i="1" s="1"/>
  <c r="CY41" i="1"/>
  <c r="X41" i="1" s="1"/>
  <c r="CP49" i="1"/>
  <c r="O49" i="1" s="1"/>
  <c r="CP47" i="1"/>
  <c r="O47" i="1" s="1"/>
  <c r="GM47" i="1" s="1"/>
  <c r="GN47" i="1" s="1"/>
  <c r="CP46" i="1"/>
  <c r="O46" i="1" s="1"/>
  <c r="AB45" i="1"/>
  <c r="CZ61" i="1"/>
  <c r="Y61" i="1" s="1"/>
  <c r="CY61" i="1"/>
  <c r="X61" i="1" s="1"/>
  <c r="CZ60" i="1"/>
  <c r="Y60" i="1" s="1"/>
  <c r="CY60" i="1"/>
  <c r="X60" i="1" s="1"/>
  <c r="CZ57" i="1"/>
  <c r="Y57" i="1" s="1"/>
  <c r="CY57" i="1"/>
  <c r="X57" i="1" s="1"/>
  <c r="CZ45" i="1"/>
  <c r="Y45" i="1" s="1"/>
  <c r="CY45" i="1"/>
  <c r="X45" i="1" s="1"/>
  <c r="AB53" i="1"/>
  <c r="CP41" i="1"/>
  <c r="O41" i="1" s="1"/>
  <c r="AB40" i="1"/>
  <c r="CZ59" i="1"/>
  <c r="Y59" i="1" s="1"/>
  <c r="CY59" i="1"/>
  <c r="X59" i="1" s="1"/>
  <c r="CZ58" i="1"/>
  <c r="Y58" i="1" s="1"/>
  <c r="CY58" i="1"/>
  <c r="X58" i="1" s="1"/>
  <c r="CZ56" i="1"/>
  <c r="Y56" i="1" s="1"/>
  <c r="CY56" i="1"/>
  <c r="X56" i="1" s="1"/>
  <c r="R48" i="1"/>
  <c r="Q48" i="1"/>
  <c r="CZ39" i="1"/>
  <c r="Y39" i="1" s="1"/>
  <c r="CY39" i="1"/>
  <c r="X39" i="1" s="1"/>
  <c r="GM60" i="1"/>
  <c r="GN60" i="1" s="1"/>
  <c r="AB50" i="1"/>
  <c r="AB42" i="1"/>
  <c r="CX71" i="3"/>
  <c r="CV71" i="3"/>
  <c r="CX73" i="3"/>
  <c r="CX77" i="3"/>
  <c r="CU71" i="3"/>
  <c r="CX43" i="3"/>
  <c r="CV43" i="3"/>
  <c r="CX45" i="3"/>
  <c r="CX48" i="3"/>
  <c r="CX52" i="3"/>
  <c r="CX56" i="3"/>
  <c r="CU43" i="3"/>
  <c r="CX47" i="3"/>
  <c r="CX51" i="3"/>
  <c r="CX32" i="3"/>
  <c r="CV32" i="3"/>
  <c r="CX34" i="3"/>
  <c r="CX36" i="3"/>
  <c r="CX40" i="3"/>
  <c r="CU32" i="3"/>
  <c r="DH1" i="3"/>
  <c r="DG1" i="3"/>
  <c r="DF1" i="3"/>
  <c r="DI1" i="3"/>
  <c r="DJ1" i="3" s="1"/>
  <c r="DI30" i="3"/>
  <c r="DH30" i="3"/>
  <c r="DG30" i="3"/>
  <c r="DF30" i="3"/>
  <c r="DJ30" i="3" s="1"/>
  <c r="DG21" i="3"/>
  <c r="DF21" i="3"/>
  <c r="DJ21" i="3" s="1"/>
  <c r="DI21" i="3"/>
  <c r="DH21" i="3"/>
  <c r="DI12" i="3"/>
  <c r="DH12" i="3"/>
  <c r="DG12" i="3"/>
  <c r="DF12" i="3"/>
  <c r="DJ12" i="3" s="1"/>
  <c r="CI64" i="1"/>
  <c r="Q62" i="1"/>
  <c r="CP62" i="1" s="1"/>
  <c r="O62" i="1" s="1"/>
  <c r="AB61" i="1"/>
  <c r="AB60" i="1"/>
  <c r="Q53" i="1"/>
  <c r="Q52" i="1"/>
  <c r="CP52" i="1" s="1"/>
  <c r="O52" i="1" s="1"/>
  <c r="Q43" i="1"/>
  <c r="Q42" i="1"/>
  <c r="CP42" i="1" s="1"/>
  <c r="O42" i="1" s="1"/>
  <c r="Q38" i="1"/>
  <c r="R37" i="1"/>
  <c r="R29" i="1"/>
  <c r="CV90" i="3"/>
  <c r="CW82" i="3"/>
  <c r="CX74" i="3"/>
  <c r="CX66" i="3"/>
  <c r="CX63" i="3"/>
  <c r="CX57" i="3"/>
  <c r="CX49" i="3"/>
  <c r="CX44" i="3"/>
  <c r="CX41" i="3"/>
  <c r="CX33" i="3"/>
  <c r="CV79" i="3"/>
  <c r="CX81" i="3"/>
  <c r="CX83" i="3"/>
  <c r="CU79" i="3"/>
  <c r="CW81" i="3"/>
  <c r="CW83" i="3"/>
  <c r="CX85" i="3"/>
  <c r="CX89" i="3"/>
  <c r="CX80" i="3"/>
  <c r="CQ36" i="1"/>
  <c r="P36" i="1" s="1"/>
  <c r="CQ35" i="1"/>
  <c r="P35" i="1" s="1"/>
  <c r="CZ32" i="1"/>
  <c r="Y32" i="1" s="1"/>
  <c r="CY32" i="1"/>
  <c r="X32" i="1" s="1"/>
  <c r="DI23" i="3"/>
  <c r="DH23" i="3"/>
  <c r="DG23" i="3"/>
  <c r="DF23" i="3"/>
  <c r="DJ23" i="3" s="1"/>
  <c r="DH6" i="3"/>
  <c r="DG6" i="3"/>
  <c r="DF6" i="3"/>
  <c r="DJ6" i="3" s="1"/>
  <c r="DI6" i="3"/>
  <c r="AO64" i="1"/>
  <c r="CS62" i="1"/>
  <c r="AB62" i="1"/>
  <c r="R62" i="1"/>
  <c r="CZ62" i="1" s="1"/>
  <c r="Y62" i="1" s="1"/>
  <c r="CQ59" i="1"/>
  <c r="P59" i="1" s="1"/>
  <c r="AD59" i="1"/>
  <c r="AB59" i="1" s="1"/>
  <c r="CQ55" i="1"/>
  <c r="CS53" i="1"/>
  <c r="R53" i="1"/>
  <c r="CS52" i="1"/>
  <c r="R52" i="1"/>
  <c r="CZ52" i="1" s="1"/>
  <c r="Y52" i="1" s="1"/>
  <c r="CQ50" i="1"/>
  <c r="P50" i="1" s="1"/>
  <c r="CP50" i="1" s="1"/>
  <c r="O50" i="1" s="1"/>
  <c r="GM50" i="1" s="1"/>
  <c r="GN50" i="1" s="1"/>
  <c r="CS48" i="1"/>
  <c r="CQ45" i="1"/>
  <c r="P45" i="1" s="1"/>
  <c r="CP45" i="1" s="1"/>
  <c r="O45" i="1" s="1"/>
  <c r="CS43" i="1"/>
  <c r="R43" i="1"/>
  <c r="CS42" i="1"/>
  <c r="R42" i="1"/>
  <c r="CZ42" i="1" s="1"/>
  <c r="Y42" i="1" s="1"/>
  <c r="CQ40" i="1"/>
  <c r="P40" i="1" s="1"/>
  <c r="R38" i="1"/>
  <c r="GX29" i="1"/>
  <c r="T29" i="1"/>
  <c r="W29" i="1"/>
  <c r="S29" i="1"/>
  <c r="CX92" i="3"/>
  <c r="CX87" i="3"/>
  <c r="CW84" i="3"/>
  <c r="CX79" i="3"/>
  <c r="CX76" i="3"/>
  <c r="CW73" i="3"/>
  <c r="CX65" i="3"/>
  <c r="CW60" i="3"/>
  <c r="CX54" i="3"/>
  <c r="CX46" i="3"/>
  <c r="CX38" i="3"/>
  <c r="CX35" i="3"/>
  <c r="Q36" i="1"/>
  <c r="AD36" i="1"/>
  <c r="AB36" i="1" s="1"/>
  <c r="CS36" i="1"/>
  <c r="DF20" i="3"/>
  <c r="DJ20" i="3" s="1"/>
  <c r="DI20" i="3"/>
  <c r="DI14" i="3"/>
  <c r="DJ14" i="3" s="1"/>
  <c r="DH14" i="3"/>
  <c r="DG14" i="3"/>
  <c r="DF14" i="3"/>
  <c r="DF8" i="3"/>
  <c r="DI8" i="3"/>
  <c r="DJ8" i="3" s="1"/>
  <c r="CG64" i="1"/>
  <c r="Q59" i="1"/>
  <c r="I54" i="1"/>
  <c r="AD47" i="1"/>
  <c r="AB47" i="1" s="1"/>
  <c r="I44" i="1"/>
  <c r="GN33" i="1"/>
  <c r="AB31" i="1"/>
  <c r="U29" i="1"/>
  <c r="P29" i="1"/>
  <c r="L68" i="13" s="1"/>
  <c r="CP28" i="1"/>
  <c r="O28" i="1" s="1"/>
  <c r="CX97" i="3"/>
  <c r="CX94" i="3"/>
  <c r="CX86" i="3"/>
  <c r="CX70" i="3"/>
  <c r="CX62" i="3"/>
  <c r="CX59" i="3"/>
  <c r="CX53" i="3"/>
  <c r="CW45" i="3"/>
  <c r="CX37" i="3"/>
  <c r="CW34" i="3"/>
  <c r="CU90" i="3"/>
  <c r="CX91" i="3"/>
  <c r="CX93" i="3"/>
  <c r="CX95" i="3"/>
  <c r="CX99" i="3"/>
  <c r="CW93" i="3"/>
  <c r="CW95" i="3"/>
  <c r="CX98" i="3"/>
  <c r="CU58" i="3"/>
  <c r="CX61" i="3"/>
  <c r="CX58" i="3"/>
  <c r="CW61" i="3"/>
  <c r="CX64" i="3"/>
  <c r="CX68" i="3"/>
  <c r="CX67" i="3"/>
  <c r="GN34" i="1"/>
  <c r="HD34" i="1"/>
  <c r="CQ32" i="1"/>
  <c r="P32" i="1" s="1"/>
  <c r="AB32" i="1"/>
  <c r="DH31" i="3"/>
  <c r="DG31" i="3"/>
  <c r="DF31" i="3"/>
  <c r="DJ31" i="3" s="1"/>
  <c r="DI31" i="3"/>
  <c r="DI25" i="3"/>
  <c r="DJ25" i="3" s="1"/>
  <c r="DH25" i="3"/>
  <c r="DG25" i="3"/>
  <c r="DF25" i="3"/>
  <c r="DI19" i="3"/>
  <c r="DH19" i="3"/>
  <c r="DG19" i="3"/>
  <c r="DF19" i="3"/>
  <c r="DJ19" i="3" s="1"/>
  <c r="DH10" i="3"/>
  <c r="DG10" i="3"/>
  <c r="DJ10" i="3" s="1"/>
  <c r="DF10" i="3"/>
  <c r="DI10" i="3"/>
  <c r="DH4" i="3"/>
  <c r="DG4" i="3"/>
  <c r="DF4" i="3"/>
  <c r="DJ4" i="3" s="1"/>
  <c r="DI4" i="3"/>
  <c r="BB64" i="1"/>
  <c r="AT64" i="1"/>
  <c r="AP64" i="1"/>
  <c r="BC64" i="1"/>
  <c r="AU64" i="1"/>
  <c r="AQ64" i="1"/>
  <c r="CS59" i="1"/>
  <c r="I55" i="1"/>
  <c r="GX55" i="1" s="1"/>
  <c r="CX96" i="3"/>
  <c r="CX88" i="3"/>
  <c r="CX75" i="3"/>
  <c r="CX72" i="3"/>
  <c r="CX69" i="3"/>
  <c r="CV58" i="3"/>
  <c r="CX55" i="3"/>
  <c r="CX50" i="3"/>
  <c r="CX42" i="3"/>
  <c r="CX39" i="3"/>
  <c r="CW36" i="3"/>
  <c r="R36" i="1"/>
  <c r="CS35" i="1"/>
  <c r="R35" i="1"/>
  <c r="R28" i="1"/>
  <c r="CX90" i="3"/>
  <c r="CX84" i="3"/>
  <c r="CX82" i="3"/>
  <c r="CX78" i="3"/>
  <c r="CX60" i="3"/>
  <c r="CX28" i="3"/>
  <c r="CX26" i="3"/>
  <c r="CX17" i="3"/>
  <c r="CX15" i="3"/>
  <c r="CW11" i="3"/>
  <c r="CU7" i="3"/>
  <c r="DF5" i="3"/>
  <c r="CX2" i="3"/>
  <c r="CX29" i="3"/>
  <c r="CW27" i="3"/>
  <c r="CX24" i="3"/>
  <c r="CX22" i="3"/>
  <c r="CX18" i="3"/>
  <c r="CW16" i="3"/>
  <c r="CX13" i="3"/>
  <c r="CX11" i="3"/>
  <c r="CX9" i="3"/>
  <c r="CV7" i="3"/>
  <c r="CW3" i="3"/>
  <c r="CU1" i="3"/>
  <c r="AD35" i="1"/>
  <c r="AB35" i="1" s="1"/>
  <c r="Q31" i="1"/>
  <c r="Q30" i="1"/>
  <c r="CW94" i="3"/>
  <c r="CW92" i="3"/>
  <c r="CW46" i="3"/>
  <c r="CW35" i="3"/>
  <c r="CX27" i="3"/>
  <c r="CX16" i="3"/>
  <c r="CW10" i="3"/>
  <c r="CX7" i="3"/>
  <c r="CX3" i="3"/>
  <c r="CV1" i="3"/>
  <c r="CS30" i="1"/>
  <c r="AZ138" i="13" l="1"/>
  <c r="L86" i="13"/>
  <c r="AT94" i="13" s="1"/>
  <c r="U160" i="13"/>
  <c r="J155" i="13"/>
  <c r="S160" i="13"/>
  <c r="J157" i="13" s="1"/>
  <c r="AO175" i="13"/>
  <c r="L203" i="13"/>
  <c r="CZ30" i="1"/>
  <c r="Y30" i="1" s="1"/>
  <c r="L74" i="13"/>
  <c r="CY30" i="1"/>
  <c r="X30" i="1" s="1"/>
  <c r="U175" i="13"/>
  <c r="J170" i="13"/>
  <c r="U81" i="13"/>
  <c r="S81" i="13"/>
  <c r="J78" i="13" s="1"/>
  <c r="J77" i="13"/>
  <c r="CZ31" i="1"/>
  <c r="Y31" i="1" s="1"/>
  <c r="L84" i="13"/>
  <c r="CY31" i="1"/>
  <c r="X31" i="1" s="1"/>
  <c r="L131" i="13"/>
  <c r="G168" i="13"/>
  <c r="J171" i="13"/>
  <c r="U94" i="13"/>
  <c r="J89" i="13"/>
  <c r="S94" i="13"/>
  <c r="J91" i="13" s="1"/>
  <c r="U145" i="13"/>
  <c r="S145" i="13"/>
  <c r="J142" i="13" s="1"/>
  <c r="V48" i="1"/>
  <c r="AR199" i="13"/>
  <c r="L196" i="13" s="1"/>
  <c r="L195" i="13"/>
  <c r="L217" i="13"/>
  <c r="BA90" i="13"/>
  <c r="CP38" i="1"/>
  <c r="O38" i="1" s="1"/>
  <c r="L132" i="13"/>
  <c r="AO145" i="13" s="1"/>
  <c r="BA186" i="13"/>
  <c r="AZ199" i="13"/>
  <c r="L197" i="13" s="1"/>
  <c r="AZ227" i="13"/>
  <c r="L225" i="13" s="1"/>
  <c r="AZ156" i="13"/>
  <c r="CY36" i="1"/>
  <c r="X36" i="1" s="1"/>
  <c r="L118" i="13"/>
  <c r="AT127" i="13" s="1"/>
  <c r="W54" i="1"/>
  <c r="BA141" i="13"/>
  <c r="AZ213" i="13"/>
  <c r="L211" i="13" s="1"/>
  <c r="GM61" i="1"/>
  <c r="GN61" i="1" s="1"/>
  <c r="BA227" i="13"/>
  <c r="L226" i="13" s="1"/>
  <c r="BA156" i="13"/>
  <c r="CZ28" i="1"/>
  <c r="Y28" i="1" s="1"/>
  <c r="L64" i="13"/>
  <c r="AT72" i="13" s="1"/>
  <c r="CP32" i="1"/>
  <c r="O32" i="1" s="1"/>
  <c r="L90" i="13"/>
  <c r="DG8" i="3"/>
  <c r="DG20" i="3"/>
  <c r="L117" i="13"/>
  <c r="CZ53" i="1"/>
  <c r="Y53" i="1" s="1"/>
  <c r="L181" i="13"/>
  <c r="AT190" i="13" s="1"/>
  <c r="L119" i="13"/>
  <c r="AW127" i="13" s="1"/>
  <c r="CP43" i="1"/>
  <c r="O43" i="1" s="1"/>
  <c r="L150" i="13"/>
  <c r="BA138" i="13"/>
  <c r="BA213" i="13"/>
  <c r="L212" i="13" s="1"/>
  <c r="GM41" i="1"/>
  <c r="GN41" i="1" s="1"/>
  <c r="AZ140" i="13"/>
  <c r="AZ175" i="13"/>
  <c r="T32" i="9"/>
  <c r="T48" i="1"/>
  <c r="U127" i="13"/>
  <c r="J122" i="13"/>
  <c r="AA138" i="13"/>
  <c r="O138" i="13"/>
  <c r="BH138" i="13"/>
  <c r="Q40" i="1"/>
  <c r="CP40" i="1" s="1"/>
  <c r="O40" i="1" s="1"/>
  <c r="G139" i="13"/>
  <c r="R40" i="1"/>
  <c r="AE139" i="13"/>
  <c r="J158" i="13"/>
  <c r="P48" i="1"/>
  <c r="L171" i="13" s="1"/>
  <c r="M32" i="9"/>
  <c r="T40" i="1"/>
  <c r="AW156" i="13"/>
  <c r="AN156" i="13"/>
  <c r="J279" i="13"/>
  <c r="J70" i="13"/>
  <c r="W40" i="1"/>
  <c r="AA156" i="13"/>
  <c r="BH156" i="13"/>
  <c r="O156" i="13"/>
  <c r="R60" i="9"/>
  <c r="T64" i="9"/>
  <c r="L204" i="13"/>
  <c r="AO213" i="13" s="1"/>
  <c r="L219" i="13"/>
  <c r="AT227" i="13" s="1"/>
  <c r="BH227" i="13"/>
  <c r="U40" i="1"/>
  <c r="CP53" i="1"/>
  <c r="O53" i="1" s="1"/>
  <c r="L180" i="13"/>
  <c r="GM45" i="1"/>
  <c r="GN45" i="1" s="1"/>
  <c r="CP35" i="1"/>
  <c r="O35" i="1" s="1"/>
  <c r="GM35" i="1" s="1"/>
  <c r="GN35" i="1" s="1"/>
  <c r="L105" i="13"/>
  <c r="GM57" i="1"/>
  <c r="GN57" i="1" s="1"/>
  <c r="BA199" i="13"/>
  <c r="L198" i="13" s="1"/>
  <c r="GM49" i="1"/>
  <c r="GN49" i="1" s="1"/>
  <c r="CP31" i="1"/>
  <c r="O31" i="1" s="1"/>
  <c r="GM31" i="1" s="1"/>
  <c r="GN31" i="1" s="1"/>
  <c r="L85" i="13"/>
  <c r="AO94" i="13" s="1"/>
  <c r="CY35" i="1"/>
  <c r="X35" i="1" s="1"/>
  <c r="L104" i="13"/>
  <c r="AT112" i="13" s="1"/>
  <c r="L109" i="13" s="1"/>
  <c r="CM64" i="1"/>
  <c r="L97" i="13"/>
  <c r="AW68" i="13"/>
  <c r="AN68" i="13"/>
  <c r="GX44" i="1"/>
  <c r="CZ38" i="1"/>
  <c r="Y38" i="1" s="1"/>
  <c r="L133" i="13"/>
  <c r="AT145" i="13" s="1"/>
  <c r="CZ43" i="1"/>
  <c r="Y43" i="1" s="1"/>
  <c r="L151" i="13"/>
  <c r="AT160" i="13" s="1"/>
  <c r="AZ90" i="13"/>
  <c r="AZ186" i="13"/>
  <c r="GM46" i="1"/>
  <c r="GN46" i="1" s="1"/>
  <c r="BA140" i="13"/>
  <c r="BA175" i="13"/>
  <c r="L187" i="13"/>
  <c r="I96" i="13"/>
  <c r="AF96" i="13"/>
  <c r="G171" i="13"/>
  <c r="I60" i="9"/>
  <c r="G87" i="13"/>
  <c r="J348" i="13"/>
  <c r="J125" i="13"/>
  <c r="J159" i="13"/>
  <c r="CP56" i="1"/>
  <c r="O56" i="1" s="1"/>
  <c r="L186" i="13"/>
  <c r="CP58" i="1"/>
  <c r="O58" i="1" s="1"/>
  <c r="GM58" i="1" s="1"/>
  <c r="GN58" i="1" s="1"/>
  <c r="L206" i="13"/>
  <c r="AW213" i="13" s="1"/>
  <c r="L116" i="13"/>
  <c r="AA123" i="13"/>
  <c r="BH123" i="13"/>
  <c r="O123" i="13"/>
  <c r="M60" i="9"/>
  <c r="J71" i="13"/>
  <c r="O72" i="13" s="1"/>
  <c r="R64" i="9"/>
  <c r="U48" i="1"/>
  <c r="AW123" i="13"/>
  <c r="AN123" i="13"/>
  <c r="S48" i="1"/>
  <c r="CZ48" i="1" s="1"/>
  <c r="Y48" i="1" s="1"/>
  <c r="W48" i="1"/>
  <c r="L139" i="13"/>
  <c r="AA140" i="13"/>
  <c r="O140" i="13"/>
  <c r="BH140" i="13"/>
  <c r="AD171" i="13"/>
  <c r="CP61" i="1"/>
  <c r="O61" i="1" s="1"/>
  <c r="L220" i="13"/>
  <c r="AW227" i="13" s="1"/>
  <c r="J126" i="13"/>
  <c r="CP39" i="1"/>
  <c r="O39" i="1" s="1"/>
  <c r="L138" i="13"/>
  <c r="L152" i="13"/>
  <c r="AW160" i="13" s="1"/>
  <c r="L164" i="13"/>
  <c r="U190" i="13"/>
  <c r="S190" i="13"/>
  <c r="J187" i="13" s="1"/>
  <c r="AR72" i="13"/>
  <c r="L69" i="13" s="1"/>
  <c r="L67" i="13"/>
  <c r="AA90" i="13"/>
  <c r="BH90" i="13"/>
  <c r="O90" i="13"/>
  <c r="U112" i="13"/>
  <c r="S112" i="13"/>
  <c r="J109" i="13" s="1"/>
  <c r="J108" i="13"/>
  <c r="L167" i="13"/>
  <c r="AW175" i="13" s="1"/>
  <c r="O98" i="13"/>
  <c r="I98" i="13"/>
  <c r="J139" i="13"/>
  <c r="Q51" i="1"/>
  <c r="CP51" i="1" s="1"/>
  <c r="O51" i="1" s="1"/>
  <c r="R51" i="1"/>
  <c r="V40" i="1"/>
  <c r="GX51" i="1"/>
  <c r="L157" i="13"/>
  <c r="V51" i="1"/>
  <c r="J307" i="13"/>
  <c r="J354" i="13" s="1"/>
  <c r="J311" i="13"/>
  <c r="J69" i="13"/>
  <c r="J278" i="13"/>
  <c r="DI3" i="3"/>
  <c r="DH3" i="3"/>
  <c r="DG3" i="3"/>
  <c r="DJ3" i="3" s="1"/>
  <c r="DF3" i="3"/>
  <c r="DI27" i="3"/>
  <c r="DH27" i="3"/>
  <c r="DG27" i="3"/>
  <c r="DJ27" i="3" s="1"/>
  <c r="DF27" i="3"/>
  <c r="DF11" i="3"/>
  <c r="DI11" i="3"/>
  <c r="DH11" i="3"/>
  <c r="DG11" i="3"/>
  <c r="DJ11" i="3" s="1"/>
  <c r="DF22" i="3"/>
  <c r="DJ22" i="3" s="1"/>
  <c r="DI22" i="3"/>
  <c r="DH22" i="3"/>
  <c r="DG22" i="3"/>
  <c r="DG2" i="3"/>
  <c r="DF2" i="3"/>
  <c r="DI2" i="3"/>
  <c r="DJ2" i="3" s="1"/>
  <c r="DH2" i="3"/>
  <c r="DG15" i="3"/>
  <c r="DJ15" i="3" s="1"/>
  <c r="DF15" i="3"/>
  <c r="DI15" i="3"/>
  <c r="DH15" i="3"/>
  <c r="DG60" i="3"/>
  <c r="DJ60" i="3" s="1"/>
  <c r="DF60" i="3"/>
  <c r="DI60" i="3"/>
  <c r="DH60" i="3"/>
  <c r="DG90" i="3"/>
  <c r="DF90" i="3"/>
  <c r="DI90" i="3"/>
  <c r="DJ90" i="3" s="1"/>
  <c r="DH90" i="3"/>
  <c r="DH50" i="3"/>
  <c r="DG50" i="3"/>
  <c r="DF50" i="3"/>
  <c r="DJ50" i="3" s="1"/>
  <c r="DI50" i="3"/>
  <c r="DH72" i="3"/>
  <c r="DG72" i="3"/>
  <c r="DF72" i="3"/>
  <c r="DI72" i="3"/>
  <c r="DJ72" i="3" s="1"/>
  <c r="AU26" i="1"/>
  <c r="F83" i="1"/>
  <c r="AU94" i="1"/>
  <c r="BB26" i="1"/>
  <c r="F77" i="1"/>
  <c r="BB94" i="1"/>
  <c r="DF68" i="3"/>
  <c r="DJ68" i="3" s="1"/>
  <c r="DI68" i="3"/>
  <c r="DH68" i="3"/>
  <c r="DG68" i="3"/>
  <c r="DI61" i="3"/>
  <c r="DH61" i="3"/>
  <c r="DG61" i="3"/>
  <c r="DJ61" i="3" s="1"/>
  <c r="DF61" i="3"/>
  <c r="DF91" i="3"/>
  <c r="DI91" i="3"/>
  <c r="DJ91" i="3" s="1"/>
  <c r="DH91" i="3"/>
  <c r="DG91" i="3"/>
  <c r="DH70" i="3"/>
  <c r="DG70" i="3"/>
  <c r="DF70" i="3"/>
  <c r="DJ70" i="3" s="1"/>
  <c r="DI70" i="3"/>
  <c r="DH54" i="3"/>
  <c r="DG54" i="3"/>
  <c r="DF54" i="3"/>
  <c r="DJ54" i="3" s="1"/>
  <c r="DI54" i="3"/>
  <c r="DG76" i="3"/>
  <c r="DF76" i="3"/>
  <c r="DJ76" i="3" s="1"/>
  <c r="DI76" i="3"/>
  <c r="DH76" i="3"/>
  <c r="DH92" i="3"/>
  <c r="DG92" i="3"/>
  <c r="DJ92" i="3" s="1"/>
  <c r="DF92" i="3"/>
  <c r="DI92" i="3"/>
  <c r="AO26" i="1"/>
  <c r="F68" i="1"/>
  <c r="AO94" i="1"/>
  <c r="DI81" i="3"/>
  <c r="DH81" i="3"/>
  <c r="DG81" i="3"/>
  <c r="DJ81" i="3" s="1"/>
  <c r="DF81" i="3"/>
  <c r="DH44" i="3"/>
  <c r="DG44" i="3"/>
  <c r="DF44" i="3"/>
  <c r="DI44" i="3"/>
  <c r="DJ44" i="3" s="1"/>
  <c r="DH66" i="3"/>
  <c r="DG66" i="3"/>
  <c r="DF66" i="3"/>
  <c r="DJ66" i="3" s="1"/>
  <c r="DI66" i="3"/>
  <c r="DF40" i="3"/>
  <c r="DJ40" i="3" s="1"/>
  <c r="DI40" i="3"/>
  <c r="DH40" i="3"/>
  <c r="DG40" i="3"/>
  <c r="DI32" i="3"/>
  <c r="DJ32" i="3" s="1"/>
  <c r="DH32" i="3"/>
  <c r="DG32" i="3"/>
  <c r="DF32" i="3"/>
  <c r="DF56" i="3"/>
  <c r="DJ56" i="3" s="1"/>
  <c r="DI56" i="3"/>
  <c r="DH56" i="3"/>
  <c r="DG56" i="3"/>
  <c r="DF73" i="3"/>
  <c r="DI73" i="3"/>
  <c r="DH73" i="3"/>
  <c r="DG73" i="3"/>
  <c r="DJ73" i="3" s="1"/>
  <c r="CP59" i="1"/>
  <c r="O59" i="1" s="1"/>
  <c r="GM59" i="1" s="1"/>
  <c r="GN59" i="1" s="1"/>
  <c r="CP36" i="1"/>
  <c r="O36" i="1" s="1"/>
  <c r="T55" i="1"/>
  <c r="CY43" i="1"/>
  <c r="X43" i="1" s="1"/>
  <c r="CY48" i="1"/>
  <c r="X48" i="1" s="1"/>
  <c r="CZ36" i="1"/>
  <c r="Y36" i="1" s="1"/>
  <c r="V44" i="1"/>
  <c r="W55" i="1"/>
  <c r="CY42" i="1"/>
  <c r="X42" i="1" s="1"/>
  <c r="DI16" i="3"/>
  <c r="DH16" i="3"/>
  <c r="DG16" i="3"/>
  <c r="DJ16" i="3" s="1"/>
  <c r="DF16" i="3"/>
  <c r="DF9" i="3"/>
  <c r="DI9" i="3"/>
  <c r="DH9" i="3"/>
  <c r="DG9" i="3"/>
  <c r="DJ9" i="3" s="1"/>
  <c r="DF18" i="3"/>
  <c r="DJ18" i="3" s="1"/>
  <c r="DI18" i="3"/>
  <c r="DH18" i="3"/>
  <c r="DG18" i="3"/>
  <c r="DF29" i="3"/>
  <c r="DJ29" i="3" s="1"/>
  <c r="DI29" i="3"/>
  <c r="DH29" i="3"/>
  <c r="DG29" i="3"/>
  <c r="DG28" i="3"/>
  <c r="DJ28" i="3" s="1"/>
  <c r="DF28" i="3"/>
  <c r="DI28" i="3"/>
  <c r="DH28" i="3"/>
  <c r="DG84" i="3"/>
  <c r="DJ84" i="3" s="1"/>
  <c r="DF84" i="3"/>
  <c r="DI84" i="3"/>
  <c r="DH84" i="3"/>
  <c r="DH42" i="3"/>
  <c r="DG42" i="3"/>
  <c r="DF42" i="3"/>
  <c r="DJ42" i="3" s="1"/>
  <c r="DI42" i="3"/>
  <c r="DI69" i="3"/>
  <c r="DH69" i="3"/>
  <c r="DG69" i="3"/>
  <c r="DF69" i="3"/>
  <c r="DJ69" i="3" s="1"/>
  <c r="DI96" i="3"/>
  <c r="DH96" i="3"/>
  <c r="DG96" i="3"/>
  <c r="DF96" i="3"/>
  <c r="DJ96" i="3" s="1"/>
  <c r="AQ26" i="1"/>
  <c r="AQ94" i="1"/>
  <c r="F74" i="1"/>
  <c r="AT26" i="1"/>
  <c r="F82" i="1"/>
  <c r="AT94" i="1"/>
  <c r="CM26" i="1"/>
  <c r="BD64" i="1"/>
  <c r="DG67" i="3"/>
  <c r="DF67" i="3"/>
  <c r="DJ67" i="3" s="1"/>
  <c r="DI67" i="3"/>
  <c r="DH67" i="3"/>
  <c r="DF58" i="3"/>
  <c r="DI58" i="3"/>
  <c r="DJ58" i="3" s="1"/>
  <c r="DH58" i="3"/>
  <c r="DG58" i="3"/>
  <c r="DF93" i="3"/>
  <c r="DI93" i="3"/>
  <c r="DH93" i="3"/>
  <c r="DG93" i="3"/>
  <c r="DJ93" i="3" s="1"/>
  <c r="DI37" i="3"/>
  <c r="DH37" i="3"/>
  <c r="DG37" i="3"/>
  <c r="DF37" i="3"/>
  <c r="DJ37" i="3" s="1"/>
  <c r="DH62" i="3"/>
  <c r="DG62" i="3"/>
  <c r="DF62" i="3"/>
  <c r="DJ62" i="3" s="1"/>
  <c r="DI62" i="3"/>
  <c r="DH97" i="3"/>
  <c r="DG97" i="3"/>
  <c r="DF97" i="3"/>
  <c r="DJ97" i="3" s="1"/>
  <c r="DI97" i="3"/>
  <c r="R54" i="1"/>
  <c r="Q54" i="1"/>
  <c r="DH46" i="3"/>
  <c r="DG46" i="3"/>
  <c r="DJ46" i="3" s="1"/>
  <c r="DF46" i="3"/>
  <c r="DI46" i="3"/>
  <c r="DH87" i="3"/>
  <c r="DG87" i="3"/>
  <c r="DF87" i="3"/>
  <c r="DJ87" i="3" s="1"/>
  <c r="DI87" i="3"/>
  <c r="DF85" i="3"/>
  <c r="DJ85" i="3" s="1"/>
  <c r="DI85" i="3"/>
  <c r="DH85" i="3"/>
  <c r="DG85" i="3"/>
  <c r="DI83" i="3"/>
  <c r="DH83" i="3"/>
  <c r="DG83" i="3"/>
  <c r="DJ83" i="3" s="1"/>
  <c r="DF83" i="3"/>
  <c r="DI41" i="3"/>
  <c r="DH41" i="3"/>
  <c r="DG41" i="3"/>
  <c r="DF41" i="3"/>
  <c r="DJ41" i="3" s="1"/>
  <c r="DG63" i="3"/>
  <c r="DF63" i="3"/>
  <c r="DJ63" i="3" s="1"/>
  <c r="DI63" i="3"/>
  <c r="DH63" i="3"/>
  <c r="DF45" i="3"/>
  <c r="DI45" i="3"/>
  <c r="DH45" i="3"/>
  <c r="DG45" i="3"/>
  <c r="DJ45" i="3" s="1"/>
  <c r="DF77" i="3"/>
  <c r="DJ77" i="3" s="1"/>
  <c r="DI77" i="3"/>
  <c r="DH77" i="3"/>
  <c r="DG77" i="3"/>
  <c r="GX54" i="1"/>
  <c r="CJ64" i="1" s="1"/>
  <c r="W44" i="1"/>
  <c r="S55" i="1"/>
  <c r="CY38" i="1"/>
  <c r="X38" i="1" s="1"/>
  <c r="CY52" i="1"/>
  <c r="X52" i="1" s="1"/>
  <c r="GM52" i="1" s="1"/>
  <c r="GN52" i="1" s="1"/>
  <c r="U44" i="1"/>
  <c r="T54" i="1"/>
  <c r="DG26" i="3"/>
  <c r="DJ26" i="3" s="1"/>
  <c r="DF26" i="3"/>
  <c r="DI26" i="3"/>
  <c r="DH26" i="3"/>
  <c r="DG82" i="3"/>
  <c r="DJ82" i="3" s="1"/>
  <c r="DF82" i="3"/>
  <c r="DI82" i="3"/>
  <c r="DH82" i="3"/>
  <c r="DG39" i="3"/>
  <c r="DF39" i="3"/>
  <c r="DJ39" i="3" s="1"/>
  <c r="DI39" i="3"/>
  <c r="DH39" i="3"/>
  <c r="DG88" i="3"/>
  <c r="DF88" i="3"/>
  <c r="DJ88" i="3" s="1"/>
  <c r="DI88" i="3"/>
  <c r="DH88" i="3"/>
  <c r="AP26" i="1"/>
  <c r="AP94" i="1"/>
  <c r="F73" i="1"/>
  <c r="DG98" i="3"/>
  <c r="DF98" i="3"/>
  <c r="DJ98" i="3" s="1"/>
  <c r="DI98" i="3"/>
  <c r="DH98" i="3"/>
  <c r="DF95" i="3"/>
  <c r="DI95" i="3"/>
  <c r="DH95" i="3"/>
  <c r="DG95" i="3"/>
  <c r="DJ95" i="3" s="1"/>
  <c r="DI59" i="3"/>
  <c r="DJ59" i="3" s="1"/>
  <c r="DH59" i="3"/>
  <c r="DG59" i="3"/>
  <c r="DF59" i="3"/>
  <c r="DH94" i="3"/>
  <c r="DG94" i="3"/>
  <c r="DJ94" i="3" s="1"/>
  <c r="DF94" i="3"/>
  <c r="DI94" i="3"/>
  <c r="DH38" i="3"/>
  <c r="DG38" i="3"/>
  <c r="DF38" i="3"/>
  <c r="DJ38" i="3" s="1"/>
  <c r="DI38" i="3"/>
  <c r="DI65" i="3"/>
  <c r="DH65" i="3"/>
  <c r="DG65" i="3"/>
  <c r="DF65" i="3"/>
  <c r="DJ65" i="3" s="1"/>
  <c r="DF89" i="3"/>
  <c r="DJ89" i="3" s="1"/>
  <c r="DI89" i="3"/>
  <c r="DH89" i="3"/>
  <c r="DG89" i="3"/>
  <c r="DH33" i="3"/>
  <c r="DG33" i="3"/>
  <c r="DF33" i="3"/>
  <c r="DI33" i="3"/>
  <c r="DJ33" i="3" s="1"/>
  <c r="DI57" i="3"/>
  <c r="DH57" i="3"/>
  <c r="DG57" i="3"/>
  <c r="DF57" i="3"/>
  <c r="DJ57" i="3" s="1"/>
  <c r="CI26" i="1"/>
  <c r="AZ64" i="1"/>
  <c r="DF34" i="3"/>
  <c r="DI34" i="3"/>
  <c r="DH34" i="3"/>
  <c r="DG34" i="3"/>
  <c r="DJ34" i="3" s="1"/>
  <c r="DG47" i="3"/>
  <c r="DF47" i="3"/>
  <c r="DJ47" i="3" s="1"/>
  <c r="DI47" i="3"/>
  <c r="DH47" i="3"/>
  <c r="DF48" i="3"/>
  <c r="DJ48" i="3" s="1"/>
  <c r="DI48" i="3"/>
  <c r="DH48" i="3"/>
  <c r="DG48" i="3"/>
  <c r="DI71" i="3"/>
  <c r="DJ71" i="3" s="1"/>
  <c r="DH71" i="3"/>
  <c r="DG71" i="3"/>
  <c r="DF71" i="3"/>
  <c r="CZ35" i="1"/>
  <c r="Y35" i="1" s="1"/>
  <c r="AJ64" i="1"/>
  <c r="P55" i="1"/>
  <c r="T44" i="1"/>
  <c r="AG64" i="1" s="1"/>
  <c r="S54" i="1"/>
  <c r="CY53" i="1"/>
  <c r="X53" i="1" s="1"/>
  <c r="CY62" i="1"/>
  <c r="X62" i="1" s="1"/>
  <c r="GM62" i="1" s="1"/>
  <c r="GN62" i="1" s="1"/>
  <c r="V54" i="1"/>
  <c r="P54" i="1"/>
  <c r="CP54" i="1" s="1"/>
  <c r="O54" i="1" s="1"/>
  <c r="DI7" i="3"/>
  <c r="DJ7" i="3" s="1"/>
  <c r="DH7" i="3"/>
  <c r="DG7" i="3"/>
  <c r="DF7" i="3"/>
  <c r="DF13" i="3"/>
  <c r="DI13" i="3"/>
  <c r="DJ13" i="3" s="1"/>
  <c r="DH13" i="3"/>
  <c r="DG13" i="3"/>
  <c r="DF24" i="3"/>
  <c r="DI24" i="3"/>
  <c r="DJ24" i="3" s="1"/>
  <c r="DH24" i="3"/>
  <c r="DG24" i="3"/>
  <c r="DG17" i="3"/>
  <c r="DJ17" i="3" s="1"/>
  <c r="DF17" i="3"/>
  <c r="DI17" i="3"/>
  <c r="DH17" i="3"/>
  <c r="DG78" i="3"/>
  <c r="DF78" i="3"/>
  <c r="DI78" i="3"/>
  <c r="DJ78" i="3" s="1"/>
  <c r="DH78" i="3"/>
  <c r="DG55" i="3"/>
  <c r="DF55" i="3"/>
  <c r="DJ55" i="3" s="1"/>
  <c r="DI55" i="3"/>
  <c r="DH55" i="3"/>
  <c r="DH75" i="3"/>
  <c r="DG75" i="3"/>
  <c r="DF75" i="3"/>
  <c r="DJ75" i="3" s="1"/>
  <c r="DI75" i="3"/>
  <c r="R55" i="1"/>
  <c r="Q55" i="1"/>
  <c r="BC26" i="1"/>
  <c r="F80" i="1"/>
  <c r="BC94" i="1"/>
  <c r="DF64" i="3"/>
  <c r="DJ64" i="3" s="1"/>
  <c r="DI64" i="3"/>
  <c r="DH64" i="3"/>
  <c r="DG64" i="3"/>
  <c r="DF99" i="3"/>
  <c r="DJ99" i="3" s="1"/>
  <c r="DI99" i="3"/>
  <c r="DH99" i="3"/>
  <c r="DG99" i="3"/>
  <c r="DI53" i="3"/>
  <c r="DH53" i="3"/>
  <c r="DG53" i="3"/>
  <c r="DF53" i="3"/>
  <c r="DJ53" i="3" s="1"/>
  <c r="DI86" i="3"/>
  <c r="DH86" i="3"/>
  <c r="DG86" i="3"/>
  <c r="DF86" i="3"/>
  <c r="DJ86" i="3" s="1"/>
  <c r="CP29" i="1"/>
  <c r="O29" i="1" s="1"/>
  <c r="R44" i="1"/>
  <c r="Q44" i="1"/>
  <c r="AD64" i="1" s="1"/>
  <c r="CG26" i="1"/>
  <c r="AX64" i="1"/>
  <c r="DH35" i="3"/>
  <c r="DG35" i="3"/>
  <c r="DJ35" i="3" s="1"/>
  <c r="DF35" i="3"/>
  <c r="DI35" i="3"/>
  <c r="DH79" i="3"/>
  <c r="DG79" i="3"/>
  <c r="DF79" i="3"/>
  <c r="DI79" i="3"/>
  <c r="DJ79" i="3" s="1"/>
  <c r="CY29" i="1"/>
  <c r="X29" i="1" s="1"/>
  <c r="CZ29" i="1"/>
  <c r="Y29" i="1" s="1"/>
  <c r="DG80" i="3"/>
  <c r="DF80" i="3"/>
  <c r="DI80" i="3"/>
  <c r="DJ80" i="3" s="1"/>
  <c r="DH80" i="3"/>
  <c r="DI49" i="3"/>
  <c r="DH49" i="3"/>
  <c r="DG49" i="3"/>
  <c r="DF49" i="3"/>
  <c r="DJ49" i="3" s="1"/>
  <c r="DI74" i="3"/>
  <c r="DH74" i="3"/>
  <c r="DG74" i="3"/>
  <c r="DF74" i="3"/>
  <c r="DJ74" i="3" s="1"/>
  <c r="CY37" i="1"/>
  <c r="X37" i="1" s="1"/>
  <c r="CZ37" i="1"/>
  <c r="Y37" i="1" s="1"/>
  <c r="DF36" i="3"/>
  <c r="DI36" i="3"/>
  <c r="DH36" i="3"/>
  <c r="DG36" i="3"/>
  <c r="DJ36" i="3" s="1"/>
  <c r="DG51" i="3"/>
  <c r="DF51" i="3"/>
  <c r="DJ51" i="3" s="1"/>
  <c r="DI51" i="3"/>
  <c r="DH51" i="3"/>
  <c r="DF52" i="3"/>
  <c r="DJ52" i="3" s="1"/>
  <c r="DI52" i="3"/>
  <c r="DH52" i="3"/>
  <c r="DG52" i="3"/>
  <c r="DI43" i="3"/>
  <c r="DJ43" i="3" s="1"/>
  <c r="DH43" i="3"/>
  <c r="DG43" i="3"/>
  <c r="DF43" i="3"/>
  <c r="AE64" i="1"/>
  <c r="CY28" i="1"/>
  <c r="X28" i="1" s="1"/>
  <c r="P44" i="1"/>
  <c r="V55" i="1"/>
  <c r="CP30" i="1"/>
  <c r="O30" i="1" s="1"/>
  <c r="GM30" i="1" s="1"/>
  <c r="GN30" i="1" s="1"/>
  <c r="S44" i="1"/>
  <c r="U55" i="1"/>
  <c r="U54" i="1"/>
  <c r="BA171" i="13" l="1"/>
  <c r="AH64" i="1"/>
  <c r="AH26" i="1" s="1"/>
  <c r="AZ68" i="13"/>
  <c r="GM43" i="1"/>
  <c r="GN43" i="1" s="1"/>
  <c r="AZ160" i="13"/>
  <c r="AR175" i="13"/>
  <c r="L172" i="13" s="1"/>
  <c r="K175" i="13"/>
  <c r="AN138" i="13"/>
  <c r="AW138" i="13"/>
  <c r="AO190" i="13"/>
  <c r="L185" i="13"/>
  <c r="J245" i="13"/>
  <c r="J280" i="13"/>
  <c r="J349" i="13"/>
  <c r="AR81" i="13"/>
  <c r="L77" i="13"/>
  <c r="K81" i="13"/>
  <c r="J231" i="13"/>
  <c r="J266" i="13"/>
  <c r="BH139" i="13"/>
  <c r="AA139" i="13"/>
  <c r="J240" i="13" s="1"/>
  <c r="J238" i="13" s="1"/>
  <c r="J229" i="13" s="1"/>
  <c r="J252" i="13" s="1"/>
  <c r="O139" i="13"/>
  <c r="AR127" i="13"/>
  <c r="L124" i="13" s="1"/>
  <c r="AN186" i="13"/>
  <c r="AW186" i="13"/>
  <c r="K98" i="13"/>
  <c r="BB98" i="13"/>
  <c r="AN98" i="13"/>
  <c r="AZ112" i="13"/>
  <c r="L110" i="13" s="1"/>
  <c r="CP48" i="1"/>
  <c r="O48" i="1" s="1"/>
  <c r="CY40" i="1"/>
  <c r="X40" i="1" s="1"/>
  <c r="GM40" i="1" s="1"/>
  <c r="GN40" i="1" s="1"/>
  <c r="CZ40" i="1"/>
  <c r="Y40" i="1" s="1"/>
  <c r="BA190" i="13"/>
  <c r="L189" i="13" s="1"/>
  <c r="L271" i="13"/>
  <c r="L236" i="13"/>
  <c r="L340" i="13"/>
  <c r="L159" i="13"/>
  <c r="AA171" i="13"/>
  <c r="BH171" i="13"/>
  <c r="O171" i="13"/>
  <c r="AR94" i="13"/>
  <c r="L91" i="13" s="1"/>
  <c r="L89" i="13"/>
  <c r="BA81" i="13"/>
  <c r="L80" i="13" s="1"/>
  <c r="L170" i="13"/>
  <c r="GM39" i="1"/>
  <c r="GN39" i="1" s="1"/>
  <c r="BA112" i="13"/>
  <c r="L111" i="13" s="1"/>
  <c r="L174" i="13"/>
  <c r="BA160" i="13"/>
  <c r="AC64" i="1"/>
  <c r="BA123" i="13"/>
  <c r="GM38" i="1"/>
  <c r="GN38" i="1" s="1"/>
  <c r="AZ145" i="13"/>
  <c r="AF64" i="1"/>
  <c r="S64" i="1" s="1"/>
  <c r="AZ72" i="13"/>
  <c r="GM37" i="1"/>
  <c r="GN37" i="1" s="1"/>
  <c r="AZ123" i="13"/>
  <c r="L125" i="13" s="1"/>
  <c r="GM53" i="1"/>
  <c r="GN53" i="1" s="1"/>
  <c r="AZ190" i="13"/>
  <c r="L188" i="13" s="1"/>
  <c r="BA127" i="13"/>
  <c r="J243" i="13"/>
  <c r="J347" i="13"/>
  <c r="CZ51" i="1"/>
  <c r="Y51" i="1" s="1"/>
  <c r="CY51" i="1"/>
  <c r="X51" i="1" s="1"/>
  <c r="GM51" i="1" s="1"/>
  <c r="GN51" i="1" s="1"/>
  <c r="AW139" i="13"/>
  <c r="AN139" i="13"/>
  <c r="J346" i="13"/>
  <c r="J242" i="13"/>
  <c r="J277" i="13"/>
  <c r="AW171" i="13"/>
  <c r="AN171" i="13"/>
  <c r="AW90" i="13"/>
  <c r="L275" i="13" s="1"/>
  <c r="L273" i="13" s="1"/>
  <c r="AN90" i="13"/>
  <c r="BA72" i="13"/>
  <c r="L158" i="13"/>
  <c r="AN160" i="13" s="1"/>
  <c r="AN199" i="13"/>
  <c r="K199" i="13"/>
  <c r="L137" i="13"/>
  <c r="AR145" i="13"/>
  <c r="L142" i="13" s="1"/>
  <c r="BA94" i="13"/>
  <c r="L93" i="13" s="1"/>
  <c r="AZ81" i="13"/>
  <c r="L79" i="13" s="1"/>
  <c r="AN81" i="13" s="1"/>
  <c r="BA68" i="13"/>
  <c r="GM42" i="1"/>
  <c r="GN42" i="1" s="1"/>
  <c r="AZ141" i="13"/>
  <c r="GM48" i="1"/>
  <c r="GN48" i="1" s="1"/>
  <c r="AZ171" i="13"/>
  <c r="L173" i="13" s="1"/>
  <c r="AN175" i="13" s="1"/>
  <c r="J46" i="13"/>
  <c r="J335" i="13"/>
  <c r="J173" i="13"/>
  <c r="J244" i="13"/>
  <c r="O127" i="13"/>
  <c r="I127" i="13"/>
  <c r="T60" i="9"/>
  <c r="O60" i="9"/>
  <c r="GM56" i="1"/>
  <c r="GN56" i="1" s="1"/>
  <c r="BA145" i="13"/>
  <c r="AW112" i="13"/>
  <c r="L108" i="13"/>
  <c r="K112" i="13"/>
  <c r="I72" i="13"/>
  <c r="BH72" i="13"/>
  <c r="I160" i="13"/>
  <c r="BH160" i="13"/>
  <c r="O160" i="13"/>
  <c r="BH127" i="13"/>
  <c r="J144" i="13"/>
  <c r="L155" i="13"/>
  <c r="AO160" i="13"/>
  <c r="L122" i="13"/>
  <c r="AO127" i="13"/>
  <c r="GM32" i="1"/>
  <c r="GN32" i="1" s="1"/>
  <c r="AZ127" i="13"/>
  <c r="AR227" i="13"/>
  <c r="L224" i="13" s="1"/>
  <c r="L223" i="13"/>
  <c r="K227" i="13"/>
  <c r="AN227" i="13"/>
  <c r="AZ94" i="13"/>
  <c r="L92" i="13" s="1"/>
  <c r="AR213" i="13"/>
  <c r="L210" i="13" s="1"/>
  <c r="AN213" i="13"/>
  <c r="L209" i="13"/>
  <c r="K213" i="13"/>
  <c r="AG26" i="1"/>
  <c r="T64" i="1"/>
  <c r="CJ26" i="1"/>
  <c r="BA64" i="1"/>
  <c r="AF26" i="1"/>
  <c r="AC26" i="1"/>
  <c r="CH64" i="1"/>
  <c r="CF64" i="1"/>
  <c r="P64" i="1"/>
  <c r="CE64" i="1"/>
  <c r="AP22" i="1"/>
  <c r="F103" i="1"/>
  <c r="AP126" i="1"/>
  <c r="BD26" i="1"/>
  <c r="BD94" i="1"/>
  <c r="F89" i="1"/>
  <c r="GM29" i="1"/>
  <c r="GN29" i="1" s="1"/>
  <c r="AE26" i="1"/>
  <c r="R64" i="1"/>
  <c r="CZ44" i="1"/>
  <c r="Y44" i="1" s="1"/>
  <c r="CY44" i="1"/>
  <c r="X44" i="1" s="1"/>
  <c r="AX26" i="1"/>
  <c r="AX94" i="1"/>
  <c r="F71" i="1"/>
  <c r="BB22" i="1"/>
  <c r="F107" i="1"/>
  <c r="BB126" i="1"/>
  <c r="GM36" i="1"/>
  <c r="GN36" i="1" s="1"/>
  <c r="CZ54" i="1"/>
  <c r="Y54" i="1" s="1"/>
  <c r="CY54" i="1"/>
  <c r="X54" i="1" s="1"/>
  <c r="AJ26" i="1"/>
  <c r="W64" i="1"/>
  <c r="CZ55" i="1"/>
  <c r="Y55" i="1" s="1"/>
  <c r="CY55" i="1"/>
  <c r="X55" i="1" s="1"/>
  <c r="AT22" i="1"/>
  <c r="AT126" i="1"/>
  <c r="F112" i="1"/>
  <c r="AQ22" i="1"/>
  <c r="AQ126" i="1"/>
  <c r="F104" i="1"/>
  <c r="AO22" i="1"/>
  <c r="AO126" i="1"/>
  <c r="F98" i="1"/>
  <c r="AU22" i="1"/>
  <c r="AU126" i="1"/>
  <c r="F113" i="1"/>
  <c r="CP44" i="1"/>
  <c r="O44" i="1" s="1"/>
  <c r="AI64" i="1"/>
  <c r="GM28" i="1"/>
  <c r="AD26" i="1"/>
  <c r="Q64" i="1"/>
  <c r="BC22" i="1"/>
  <c r="BC126" i="1"/>
  <c r="F110" i="1"/>
  <c r="AZ26" i="1"/>
  <c r="AZ94" i="1"/>
  <c r="F75" i="1"/>
  <c r="CP55" i="1"/>
  <c r="O55" i="1" s="1"/>
  <c r="AB64" i="1" s="1"/>
  <c r="AN94" i="13" l="1"/>
  <c r="K94" i="13"/>
  <c r="J264" i="13"/>
  <c r="J262" i="13" s="1"/>
  <c r="J331" i="13" s="1"/>
  <c r="AN190" i="13"/>
  <c r="K190" i="13"/>
  <c r="AN127" i="13"/>
  <c r="C50" i="13"/>
  <c r="L344" i="13"/>
  <c r="L342" i="13" s="1"/>
  <c r="L346" i="13"/>
  <c r="L277" i="13"/>
  <c r="L242" i="13"/>
  <c r="F16" i="2"/>
  <c r="F18" i="2" s="1"/>
  <c r="C48" i="13"/>
  <c r="AK64" i="1"/>
  <c r="U64" i="1"/>
  <c r="AL64" i="1"/>
  <c r="AL26" i="1" s="1"/>
  <c r="K160" i="13"/>
  <c r="I145" i="13"/>
  <c r="O145" i="13"/>
  <c r="BH145" i="13"/>
  <c r="D47" i="13" s="1"/>
  <c r="D44" i="13" s="1"/>
  <c r="GM54" i="1"/>
  <c r="GN54" i="1" s="1"/>
  <c r="G16" i="2"/>
  <c r="G18" i="2" s="1"/>
  <c r="C49" i="13"/>
  <c r="L338" i="13"/>
  <c r="L336" i="13" s="1"/>
  <c r="L269" i="13"/>
  <c r="L267" i="13" s="1"/>
  <c r="L234" i="13"/>
  <c r="L232" i="13" s="1"/>
  <c r="L347" i="13"/>
  <c r="AN112" i="13"/>
  <c r="L78" i="13"/>
  <c r="L278" i="13"/>
  <c r="L231" i="13"/>
  <c r="L266" i="13"/>
  <c r="L335" i="13"/>
  <c r="L333" i="13" s="1"/>
  <c r="L240" i="13"/>
  <c r="L238" i="13" s="1"/>
  <c r="O175" i="13"/>
  <c r="I175" i="13"/>
  <c r="BH175" i="13"/>
  <c r="AZ139" i="13"/>
  <c r="L143" i="13" s="1"/>
  <c r="L243" i="13"/>
  <c r="I46" i="13"/>
  <c r="L280" i="13"/>
  <c r="L71" i="13"/>
  <c r="L126" i="13"/>
  <c r="K127" i="13" s="1"/>
  <c r="BA139" i="13"/>
  <c r="L144" i="13" s="1"/>
  <c r="J344" i="13"/>
  <c r="J342" i="13" s="1"/>
  <c r="J333" i="13" s="1"/>
  <c r="J275" i="13"/>
  <c r="J273" i="13" s="1"/>
  <c r="L348" i="13"/>
  <c r="L70" i="13"/>
  <c r="AK26" i="1"/>
  <c r="X64" i="1"/>
  <c r="AI26" i="1"/>
  <c r="V64" i="1"/>
  <c r="AO18" i="1"/>
  <c r="F130" i="1"/>
  <c r="CE26" i="1"/>
  <c r="AV64" i="1"/>
  <c r="T26" i="1"/>
  <c r="T94" i="1"/>
  <c r="F85" i="1"/>
  <c r="AB26" i="1"/>
  <c r="O64" i="1"/>
  <c r="P26" i="1"/>
  <c r="F67" i="1"/>
  <c r="P94" i="1"/>
  <c r="AQ18" i="1"/>
  <c r="F136" i="1"/>
  <c r="BB18" i="1"/>
  <c r="F139" i="1"/>
  <c r="AX22" i="1"/>
  <c r="AX126" i="1"/>
  <c r="F101" i="1"/>
  <c r="R26" i="1"/>
  <c r="F78" i="1"/>
  <c r="R94" i="1"/>
  <c r="BD22" i="1"/>
  <c r="F119" i="1"/>
  <c r="BD126" i="1"/>
  <c r="CH26" i="1"/>
  <c r="AY64" i="1"/>
  <c r="S26" i="1"/>
  <c r="F79" i="1"/>
  <c r="S94" i="1"/>
  <c r="Q26" i="1"/>
  <c r="F76" i="1"/>
  <c r="Q94" i="1"/>
  <c r="AU18" i="1"/>
  <c r="F145" i="1"/>
  <c r="AP18" i="1"/>
  <c r="F135" i="1"/>
  <c r="U26" i="1"/>
  <c r="U94" i="1"/>
  <c r="F86" i="1"/>
  <c r="G256" i="13" s="1"/>
  <c r="AZ22" i="1"/>
  <c r="F105" i="1"/>
  <c r="AZ126" i="1"/>
  <c r="BC18" i="1"/>
  <c r="F142" i="1"/>
  <c r="GN28" i="1"/>
  <c r="CA64" i="1"/>
  <c r="AT18" i="1"/>
  <c r="F144" i="1"/>
  <c r="W26" i="1"/>
  <c r="F88" i="1"/>
  <c r="W94" i="1"/>
  <c r="CF26" i="1"/>
  <c r="AW64" i="1"/>
  <c r="BA26" i="1"/>
  <c r="F84" i="1"/>
  <c r="BA94" i="1"/>
  <c r="GM55" i="1"/>
  <c r="GN55" i="1" s="1"/>
  <c r="GM44" i="1"/>
  <c r="GN44" i="1" s="1"/>
  <c r="Y64" i="1" l="1"/>
  <c r="AN72" i="13"/>
  <c r="K72" i="13"/>
  <c r="L245" i="13"/>
  <c r="AN145" i="13"/>
  <c r="K145" i="13"/>
  <c r="L349" i="13"/>
  <c r="L279" i="13"/>
  <c r="L264" i="13"/>
  <c r="CB64" i="1"/>
  <c r="L244" i="13"/>
  <c r="L229" i="13"/>
  <c r="CB26" i="1"/>
  <c r="AS64" i="1"/>
  <c r="S22" i="1"/>
  <c r="S126" i="1"/>
  <c r="F109" i="1"/>
  <c r="R22" i="1"/>
  <c r="R126" i="1"/>
  <c r="F108" i="1"/>
  <c r="AX18" i="1"/>
  <c r="F133" i="1"/>
  <c r="AZ18" i="1"/>
  <c r="F137" i="1"/>
  <c r="U22" i="1"/>
  <c r="F116" i="1"/>
  <c r="U126" i="1"/>
  <c r="AY26" i="1"/>
  <c r="F72" i="1"/>
  <c r="AY94" i="1"/>
  <c r="AV26" i="1"/>
  <c r="AV94" i="1"/>
  <c r="F69" i="1"/>
  <c r="V26" i="1"/>
  <c r="F87" i="1"/>
  <c r="G257" i="13" s="1"/>
  <c r="V94" i="1"/>
  <c r="X26" i="1"/>
  <c r="X94" i="1"/>
  <c r="F90" i="1"/>
  <c r="AW26" i="1"/>
  <c r="F70" i="1"/>
  <c r="AW94" i="1"/>
  <c r="W22" i="1"/>
  <c r="F118" i="1"/>
  <c r="W126" i="1"/>
  <c r="P22" i="1"/>
  <c r="P126" i="1"/>
  <c r="F97" i="1"/>
  <c r="CA26" i="1"/>
  <c r="AR64" i="1"/>
  <c r="BA22" i="1"/>
  <c r="BA126" i="1"/>
  <c r="F114" i="1"/>
  <c r="Q22" i="1"/>
  <c r="F106" i="1"/>
  <c r="Q126" i="1"/>
  <c r="BD18" i="1"/>
  <c r="F151" i="1"/>
  <c r="O26" i="1"/>
  <c r="O94" i="1"/>
  <c r="F66" i="1"/>
  <c r="T22" i="1"/>
  <c r="F115" i="1"/>
  <c r="T126" i="1"/>
  <c r="Y26" i="1"/>
  <c r="Y94" i="1"/>
  <c r="F91" i="1"/>
  <c r="L262" i="13" l="1"/>
  <c r="L331" i="13" s="1"/>
  <c r="H16" i="2"/>
  <c r="H18" i="2" s="1"/>
  <c r="J47" i="13"/>
  <c r="G358" i="13"/>
  <c r="L252" i="13"/>
  <c r="W18" i="1"/>
  <c r="F150" i="1"/>
  <c r="J16" i="2"/>
  <c r="J18" i="2" s="1"/>
  <c r="Y22" i="1"/>
  <c r="F121" i="1"/>
  <c r="Y126" i="1"/>
  <c r="AR26" i="1"/>
  <c r="F92" i="1"/>
  <c r="AR94" i="1"/>
  <c r="AW22" i="1"/>
  <c r="AW126" i="1"/>
  <c r="F100" i="1"/>
  <c r="X22" i="1"/>
  <c r="X126" i="1"/>
  <c r="F120" i="1"/>
  <c r="AY22" i="1"/>
  <c r="AY126" i="1"/>
  <c r="F102" i="1"/>
  <c r="AS26" i="1"/>
  <c r="F81" i="1"/>
  <c r="AS94" i="1"/>
  <c r="P18" i="1"/>
  <c r="F129" i="1"/>
  <c r="U18" i="1"/>
  <c r="F148" i="1"/>
  <c r="R18" i="1"/>
  <c r="F140" i="1"/>
  <c r="T18" i="1"/>
  <c r="F147" i="1"/>
  <c r="O22" i="1"/>
  <c r="O126" i="1"/>
  <c r="F96" i="1"/>
  <c r="Q18" i="1"/>
  <c r="F138" i="1"/>
  <c r="BA18" i="1"/>
  <c r="F146" i="1"/>
  <c r="V22" i="1"/>
  <c r="F117" i="1"/>
  <c r="V126" i="1"/>
  <c r="AV22" i="1"/>
  <c r="F99" i="1"/>
  <c r="AV126" i="1"/>
  <c r="S18" i="1"/>
  <c r="F141" i="1"/>
  <c r="J48" i="13" l="1"/>
  <c r="G359" i="13"/>
  <c r="AS22" i="1"/>
  <c r="F111" i="1"/>
  <c r="AS126" i="1"/>
  <c r="AY18" i="1"/>
  <c r="F134" i="1"/>
  <c r="AR22" i="1"/>
  <c r="F122" i="1"/>
  <c r="AR126" i="1"/>
  <c r="X18" i="1"/>
  <c r="F152" i="1"/>
  <c r="Y18" i="1"/>
  <c r="F153" i="1"/>
  <c r="V18" i="1"/>
  <c r="F149" i="1"/>
  <c r="AV18" i="1"/>
  <c r="F131" i="1"/>
  <c r="O18" i="1"/>
  <c r="F128" i="1"/>
  <c r="AW18" i="1"/>
  <c r="F132" i="1"/>
  <c r="E16" i="2" l="1"/>
  <c r="C47" i="13"/>
  <c r="C44" i="13" s="1"/>
  <c r="AS18" i="1"/>
  <c r="F143" i="1"/>
  <c r="AR18" i="1"/>
  <c r="F154" i="1"/>
  <c r="F123" i="1"/>
  <c r="E18" i="2"/>
  <c r="I16" i="2"/>
  <c r="I18" i="2" s="1"/>
  <c r="F124" i="1" l="1"/>
</calcChain>
</file>

<file path=xl/sharedStrings.xml><?xml version="1.0" encoding="utf-8"?>
<sst xmlns="http://schemas.openxmlformats.org/spreadsheetml/2006/main" count="4520" uniqueCount="650">
  <si>
    <t>Smeta.RU  (495) 974-1589</t>
  </si>
  <si>
    <t>_PS_</t>
  </si>
  <si>
    <t>Smeta.RU</t>
  </si>
  <si>
    <t/>
  </si>
  <si>
    <t>Новый объект</t>
  </si>
  <si>
    <t>Ремонт крыльца у здания Костромской межрайонной природоохранной прокуратуры</t>
  </si>
  <si>
    <t>Шаталов А.И.</t>
  </si>
  <si>
    <t>Заместитель прокурора</t>
  </si>
  <si>
    <t>Волжская межрегональная природоохранная прокуратура</t>
  </si>
  <si>
    <t>ИП Крайнова Татьяна Николаевна</t>
  </si>
  <si>
    <t>Сметные нормы списания</t>
  </si>
  <si>
    <t>Коды ценников</t>
  </si>
  <si>
    <t>Версия 1.7.6 ГСН (ГЭСН, ФЕР) и ТЕР (Методики НР (812/пр, 636/пр, 611/пр) и СП (774/пр и 317/пр) для версии 11.14.0.0  (1) [(Sm_Cloud ФЕР 2020 И9 Январь 2026 г.) на Текущий ремонт инженерных систем в здании НИУ ВШЭ по адресу: ВНИИСОК, ул. Дениса Давы~</t>
  </si>
  <si>
    <t>Поправки для ГСН (ФЕР) 2020 от 18.04.2024 г И9 (55/пр+648/пр) Капитальный ремонт жилых и общественных зданий</t>
  </si>
  <si>
    <t>Костромская область</t>
  </si>
  <si>
    <t>Ремонт крыльца</t>
  </si>
  <si>
    <t>Новая локальная смета</t>
  </si>
  <si>
    <t>Новый раздел</t>
  </si>
  <si>
    <t>1. Крыльцо</t>
  </si>
  <si>
    <t>1</t>
  </si>
  <si>
    <t>57-2-3</t>
  </si>
  <si>
    <t>Разборка покрытий полов: из керамических плиток</t>
  </si>
  <si>
    <t>100 м2</t>
  </si>
  <si>
    <t>ФЕРр-2001 доп.8, 57-2-3, приказ Минстроя России № 746/пр от 14.10.2021</t>
  </si>
  <si>
    <t>Ремонтно-строительные работы</t>
  </si>
  <si>
    <t>Полы</t>
  </si>
  <si>
    <t>рФЕР-57</t>
  </si>
  <si>
    <t>Пр/812-091.0-1</t>
  </si>
  <si>
    <t>Пр/774-091.0</t>
  </si>
  <si>
    <t>1,1</t>
  </si>
  <si>
    <t>999-9900</t>
  </si>
  <si>
    <t>Строительный мусор</t>
  </si>
  <si>
    <t>т</t>
  </si>
  <si>
    <t>письмо Минстроя России от 23.07.2026 № 45358-ИФ/09. Регистрационный номер 420</t>
  </si>
  <si>
    <t>2</t>
  </si>
  <si>
    <t>69-15-1</t>
  </si>
  <si>
    <t>Затаривание строительного мусора в мешки</t>
  </si>
  <si>
    <t>ФЕРр-2001, 69-15-1, приказ Минстроя России № 876/пр от 26.12.2019</t>
  </si>
  <si>
    <t>Прочие ремонтно-строительные работы</t>
  </si>
  <si>
    <t>рФЕР-69</t>
  </si>
  <si>
    <t>Пр/812-103.0-1</t>
  </si>
  <si>
    <t>Пр/774-103.0</t>
  </si>
  <si>
    <t>3</t>
  </si>
  <si>
    <t>68-12-5</t>
  </si>
  <si>
    <t>Разборка покрытий и оснований: цементно-бетонных</t>
  </si>
  <si>
    <t>100 м3</t>
  </si>
  <si>
    <t>ФЕРр-2001, 68-12-5, приказ Минстроя России № 876/пр от 26.12.2019</t>
  </si>
  <si>
    <t>Благоустройство</t>
  </si>
  <si>
    <t>рФЕР-68</t>
  </si>
  <si>
    <t>Пр/812-102.0-1</t>
  </si>
  <si>
    <t>Пр/774-102.0</t>
  </si>
  <si>
    <t>3,1</t>
  </si>
  <si>
    <t>4</t>
  </si>
  <si>
    <t>т01-01-01-041</t>
  </si>
  <si>
    <t>Погрузка при автомобильных перевозках мусора строительного с погрузкой вручную</t>
  </si>
  <si>
    <t>1 Т ГРУЗА</t>
  </si>
  <si>
    <t>ФССЦпг-2001, т01-01-01-041, приказ Минстроя России №876/пр от 26.12.2019</t>
  </si>
  <si>
    <t>Погр.-разгр. работы вручную</t>
  </si>
  <si>
    <t>Погрузочно-разгрузочные работы</t>
  </si>
  <si>
    <t>Погрузочно-разгрузочные работы вручную</t>
  </si>
  <si>
    <t>ФССЦпр  пог. а/п (2011,изм. 4-6)</t>
  </si>
  <si>
    <t>5</t>
  </si>
  <si>
    <t>т03-02-01-015</t>
  </si>
  <si>
    <t>Перевозка грузов I класса автомобилями бортовыми грузоподъемностью до 5 т на расстояние до 15 км</t>
  </si>
  <si>
    <t>ФССЦпг-2001, т03-02-01-015, приказ Минстроя России №876/пр от 26.12.2019</t>
  </si>
  <si>
    <t>Автомобили бортовые</t>
  </si>
  <si>
    <t>Перевозка строительных грузов автомобильным транспортом</t>
  </si>
  <si>
    <t>ФССЦпр , изм. 7</t>
  </si>
  <si>
    <t>6</t>
  </si>
  <si>
    <t>06-03-001-01</t>
  </si>
  <si>
    <t>Устройство опалубки (снизу) и поддерживающих ее конструкций для высоких ростверков (для крыльца)</t>
  </si>
  <si>
    <t>ФЕР-2001, 06-03-001-01, приказ Минстроя России № 876/пр от 26.12.2019</t>
  </si>
  <si>
    <t>*1,25</t>
  </si>
  <si>
    <t>*1,15</t>
  </si>
  <si>
    <t>*0,9</t>
  </si>
  <si>
    <t>*0,85</t>
  </si>
  <si>
    <t>Общестроительные работы</t>
  </si>
  <si>
    <t>Бетонные и железобетонные монолитные конструкции и работы в строительстве</t>
  </si>
  <si>
    <t>ФЕР-06</t>
  </si>
  <si>
    <t>Поправка: 421/пр_2020_п.58_пп.б</t>
  </si>
  <si>
    <t>Пр/812-006.0-1</t>
  </si>
  <si>
    <t>Пр/774-006.0</t>
  </si>
  <si>
    <t>7</t>
  </si>
  <si>
    <t>06-01-001-01</t>
  </si>
  <si>
    <t>Устройство бетонной подготовки</t>
  </si>
  <si>
    <t>ФЕР-2001, 06-01-001-01, приказ Минстроя России № 876/пр от 26.12.2019</t>
  </si>
  <si>
    <t>7,1</t>
  </si>
  <si>
    <t>04.1.02.05-0007</t>
  </si>
  <si>
    <t>Смеси бетонные тяжелого бетона (БСТ), класс В20 (М250)</t>
  </si>
  <si>
    <t>м3</t>
  </si>
  <si>
    <t>ФССЦ-2001, 04.1.02.05-0007, приказ Минстроя России № 876/пр от 26.12.2019</t>
  </si>
  <si>
    <t>8</t>
  </si>
  <si>
    <t>11-01-027-03</t>
  </si>
  <si>
    <t>Устройство покрытий на цементном растворе из плиток: керамических для полов одноцветных с красителем</t>
  </si>
  <si>
    <t>ФЕР-2001 доп.4, 11-01-027-03, приказ Минстроя России № 636/пр от 20.10.2020</t>
  </si>
  <si>
    <t>ФЕР-11</t>
  </si>
  <si>
    <t>Пр/812-011.0-1</t>
  </si>
  <si>
    <t>Пр/774-011.0</t>
  </si>
  <si>
    <t>8,1</t>
  </si>
  <si>
    <t>06.2.02.01-0071</t>
  </si>
  <si>
    <t>Плитка керамическая неглазурованная для полов гладкая, одноцветная с красителем квадратная и прямоугольная</t>
  </si>
  <si>
    <t>м2</t>
  </si>
  <si>
    <t>ФССЦ-2001, 06.2.02.01-0071, приказ Минстроя России № 876/пр от 26.12.2019</t>
  </si>
  <si>
    <t>8,2</t>
  </si>
  <si>
    <t>04.3.01.09-0016</t>
  </si>
  <si>
    <t>Раствор готовый кладочный, цементный, М200</t>
  </si>
  <si>
    <t>ФССЦ-2001, 04.3.01.09-0016, приказ Минстроя России № 876/пр от 26.12.2019</t>
  </si>
  <si>
    <t>8,3</t>
  </si>
  <si>
    <t>14.1.06.04-0010</t>
  </si>
  <si>
    <t>Клей плиточный «Боларс Аква»</t>
  </si>
  <si>
    <t>кг</t>
  </si>
  <si>
    <t>ФССЦ-2001, 14.1.06.04-0010, приказ Минстроя России № 876/пр от 26.12.2019</t>
  </si>
  <si>
    <t>8,4</t>
  </si>
  <si>
    <t>06.2.05.03-1000</t>
  </si>
  <si>
    <t>Плитка керамогранитная, размер 300x300x8 мм</t>
  </si>
  <si>
    <t>ФССЦ-2001, 06.2.05.03-1000, приказ Минстроя России № 876/пр от 26.12.2019</t>
  </si>
  <si>
    <t>9</t>
  </si>
  <si>
    <t>15-01-010-01</t>
  </si>
  <si>
    <t>Облицовка ступеней и подступенников мраморными полированными плитами  (прим. керамогранитными плитками)</t>
  </si>
  <si>
    <t>ФЕР-2001, 15-01-010-01, приказ Минстроя России № 876/пр от 26.12.2019</t>
  </si>
  <si>
    <t>Отделочные работы</t>
  </si>
  <si>
    <t>ФЕР-15</t>
  </si>
  <si>
    <t>Пр/812-015.0-1</t>
  </si>
  <si>
    <t>Пр/774-015.0</t>
  </si>
  <si>
    <t>9,1</t>
  </si>
  <si>
    <t>13.1.02.04</t>
  </si>
  <si>
    <t>Плиты мраморные полированные для подступенков</t>
  </si>
  <si>
    <t>9,2</t>
  </si>
  <si>
    <t>Плиты мраморные полированные для ступеней и подоконников</t>
  </si>
  <si>
    <t>9,3</t>
  </si>
  <si>
    <t>10</t>
  </si>
  <si>
    <t>15-01-016-02</t>
  </si>
  <si>
    <t>Наружная облицовка по бетонной поверхности керамическими отдельными плитками: на цементном растворе стен</t>
  </si>
  <si>
    <t>ФЕР-2001, 15-01-016-02, приказ Минстроя России № 876/пр от 26.12.2019</t>
  </si>
  <si>
    <t>10,1</t>
  </si>
  <si>
    <t>10,2</t>
  </si>
  <si>
    <t>06.2.03.02</t>
  </si>
  <si>
    <t>Плитки керамические фасадные неглазурованные</t>
  </si>
  <si>
    <t>10,3</t>
  </si>
  <si>
    <t>04.3.01.09-0023</t>
  </si>
  <si>
    <t>Раствор отделочный тяжелый цементный, состав 1:3</t>
  </si>
  <si>
    <t>ФССЦ-2001, 04.3.01.09-0023, приказ Минстроя России № 876/пр от 26.12.2019</t>
  </si>
  <si>
    <t>10,4</t>
  </si>
  <si>
    <t>03.2.01.04-0002</t>
  </si>
  <si>
    <t>Цемент пуццолановый М400 ППЦ (ЦЕМ IV 32,5Н)</t>
  </si>
  <si>
    <t>ФССЦ-2001, 03.2.01.04-0002, приказ Минстроя России № 876/пр от 26.12.2019</t>
  </si>
  <si>
    <t>10,5</t>
  </si>
  <si>
    <t>11</t>
  </si>
  <si>
    <t>09-03-050-01</t>
  </si>
  <si>
    <t>Монтаж стальных плинтусов из гнутого профиля</t>
  </si>
  <si>
    <t>100 м</t>
  </si>
  <si>
    <t>ФЕР-2001, 09-03-050-01, приказ Минстроя России № 876/пр от 26.12.2019</t>
  </si>
  <si>
    <t>Строительные металлические конструкции</t>
  </si>
  <si>
    <t>ФЕР-09</t>
  </si>
  <si>
    <t>Пр/812-009.0-1</t>
  </si>
  <si>
    <t>Пр/774-009.0</t>
  </si>
  <si>
    <t>11,1</t>
  </si>
  <si>
    <t>07.2.07.13</t>
  </si>
  <si>
    <t>Планка из стального листа</t>
  </si>
  <si>
    <t>11,2</t>
  </si>
  <si>
    <t>08.3.09.05</t>
  </si>
  <si>
    <t>Конструкции стальные</t>
  </si>
  <si>
    <t>11,3</t>
  </si>
  <si>
    <t>07.2.06.03-0228</t>
  </si>
  <si>
    <t>Профиль угловой ПУ 25x25 мм для защиты углов, алюминиевый</t>
  </si>
  <si>
    <t>м</t>
  </si>
  <si>
    <t>ФССЦ-2001, 07.2.06.03-0228, приказ Минстроя России № 876/пр от 26.12.2019</t>
  </si>
  <si>
    <t>12</t>
  </si>
  <si>
    <t>13-06-003-01</t>
  </si>
  <si>
    <t>Очистка поверхности щетками</t>
  </si>
  <si>
    <t>ФЕР-2001, 13-06-003-01, приказ Минстроя России № 876/пр от 26.12.2019</t>
  </si>
  <si>
    <t>Защита строительных конструкций и оборудования от коррозии</t>
  </si>
  <si>
    <t>Защита строительных конструкций</t>
  </si>
  <si>
    <t>ФЕР-13</t>
  </si>
  <si>
    <t>Пр/812-013.0-1</t>
  </si>
  <si>
    <t>Пр/774-013.0</t>
  </si>
  <si>
    <t>13</t>
  </si>
  <si>
    <t>13-03-002-12</t>
  </si>
  <si>
    <t>Огрунтовка металлических поверхностей за один раз: грунтовкой ЭП-0259 (перила)</t>
  </si>
  <si>
    <t>ФЕР-2001, 13-03-002-12, приказ Минстроя России № 876/пр от 26.12.2019</t>
  </si>
  <si>
    <t>13,1</t>
  </si>
  <si>
    <t>14.4.01.09-0421</t>
  </si>
  <si>
    <t>Грунтовка эпоксидная двухкомпонентная цинконаполненная ЭП- 057 (ТУ 2312-023-76044141-10)</t>
  </si>
  <si>
    <t>ФССЦ-2001, 14.4.01.09-0421, приказ Минстроя России № 876/пр от 26.12.2019</t>
  </si>
  <si>
    <t>13,2</t>
  </si>
  <si>
    <t>14.4.01.09-0428</t>
  </si>
  <si>
    <t>Грунтовка протекторная цинкосодержащая</t>
  </si>
  <si>
    <t>ФССЦ-2001, 14.4.01.09-0428, приказ Минстроя России № 876/пр от 26.12.2019</t>
  </si>
  <si>
    <t>14</t>
  </si>
  <si>
    <t>13-03-004-01</t>
  </si>
  <si>
    <t>Окраска металлических огрунтованных поверхностей: эмалью ХС-436 (трубы)</t>
  </si>
  <si>
    <t>ФЕР-2001, 13-03-004-01, приказ Минстроя России № 876/пр от 26.12.2019</t>
  </si>
  <si>
    <t>14,1</t>
  </si>
  <si>
    <t>14.4.04.13-0202</t>
  </si>
  <si>
    <t>Эмаль "Виникор-62"</t>
  </si>
  <si>
    <t>ФССЦ-2001, 14.4.04.13-0202, приказ Минстроя России № 876/пр от 26.12.2019</t>
  </si>
  <si>
    <t>ПЗ</t>
  </si>
  <si>
    <t>Прямые затраты</t>
  </si>
  <si>
    <t>СтМатОб</t>
  </si>
  <si>
    <t>Стоимость материальных ресурсов (всего)</t>
  </si>
  <si>
    <t>СтМатОбЗак</t>
  </si>
  <si>
    <t>Стоимость материалов и оборудования заказчика</t>
  </si>
  <si>
    <t>СтМатОбПод</t>
  </si>
  <si>
    <t>Стоимость материалов и оборудования подрядчика</t>
  </si>
  <si>
    <t>СтМат</t>
  </si>
  <si>
    <t>Стоимость материалов (всего)</t>
  </si>
  <si>
    <t>СтМатЗак</t>
  </si>
  <si>
    <t>Стоимость материалов заказчика</t>
  </si>
  <si>
    <t>СтМатПод</t>
  </si>
  <si>
    <t>Стоимость материалов подрядчика</t>
  </si>
  <si>
    <t>Оборуд</t>
  </si>
  <si>
    <t>Стоимость оборудования (всего)</t>
  </si>
  <si>
    <t>ОборудЗак</t>
  </si>
  <si>
    <t>Стоимость оборудования заказчика</t>
  </si>
  <si>
    <t>ОборудПод</t>
  </si>
  <si>
    <t>Стоимость оборудования подрядчика</t>
  </si>
  <si>
    <t>ЭММ</t>
  </si>
  <si>
    <t>Эксплуатация машин</t>
  </si>
  <si>
    <t>ЭММсНРиСП</t>
  </si>
  <si>
    <t>Эксплуатация машин по ТСН-2001.16</t>
  </si>
  <si>
    <t>ЗПМ</t>
  </si>
  <si>
    <t>ЗП машинистов</t>
  </si>
  <si>
    <t>ОЗП</t>
  </si>
  <si>
    <t>Основная ЗП рабочих</t>
  </si>
  <si>
    <t>ОЗПсНРиСП</t>
  </si>
  <si>
    <t>Основная ЗП рабочих по ТСН-2001.16</t>
  </si>
  <si>
    <t>Строит</t>
  </si>
  <si>
    <t>Строительные работы с НР и СП</t>
  </si>
  <si>
    <t>Монтаж</t>
  </si>
  <si>
    <t>Монтажные работы с НР и СП</t>
  </si>
  <si>
    <t>Прочие</t>
  </si>
  <si>
    <t>Прочие работы с НР и СП</t>
  </si>
  <si>
    <t>ПрочиеЗатр</t>
  </si>
  <si>
    <t>Прочие затраты по ТСН-2001.16</t>
  </si>
  <si>
    <t>ВозврМат</t>
  </si>
  <si>
    <t>Возврат материалов</t>
  </si>
  <si>
    <t>ТрудСтр</t>
  </si>
  <si>
    <t>Трудозатраты строителей</t>
  </si>
  <si>
    <t>ТрудМаш</t>
  </si>
  <si>
    <t>Трудозатраты машинистов</t>
  </si>
  <si>
    <t>ТранспМат</t>
  </si>
  <si>
    <t>Транспорт материалов</t>
  </si>
  <si>
    <t>Перевозка</t>
  </si>
  <si>
    <t>Перевозка грузов</t>
  </si>
  <si>
    <t>НР</t>
  </si>
  <si>
    <t>Накладные расходы</t>
  </si>
  <si>
    <t>СмПриб</t>
  </si>
  <si>
    <t>Сметная прибыль</t>
  </si>
  <si>
    <t>Всего</t>
  </si>
  <si>
    <t>Всего с НР и СП</t>
  </si>
  <si>
    <t>28</t>
  </si>
  <si>
    <t>НДС22%</t>
  </si>
  <si>
    <t>29</t>
  </si>
  <si>
    <t>Итого с НДС22%</t>
  </si>
  <si>
    <t>СТР_РЕК</t>
  </si>
  <si>
    <t>СТРОИТЕЛЬСТВО и РЕКОНСТРУКЦИЯ  зданий и сооружений всех назначений</t>
  </si>
  <si>
    <t>Строительство и реконструкция</t>
  </si>
  <si>
    <t>РЕМ_ЖИЛ</t>
  </si>
  <si>
    <t>КАП. РЕМ. ЖИЛЫХ И ОБЩЕСТВЕННЫХ ЗДАНИЙ</t>
  </si>
  <si>
    <t>Капитальный ремонт жилых и общественных зданий</t>
  </si>
  <si>
    <t>РЕМ_ПР</t>
  </si>
  <si>
    <t>КАП. РЕМ. ПРОИЗВОДСТВЕННЫХ ЗД. и СООРУЖЕНИЙ,  НАРУЖНЫХ ИНЖЕНЕРНЫХ СЕТЕЙ, УЛИЦ И ДОРОГ МЕСТНОГО ЗНАЧЕНИЯ, ИНЖ,СООРУЖЕНИЙ ( ГИДРОТЕХ,СООРУЖ, МОСТОВ И ПУТЕПРОВОДОВ И Т.П.)</t>
  </si>
  <si>
    <t>Капитальный ремонт прозводственных зданий</t>
  </si>
  <si>
    <t>Территория</t>
  </si>
  <si>
    <t>для территории Российской Федерации, не относящейся к районам Крайнего Севера и приравненным к ним местностям</t>
  </si>
  <si>
    <t>МПРКС</t>
  </si>
  <si>
    <t>для территории Российской Федерации, относящейся к местностям, приравненным к районам Крайнего Севера</t>
  </si>
  <si>
    <t>РКС</t>
  </si>
  <si>
    <t>для территории Российской Федерации, относящейся к районам Крайнего Севера</t>
  </si>
  <si>
    <t>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</si>
  <si>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АЭС.</t>
  </si>
  <si>
    <t>Для сборников ФЕР ( при производстве работ на технически сложных объектах ):  ·  { СЛЖ } - (вкл.)    - работа на сложных объектах  (к=1,2 к НР)           ·  { СЛЖ } - (выкл.) - работа на обычных объектах</t>
  </si>
  <si>
    <t>Сложные объекты</t>
  </si>
  <si>
    <t>СТНДРТ</t>
  </si>
  <si>
    <t>При определении сметной стоимости строительства объектов капитального строительства (за исключением АЭС).</t>
  </si>
  <si>
    <t>АЭС_ПНР</t>
  </si>
  <si>
    <t>При определении сметной стоимости строительства объектов капитального строительства АЭС. Пусконаладочные работы (за исключением технологического оборудования АЭС).</t>
  </si>
  <si>
    <t>АЭС</t>
  </si>
  <si>
    <t>АЭС_ПНР_ТЕХ</t>
  </si>
  <si>
    <t>При определении сметной стоимости строительства объектов капитального строительства АЭС. Пусконаладочные работы технологического оборудования АЭС.</t>
  </si>
  <si>
    <t>Для сборника ФЕРм -39  и ФЕРМ-08  ( при работах по контролю сварных соединений) :    {мАЭС} - ( вкл.)  -     при выполнении работ по на АЭС  (HР=101%; СП= 68%;             {мАЭС} - (выкл.) -  при выполнении работ  на обычных объектах</t>
  </si>
  <si>
    <t>АЭС, ПНР технологического оборудования АЭС.</t>
  </si>
  <si>
    <t>ОПТ/В</t>
  </si>
  <si>
    <t>{вкл}    - Прокладка  МЕЖДУГОРОДНЫХ  ВОЛОКОННО-ОПТИЧЕСКИХ ЛИНИЙ (для ФЕРм10, отд. 6 разд.3)  {выкл} - Прокладка  ГОРОДСКИХ               ВОЛОКОННО-ОПТИЧЕСКИХ ЛИНИЙ  (для ФЕРм10, отд. 6 разд.3)</t>
  </si>
  <si>
    <t>Для сборников ФЕРм-10  ( волоконно-оптические линии связи ): ·  {М_ГОР_опт} -  ( вкл.)  - междугородные сети связи ( НР=120% , СП=70% )           ·  {М_ГОР_опт} - ( выкл.) - городские сети связи  ( НР=100%; СП=65%)</t>
  </si>
  <si>
    <t>Прокладка междугородных в/опт. кабелей</t>
  </si>
  <si>
    <t>АВИ</t>
  </si>
  <si>
    <t>(вкл)   -  При работах по ДИСПЕТЧЕРИЗАЦИИ управления движением АВИАТРАНСПОРТОМ {вкл}  (монтажные работы )</t>
  </si>
  <si>
    <t>Для сборников ФЕРм 08;10;11 :    · {мАВИА} -  (вкл.)     -  производство монтажных  работы по диспетчеризации управления  движением авиатранспортном (НР=95%, СП=55%) ;    ·            {мАВИА} -  (выкл. ) -  при производстве работ на прочих объектах , кром</t>
  </si>
  <si>
    <t>Диспетчеризация авиатранспорта</t>
  </si>
  <si>
    <t>ЗАКР</t>
  </si>
  <si>
    <t>{вкл}   -  Обслуживающие и сопутствующие работы в тоннелях при  производстве работ ЗАКРЫТЫМ СПОСОБОМ   {выкл} - Обслуживающие и сопутствующие работы в тоннелях при  производстве работ  ОТКРЫТЫМ</t>
  </si>
  <si>
    <t>Для сборника ФЕР -29 ( сопутствующие работы в тоннелях и метро. ): ·  {ЗАКР} - (вкл.)     -  при выполнении работ в тоннелях  и метро закрытым способом  (НР=145% , СП=75%); ·                {ЗАКР} - (выкл.) -   при выполнении работ в тоннелях и метро  отк</t>
  </si>
  <si>
    <t>Производство работ закрытым способом (обслуживающие процессы)</t>
  </si>
  <si>
    <t>ГОР</t>
  </si>
  <si>
    <t>(вкл) - ФЕРм-08, выполнение работ на горнорудных объектах  (выкл) - ФЕРм-08, выполнение работ на других объектах</t>
  </si>
  <si>
    <t>Выполнение работ на горнорудных объектах</t>
  </si>
  <si>
    <t>ОБ_ПР</t>
  </si>
  <si>
    <t>Объект производственного назначения</t>
  </si>
  <si>
    <t>ОБ_НПР</t>
  </si>
  <si>
    <t>Объект непроизводственного назначения</t>
  </si>
  <si>
    <t>К_НР_РЕМ</t>
  </si>
  <si>
    <t>при ремонте жилых и общественных зданий если  ( если {РЕМ_ЖИЛ}= [вкл.]</t>
  </si>
  <si>
    <t>Для сборников  ФЕР и  ФЕРмр :  · Значение {_МДСрем_НР}= 0,90 -  при ремонте зданий жилого и гражданского назначений ( 0,90 к НР) ;  · Значение {_МДСрем_НР}= 1,00  - при строительстве  и реконструкции  объектов всех назначений</t>
  </si>
  <si>
    <t>п.25</t>
  </si>
  <si>
    <t>К_СП_РЕМ</t>
  </si>
  <si>
    <t>к нормам СП при капитальном ремонте зданий и сооружений всех назначений ( если или {РЕМ_ЖИЛ}=[вкл] , или (РЕМ_ПР}=[вкл] )</t>
  </si>
  <si>
    <t>Для сборников  ФЕР и  ФЕРмр :   · Значение {_МДСрем_СП} = 0.85  -  при ремонте зданий всех назначений ( 0,85 к СП);   · Значение {_МДСрем_СП} = 1,00 -  при строительстве  и реконструкции  объектов всех назначений</t>
  </si>
  <si>
    <t>п.16</t>
  </si>
  <si>
    <t>К_НР_СЛЖ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</si>
  <si>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объектов атомных электрических станций.  ( если {СЛЖ} = [вкл] )</t>
  </si>
  <si>
    <t>п.27 СЛОЖН</t>
  </si>
  <si>
    <t>К_НР_АЭС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</si>
  <si>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Для объектов атомных электрических станций.  ( если {АЭС} = [вкл] )</t>
  </si>
  <si>
    <t>п.27 АЭС</t>
  </si>
  <si>
    <t>Р_ОКР</t>
  </si>
  <si>
    <t>Разрядность округления результата расчета НР и СП  (с 05.04.2020 - до семи знаков после запятой)</t>
  </si>
  <si>
    <t>Лист_НРиСП</t>
  </si>
  <si>
    <t>Уровень цен</t>
  </si>
  <si>
    <t>Индексы за итогом</t>
  </si>
  <si>
    <t>письмо Минстроя России от 13.08.2026 № 50058-ИФ/09. Регистрационный номер 422</t>
  </si>
  <si>
    <t>_OBSM_</t>
  </si>
  <si>
    <t>1-100-30</t>
  </si>
  <si>
    <t>Затраты труда рабочих (Средний разряд - 3)</t>
  </si>
  <si>
    <t>чел.-ч.</t>
  </si>
  <si>
    <t>4-100-00</t>
  </si>
  <si>
    <t>Затраты труда машинистов</t>
  </si>
  <si>
    <t>91.06.06-048</t>
  </si>
  <si>
    <t>ФСЭМ-2001, 91.06.06-048 , приказ Минстроя России № 876/пр от 26.12.2019</t>
  </si>
  <si>
    <t>Подъемники одномачтовые, грузоподъемность до 500 кг, высота подъема 45 м</t>
  </si>
  <si>
    <t>маш.-ч.</t>
  </si>
  <si>
    <t>1-100-10</t>
  </si>
  <si>
    <t>Затраты труда рабочих (Средний разряд - 1)</t>
  </si>
  <si>
    <t>01.7.20.03-0003</t>
  </si>
  <si>
    <t>ФССЦ-2001, 01.7.20.03-0003, приказ Минстроя России № 876/пр от 26.12.2019</t>
  </si>
  <si>
    <t>Мешки полипропиленовые (50 кг)</t>
  </si>
  <si>
    <t>100 ШТ</t>
  </si>
  <si>
    <t>1-100-24</t>
  </si>
  <si>
    <t>Затраты труда рабочих (Средний разряд - 2,4)</t>
  </si>
  <si>
    <t>91.01.01-035</t>
  </si>
  <si>
    <t>ФСЭМ-2001, 91.01.01-035 , приказ Минстроя России № 876/пр от 26.12.2019</t>
  </si>
  <si>
    <t>Бульдозеры, мощность 79 кВт (108 л.с.)</t>
  </si>
  <si>
    <t>91.01.05-086</t>
  </si>
  <si>
    <t>ФСЭМ-2001, 91.01.05-086 , приказ Минстроя России № 876/пр от 26.12.2019</t>
  </si>
  <si>
    <t>Экскаваторы одноковшовые дизельные на гусеничном ходу, емкость ковша 0,65 м3</t>
  </si>
  <si>
    <t>91.12.06-012</t>
  </si>
  <si>
    <t>ФСЭМ-2001, 91.12.06-012 , приказ Минстроя России № 876/пр от 26.12.2019</t>
  </si>
  <si>
    <t>Рыхлители прицепные (без трактора)</t>
  </si>
  <si>
    <t>1-100-29</t>
  </si>
  <si>
    <t>Затраты труда рабочих (Средний разряд - 2,9)</t>
  </si>
  <si>
    <t>91.05.05-015</t>
  </si>
  <si>
    <t>ФСЭМ-2001, 91.05.05-015 , приказ Минстроя России № 876/пр от 26.12.2019</t>
  </si>
  <si>
    <t>Краны на автомобильном ходу, грузоподъемность 16 т</t>
  </si>
  <si>
    <t>91.06.05-011</t>
  </si>
  <si>
    <t>ФСЭМ-2001, 91.06.05-011 , приказ Минстроя России № 876/пр от 26.12.2019</t>
  </si>
  <si>
    <t>Погрузчики, грузоподъемность 5 т</t>
  </si>
  <si>
    <t>91.14.02-001</t>
  </si>
  <si>
    <t>ФСЭМ-2001, 91.14.02-001 , приказ Минстроя России № 876/пр от 26.12.2019</t>
  </si>
  <si>
    <t>Автомобили бортовые, грузоподъемность до 5 т</t>
  </si>
  <si>
    <t>01.7.03.01-0001</t>
  </si>
  <si>
    <t>ФССЦ-2001, 01.7.03.01-0001, приказ Минстроя России № 876/пр от 26.12.2019</t>
  </si>
  <si>
    <t>Вода</t>
  </si>
  <si>
    <t>01.7.15.06-0111</t>
  </si>
  <si>
    <t>ФССЦ-2001, 01.7.15.06-0111, приказ Минстроя России № 876/пр от 26.12.2019</t>
  </si>
  <si>
    <t>Гвозди строительные</t>
  </si>
  <si>
    <t>03.1.02.03-0011</t>
  </si>
  <si>
    <t>ФССЦ-2001, 03.1.02.03-0011, приказ Минстроя России № 876/пр от 26.12.2019</t>
  </si>
  <si>
    <t>Известь строительная негашеная комовая, сорт I</t>
  </si>
  <si>
    <t>11.1.03.06-0087</t>
  </si>
  <si>
    <t>ФССЦ-2001, 11.1.03.06-0087, приказ Минстроя России № 876/пр от 26.12.2019</t>
  </si>
  <si>
    <t>Доска обрезная, хвойных пород, ширина 75-150 мм, толщина 25 мм, длина 4-6,5 м, сорт III</t>
  </si>
  <si>
    <t>11.1.03.06-0095</t>
  </si>
  <si>
    <t>ФССЦ-2001, 11.1.03.06-0095, приказ Минстроя России № 876/пр от 26.12.2019</t>
  </si>
  <si>
    <t>Доска обрезная, хвойных пород, ширина 75-150 мм, толщина 44 мм и более, длина 4-6,5 м, сорт III</t>
  </si>
  <si>
    <t>11.2.13.04-0012</t>
  </si>
  <si>
    <t>ФССЦ-2001, 11.2.13.04-0012, приказ Минстроя России № 876/пр от 26.12.2019</t>
  </si>
  <si>
    <t>Щиты из досок, толщина 40 мм</t>
  </si>
  <si>
    <t>1-100-20</t>
  </si>
  <si>
    <t>Затраты труда рабочих (Средний разряд - 2)</t>
  </si>
  <si>
    <t>91.05.01-017</t>
  </si>
  <si>
    <t>ФСЭМ-2001, 91.05.01-017 , приказ Минстроя России № 876/пр от 26.12.2019</t>
  </si>
  <si>
    <t>Краны башенные, грузоподъемность 8 т</t>
  </si>
  <si>
    <t>91.07.04-002</t>
  </si>
  <si>
    <t>ФСЭМ-2001, 91.07.04-002 , приказ Минстроя России № 876/пр от 26.12.2019</t>
  </si>
  <si>
    <t>Вибраторы поверхностные</t>
  </si>
  <si>
    <t>01.7.07.12-0024</t>
  </si>
  <si>
    <t>ФССЦ-2001, 01.7.07.12-0024, приказ Минстроя России № 876/пр от 26.12.2019</t>
  </si>
  <si>
    <t>Пленка полиэтиленовая, толщина 0,15 мм</t>
  </si>
  <si>
    <t>1-100-32</t>
  </si>
  <si>
    <t>Затраты труда рабочих (Средний разряд - 3,2)</t>
  </si>
  <si>
    <t>01.7.07.29-0091</t>
  </si>
  <si>
    <t>ФССЦ-2001, 01.7.07.29-0091, приказ Минстроя России № 876/пр от 26.12.2019</t>
  </si>
  <si>
    <t>Опилки древесные</t>
  </si>
  <si>
    <t>1-100-47</t>
  </si>
  <si>
    <t>Рабочий среднего разряда 4.7</t>
  </si>
  <si>
    <t>4-100-0</t>
  </si>
  <si>
    <t>маш.-ч</t>
  </si>
  <si>
    <t>01.7.02.10-0005</t>
  </si>
  <si>
    <t>ФССЦ-2001, 01.7.02.10-0005, приказ Минстроя России № 876/пр от 26.12.2019</t>
  </si>
  <si>
    <t>Бумага ролевая</t>
  </si>
  <si>
    <t>01.7.07.13-0001</t>
  </si>
  <si>
    <t>ФССЦ-2001, 01.7.07.13-0001, приказ Минстроя России № 876/пр от 26.12.2019</t>
  </si>
  <si>
    <t>Мука андезитовая кислотоупорная, А</t>
  </si>
  <si>
    <t>01.7.17.05-0021</t>
  </si>
  <si>
    <t>ФССЦ-2001, 01.7.17.05-0021, приказ Минстроя России № 876/пр от 26.12.2019</t>
  </si>
  <si>
    <t>Карборунд</t>
  </si>
  <si>
    <t>01.7.20.08-0051</t>
  </si>
  <si>
    <t>ФССЦ-2001, 01.7.20.08-0051, приказ Минстроя России № 876/пр от 26.12.2019</t>
  </si>
  <si>
    <t>Ветошь</t>
  </si>
  <si>
    <t>02.4.03.02-0001</t>
  </si>
  <si>
    <t>ФССЦ-2001, 02.4.03.02-0001, приказ Минстроя России № 876/пр от 26.12.2019</t>
  </si>
  <si>
    <t>Щебень пористый из металлургического шлака М 600, фракция 5-10 мм</t>
  </si>
  <si>
    <t>04.3.01.12-0111</t>
  </si>
  <si>
    <t>ФССЦ-2001, 04.3.01.12-0111, приказ Минстроя России № 876/пр от 26.12.2019</t>
  </si>
  <si>
    <t>Раствор готовый отделочный тяжелый, цементно-известковый, состав 1:1:6</t>
  </si>
  <si>
    <t>08.3.03.05-0017</t>
  </si>
  <si>
    <t>ФССЦ-2001, 08.3.03.05-0017, приказ Минстроя России № 876/пр от 26.12.2019</t>
  </si>
  <si>
    <t>Проволока стальная низкоуглеродистая разного назначения оцинкованная, диаметр 3,0 мм</t>
  </si>
  <si>
    <t>1-100-38</t>
  </si>
  <si>
    <t>Затраты труда рабочих (Средний разряд - 3,8)</t>
  </si>
  <si>
    <t>1-100-37</t>
  </si>
  <si>
    <t>Затраты труда рабочих (Средний разряд - 3,7)</t>
  </si>
  <si>
    <t>01.7.15.14-0166</t>
  </si>
  <si>
    <t>ФССЦ-2001, 01.7.15.14-0166, приказ Минстроя России № 876/пр от 26.12.2019</t>
  </si>
  <si>
    <t>Шурупы с полукруглой головкой 5x35 мм</t>
  </si>
  <si>
    <t>1-100-49</t>
  </si>
  <si>
    <t>Затраты труда рабочих (Средний разряд - 4,9)</t>
  </si>
  <si>
    <t>91.06.03-060</t>
  </si>
  <si>
    <t>ФСЭМ-2001, 91.06.03-060 , приказ Минстроя России № 876/пр от 26.12.2019</t>
  </si>
  <si>
    <t>Лебедки электрические тяговым усилием до 5,79 кН (0,59 т)</t>
  </si>
  <si>
    <t>91.21.01-012</t>
  </si>
  <si>
    <t>ФСЭМ-2001, 91.21.01-012 , приказ Минстроя России № 876/пр от 26.12.2019</t>
  </si>
  <si>
    <t>Агрегаты окрасочные высокого давления для окраски поверхностей конструкций, мощность 1 кВт</t>
  </si>
  <si>
    <t>14.4.01.09-0430</t>
  </si>
  <si>
    <t>ФССЦ-2001, 14.4.01.09-0430, приказ Минстроя России № 876/пр от 26.12.2019</t>
  </si>
  <si>
    <t>Грунтовка двухкомпонентная на основе эпоксидной смолы</t>
  </si>
  <si>
    <t>14.5.09.04-0111</t>
  </si>
  <si>
    <t>ФССЦ-2001, 14.5.09.04-0111, приказ Минстроя России № 876/пр от 26.12.2019</t>
  </si>
  <si>
    <t>Отвердитель № 1</t>
  </si>
  <si>
    <t>14.5.09.07-0022</t>
  </si>
  <si>
    <t>ФССЦ-2001, 14.5.09.07-0022, приказ Минстроя России № 876/пр от 26.12.2019</t>
  </si>
  <si>
    <t>Растворитель № 646</t>
  </si>
  <si>
    <t>1-100-35</t>
  </si>
  <si>
    <t>Затраты труда рабочих (Средний разряд - 3,5)</t>
  </si>
  <si>
    <t>14.4.04.11-0005</t>
  </si>
  <si>
    <t>ФССЦ-2001, 14.4.04.11-0005, приказ Минстроя России № 876/пр от 26.12.2019</t>
  </si>
  <si>
    <t>Эмаль двухкомпонентная из сополимера винилхлорида, модифицированного эпоксидной смолой</t>
  </si>
  <si>
    <t>14.5.09.04-0115</t>
  </si>
  <si>
    <t>ФССЦ-2001, 14.5.09.04-0115, приказ Минстроя России № 876/пр от 26.12.2019</t>
  </si>
  <si>
    <t>Отвердитель амино-фенольный</t>
  </si>
  <si>
    <t>14.5.09.07-0030</t>
  </si>
  <si>
    <t>ФССЦ-2001, 14.5.09.07-0030, приказ Минстроя России № 876/пр от 26.12.2019</t>
  </si>
  <si>
    <t>Растворитель Р-4</t>
  </si>
  <si>
    <t>04.1.02.05</t>
  </si>
  <si>
    <t>Смеси бетонные тяжелого бетона</t>
  </si>
  <si>
    <t>421/пр_2020_п.58_пп.б</t>
  </si>
  <si>
    <t>Методика 421/пр (О.П.)</t>
  </si>
  <si>
    <t>письмо Минстроя России от 23.07.2026 № 45358-ИФ/09. Регистрационный номер 420; письмо Минстроя России от 23.07.2026 № 45358-ИФ/09. Регистрационный номер 420; письмо Минстроя России от 23.07.2026 № 45358-ИФ/09. Регистрационный номер 420; письмо Минстроя России от 23.07.2026 № 45358-ИФ/09. Регистрационный номер 420;</t>
  </si>
  <si>
    <t>При отсутствии необходимых норм (единичных расценок), включенных в сборники ГЭСНр (ФЕРр, ТЕРр), сметные затраты на работы по капитальному ремонту и реконструкции объектов капитального строительства могут быть определены 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</t>
  </si>
  <si>
    <t>Поправка: 421/пр_2020_п.58_пп.б Наименование: При отсутствии необходимых норм (единичных расценок), включенных в сборники ГЭСНр (ФЕРр, ТЕРр), сметные затраты на работы по капитальному ремонту и реконструкции объектов капитального строительства могут быть определены 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</t>
  </si>
  <si>
    <t>"СОГЛАСОВАНО"</t>
  </si>
  <si>
    <t>"УТВЕРЖДАЮ"</t>
  </si>
  <si>
    <t>"_____"________________ 2026 г.</t>
  </si>
  <si>
    <t>(наименование стройки)</t>
  </si>
  <si>
    <t>Сметная стоимость</t>
  </si>
  <si>
    <t>тыс. руб.</t>
  </si>
  <si>
    <t>№ п/п</t>
  </si>
  <si>
    <t>Наименование работ и затрат</t>
  </si>
  <si>
    <t>%</t>
  </si>
  <si>
    <t>[должность,подпись(инициалы,фамилия)]</t>
  </si>
  <si>
    <t>TYPE</t>
  </si>
  <si>
    <t>SOURCE_LINK</t>
  </si>
  <si>
    <t>RABMAT_EX</t>
  </si>
  <si>
    <t>TIP_RAB</t>
  </si>
  <si>
    <t>TYPE_TRUD</t>
  </si>
  <si>
    <t>TAB</t>
  </si>
  <si>
    <t>NAME</t>
  </si>
  <si>
    <t>EDIZM</t>
  </si>
  <si>
    <t>KOLL</t>
  </si>
  <si>
    <t>UCH</t>
  </si>
  <si>
    <t>PRICE_B</t>
  </si>
  <si>
    <t>PRICE_ED</t>
  </si>
  <si>
    <t>STOIM_B</t>
  </si>
  <si>
    <t>PRICE_C</t>
  </si>
  <si>
    <t>STOIM_C</t>
  </si>
  <si>
    <t>ZPM_B</t>
  </si>
  <si>
    <t>ZPM_ED</t>
  </si>
  <si>
    <t>STOIM_ZPM_B</t>
  </si>
  <si>
    <t>ZPM_C</t>
  </si>
  <si>
    <t>STOIM_ZPM_C</t>
  </si>
  <si>
    <t>CRC_GR_RES</t>
  </si>
  <si>
    <t>CRC_B</t>
  </si>
  <si>
    <t>CRC_C</t>
  </si>
  <si>
    <t>RABMAT</t>
  </si>
  <si>
    <t>WBS</t>
  </si>
  <si>
    <t>CBSI</t>
  </si>
  <si>
    <t>CBSII</t>
  </si>
  <si>
    <t>TechSpecCVORPP</t>
  </si>
  <si>
    <t>BuildingFinished</t>
  </si>
  <si>
    <t>PEREVOZKA</t>
  </si>
  <si>
    <t>Trud</t>
  </si>
  <si>
    <t>Mash</t>
  </si>
  <si>
    <t>Mat</t>
  </si>
  <si>
    <t>MatZak</t>
  </si>
  <si>
    <t>Oborud</t>
  </si>
  <si>
    <t>OborudZak</t>
  </si>
  <si>
    <t>ZeroStoim</t>
  </si>
  <si>
    <t>NegativeKoll</t>
  </si>
  <si>
    <t>ReUnionKollResurcy</t>
  </si>
  <si>
    <t>UnionOneUchRes</t>
  </si>
  <si>
    <t>IdLevel</t>
  </si>
  <si>
    <t>ViewCodes</t>
  </si>
  <si>
    <t>UnionCodes</t>
  </si>
  <si>
    <t>Обоснование</t>
  </si>
  <si>
    <t>Единица измерения</t>
  </si>
  <si>
    <t>Наименование программного продукта</t>
  </si>
  <si>
    <t>Наименование редакции сметных нормативов</t>
  </si>
  <si>
    <t>Реквизиты приказов об утверждении дополнений и изменений к сметным нормативам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</si>
  <si>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N 326/пр </t>
  </si>
  <si>
    <t>Нормативный правовой акт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N 1452</t>
  </si>
  <si>
    <t>Наименование субъекта Российской Федерации</t>
  </si>
  <si>
    <t>Наименование зоны субъекта Российской Федерации</t>
  </si>
  <si>
    <t>(наименование объекта капитального строительства)</t>
  </si>
  <si>
    <t>(наименование работ и затрат)</t>
  </si>
  <si>
    <t>Составлен</t>
  </si>
  <si>
    <t>методом</t>
  </si>
  <si>
    <t>Основание</t>
  </si>
  <si>
    <t>(проектная и (или) иная техническая документация)</t>
  </si>
  <si>
    <t>в том числе:</t>
  </si>
  <si>
    <t>Средства на оплату труда рабочих</t>
  </si>
  <si>
    <t>строительных работ</t>
  </si>
  <si>
    <t xml:space="preserve">Нормативные затраты труда рабочих </t>
  </si>
  <si>
    <t xml:space="preserve">монтажных работ    </t>
  </si>
  <si>
    <t xml:space="preserve">Нормативные затраты труда машинистов </t>
  </si>
  <si>
    <t xml:space="preserve">оборудования         </t>
  </si>
  <si>
    <t xml:space="preserve">прочих затрат       </t>
  </si>
  <si>
    <t>Количество</t>
  </si>
  <si>
    <t>Сметная стоимость в базисном уровне цен (в текущем уровне цен (гр.8) для ресурсов, отсутствующих в ФРСН), руб.</t>
  </si>
  <si>
    <t>Индексы</t>
  </si>
  <si>
    <t>Сметная стоимость в текущем уровне цен, руб.</t>
  </si>
  <si>
    <t>на единицу измерения</t>
  </si>
  <si>
    <t>коэффициенты</t>
  </si>
  <si>
    <t>всего с учетом коэффициентов</t>
  </si>
  <si>
    <t>всего</t>
  </si>
  <si>
    <t>Программа для ЭВМ «Программа: «Smeta.RU» версия 11»</t>
  </si>
  <si>
    <t>Базисно-индексным</t>
  </si>
  <si>
    <t>Раздел: 1. Крыльцо</t>
  </si>
  <si>
    <t>ОТ</t>
  </si>
  <si>
    <t>ЭМ</t>
  </si>
  <si>
    <t>в т.ч. ОТм</t>
  </si>
  <si>
    <t>ЗТ</t>
  </si>
  <si>
    <t>ЗТм</t>
  </si>
  <si>
    <t>Итого по расценке</t>
  </si>
  <si>
    <t>1.1</t>
  </si>
  <si>
    <t>ФОТ</t>
  </si>
  <si>
    <t>НР Полы</t>
  </si>
  <si>
    <t>СП Полы</t>
  </si>
  <si>
    <t>Всего по позиции</t>
  </si>
  <si>
    <t>=</t>
  </si>
  <si>
    <t>М</t>
  </si>
  <si>
    <t>НР Прочие ремонтно-строительные работы</t>
  </si>
  <si>
    <t>СП Прочие ремонтно-строительные работы</t>
  </si>
  <si>
    <t>3.1</t>
  </si>
  <si>
    <t>НР Благоустройство</t>
  </si>
  <si>
    <t>СП Благоустройство</t>
  </si>
  <si>
    <t>ОТ *1,15; ЭМ *1,25; ОТм *1,25; ЗТ *1,15; ЗТм *1,25; НР *0,9; СП *0,85</t>
  </si>
  <si>
    <t>Пр/812-006.0-1;_x000D_
п.25</t>
  </si>
  <si>
    <t>НР Бетонные и железобетонные монолитные конструкции и работы в строительстве</t>
  </si>
  <si>
    <t>Пр/774-006.0;_x000D_
п.16</t>
  </si>
  <si>
    <t>СП Бетонные и железобетонные монолитные конструкции и работы в строительстве</t>
  </si>
  <si>
    <t>7.1</t>
  </si>
  <si>
    <t>8.1</t>
  </si>
  <si>
    <t>Исключен
Плитка керамическая неглазурованная для полов гладкая, одноцветная с красителем квадратная и прямоугольная</t>
  </si>
  <si>
    <t>8.2</t>
  </si>
  <si>
    <t>Исключен
Раствор готовый кладочный, цементный, М200</t>
  </si>
  <si>
    <t>8.3</t>
  </si>
  <si>
    <t>8.4</t>
  </si>
  <si>
    <t>Пр/812-011.0-1;_x000D_
п.25</t>
  </si>
  <si>
    <t>Пр/774-011.0;_x000D_
п.16</t>
  </si>
  <si>
    <r>
      <t>Облицовка ступеней и подступенников мраморными полированными плитами  (прим. керамогранитными плитками)</t>
    </r>
    <r>
      <rPr>
        <i/>
        <sz val="10"/>
        <rFont val="Arial"/>
        <family val="2"/>
        <charset val="204"/>
      </rPr>
      <t xml:space="preserve">
Поправки к: 
ЭМ *1,25;   
ОТм *1,25;   
ОТ *1,15;   
ЗТ *1,15;   
ЗТм *1,25</t>
    </r>
  </si>
  <si>
    <t>9.3</t>
  </si>
  <si>
    <t>НР Отделочные работы</t>
  </si>
  <si>
    <t>СП Отделочные работы</t>
  </si>
  <si>
    <t>10.1</t>
  </si>
  <si>
    <t>Пр/812-015.0-1;_x000D_
п.25</t>
  </si>
  <si>
    <t>Пр/774-015.0;_x000D_
п.16</t>
  </si>
  <si>
    <t>11.3</t>
  </si>
  <si>
    <t>Пр/812-009.0-1;_x000D_
п.25</t>
  </si>
  <si>
    <t>НР Строительные металлические конструкции</t>
  </si>
  <si>
    <t>Пр/774-009.0;_x000D_
п.16</t>
  </si>
  <si>
    <t>СП Строительные металлические конструкции</t>
  </si>
  <si>
    <t>Пр/812-013.0-1;_x000D_
п.25</t>
  </si>
  <si>
    <t>НР Защита строительных конструкций и оборудования от коррозии</t>
  </si>
  <si>
    <t>Пр/774-013.0;_x000D_
п.16</t>
  </si>
  <si>
    <t>СП Защита строительных конструкций и оборудования от коррозии</t>
  </si>
  <si>
    <t>Итого прямые затраты по разделу</t>
  </si>
  <si>
    <t>в том числе</t>
  </si>
  <si>
    <t xml:space="preserve">  оплата труда</t>
  </si>
  <si>
    <t xml:space="preserve">  эксплуатация машин и механизмов</t>
  </si>
  <si>
    <t xml:space="preserve">  в том числе</t>
  </si>
  <si>
    <t xml:space="preserve">    эксплуатация машин и механизмов без учета доплат к оплате труда машинистов</t>
  </si>
  <si>
    <t xml:space="preserve">    в том числе</t>
  </si>
  <si>
    <t xml:space="preserve">      оплата труда машинистов (ОТм)</t>
  </si>
  <si>
    <t xml:space="preserve">    доплаты к оплате труда машинистов</t>
  </si>
  <si>
    <t xml:space="preserve">  материальные ресурсы</t>
  </si>
  <si>
    <t xml:space="preserve">    материальные ресурсы без учета дополнительной перевозки</t>
  </si>
  <si>
    <t xml:space="preserve">    дополнительная перевозка материальных ресурсов</t>
  </si>
  <si>
    <t xml:space="preserve">  перевозка</t>
  </si>
  <si>
    <t>Всего ФОТ (справочно)</t>
  </si>
  <si>
    <t>Всего накладные расходы</t>
  </si>
  <si>
    <t>Всего сметная прибыль</t>
  </si>
  <si>
    <t>Итого оборудование</t>
  </si>
  <si>
    <t xml:space="preserve">  оборудование без учета дополнительной перевозки</t>
  </si>
  <si>
    <t xml:space="preserve">  дополнительная перевозка оборудования</t>
  </si>
  <si>
    <t>Итого прочие затраты</t>
  </si>
  <si>
    <t>Итого хозяйственный инвентарь</t>
  </si>
  <si>
    <t>Итого по разделу</t>
  </si>
  <si>
    <t>Справочно</t>
  </si>
  <si>
    <t xml:space="preserve">  материальные ресурсы, отсутствующие в ФРСН</t>
  </si>
  <si>
    <t xml:space="preserve">  оборудование, отсутствующие в ФРСН</t>
  </si>
  <si>
    <t xml:space="preserve">  затраты труда рабочих</t>
  </si>
  <si>
    <t xml:space="preserve">  затраты труда машинистов</t>
  </si>
  <si>
    <t>ИТОГИ ПО СМЕТЕ</t>
  </si>
  <si>
    <t>ВСЕГО строительные работы</t>
  </si>
  <si>
    <t>Всего прямые затраты</t>
  </si>
  <si>
    <t xml:space="preserve">  оплата труда (ОТ)</t>
  </si>
  <si>
    <t>ФОТ (справочно)</t>
  </si>
  <si>
    <t>накладные расходы</t>
  </si>
  <si>
    <t>сметная прибыль</t>
  </si>
  <si>
    <t>ВСЕГО монтажные работы</t>
  </si>
  <si>
    <t>ВСЕГО оборудование</t>
  </si>
  <si>
    <t>ВСЕГО прочие затраты</t>
  </si>
  <si>
    <t xml:space="preserve">   прочие затраты</t>
  </si>
  <si>
    <t xml:space="preserve">   Хозяйственный инвентарь</t>
  </si>
  <si>
    <t>Пусконаладочные работы</t>
  </si>
  <si>
    <t>ВСЕГО по смете</t>
  </si>
  <si>
    <t>Всего оборудование</t>
  </si>
  <si>
    <t>Всего прочие затраты</t>
  </si>
  <si>
    <t xml:space="preserve">Составил   </t>
  </si>
  <si>
    <t xml:space="preserve">Проверил   </t>
  </si>
  <si>
    <t>с НДС22%</t>
  </si>
  <si>
    <t>Составлена в ценах III квартал 2026 года (1.01.2000) Капитальный ремонт жилых и общественных зданий</t>
  </si>
  <si>
    <t>Дефектная ведомость</t>
  </si>
  <si>
    <t>ЛОКАЛЬНАЯ СМЕТА № 2</t>
  </si>
  <si>
    <t>Костромская межрайонная природоохранная прокуратура</t>
  </si>
  <si>
    <t>Волжская межрегиональная природоохранная прокуратура</t>
  </si>
  <si>
    <t>Письма Минстроя России: от 23.07.2026 г №45358-ИФ/09;  от 13.08.2026 г. №50058-ИФ/09</t>
  </si>
  <si>
    <t>Центральный Федеральный округ</t>
  </si>
  <si>
    <t>(44) Костромская область</t>
  </si>
  <si>
    <t>ремонт крыльца Костромской межрайонной природоохранной прокуратуры по адресу :г.Кострома, пер.Кадыевский,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</si>
</sst>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\-\ #,##0.00"/>
    <numFmt numFmtId="165" formatCode="0.000"/>
  </numFmts>
  <fonts count="20" x14ac:knownFonts="1">
    <font>
      <sz val="10"/>
      <name val="Arial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 Cyr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vertical="top" wrapText="1"/>
    </xf>
    <xf numFmtId="164" fontId="0" fillId="0" borderId="0" xfId="0" applyNumberFormat="1"/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64" fontId="5" fillId="0" borderId="0" xfId="0" applyNumberFormat="1" applyFont="1" applyAlignment="1">
      <alignment horizontal="right"/>
    </xf>
    <xf numFmtId="0" fontId="9" fillId="0" borderId="0" xfId="0" applyNumberFormat="1" applyFont="1" applyAlignment="1"/>
    <xf numFmtId="0" fontId="12" fillId="0" borderId="0" xfId="0" applyNumberFormat="1" applyFont="1" applyAlignment="1"/>
    <xf numFmtId="0" fontId="14" fillId="0" borderId="0" xfId="0" applyNumberFormat="1" applyFont="1" applyAlignment="1"/>
    <xf numFmtId="0" fontId="14" fillId="0" borderId="0" xfId="0" applyNumberFormat="1" applyFont="1" applyAlignment="1">
      <alignment horizontal="left"/>
    </xf>
    <xf numFmtId="0" fontId="14" fillId="0" borderId="0" xfId="0" applyNumberFormat="1" applyFont="1" applyAlignment="1">
      <alignment wrapText="1"/>
    </xf>
    <xf numFmtId="0" fontId="8" fillId="0" borderId="0" xfId="0" applyNumberFormat="1" applyFont="1" applyAlignment="1"/>
    <xf numFmtId="0" fontId="8" fillId="0" borderId="0" xfId="0" applyNumberFormat="1" applyFont="1" applyAlignment="1">
      <alignment vertical="top" wrapText="1"/>
    </xf>
    <xf numFmtId="0" fontId="8" fillId="0" borderId="1" xfId="0" applyNumberFormat="1" applyFont="1" applyBorder="1" applyAlignment="1">
      <alignment vertical="top"/>
    </xf>
    <xf numFmtId="0" fontId="8" fillId="0" borderId="0" xfId="0" applyNumberFormat="1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 wrapText="1"/>
    </xf>
    <xf numFmtId="0" fontId="9" fillId="0" borderId="1" xfId="0" applyNumberFormat="1" applyFont="1" applyBorder="1" applyAlignment="1"/>
    <xf numFmtId="0" fontId="17" fillId="0" borderId="0" xfId="0" applyNumberFormat="1" applyFont="1" applyAlignment="1">
      <alignment vertical="center" wrapText="1"/>
    </xf>
    <xf numFmtId="0" fontId="17" fillId="0" borderId="0" xfId="0" applyNumberFormat="1" applyFont="1" applyAlignment="1">
      <alignment horizontal="center" wrapText="1"/>
    </xf>
    <xf numFmtId="0" fontId="8" fillId="0" borderId="2" xfId="0" applyNumberFormat="1" applyFont="1" applyBorder="1" applyAlignment="1">
      <alignment horizontal="center"/>
    </xf>
    <xf numFmtId="0" fontId="8" fillId="0" borderId="1" xfId="0" applyNumberFormat="1" applyFont="1" applyBorder="1" applyAlignment="1"/>
    <xf numFmtId="0" fontId="8" fillId="0" borderId="0" xfId="0" applyNumberFormat="1" applyFont="1" applyAlignment="1">
      <alignment horizontal="left" wrapText="1"/>
    </xf>
    <xf numFmtId="0" fontId="8" fillId="0" borderId="0" xfId="0" applyNumberFormat="1" applyFont="1" applyAlignment="1">
      <alignment wrapText="1"/>
    </xf>
    <xf numFmtId="14" fontId="14" fillId="0" borderId="0" xfId="0" applyNumberFormat="1" applyFont="1" applyAlignment="1"/>
    <xf numFmtId="0" fontId="11" fillId="0" borderId="0" xfId="0" applyNumberFormat="1" applyFont="1" applyAlignment="1"/>
    <xf numFmtId="0" fontId="15" fillId="0" borderId="0" xfId="0" applyNumberFormat="1" applyFont="1" applyAlignment="1"/>
    <xf numFmtId="165" fontId="14" fillId="0" borderId="0" xfId="0" applyNumberFormat="1" applyFont="1" applyAlignment="1"/>
    <xf numFmtId="0" fontId="14" fillId="0" borderId="2" xfId="0" applyNumberFormat="1" applyFont="1" applyBorder="1" applyAlignment="1"/>
    <xf numFmtId="0" fontId="8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/>
    </xf>
    <xf numFmtId="0" fontId="14" fillId="0" borderId="3" xfId="0" applyNumberFormat="1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0" fontId="6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164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3" fillId="0" borderId="2" xfId="0" quotePrefix="1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0" fontId="5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164" fontId="5" fillId="0" borderId="1" xfId="0" applyNumberFormat="1" applyFont="1" applyBorder="1" applyAlignment="1">
      <alignment horizontal="right" vertical="top"/>
    </xf>
    <xf numFmtId="164" fontId="8" fillId="0" borderId="0" xfId="0" applyNumberFormat="1" applyFont="1" applyAlignment="1">
      <alignment horizontal="right"/>
    </xf>
    <xf numFmtId="164" fontId="14" fillId="0" borderId="0" xfId="0" applyNumberFormat="1" applyFont="1" applyAlignment="1"/>
    <xf numFmtId="164" fontId="8" fillId="0" borderId="0" xfId="0" applyNumberFormat="1" applyFont="1" applyAlignment="1"/>
    <xf numFmtId="0" fontId="14" fillId="0" borderId="2" xfId="0" applyNumberFormat="1" applyFont="1" applyBorder="1" applyAlignment="1">
      <alignment horizontal="left"/>
    </xf>
    <xf numFmtId="4" fontId="3" fillId="0" borderId="2" xfId="0" applyNumberFormat="1" applyFont="1" applyBorder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4" fontId="8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11" fillId="0" borderId="0" xfId="0" applyNumberFormat="1" applyFont="1" applyAlignment="1">
      <alignment horizontal="right"/>
    </xf>
    <xf numFmtId="0" fontId="0" fillId="0" borderId="21" xfId="0" applyNumberFormat="1" applyFont="1" applyBorder="1" applyAlignment="1">
      <alignment vertical="top"/>
    </xf>
    <xf numFmtId="0" fontId="10" fillId="0" borderId="0" xfId="0" applyFont="1"/>
    <xf numFmtId="0" fontId="5" fillId="0" borderId="0" xfId="0" applyFont="1" applyAlignment="1">
      <alignment horizontal="left" wrapText="1"/>
    </xf>
    <xf numFmtId="0" fontId="14" fillId="0" borderId="0" xfId="0" applyNumberFormat="1" applyFont="1" applyAlignment="1">
      <alignment horizontal="left" wrapText="1"/>
    </xf>
    <xf numFmtId="0" fontId="8" fillId="0" borderId="0" xfId="0" applyNumberFormat="1" applyFont="1" applyAlignment="1">
      <alignment vertical="top" wrapText="1"/>
    </xf>
    <xf numFmtId="0" fontId="8" fillId="0" borderId="2" xfId="0" applyNumberFormat="1" applyFont="1" applyBorder="1" applyAlignment="1">
      <alignment horizontal="left" vertical="top" wrapText="1"/>
    </xf>
    <xf numFmtId="0" fontId="0" fillId="0" borderId="20" xfId="0" applyNumberFormat="1" applyFont="1" applyBorder="1" applyAlignment="1">
      <alignment wrapText="1"/>
    </xf>
    <xf numFmtId="0" fontId="13" fillId="0" borderId="0" xfId="0" applyNumberFormat="1" applyFont="1" applyAlignment="1">
      <alignment horizontal="left"/>
    </xf>
    <xf numFmtId="0" fontId="14" fillId="0" borderId="0" xfId="0" applyNumberFormat="1" applyFont="1" applyAlignment="1">
      <alignment horizontal="left"/>
    </xf>
    <xf numFmtId="0" fontId="13" fillId="0" borderId="2" xfId="0" applyNumberFormat="1" applyFont="1" applyBorder="1" applyAlignment="1">
      <alignment horizontal="center" wrapText="1"/>
    </xf>
    <xf numFmtId="0" fontId="16" fillId="0" borderId="1" xfId="0" applyNumberFormat="1" applyFont="1" applyBorder="1" applyAlignment="1">
      <alignment horizontal="center" vertical="top" wrapText="1"/>
    </xf>
    <xf numFmtId="0" fontId="8" fillId="0" borderId="0" xfId="0" applyNumberFormat="1" applyFont="1" applyAlignment="1">
      <alignment horizontal="left" vertical="top" wrapText="1"/>
    </xf>
    <xf numFmtId="0" fontId="0" fillId="0" borderId="20" xfId="0" applyNumberFormat="1" applyFont="1" applyBorder="1" applyAlignment="1">
      <alignment horizontal="left" wrapText="1"/>
    </xf>
    <xf numFmtId="164" fontId="8" fillId="0" borderId="0" xfId="0" applyNumberFormat="1" applyFont="1" applyAlignment="1">
      <alignment horizontal="right"/>
    </xf>
    <xf numFmtId="0" fontId="8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 wrapText="1"/>
    </xf>
    <xf numFmtId="0" fontId="18" fillId="0" borderId="2" xfId="0" applyNumberFormat="1" applyFont="1" applyBorder="1" applyAlignment="1">
      <alignment horizontal="center" wrapText="1"/>
    </xf>
    <xf numFmtId="0" fontId="8" fillId="0" borderId="2" xfId="0" applyNumberFormat="1" applyFont="1" applyBorder="1" applyAlignment="1">
      <alignment horizontal="left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/>
    </xf>
    <xf numFmtId="164" fontId="5" fillId="0" borderId="1" xfId="0" applyNumberFormat="1" applyFont="1" applyBorder="1" applyAlignment="1">
      <alignment horizontal="right" vertical="top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0" fontId="8" fillId="0" borderId="1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0" xfId="0" applyNumberFormat="1" applyFont="1" applyAlignment="1">
      <alignment horizontal="right" vertical="center"/>
    </xf>
    <xf numFmtId="0" fontId="19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86;&#1074;&#1099;&#1081;%20&#1086;&#1073;&#1098;&#1077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по ФЕР 421+557пр (12"/>
      <sheetName val="Source"/>
      <sheetName val="SourceObSm"/>
      <sheetName val="SmtRes"/>
      <sheetName val="EtalonRes"/>
      <sheetName val="SrcPoprs"/>
      <sheetName val="SrcKA"/>
    </sheetNames>
    <sheetDataSet>
      <sheetData sheetId="0"/>
      <sheetData sheetId="1">
        <row r="12">
          <cell r="CQ12" t="str">
            <v>Приказ Минстроя России от 26.12.2019 г. № 876/пр;   Приказ Минстроя России от 04.08.2020 г. № 421/пр;  Приказ Минстроя России от 21.12.2020 г. № 812/пр;  Приказ Минстроя России от 11.12.2020 г. № 774/пр</v>
          </cell>
          <cell r="CV12" t="str">
            <v>Приказ Минстроя России от 30.03.2020 г. № 172/пр; Приказ Минстроя России от 01.06.2020 г. № 294/пр;   Приказ Минстроя России от 30.06.2020 г. № 352/пр; Приказ Минстроя России от 20.10.2020 г. № 636/пр; Приказ Минстроя России от 9.02.2021 г. № 51/пр;   Приказ Минстроя России от 24.05.2021 г. № 321/пр; Приказ Минстроя России от 24.06.2021 г. № 408/пр; Приказ Минстроя России от 14.10.2021 г. № 746/пр; Приказ Минстроя России от 20.12.2021 г. № 962/пр;  Приказ Минстроя России от 07.07.2022 г. № 557/пр, Приказ Минстроя России от 30.01.2024 г. № 55/пр;  Приказ Минстроя России от 02.09.2021 г. № 636/пр, Приказ Минстроя России от 26.07.2022 г. № 611/пр;  Приказ Минстроя России от 22.04.2022 г. № 317/пр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2"/>
  <sheetViews>
    <sheetView workbookViewId="0"/>
  </sheetViews>
  <sheetFormatPr defaultRowHeight="12.75" x14ac:dyDescent="0.2"/>
  <sheetData>
    <row r="1" spans="1:28" x14ac:dyDescent="0.2">
      <c r="A1" t="s">
        <v>498</v>
      </c>
      <c r="B1" t="s">
        <v>500</v>
      </c>
      <c r="C1" t="s">
        <v>501</v>
      </c>
      <c r="D1" t="s">
        <v>502</v>
      </c>
      <c r="E1" t="s">
        <v>503</v>
      </c>
      <c r="F1" t="s">
        <v>504</v>
      </c>
      <c r="G1" t="s">
        <v>505</v>
      </c>
      <c r="H1" t="s">
        <v>506</v>
      </c>
      <c r="I1" t="s">
        <v>507</v>
      </c>
      <c r="J1" t="s">
        <v>508</v>
      </c>
      <c r="K1" t="s">
        <v>509</v>
      </c>
      <c r="L1" t="s">
        <v>510</v>
      </c>
      <c r="M1" t="s">
        <v>511</v>
      </c>
      <c r="N1" t="s">
        <v>512</v>
      </c>
      <c r="O1" t="s">
        <v>499</v>
      </c>
    </row>
    <row r="2" spans="1:28" x14ac:dyDescent="0.2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0</v>
      </c>
      <c r="I2">
        <v>1</v>
      </c>
      <c r="J2">
        <v>0</v>
      </c>
      <c r="K2">
        <v>1</v>
      </c>
      <c r="L2">
        <v>53360025</v>
      </c>
      <c r="M2">
        <v>0</v>
      </c>
      <c r="N2">
        <v>0</v>
      </c>
      <c r="O2">
        <v>0</v>
      </c>
    </row>
    <row r="4" spans="1:28" x14ac:dyDescent="0.2">
      <c r="A4" t="s">
        <v>470</v>
      </c>
      <c r="B4" t="s">
        <v>471</v>
      </c>
      <c r="C4" t="s">
        <v>472</v>
      </c>
      <c r="D4" t="s">
        <v>473</v>
      </c>
      <c r="E4" t="s">
        <v>474</v>
      </c>
      <c r="F4" t="s">
        <v>475</v>
      </c>
      <c r="G4" t="s">
        <v>476</v>
      </c>
      <c r="H4" t="s">
        <v>477</v>
      </c>
      <c r="I4" t="s">
        <v>478</v>
      </c>
      <c r="J4" t="s">
        <v>479</v>
      </c>
      <c r="K4" t="s">
        <v>480</v>
      </c>
      <c r="L4" t="s">
        <v>481</v>
      </c>
      <c r="M4" t="s">
        <v>482</v>
      </c>
      <c r="N4" t="s">
        <v>483</v>
      </c>
      <c r="O4" t="s">
        <v>484</v>
      </c>
      <c r="P4" t="s">
        <v>485</v>
      </c>
      <c r="Q4" t="s">
        <v>486</v>
      </c>
      <c r="R4" t="s">
        <v>487</v>
      </c>
      <c r="S4" t="s">
        <v>488</v>
      </c>
      <c r="T4" t="s">
        <v>489</v>
      </c>
      <c r="U4" t="s">
        <v>493</v>
      </c>
      <c r="V4" t="s">
        <v>494</v>
      </c>
      <c r="W4" t="s">
        <v>495</v>
      </c>
      <c r="X4" t="s">
        <v>496</v>
      </c>
      <c r="Y4" t="s">
        <v>497</v>
      </c>
      <c r="Z4" t="s">
        <v>490</v>
      </c>
      <c r="AA4" t="s">
        <v>491</v>
      </c>
      <c r="AB4" t="s">
        <v>492</v>
      </c>
    </row>
    <row r="6" spans="1:28" x14ac:dyDescent="0.2">
      <c r="A6">
        <f>Source!A20</f>
        <v>3</v>
      </c>
      <c r="B6">
        <v>20</v>
      </c>
      <c r="G6" t="str">
        <f>Source!G20</f>
        <v>Ремонт крыльца</v>
      </c>
    </row>
    <row r="7" spans="1:28" x14ac:dyDescent="0.2">
      <c r="A7">
        <f>Source!A24</f>
        <v>4</v>
      </c>
      <c r="B7">
        <v>24</v>
      </c>
      <c r="G7" t="str">
        <f>Source!G24</f>
        <v>1. Крыльцо</v>
      </c>
    </row>
    <row r="8" spans="1:28" x14ac:dyDescent="0.2">
      <c r="A8">
        <v>20</v>
      </c>
      <c r="B8">
        <v>3</v>
      </c>
      <c r="C8">
        <v>2</v>
      </c>
      <c r="D8">
        <v>0</v>
      </c>
      <c r="E8">
        <f>SmtRes!AV3</f>
        <v>0</v>
      </c>
      <c r="F8" t="str">
        <f>SmtRes!I3</f>
        <v>91.06.06-048</v>
      </c>
      <c r="G8" t="str">
        <f>SmtRes!K3</f>
        <v>Подъемники одномачтовые, грузоподъемность до 500 кг, высота подъема 45 м</v>
      </c>
      <c r="H8" t="str">
        <f>SmtRes!O3</f>
        <v>маш.-ч.</v>
      </c>
      <c r="I8">
        <f>SmtRes!Y3*Source!I28</f>
        <v>0.1764</v>
      </c>
      <c r="J8">
        <f>SmtRes!AO3</f>
        <v>1</v>
      </c>
      <c r="K8">
        <f>SmtRes!AF3</f>
        <v>31.26</v>
      </c>
      <c r="L8">
        <f>SmtRes!DB3</f>
        <v>45.01</v>
      </c>
      <c r="M8">
        <f>ROUND(ROUND(L8*Source!I28, 6)*1, 2)</f>
        <v>5.51</v>
      </c>
      <c r="N8">
        <f>SmtRes!AB3</f>
        <v>450.77</v>
      </c>
      <c r="O8">
        <f>ROUND(ROUND(L8*Source!I28, 6)*SmtRes!DA3, 2)</f>
        <v>79.510000000000005</v>
      </c>
      <c r="P8">
        <f>SmtRes!AG3</f>
        <v>13.5</v>
      </c>
      <c r="Q8">
        <f>SmtRes!DC3</f>
        <v>19.440000000000001</v>
      </c>
      <c r="R8">
        <f>ROUND(ROUND(Q8*Source!I28, 6)*1, 2)</f>
        <v>2.38</v>
      </c>
      <c r="S8">
        <f>SmtRes!AC3</f>
        <v>530.96</v>
      </c>
      <c r="T8">
        <f>ROUND(ROUND(Q8*Source!I28, 6)*SmtRes!AK3, 2)</f>
        <v>93.66</v>
      </c>
      <c r="U8">
        <v>2</v>
      </c>
      <c r="Z8">
        <f>SmtRes!X3</f>
        <v>1232162608</v>
      </c>
      <c r="AA8">
        <v>142210996</v>
      </c>
      <c r="AB8">
        <v>550578493</v>
      </c>
    </row>
    <row r="9" spans="1:28" x14ac:dyDescent="0.2">
      <c r="A9">
        <v>20</v>
      </c>
      <c r="B9">
        <v>1</v>
      </c>
      <c r="C9">
        <v>1</v>
      </c>
      <c r="D9">
        <v>0</v>
      </c>
      <c r="E9">
        <f>SmtRes!AV1</f>
        <v>1</v>
      </c>
      <c r="F9" t="str">
        <f>SmtRes!I1</f>
        <v>1-100-30</v>
      </c>
      <c r="G9" t="str">
        <f>SmtRes!K1</f>
        <v>Затраты труда рабочих (Средний разряд - 3)</v>
      </c>
      <c r="H9" t="str">
        <f>SmtRes!O1</f>
        <v>чел.-ч.</v>
      </c>
      <c r="I9">
        <f>SmtRes!Y1*Source!I28</f>
        <v>8.559075</v>
      </c>
      <c r="J9">
        <f>SmtRes!AO1</f>
        <v>1</v>
      </c>
      <c r="K9">
        <f>SmtRes!AH1</f>
        <v>8.5299999999999994</v>
      </c>
      <c r="L9">
        <f>SmtRes!DB1</f>
        <v>595.99</v>
      </c>
      <c r="M9">
        <f>ROUND(ROUND(L9*Source!I28, 6)*1, 2)</f>
        <v>73.010000000000005</v>
      </c>
      <c r="N9">
        <f>SmtRes!AD1</f>
        <v>335.48</v>
      </c>
      <c r="O9">
        <f>ROUND(ROUND(L9*Source!I28, 6)*SmtRes!DA1, 2)</f>
        <v>2871.44</v>
      </c>
      <c r="P9">
        <f>SmtRes!AG1</f>
        <v>0</v>
      </c>
      <c r="Q9">
        <f>SmtRes!DC1</f>
        <v>0</v>
      </c>
      <c r="R9">
        <f>ROUND(ROUND(Q9*Source!I28, 6)*1, 2)</f>
        <v>0</v>
      </c>
      <c r="S9">
        <f>SmtRes!AC1</f>
        <v>0</v>
      </c>
      <c r="T9">
        <f>ROUND(ROUND(Q9*Source!I28, 6)*SmtRes!AK1, 2)</f>
        <v>0</v>
      </c>
      <c r="U9">
        <v>1</v>
      </c>
      <c r="Z9">
        <f>SmtRes!X1</f>
        <v>1049124552</v>
      </c>
      <c r="AA9">
        <v>835615299</v>
      </c>
      <c r="AB9">
        <v>1140953449</v>
      </c>
    </row>
    <row r="10" spans="1:28" x14ac:dyDescent="0.2">
      <c r="A10">
        <v>20</v>
      </c>
      <c r="B10">
        <v>6</v>
      </c>
      <c r="C10">
        <v>3</v>
      </c>
      <c r="D10">
        <v>0</v>
      </c>
      <c r="E10">
        <f>SmtRes!AV6</f>
        <v>0</v>
      </c>
      <c r="F10" t="str">
        <f>SmtRes!I6</f>
        <v>01.7.20.03-0003</v>
      </c>
      <c r="G10" t="str">
        <f>SmtRes!K6</f>
        <v>Мешки полипропиленовые (50 кг)</v>
      </c>
      <c r="H10" t="str">
        <f>SmtRes!O6</f>
        <v>100 ШТ</v>
      </c>
      <c r="I10">
        <f>SmtRes!Y6*Source!I30</f>
        <v>6.6159999999999997E-2</v>
      </c>
      <c r="J10">
        <f>SmtRes!AO6</f>
        <v>1</v>
      </c>
      <c r="K10">
        <f>SmtRes!AE6</f>
        <v>82</v>
      </c>
      <c r="L10">
        <f>SmtRes!DB6</f>
        <v>16.399999999999999</v>
      </c>
      <c r="M10">
        <f>ROUND(ROUND(L10*Source!I30, 6)*1, 2)</f>
        <v>5.43</v>
      </c>
      <c r="N10">
        <f>SmtRes!AA6</f>
        <v>720.78</v>
      </c>
      <c r="O10">
        <f>ROUND(ROUND(L10*Source!I30, 6)*SmtRes!DA6, 2)</f>
        <v>47.69</v>
      </c>
      <c r="P10">
        <f>SmtRes!AG6</f>
        <v>0</v>
      </c>
      <c r="Q10">
        <f>SmtRes!DC6</f>
        <v>0</v>
      </c>
      <c r="R10">
        <f>ROUND(ROUND(Q10*Source!I30, 6)*1, 2)</f>
        <v>0</v>
      </c>
      <c r="S10">
        <f>SmtRes!AC6</f>
        <v>0</v>
      </c>
      <c r="T10">
        <f>ROUND(ROUND(Q10*Source!I30, 6)*SmtRes!AK6, 2)</f>
        <v>0</v>
      </c>
      <c r="U10">
        <v>3</v>
      </c>
      <c r="Z10">
        <f>SmtRes!X6</f>
        <v>1029976444</v>
      </c>
      <c r="AA10">
        <v>-443216502</v>
      </c>
      <c r="AB10">
        <v>-1924617796</v>
      </c>
    </row>
    <row r="11" spans="1:28" x14ac:dyDescent="0.2">
      <c r="A11">
        <v>20</v>
      </c>
      <c r="B11">
        <v>5</v>
      </c>
      <c r="C11">
        <v>1</v>
      </c>
      <c r="D11">
        <v>0</v>
      </c>
      <c r="E11">
        <f>SmtRes!AV5</f>
        <v>1</v>
      </c>
      <c r="F11" t="str">
        <f>SmtRes!I5</f>
        <v>1-100-10</v>
      </c>
      <c r="G11" t="str">
        <f>SmtRes!K5</f>
        <v>Затраты труда рабочих (Средний разряд - 1)</v>
      </c>
      <c r="H11" t="str">
        <f>SmtRes!O5</f>
        <v>чел.-ч.</v>
      </c>
      <c r="I11">
        <f>SmtRes!Y5*Source!I30</f>
        <v>0.34072399999999997</v>
      </c>
      <c r="J11">
        <f>SmtRes!AO5</f>
        <v>1</v>
      </c>
      <c r="K11">
        <f>SmtRes!AH5</f>
        <v>7.19</v>
      </c>
      <c r="L11">
        <f>SmtRes!DB5</f>
        <v>7.41</v>
      </c>
      <c r="M11">
        <f>ROUND(ROUND(L11*Source!I30, 6)*1, 2)</f>
        <v>2.4500000000000002</v>
      </c>
      <c r="N11">
        <f>SmtRes!AD5</f>
        <v>282.77999999999997</v>
      </c>
      <c r="O11">
        <f>ROUND(ROUND(L11*Source!I30, 6)*SmtRes!DA5, 2)</f>
        <v>96.41</v>
      </c>
      <c r="P11">
        <f>SmtRes!AG5</f>
        <v>0</v>
      </c>
      <c r="Q11">
        <f>SmtRes!DC5</f>
        <v>0</v>
      </c>
      <c r="R11">
        <f>ROUND(ROUND(Q11*Source!I30, 6)*1, 2)</f>
        <v>0</v>
      </c>
      <c r="S11">
        <f>SmtRes!AC5</f>
        <v>0</v>
      </c>
      <c r="T11">
        <f>ROUND(ROUND(Q11*Source!I30, 6)*SmtRes!AK5, 2)</f>
        <v>0</v>
      </c>
      <c r="U11">
        <v>1</v>
      </c>
      <c r="Z11">
        <f>SmtRes!X5</f>
        <v>-1040088138</v>
      </c>
      <c r="AA11">
        <v>2142617330</v>
      </c>
      <c r="AB11">
        <v>130596227</v>
      </c>
    </row>
    <row r="12" spans="1:28" x14ac:dyDescent="0.2">
      <c r="A12">
        <v>20</v>
      </c>
      <c r="B12">
        <v>11</v>
      </c>
      <c r="C12">
        <v>2</v>
      </c>
      <c r="D12">
        <v>0</v>
      </c>
      <c r="E12">
        <f>SmtRes!AV11</f>
        <v>0</v>
      </c>
      <c r="F12" t="str">
        <f>SmtRes!I11</f>
        <v>91.12.06-012</v>
      </c>
      <c r="G12" t="str">
        <f>SmtRes!K11</f>
        <v>Рыхлители прицепные (без трактора)</v>
      </c>
      <c r="H12" t="str">
        <f>SmtRes!O11</f>
        <v>маш.-ч.</v>
      </c>
      <c r="I12">
        <f>SmtRes!Y11*Source!I31</f>
        <v>4.9500000000000004E-3</v>
      </c>
      <c r="J12">
        <f>SmtRes!AO11</f>
        <v>1</v>
      </c>
      <c r="K12">
        <f>SmtRes!AF11</f>
        <v>8</v>
      </c>
      <c r="L12">
        <f>SmtRes!DB11</f>
        <v>15.84</v>
      </c>
      <c r="M12">
        <f>ROUND(ROUND(L12*Source!I31, 6)*1, 2)</f>
        <v>0.04</v>
      </c>
      <c r="N12">
        <f>SmtRes!AB11</f>
        <v>115.36</v>
      </c>
      <c r="O12">
        <f>ROUND(ROUND(L12*Source!I31, 6)*SmtRes!DA11, 2)</f>
        <v>0.56999999999999995</v>
      </c>
      <c r="P12">
        <f>SmtRes!AG11</f>
        <v>0</v>
      </c>
      <c r="Q12">
        <f>SmtRes!DC11</f>
        <v>0</v>
      </c>
      <c r="R12">
        <f>ROUND(ROUND(Q12*Source!I31, 6)*1, 2)</f>
        <v>0</v>
      </c>
      <c r="S12">
        <f>SmtRes!AC11</f>
        <v>0</v>
      </c>
      <c r="T12">
        <f>ROUND(ROUND(Q12*Source!I31, 6)*SmtRes!AK11, 2)</f>
        <v>0</v>
      </c>
      <c r="U12">
        <v>2</v>
      </c>
      <c r="Z12">
        <f>SmtRes!X11</f>
        <v>257130333</v>
      </c>
      <c r="AA12">
        <v>-269575757</v>
      </c>
      <c r="AB12">
        <v>-1455139046</v>
      </c>
    </row>
    <row r="13" spans="1:28" x14ac:dyDescent="0.2">
      <c r="A13">
        <v>20</v>
      </c>
      <c r="B13">
        <v>10</v>
      </c>
      <c r="C13">
        <v>2</v>
      </c>
      <c r="D13">
        <v>0</v>
      </c>
      <c r="E13">
        <f>SmtRes!AV10</f>
        <v>0</v>
      </c>
      <c r="F13" t="str">
        <f>SmtRes!I10</f>
        <v>91.01.05-086</v>
      </c>
      <c r="G13" t="str">
        <f>SmtRes!K10</f>
        <v>Экскаваторы одноковшовые дизельные на гусеничном ходу, емкость ковша 0,65 м3</v>
      </c>
      <c r="H13" t="str">
        <f>SmtRes!O10</f>
        <v>маш.-ч.</v>
      </c>
      <c r="I13">
        <f>SmtRes!Y10*Source!I31</f>
        <v>1.9650000000000001E-2</v>
      </c>
      <c r="J13">
        <f>SmtRes!AO10</f>
        <v>1</v>
      </c>
      <c r="K13">
        <f>SmtRes!AF10</f>
        <v>115.27</v>
      </c>
      <c r="L13">
        <f>SmtRes!DB10</f>
        <v>906.02</v>
      </c>
      <c r="M13">
        <f>ROUND(ROUND(L13*Source!I31, 6)*1, 2)</f>
        <v>2.27</v>
      </c>
      <c r="N13">
        <f>SmtRes!AB10</f>
        <v>1662.19</v>
      </c>
      <c r="O13">
        <f>ROUND(ROUND(L13*Source!I31, 6)*SmtRes!DA10, 2)</f>
        <v>32.659999999999997</v>
      </c>
      <c r="P13">
        <f>SmtRes!AG10</f>
        <v>13.5</v>
      </c>
      <c r="Q13">
        <f>SmtRes!DC10</f>
        <v>106.11</v>
      </c>
      <c r="R13">
        <f>ROUND(ROUND(Q13*Source!I31, 6)*1, 2)</f>
        <v>0.27</v>
      </c>
      <c r="S13">
        <f>SmtRes!AC10</f>
        <v>530.96</v>
      </c>
      <c r="T13">
        <f>ROUND(ROUND(Q13*Source!I31, 6)*SmtRes!AK10, 2)</f>
        <v>10.43</v>
      </c>
      <c r="U13">
        <v>2</v>
      </c>
      <c r="Z13">
        <f>SmtRes!X10</f>
        <v>145565111</v>
      </c>
      <c r="AA13">
        <v>-148490895</v>
      </c>
      <c r="AB13">
        <v>1098055202</v>
      </c>
    </row>
    <row r="14" spans="1:28" x14ac:dyDescent="0.2">
      <c r="A14">
        <v>20</v>
      </c>
      <c r="B14">
        <v>9</v>
      </c>
      <c r="C14">
        <v>2</v>
      </c>
      <c r="D14">
        <v>0</v>
      </c>
      <c r="E14">
        <f>SmtRes!AV9</f>
        <v>0</v>
      </c>
      <c r="F14" t="str">
        <f>SmtRes!I9</f>
        <v>91.01.01-035</v>
      </c>
      <c r="G14" t="str">
        <f>SmtRes!K9</f>
        <v>Бульдозеры, мощность 79 кВт (108 л.с.)</v>
      </c>
      <c r="H14" t="str">
        <f>SmtRes!O9</f>
        <v>маш.-ч.</v>
      </c>
      <c r="I14">
        <f>SmtRes!Y9*Source!I31</f>
        <v>7.1750000000000008E-3</v>
      </c>
      <c r="J14">
        <f>SmtRes!AO9</f>
        <v>1</v>
      </c>
      <c r="K14">
        <f>SmtRes!AF9</f>
        <v>79.069999999999993</v>
      </c>
      <c r="L14">
        <f>SmtRes!DB9</f>
        <v>226.93</v>
      </c>
      <c r="M14">
        <f>ROUND(ROUND(L14*Source!I31, 6)*1, 2)</f>
        <v>0.56999999999999995</v>
      </c>
      <c r="N14">
        <f>SmtRes!AB9</f>
        <v>1140.19</v>
      </c>
      <c r="O14">
        <f>ROUND(ROUND(L14*Source!I31, 6)*SmtRes!DA9, 2)</f>
        <v>8.18</v>
      </c>
      <c r="P14">
        <f>SmtRes!AG9</f>
        <v>13.5</v>
      </c>
      <c r="Q14">
        <f>SmtRes!DC9</f>
        <v>38.75</v>
      </c>
      <c r="R14">
        <f>ROUND(ROUND(Q14*Source!I31, 6)*1, 2)</f>
        <v>0.1</v>
      </c>
      <c r="S14">
        <f>SmtRes!AC9</f>
        <v>530.96</v>
      </c>
      <c r="T14">
        <f>ROUND(ROUND(Q14*Source!I31, 6)*SmtRes!AK9, 2)</f>
        <v>3.81</v>
      </c>
      <c r="U14">
        <v>2</v>
      </c>
      <c r="Z14">
        <f>SmtRes!X9</f>
        <v>-177383015</v>
      </c>
      <c r="AA14">
        <v>897322088</v>
      </c>
      <c r="AB14">
        <v>-1035154801</v>
      </c>
    </row>
    <row r="15" spans="1:28" x14ac:dyDescent="0.2">
      <c r="A15">
        <v>20</v>
      </c>
      <c r="B15">
        <v>7</v>
      </c>
      <c r="C15">
        <v>1</v>
      </c>
      <c r="D15">
        <v>0</v>
      </c>
      <c r="E15">
        <f>SmtRes!AV7</f>
        <v>1</v>
      </c>
      <c r="F15" t="str">
        <f>SmtRes!I7</f>
        <v>1-100-24</v>
      </c>
      <c r="G15" t="str">
        <f>SmtRes!K7</f>
        <v>Затраты труда рабочих (Средний разряд - 2,4)</v>
      </c>
      <c r="H15" t="str">
        <f>SmtRes!O7</f>
        <v>чел.-ч.</v>
      </c>
      <c r="I15">
        <f>SmtRes!Y7*Source!I31</f>
        <v>0.12375</v>
      </c>
      <c r="J15">
        <f>SmtRes!AO7</f>
        <v>1</v>
      </c>
      <c r="K15">
        <f>SmtRes!AH7</f>
        <v>8.09</v>
      </c>
      <c r="L15">
        <f>SmtRes!DB7</f>
        <v>400.46</v>
      </c>
      <c r="M15">
        <f>ROUND(ROUND(L15*Source!I31, 6)*1, 2)</f>
        <v>1</v>
      </c>
      <c r="N15">
        <f>SmtRes!AD7</f>
        <v>318.18</v>
      </c>
      <c r="O15">
        <f>ROUND(ROUND(L15*Source!I31, 6)*SmtRes!DA7, 2)</f>
        <v>39.380000000000003</v>
      </c>
      <c r="P15">
        <f>SmtRes!AG7</f>
        <v>0</v>
      </c>
      <c r="Q15">
        <f>SmtRes!DC7</f>
        <v>0</v>
      </c>
      <c r="R15">
        <f>ROUND(ROUND(Q15*Source!I31, 6)*1, 2)</f>
        <v>0</v>
      </c>
      <c r="S15">
        <f>SmtRes!AC7</f>
        <v>0</v>
      </c>
      <c r="T15">
        <f>ROUND(ROUND(Q15*Source!I31, 6)*SmtRes!AK7, 2)</f>
        <v>0</v>
      </c>
      <c r="U15">
        <v>1</v>
      </c>
      <c r="Z15">
        <f>SmtRes!X7</f>
        <v>-844220143</v>
      </c>
      <c r="AA15">
        <v>136918440</v>
      </c>
      <c r="AB15">
        <v>-1195097467</v>
      </c>
    </row>
    <row r="16" spans="1:28" x14ac:dyDescent="0.2">
      <c r="A16">
        <v>20</v>
      </c>
      <c r="B16">
        <v>23</v>
      </c>
      <c r="C16">
        <v>3</v>
      </c>
      <c r="D16">
        <v>0</v>
      </c>
      <c r="E16">
        <f>SmtRes!AV23</f>
        <v>0</v>
      </c>
      <c r="F16" t="str">
        <f>SmtRes!I23</f>
        <v>11.2.13.04-0012</v>
      </c>
      <c r="G16" t="str">
        <f>SmtRes!K23</f>
        <v>Щиты из досок, толщина 40 мм</v>
      </c>
      <c r="H16" t="str">
        <f>SmtRes!O23</f>
        <v>м2</v>
      </c>
      <c r="I16">
        <f>SmtRes!Y23*Source!I35</f>
        <v>0.10227200000000002</v>
      </c>
      <c r="J16">
        <f>SmtRes!AO23</f>
        <v>1</v>
      </c>
      <c r="K16">
        <f>SmtRes!AE23</f>
        <v>57.63</v>
      </c>
      <c r="L16">
        <f>SmtRes!DB23</f>
        <v>313.51</v>
      </c>
      <c r="M16">
        <f>ROUND(ROUND(L16*Source!I35, 6)*1, 2)</f>
        <v>5.89</v>
      </c>
      <c r="N16">
        <f>SmtRes!AA23</f>
        <v>506.57</v>
      </c>
      <c r="O16">
        <f>ROUND(ROUND(L16*Source!I35, 6)*SmtRes!DA23, 2)</f>
        <v>51.81</v>
      </c>
      <c r="P16">
        <f>SmtRes!AG23</f>
        <v>0</v>
      </c>
      <c r="Q16">
        <f>SmtRes!DC23</f>
        <v>0</v>
      </c>
      <c r="R16">
        <f>ROUND(ROUND(Q16*Source!I35, 6)*1, 2)</f>
        <v>0</v>
      </c>
      <c r="S16">
        <f>SmtRes!AC23</f>
        <v>0</v>
      </c>
      <c r="T16">
        <f>ROUND(ROUND(Q16*Source!I35, 6)*SmtRes!AK23, 2)</f>
        <v>0</v>
      </c>
      <c r="U16">
        <v>3</v>
      </c>
      <c r="Z16">
        <f>SmtRes!X23</f>
        <v>257670470</v>
      </c>
      <c r="AA16">
        <v>486346196</v>
      </c>
      <c r="AB16">
        <v>941491281</v>
      </c>
    </row>
    <row r="17" spans="1:28" x14ac:dyDescent="0.2">
      <c r="A17">
        <v>20</v>
      </c>
      <c r="B17">
        <v>22</v>
      </c>
      <c r="C17">
        <v>3</v>
      </c>
      <c r="D17">
        <v>0</v>
      </c>
      <c r="E17">
        <f>SmtRes!AV22</f>
        <v>0</v>
      </c>
      <c r="F17" t="str">
        <f>SmtRes!I22</f>
        <v>11.1.03.06-0095</v>
      </c>
      <c r="G17" t="str">
        <f>SmtRes!K22</f>
        <v>Доска обрезная, хвойных пород, ширина 75-150 мм, толщина 44 мм и более, длина 4-6,5 м, сорт III</v>
      </c>
      <c r="H17" t="str">
        <f>SmtRes!O22</f>
        <v>м3</v>
      </c>
      <c r="I17">
        <f>SmtRes!Y22*Source!I35</f>
        <v>7.8960000000000002E-3</v>
      </c>
      <c r="J17">
        <f>SmtRes!AO22</f>
        <v>1</v>
      </c>
      <c r="K17">
        <f>SmtRes!AE22</f>
        <v>1056</v>
      </c>
      <c r="L17">
        <f>SmtRes!DB22</f>
        <v>443.52</v>
      </c>
      <c r="M17">
        <f>ROUND(ROUND(L17*Source!I35, 6)*1, 2)</f>
        <v>8.34</v>
      </c>
      <c r="N17">
        <f>SmtRes!AA22</f>
        <v>9282.24</v>
      </c>
      <c r="O17">
        <f>ROUND(ROUND(L17*Source!I35, 6)*SmtRes!DA22, 2)</f>
        <v>73.290000000000006</v>
      </c>
      <c r="P17">
        <f>SmtRes!AG22</f>
        <v>0</v>
      </c>
      <c r="Q17">
        <f>SmtRes!DC22</f>
        <v>0</v>
      </c>
      <c r="R17">
        <f>ROUND(ROUND(Q17*Source!I35, 6)*1, 2)</f>
        <v>0</v>
      </c>
      <c r="S17">
        <f>SmtRes!AC22</f>
        <v>0</v>
      </c>
      <c r="T17">
        <f>ROUND(ROUND(Q17*Source!I35, 6)*SmtRes!AK22, 2)</f>
        <v>0</v>
      </c>
      <c r="U17">
        <v>3</v>
      </c>
      <c r="Z17">
        <f>SmtRes!X22</f>
        <v>1125321039</v>
      </c>
      <c r="AA17">
        <v>-1110635432</v>
      </c>
      <c r="AB17">
        <v>1812064707</v>
      </c>
    </row>
    <row r="18" spans="1:28" x14ac:dyDescent="0.2">
      <c r="A18">
        <v>20</v>
      </c>
      <c r="B18">
        <v>21</v>
      </c>
      <c r="C18">
        <v>3</v>
      </c>
      <c r="D18">
        <v>0</v>
      </c>
      <c r="E18">
        <f>SmtRes!AV21</f>
        <v>0</v>
      </c>
      <c r="F18" t="str">
        <f>SmtRes!I21</f>
        <v>11.1.03.06-0087</v>
      </c>
      <c r="G18" t="str">
        <f>SmtRes!K21</f>
        <v>Доска обрезная, хвойных пород, ширина 75-150 мм, толщина 25 мм, длина 4-6,5 м, сорт III</v>
      </c>
      <c r="H18" t="str">
        <f>SmtRes!O21</f>
        <v>м3</v>
      </c>
      <c r="I18">
        <f>SmtRes!Y21*Source!I35</f>
        <v>6.0160000000000005E-3</v>
      </c>
      <c r="J18">
        <f>SmtRes!AO21</f>
        <v>1</v>
      </c>
      <c r="K18">
        <f>SmtRes!AE21</f>
        <v>1100</v>
      </c>
      <c r="L18">
        <f>SmtRes!DB21</f>
        <v>352</v>
      </c>
      <c r="M18">
        <f>ROUND(ROUND(L18*Source!I35, 6)*1, 2)</f>
        <v>6.62</v>
      </c>
      <c r="N18">
        <f>SmtRes!AA21</f>
        <v>9669</v>
      </c>
      <c r="O18">
        <f>ROUND(ROUND(L18*Source!I35, 6)*SmtRes!DA21, 2)</f>
        <v>58.17</v>
      </c>
      <c r="P18">
        <f>SmtRes!AG21</f>
        <v>0</v>
      </c>
      <c r="Q18">
        <f>SmtRes!DC21</f>
        <v>0</v>
      </c>
      <c r="R18">
        <f>ROUND(ROUND(Q18*Source!I35, 6)*1, 2)</f>
        <v>0</v>
      </c>
      <c r="S18">
        <f>SmtRes!AC21</f>
        <v>0</v>
      </c>
      <c r="T18">
        <f>ROUND(ROUND(Q18*Source!I35, 6)*SmtRes!AK21, 2)</f>
        <v>0</v>
      </c>
      <c r="U18">
        <v>3</v>
      </c>
      <c r="Z18">
        <f>SmtRes!X21</f>
        <v>-896765309</v>
      </c>
      <c r="AA18">
        <v>1541204623</v>
      </c>
      <c r="AB18">
        <v>1123418932</v>
      </c>
    </row>
    <row r="19" spans="1:28" x14ac:dyDescent="0.2">
      <c r="A19">
        <v>20</v>
      </c>
      <c r="B19">
        <v>20</v>
      </c>
      <c r="C19">
        <v>3</v>
      </c>
      <c r="D19">
        <v>0</v>
      </c>
      <c r="E19">
        <f>SmtRes!AV20</f>
        <v>0</v>
      </c>
      <c r="F19" t="str">
        <f>SmtRes!I20</f>
        <v>03.1.02.03-0011</v>
      </c>
      <c r="G19" t="str">
        <f>SmtRes!K20</f>
        <v>Известь строительная негашеная комовая, сорт I</v>
      </c>
      <c r="H19" t="str">
        <f>SmtRes!O20</f>
        <v>т</v>
      </c>
      <c r="I19">
        <f>SmtRes!Y20*Source!I35</f>
        <v>3.9480000000000006E-4</v>
      </c>
      <c r="J19">
        <f>SmtRes!AO20</f>
        <v>1</v>
      </c>
      <c r="K19">
        <f>SmtRes!AE20</f>
        <v>734.5</v>
      </c>
      <c r="L19">
        <f>SmtRes!DB20</f>
        <v>15.42</v>
      </c>
      <c r="M19">
        <f>ROUND(ROUND(L19*Source!I35, 6)*1, 2)</f>
        <v>0.28999999999999998</v>
      </c>
      <c r="N19">
        <f>SmtRes!AA20</f>
        <v>6456.26</v>
      </c>
      <c r="O19">
        <f>ROUND(ROUND(L19*Source!I35, 6)*SmtRes!DA20, 2)</f>
        <v>2.5499999999999998</v>
      </c>
      <c r="P19">
        <f>SmtRes!AG20</f>
        <v>0</v>
      </c>
      <c r="Q19">
        <f>SmtRes!DC20</f>
        <v>0</v>
      </c>
      <c r="R19">
        <f>ROUND(ROUND(Q19*Source!I35, 6)*1, 2)</f>
        <v>0</v>
      </c>
      <c r="S19">
        <f>SmtRes!AC20</f>
        <v>0</v>
      </c>
      <c r="T19">
        <f>ROUND(ROUND(Q19*Source!I35, 6)*SmtRes!AK20, 2)</f>
        <v>0</v>
      </c>
      <c r="U19">
        <v>3</v>
      </c>
      <c r="Z19">
        <f>SmtRes!X20</f>
        <v>1174253204</v>
      </c>
      <c r="AA19">
        <v>-1556992185</v>
      </c>
      <c r="AB19">
        <v>1548690851</v>
      </c>
    </row>
    <row r="20" spans="1:28" x14ac:dyDescent="0.2">
      <c r="A20">
        <v>20</v>
      </c>
      <c r="B20">
        <v>19</v>
      </c>
      <c r="C20">
        <v>3</v>
      </c>
      <c r="D20">
        <v>0</v>
      </c>
      <c r="E20">
        <f>SmtRes!AV19</f>
        <v>0</v>
      </c>
      <c r="F20" t="str">
        <f>SmtRes!I19</f>
        <v>01.7.15.06-0111</v>
      </c>
      <c r="G20" t="str">
        <f>SmtRes!K19</f>
        <v>Гвозди строительные</v>
      </c>
      <c r="H20" t="str">
        <f>SmtRes!O19</f>
        <v>т</v>
      </c>
      <c r="I20">
        <f>SmtRes!Y19*Source!I35</f>
        <v>2.7636000000000002E-4</v>
      </c>
      <c r="J20">
        <f>SmtRes!AO19</f>
        <v>1</v>
      </c>
      <c r="K20">
        <f>SmtRes!AE19</f>
        <v>11978</v>
      </c>
      <c r="L20">
        <f>SmtRes!DB19</f>
        <v>176.08</v>
      </c>
      <c r="M20">
        <f>ROUND(ROUND(L20*Source!I35, 6)*1, 2)</f>
        <v>3.31</v>
      </c>
      <c r="N20">
        <f>SmtRes!AA19</f>
        <v>105286.62</v>
      </c>
      <c r="O20">
        <f>ROUND(ROUND(L20*Source!I35, 6)*SmtRes!DA19, 2)</f>
        <v>29.1</v>
      </c>
      <c r="P20">
        <f>SmtRes!AG19</f>
        <v>0</v>
      </c>
      <c r="Q20">
        <f>SmtRes!DC19</f>
        <v>0</v>
      </c>
      <c r="R20">
        <f>ROUND(ROUND(Q20*Source!I35, 6)*1, 2)</f>
        <v>0</v>
      </c>
      <c r="S20">
        <f>SmtRes!AC19</f>
        <v>0</v>
      </c>
      <c r="T20">
        <f>ROUND(ROUND(Q20*Source!I35, 6)*SmtRes!AK19, 2)</f>
        <v>0</v>
      </c>
      <c r="U20">
        <v>3</v>
      </c>
      <c r="Z20">
        <f>SmtRes!X19</f>
        <v>-45966985</v>
      </c>
      <c r="AA20">
        <v>-315776304</v>
      </c>
      <c r="AB20">
        <v>494747987</v>
      </c>
    </row>
    <row r="21" spans="1:28" x14ac:dyDescent="0.2">
      <c r="A21">
        <v>20</v>
      </c>
      <c r="B21">
        <v>18</v>
      </c>
      <c r="C21">
        <v>3</v>
      </c>
      <c r="D21">
        <v>0</v>
      </c>
      <c r="E21">
        <f>SmtRes!AV18</f>
        <v>0</v>
      </c>
      <c r="F21" t="str">
        <f>SmtRes!I18</f>
        <v>01.7.03.01-0001</v>
      </c>
      <c r="G21" t="str">
        <f>SmtRes!K18</f>
        <v>Вода</v>
      </c>
      <c r="H21" t="str">
        <f>SmtRes!O18</f>
        <v>м3</v>
      </c>
      <c r="I21">
        <f>SmtRes!Y18*Source!I35</f>
        <v>1.1468000000000001E-3</v>
      </c>
      <c r="J21">
        <f>SmtRes!AO18</f>
        <v>1</v>
      </c>
      <c r="K21">
        <f>SmtRes!AE18</f>
        <v>2.44</v>
      </c>
      <c r="L21">
        <f>SmtRes!DB18</f>
        <v>0.15</v>
      </c>
      <c r="M21">
        <f>ROUND(ROUND(L21*Source!I35, 6)*1, 2)</f>
        <v>0</v>
      </c>
      <c r="N21">
        <f>SmtRes!AA18</f>
        <v>21.45</v>
      </c>
      <c r="O21">
        <f>ROUND(ROUND(L21*Source!I35, 6)*SmtRes!DA18, 2)</f>
        <v>0.02</v>
      </c>
      <c r="P21">
        <f>SmtRes!AG18</f>
        <v>0</v>
      </c>
      <c r="Q21">
        <f>SmtRes!DC18</f>
        <v>0</v>
      </c>
      <c r="R21">
        <f>ROUND(ROUND(Q21*Source!I35, 6)*1, 2)</f>
        <v>0</v>
      </c>
      <c r="S21">
        <f>SmtRes!AC18</f>
        <v>0</v>
      </c>
      <c r="T21">
        <f>ROUND(ROUND(Q21*Source!I35, 6)*SmtRes!AK18, 2)</f>
        <v>0</v>
      </c>
      <c r="U21">
        <v>3</v>
      </c>
      <c r="Z21">
        <f>SmtRes!X18</f>
        <v>-143474561</v>
      </c>
      <c r="AA21">
        <v>197266994</v>
      </c>
      <c r="AB21">
        <v>1852311330</v>
      </c>
    </row>
    <row r="22" spans="1:28" x14ac:dyDescent="0.2">
      <c r="A22">
        <v>20</v>
      </c>
      <c r="B22">
        <v>17</v>
      </c>
      <c r="C22">
        <v>2</v>
      </c>
      <c r="D22">
        <v>0</v>
      </c>
      <c r="E22">
        <f>SmtRes!AV17</f>
        <v>0</v>
      </c>
      <c r="F22" t="str">
        <f>SmtRes!I17</f>
        <v>91.14.02-001</v>
      </c>
      <c r="G22" t="str">
        <f>SmtRes!K17</f>
        <v>Автомобили бортовые, грузоподъемность до 5 т</v>
      </c>
      <c r="H22" t="str">
        <f>SmtRes!O17</f>
        <v>маш.-ч.</v>
      </c>
      <c r="I22">
        <f>SmtRes!Y17*Source!I35</f>
        <v>2.3500000000000001E-3</v>
      </c>
      <c r="J22">
        <f>SmtRes!AO17</f>
        <v>1</v>
      </c>
      <c r="K22">
        <f>SmtRes!AF17</f>
        <v>65.709999999999994</v>
      </c>
      <c r="L22">
        <f>SmtRes!DB17</f>
        <v>8.2125000000000004</v>
      </c>
      <c r="M22">
        <f>ROUND(ROUND(L22*Source!I35, 6)*1, 2)</f>
        <v>0.15</v>
      </c>
      <c r="N22">
        <f>SmtRes!AB17</f>
        <v>947.54</v>
      </c>
      <c r="O22">
        <f>ROUND(ROUND(L22*Source!I35, 6)*SmtRes!DA17, 2)</f>
        <v>2.23</v>
      </c>
      <c r="P22">
        <f>SmtRes!AG17</f>
        <v>11.6</v>
      </c>
      <c r="Q22">
        <f>SmtRes!DC17</f>
        <v>1.45</v>
      </c>
      <c r="R22">
        <f>ROUND(ROUND(Q22*Source!I35, 6)*1, 2)</f>
        <v>0.03</v>
      </c>
      <c r="S22">
        <f>SmtRes!AC17</f>
        <v>456.23</v>
      </c>
      <c r="T22">
        <f>ROUND(ROUND(Q22*Source!I35, 6)*SmtRes!AK17, 2)</f>
        <v>1.07</v>
      </c>
      <c r="U22">
        <v>2</v>
      </c>
      <c r="Z22">
        <f>SmtRes!X17</f>
        <v>509054691</v>
      </c>
      <c r="AA22">
        <v>1555251513</v>
      </c>
      <c r="AB22">
        <v>-341607382</v>
      </c>
    </row>
    <row r="23" spans="1:28" x14ac:dyDescent="0.2">
      <c r="A23">
        <v>20</v>
      </c>
      <c r="B23">
        <v>16</v>
      </c>
      <c r="C23">
        <v>2</v>
      </c>
      <c r="D23">
        <v>0</v>
      </c>
      <c r="E23">
        <f>SmtRes!AV16</f>
        <v>0</v>
      </c>
      <c r="F23" t="str">
        <f>SmtRes!I16</f>
        <v>91.06.05-011</v>
      </c>
      <c r="G23" t="str">
        <f>SmtRes!K16</f>
        <v>Погрузчики, грузоподъемность 5 т</v>
      </c>
      <c r="H23" t="str">
        <f>SmtRes!O16</f>
        <v>маш.-ч.</v>
      </c>
      <c r="I23">
        <f>SmtRes!Y16*Source!I35</f>
        <v>6.3450000000000008E-3</v>
      </c>
      <c r="J23">
        <f>SmtRes!AO16</f>
        <v>1</v>
      </c>
      <c r="K23">
        <f>SmtRes!AF16</f>
        <v>89.99</v>
      </c>
      <c r="L23">
        <f>SmtRes!DB16</f>
        <v>30.375</v>
      </c>
      <c r="M23">
        <f>ROUND(ROUND(L23*Source!I35, 6)*1, 2)</f>
        <v>0.56999999999999995</v>
      </c>
      <c r="N23">
        <f>SmtRes!AB16</f>
        <v>1297.6600000000001</v>
      </c>
      <c r="O23">
        <f>ROUND(ROUND(L23*Source!I35, 6)*SmtRes!DA16, 2)</f>
        <v>8.23</v>
      </c>
      <c r="P23">
        <f>SmtRes!AG16</f>
        <v>10.06</v>
      </c>
      <c r="Q23">
        <f>SmtRes!DC16</f>
        <v>3.4</v>
      </c>
      <c r="R23">
        <f>ROUND(ROUND(Q23*Source!I35, 6)*1, 2)</f>
        <v>0.06</v>
      </c>
      <c r="S23">
        <f>SmtRes!AC16</f>
        <v>395.66</v>
      </c>
      <c r="T23">
        <f>ROUND(ROUND(Q23*Source!I35, 6)*SmtRes!AK16, 2)</f>
        <v>2.5099999999999998</v>
      </c>
      <c r="U23">
        <v>2</v>
      </c>
      <c r="Z23">
        <f>SmtRes!X16</f>
        <v>-896236776</v>
      </c>
      <c r="AA23">
        <v>136637897</v>
      </c>
      <c r="AB23">
        <v>520652551</v>
      </c>
    </row>
    <row r="24" spans="1:28" x14ac:dyDescent="0.2">
      <c r="A24">
        <v>20</v>
      </c>
      <c r="B24">
        <v>15</v>
      </c>
      <c r="C24">
        <v>2</v>
      </c>
      <c r="D24">
        <v>0</v>
      </c>
      <c r="E24">
        <f>SmtRes!AV15</f>
        <v>0</v>
      </c>
      <c r="F24" t="str">
        <f>SmtRes!I15</f>
        <v>91.05.05-015</v>
      </c>
      <c r="G24" t="str">
        <f>SmtRes!K15</f>
        <v>Краны на автомобильном ходу, грузоподъемность 16 т</v>
      </c>
      <c r="H24" t="str">
        <f>SmtRes!O15</f>
        <v>маш.-ч.</v>
      </c>
      <c r="I24">
        <f>SmtRes!Y15*Source!I35</f>
        <v>1.6450000000000002E-3</v>
      </c>
      <c r="J24">
        <f>SmtRes!AO15</f>
        <v>1</v>
      </c>
      <c r="K24">
        <f>SmtRes!AF15</f>
        <v>115.4</v>
      </c>
      <c r="L24">
        <f>SmtRes!DB15</f>
        <v>10.1</v>
      </c>
      <c r="M24">
        <f>ROUND(ROUND(L24*Source!I35, 6)*1, 2)</f>
        <v>0.19</v>
      </c>
      <c r="N24">
        <f>SmtRes!AB15</f>
        <v>1664.07</v>
      </c>
      <c r="O24">
        <f>ROUND(ROUND(L24*Source!I35, 6)*SmtRes!DA15, 2)</f>
        <v>2.74</v>
      </c>
      <c r="P24">
        <f>SmtRes!AG15</f>
        <v>13.5</v>
      </c>
      <c r="Q24">
        <f>SmtRes!DC15</f>
        <v>1.1875</v>
      </c>
      <c r="R24">
        <f>ROUND(ROUND(Q24*Source!I35, 6)*1, 2)</f>
        <v>0.02</v>
      </c>
      <c r="S24">
        <f>SmtRes!AC15</f>
        <v>530.96</v>
      </c>
      <c r="T24">
        <f>ROUND(ROUND(Q24*Source!I35, 6)*SmtRes!AK15, 2)</f>
        <v>0.88</v>
      </c>
      <c r="U24">
        <v>2</v>
      </c>
      <c r="Z24">
        <f>SmtRes!X15</f>
        <v>-430484415</v>
      </c>
      <c r="AA24">
        <v>1310972514</v>
      </c>
      <c r="AB24">
        <v>2000656327</v>
      </c>
    </row>
    <row r="25" spans="1:28" x14ac:dyDescent="0.2">
      <c r="A25">
        <v>20</v>
      </c>
      <c r="B25">
        <v>13</v>
      </c>
      <c r="C25">
        <v>1</v>
      </c>
      <c r="D25">
        <v>0</v>
      </c>
      <c r="E25">
        <f>SmtRes!AV13</f>
        <v>1</v>
      </c>
      <c r="F25" t="str">
        <f>SmtRes!I13</f>
        <v>1-100-29</v>
      </c>
      <c r="G25" t="str">
        <f>SmtRes!K13</f>
        <v>Затраты труда рабочих (Средний разряд - 2,9)</v>
      </c>
      <c r="H25" t="str">
        <f>SmtRes!O13</f>
        <v>чел.-ч.</v>
      </c>
      <c r="I25">
        <f>SmtRes!Y13*Source!I35</f>
        <v>1.9025599999999998</v>
      </c>
      <c r="J25">
        <f>SmtRes!AO13</f>
        <v>1</v>
      </c>
      <c r="K25">
        <f>SmtRes!AH13</f>
        <v>8.4600000000000009</v>
      </c>
      <c r="L25">
        <f>SmtRes!DB13</f>
        <v>856.15200000000004</v>
      </c>
      <c r="M25">
        <f>ROUND(ROUND(L25*Source!I35, 6)*1, 2)</f>
        <v>16.100000000000001</v>
      </c>
      <c r="N25">
        <f>SmtRes!AD13</f>
        <v>332.73</v>
      </c>
      <c r="O25">
        <f>ROUND(ROUND(L25*Source!I35, 6)*SmtRes!DA13, 2)</f>
        <v>633.04</v>
      </c>
      <c r="P25">
        <f>SmtRes!AG13</f>
        <v>0</v>
      </c>
      <c r="Q25">
        <f>SmtRes!DC13</f>
        <v>0</v>
      </c>
      <c r="R25">
        <f>ROUND(ROUND(Q25*Source!I35, 6)*1, 2)</f>
        <v>0</v>
      </c>
      <c r="S25">
        <f>SmtRes!AC13</f>
        <v>0</v>
      </c>
      <c r="T25">
        <f>ROUND(ROUND(Q25*Source!I35, 6)*SmtRes!AK13, 2)</f>
        <v>0</v>
      </c>
      <c r="U25">
        <v>1</v>
      </c>
      <c r="Z25">
        <f>SmtRes!X13</f>
        <v>-961628416</v>
      </c>
      <c r="AA25">
        <v>1499082655</v>
      </c>
      <c r="AB25">
        <v>875232498</v>
      </c>
    </row>
    <row r="26" spans="1:28" x14ac:dyDescent="0.2">
      <c r="A26">
        <v>20</v>
      </c>
      <c r="B26">
        <v>30</v>
      </c>
      <c r="C26">
        <v>3</v>
      </c>
      <c r="D26">
        <v>0</v>
      </c>
      <c r="E26">
        <f>SmtRes!AV30</f>
        <v>0</v>
      </c>
      <c r="F26" t="str">
        <f>SmtRes!I30</f>
        <v>01.7.07.12-0024</v>
      </c>
      <c r="G26" t="str">
        <f>SmtRes!K30</f>
        <v>Пленка полиэтиленовая, толщина 0,15 мм</v>
      </c>
      <c r="H26" t="str">
        <f>SmtRes!O30</f>
        <v>м2</v>
      </c>
      <c r="I26">
        <f>SmtRes!Y30*Source!I36</f>
        <v>0.625</v>
      </c>
      <c r="J26">
        <f>SmtRes!AO30</f>
        <v>1</v>
      </c>
      <c r="K26">
        <f>SmtRes!AE30</f>
        <v>3.62</v>
      </c>
      <c r="L26">
        <f>SmtRes!DB30</f>
        <v>905</v>
      </c>
      <c r="M26">
        <f>ROUND(ROUND(L26*Source!I36, 6)*1, 2)</f>
        <v>2.2599999999999998</v>
      </c>
      <c r="N26">
        <f>SmtRes!AA30</f>
        <v>31.82</v>
      </c>
      <c r="O26">
        <f>ROUND(ROUND(L26*Source!I36, 6)*SmtRes!DA30, 2)</f>
        <v>19.89</v>
      </c>
      <c r="P26">
        <f>SmtRes!AG30</f>
        <v>0</v>
      </c>
      <c r="Q26">
        <f>SmtRes!DC30</f>
        <v>0</v>
      </c>
      <c r="R26">
        <f>ROUND(ROUND(Q26*Source!I36, 6)*1, 2)</f>
        <v>0</v>
      </c>
      <c r="S26">
        <f>SmtRes!AC30</f>
        <v>0</v>
      </c>
      <c r="T26">
        <f>ROUND(ROUND(Q26*Source!I36, 6)*SmtRes!AK30, 2)</f>
        <v>0</v>
      </c>
      <c r="U26">
        <v>3</v>
      </c>
      <c r="Z26">
        <f>SmtRes!X30</f>
        <v>1300369369</v>
      </c>
      <c r="AA26">
        <v>227914367</v>
      </c>
      <c r="AB26">
        <v>466374951</v>
      </c>
    </row>
    <row r="27" spans="1:28" x14ac:dyDescent="0.2">
      <c r="A27">
        <v>20</v>
      </c>
      <c r="B27">
        <v>29</v>
      </c>
      <c r="C27">
        <v>3</v>
      </c>
      <c r="D27">
        <v>0</v>
      </c>
      <c r="E27">
        <f>SmtRes!AV29</f>
        <v>0</v>
      </c>
      <c r="F27" t="str">
        <f>SmtRes!I29</f>
        <v>01.7.03.01-0001</v>
      </c>
      <c r="G27" t="str">
        <f>SmtRes!K29</f>
        <v>Вода</v>
      </c>
      <c r="H27" t="str">
        <f>SmtRes!O29</f>
        <v>м3</v>
      </c>
      <c r="I27">
        <f>SmtRes!Y29*Source!I36</f>
        <v>4.3750000000000004E-3</v>
      </c>
      <c r="J27">
        <f>SmtRes!AO29</f>
        <v>1</v>
      </c>
      <c r="K27">
        <f>SmtRes!AE29</f>
        <v>2.44</v>
      </c>
      <c r="L27">
        <f>SmtRes!DB29</f>
        <v>4.2699999999999996</v>
      </c>
      <c r="M27">
        <f>ROUND(ROUND(L27*Source!I36, 6)*1, 2)</f>
        <v>0.01</v>
      </c>
      <c r="N27">
        <f>SmtRes!AA29</f>
        <v>21.45</v>
      </c>
      <c r="O27">
        <f>ROUND(ROUND(L27*Source!I36, 6)*SmtRes!DA29, 2)</f>
        <v>0.09</v>
      </c>
      <c r="P27">
        <f>SmtRes!AG29</f>
        <v>0</v>
      </c>
      <c r="Q27">
        <f>SmtRes!DC29</f>
        <v>0</v>
      </c>
      <c r="R27">
        <f>ROUND(ROUND(Q27*Source!I36, 6)*1, 2)</f>
        <v>0</v>
      </c>
      <c r="S27">
        <f>SmtRes!AC29</f>
        <v>0</v>
      </c>
      <c r="T27">
        <f>ROUND(ROUND(Q27*Source!I36, 6)*SmtRes!AK29, 2)</f>
        <v>0</v>
      </c>
      <c r="U27">
        <v>3</v>
      </c>
      <c r="Z27">
        <f>SmtRes!X29</f>
        <v>-143474561</v>
      </c>
      <c r="AA27">
        <v>197266994</v>
      </c>
      <c r="AB27">
        <v>1852311330</v>
      </c>
    </row>
    <row r="28" spans="1:28" x14ac:dyDescent="0.2">
      <c r="A28">
        <v>20</v>
      </c>
      <c r="B28">
        <v>28</v>
      </c>
      <c r="C28">
        <v>2</v>
      </c>
      <c r="D28">
        <v>0</v>
      </c>
      <c r="E28">
        <f>SmtRes!AV28</f>
        <v>0</v>
      </c>
      <c r="F28" t="str">
        <f>SmtRes!I28</f>
        <v>91.14.02-001</v>
      </c>
      <c r="G28" t="str">
        <f>SmtRes!K28</f>
        <v>Автомобили бортовые, грузоподъемность до 5 т</v>
      </c>
      <c r="H28" t="str">
        <f>SmtRes!O28</f>
        <v>маш.-ч.</v>
      </c>
      <c r="I28">
        <f>SmtRes!Y28*Source!I36</f>
        <v>3.7500000000000001E-4</v>
      </c>
      <c r="J28">
        <f>SmtRes!AO28</f>
        <v>1</v>
      </c>
      <c r="K28">
        <f>SmtRes!AF28</f>
        <v>65.709999999999994</v>
      </c>
      <c r="L28">
        <f>SmtRes!DB28</f>
        <v>9.8625000000000007</v>
      </c>
      <c r="M28">
        <f>ROUND(ROUND(L28*Source!I36, 6)*1, 2)</f>
        <v>0.02</v>
      </c>
      <c r="N28">
        <f>SmtRes!AB28</f>
        <v>947.54</v>
      </c>
      <c r="O28">
        <f>ROUND(ROUND(L28*Source!I36, 6)*SmtRes!DA28, 2)</f>
        <v>0.36</v>
      </c>
      <c r="P28">
        <f>SmtRes!AG28</f>
        <v>11.6</v>
      </c>
      <c r="Q28">
        <f>SmtRes!DC28</f>
        <v>1.7375</v>
      </c>
      <c r="R28">
        <f>ROUND(ROUND(Q28*Source!I36, 6)*1, 2)</f>
        <v>0</v>
      </c>
      <c r="S28">
        <f>SmtRes!AC28</f>
        <v>456.23</v>
      </c>
      <c r="T28">
        <f>ROUND(ROUND(Q28*Source!I36, 6)*SmtRes!AK28, 2)</f>
        <v>0.17</v>
      </c>
      <c r="U28">
        <v>2</v>
      </c>
      <c r="Z28">
        <f>SmtRes!X28</f>
        <v>509054691</v>
      </c>
      <c r="AA28">
        <v>1555251513</v>
      </c>
      <c r="AB28">
        <v>-341607382</v>
      </c>
    </row>
    <row r="29" spans="1:28" x14ac:dyDescent="0.2">
      <c r="A29">
        <v>20</v>
      </c>
      <c r="B29">
        <v>27</v>
      </c>
      <c r="C29">
        <v>2</v>
      </c>
      <c r="D29">
        <v>0</v>
      </c>
      <c r="E29">
        <f>SmtRes!AV27</f>
        <v>0</v>
      </c>
      <c r="F29" t="str">
        <f>SmtRes!I27</f>
        <v>91.07.04-002</v>
      </c>
      <c r="G29" t="str">
        <f>SmtRes!K27</f>
        <v>Вибраторы поверхностные</v>
      </c>
      <c r="H29" t="str">
        <f>SmtRes!O27</f>
        <v>маш.-ч.</v>
      </c>
      <c r="I29">
        <f>SmtRes!Y27*Source!I36</f>
        <v>1.8531249999999999E-2</v>
      </c>
      <c r="J29">
        <f>SmtRes!AO27</f>
        <v>1</v>
      </c>
      <c r="K29">
        <f>SmtRes!AF27</f>
        <v>0.5</v>
      </c>
      <c r="L29">
        <f>SmtRes!DB27</f>
        <v>3.7124999999999999</v>
      </c>
      <c r="M29">
        <f>ROUND(ROUND(L29*Source!I36, 6)*1, 2)</f>
        <v>0.01</v>
      </c>
      <c r="N29">
        <f>SmtRes!AB27</f>
        <v>7.21</v>
      </c>
      <c r="O29">
        <f>ROUND(ROUND(L29*Source!I36, 6)*SmtRes!DA27, 2)</f>
        <v>0.13</v>
      </c>
      <c r="P29">
        <f>SmtRes!AG27</f>
        <v>0</v>
      </c>
      <c r="Q29">
        <f>SmtRes!DC27</f>
        <v>0</v>
      </c>
      <c r="R29">
        <f>ROUND(ROUND(Q29*Source!I36, 6)*1, 2)</f>
        <v>0</v>
      </c>
      <c r="S29">
        <f>SmtRes!AC27</f>
        <v>0</v>
      </c>
      <c r="T29">
        <f>ROUND(ROUND(Q29*Source!I36, 6)*SmtRes!AK27, 2)</f>
        <v>0</v>
      </c>
      <c r="U29">
        <v>2</v>
      </c>
      <c r="Z29">
        <f>SmtRes!X27</f>
        <v>-1322498708</v>
      </c>
      <c r="AA29">
        <v>-1524613514</v>
      </c>
      <c r="AB29">
        <v>2004498012</v>
      </c>
    </row>
    <row r="30" spans="1:28" x14ac:dyDescent="0.2">
      <c r="A30">
        <v>20</v>
      </c>
      <c r="B30">
        <v>26</v>
      </c>
      <c r="C30">
        <v>2</v>
      </c>
      <c r="D30">
        <v>0</v>
      </c>
      <c r="E30">
        <f>SmtRes!AV26</f>
        <v>0</v>
      </c>
      <c r="F30" t="str">
        <f>SmtRes!I26</f>
        <v>91.05.01-017</v>
      </c>
      <c r="G30" t="str">
        <f>SmtRes!K26</f>
        <v>Краны башенные, грузоподъемность 8 т</v>
      </c>
      <c r="H30" t="str">
        <f>SmtRes!O26</f>
        <v>маш.-ч.</v>
      </c>
      <c r="I30">
        <f>SmtRes!Y26*Source!I36</f>
        <v>5.6250000000000001E-2</v>
      </c>
      <c r="J30">
        <f>SmtRes!AO26</f>
        <v>1</v>
      </c>
      <c r="K30">
        <f>SmtRes!AF26</f>
        <v>86.4</v>
      </c>
      <c r="L30">
        <f>SmtRes!DB26</f>
        <v>1944</v>
      </c>
      <c r="M30">
        <f>ROUND(ROUND(L30*Source!I36, 6)*1, 2)</f>
        <v>4.8600000000000003</v>
      </c>
      <c r="N30">
        <f>SmtRes!AB26</f>
        <v>1245.8900000000001</v>
      </c>
      <c r="O30">
        <f>ROUND(ROUND(L30*Source!I36, 6)*SmtRes!DA26, 2)</f>
        <v>70.08</v>
      </c>
      <c r="P30">
        <f>SmtRes!AG26</f>
        <v>13.5</v>
      </c>
      <c r="Q30">
        <f>SmtRes!DC26</f>
        <v>303.75</v>
      </c>
      <c r="R30">
        <f>ROUND(ROUND(Q30*Source!I36, 6)*1, 2)</f>
        <v>0.76</v>
      </c>
      <c r="S30">
        <f>SmtRes!AC26</f>
        <v>530.96</v>
      </c>
      <c r="T30">
        <f>ROUND(ROUND(Q30*Source!I36, 6)*SmtRes!AK26, 2)</f>
        <v>29.87</v>
      </c>
      <c r="U30">
        <v>2</v>
      </c>
      <c r="Z30">
        <f>SmtRes!X26</f>
        <v>-130837057</v>
      </c>
      <c r="AA30">
        <v>2072177899</v>
      </c>
      <c r="AB30">
        <v>1807981556</v>
      </c>
    </row>
    <row r="31" spans="1:28" x14ac:dyDescent="0.2">
      <c r="A31">
        <v>20</v>
      </c>
      <c r="B31">
        <v>24</v>
      </c>
      <c r="C31">
        <v>1</v>
      </c>
      <c r="D31">
        <v>0</v>
      </c>
      <c r="E31">
        <f>SmtRes!AV24</f>
        <v>1</v>
      </c>
      <c r="F31" t="str">
        <f>SmtRes!I24</f>
        <v>1-100-20</v>
      </c>
      <c r="G31" t="str">
        <f>SmtRes!K24</f>
        <v>Затраты труда рабочих (Средний разряд - 2)</v>
      </c>
      <c r="H31" t="str">
        <f>SmtRes!O24</f>
        <v>чел.-ч.</v>
      </c>
      <c r="I31">
        <f>SmtRes!Y24*Source!I36</f>
        <v>0.388125</v>
      </c>
      <c r="J31">
        <f>SmtRes!AO24</f>
        <v>1</v>
      </c>
      <c r="K31">
        <f>SmtRes!AH24</f>
        <v>7.8</v>
      </c>
      <c r="L31">
        <f>SmtRes!DB24</f>
        <v>1210.95</v>
      </c>
      <c r="M31">
        <f>ROUND(ROUND(L31*Source!I36, 6)*1, 2)</f>
        <v>3.03</v>
      </c>
      <c r="N31">
        <f>SmtRes!AD24</f>
        <v>306.77</v>
      </c>
      <c r="O31">
        <f>ROUND(ROUND(L31*Source!I36, 6)*SmtRes!DA24, 2)</f>
        <v>119.07</v>
      </c>
      <c r="P31">
        <f>SmtRes!AG24</f>
        <v>0</v>
      </c>
      <c r="Q31">
        <f>SmtRes!DC24</f>
        <v>0</v>
      </c>
      <c r="R31">
        <f>ROUND(ROUND(Q31*Source!I36, 6)*1, 2)</f>
        <v>0</v>
      </c>
      <c r="S31">
        <f>SmtRes!AC24</f>
        <v>0</v>
      </c>
      <c r="T31">
        <f>ROUND(ROUND(Q31*Source!I36, 6)*SmtRes!AK24, 2)</f>
        <v>0</v>
      </c>
      <c r="U31">
        <v>1</v>
      </c>
      <c r="Z31">
        <f>SmtRes!X24</f>
        <v>2031828327</v>
      </c>
      <c r="AA31">
        <v>-1201093027</v>
      </c>
      <c r="AB31">
        <v>-2142032798</v>
      </c>
    </row>
    <row r="32" spans="1:28" x14ac:dyDescent="0.2">
      <c r="A32">
        <f>Source!A37</f>
        <v>18</v>
      </c>
      <c r="B32">
        <v>37</v>
      </c>
      <c r="C32">
        <v>3</v>
      </c>
      <c r="D32">
        <f>Source!BI37</f>
        <v>1</v>
      </c>
      <c r="E32">
        <f>Source!FS37</f>
        <v>0</v>
      </c>
      <c r="F32" t="str">
        <f>Source!F37</f>
        <v>04.1.02.05-0007</v>
      </c>
      <c r="G32" t="str">
        <f>Source!G37</f>
        <v>Смеси бетонные тяжелого бетона (БСТ), класс В20 (М250)</v>
      </c>
      <c r="H32" t="str">
        <f>Source!H37</f>
        <v>м3</v>
      </c>
      <c r="I32">
        <f>Source!I37</f>
        <v>0.255</v>
      </c>
      <c r="J32">
        <v>1</v>
      </c>
      <c r="K32">
        <f>Source!AC37</f>
        <v>665</v>
      </c>
      <c r="M32">
        <f>ROUND(K32*I32, 2)</f>
        <v>169.58</v>
      </c>
      <c r="N32">
        <f>Source!AC37*IF(Source!BC37&lt;&gt; 0, Source!BC37, 1)</f>
        <v>5845.3499999999995</v>
      </c>
      <c r="O32">
        <f>ROUND(N32*I32, 2)</f>
        <v>1490.56</v>
      </c>
      <c r="P32">
        <f>Source!AE37</f>
        <v>0</v>
      </c>
      <c r="R32">
        <f>ROUND(P32*I32, 2)</f>
        <v>0</v>
      </c>
      <c r="S32">
        <f>Source!AE37*IF(Source!BS37&lt;&gt; 0, Source!BS37, 1)</f>
        <v>0</v>
      </c>
      <c r="T32">
        <f>ROUND(S32*I32, 2)</f>
        <v>0</v>
      </c>
      <c r="U32">
        <v>3</v>
      </c>
      <c r="Z32">
        <f>Source!GF37</f>
        <v>-1590786868</v>
      </c>
      <c r="AA32">
        <v>-290492498</v>
      </c>
      <c r="AB32">
        <v>1210281076</v>
      </c>
    </row>
    <row r="33" spans="1:28" x14ac:dyDescent="0.2">
      <c r="A33">
        <v>20</v>
      </c>
      <c r="B33">
        <v>38</v>
      </c>
      <c r="C33">
        <v>3</v>
      </c>
      <c r="D33">
        <v>0</v>
      </c>
      <c r="E33">
        <f>SmtRes!AV38</f>
        <v>0</v>
      </c>
      <c r="F33" t="str">
        <f>SmtRes!I38</f>
        <v>01.7.07.29-0091</v>
      </c>
      <c r="G33" t="str">
        <f>SmtRes!K38</f>
        <v>Опилки древесные</v>
      </c>
      <c r="H33" t="str">
        <f>SmtRes!O38</f>
        <v>м3</v>
      </c>
      <c r="I33">
        <f>SmtRes!Y38*Source!I38</f>
        <v>0.15055199999999999</v>
      </c>
      <c r="J33">
        <f>SmtRes!AO38</f>
        <v>1</v>
      </c>
      <c r="K33">
        <f>SmtRes!AE38</f>
        <v>34.92</v>
      </c>
      <c r="L33">
        <f>SmtRes!DB38</f>
        <v>106.86</v>
      </c>
      <c r="M33">
        <f>ROUND(ROUND(L33*Source!I38, 6)*1, 2)</f>
        <v>5.26</v>
      </c>
      <c r="N33">
        <f>SmtRes!AA38</f>
        <v>306.95</v>
      </c>
      <c r="O33">
        <f>ROUND(ROUND(L33*Source!I38, 6)*SmtRes!DA38, 2)</f>
        <v>46.21</v>
      </c>
      <c r="P33">
        <f>SmtRes!AG38</f>
        <v>0</v>
      </c>
      <c r="Q33">
        <f>SmtRes!DC38</f>
        <v>0</v>
      </c>
      <c r="R33">
        <f>ROUND(ROUND(Q33*Source!I38, 6)*1, 2)</f>
        <v>0</v>
      </c>
      <c r="S33">
        <f>SmtRes!AC38</f>
        <v>0</v>
      </c>
      <c r="T33">
        <f>ROUND(ROUND(Q33*Source!I38, 6)*SmtRes!AK38, 2)</f>
        <v>0</v>
      </c>
      <c r="U33">
        <v>3</v>
      </c>
      <c r="Z33">
        <f>SmtRes!X38</f>
        <v>-1053408311</v>
      </c>
      <c r="AA33">
        <v>576005777</v>
      </c>
      <c r="AB33">
        <v>-1880025573</v>
      </c>
    </row>
    <row r="34" spans="1:28" x14ac:dyDescent="0.2">
      <c r="A34">
        <v>20</v>
      </c>
      <c r="B34">
        <v>37</v>
      </c>
      <c r="C34">
        <v>3</v>
      </c>
      <c r="D34">
        <v>0</v>
      </c>
      <c r="E34">
        <f>SmtRes!AV37</f>
        <v>0</v>
      </c>
      <c r="F34" t="str">
        <f>SmtRes!I37</f>
        <v>01.7.03.01-0001</v>
      </c>
      <c r="G34" t="str">
        <f>SmtRes!K37</f>
        <v>Вода</v>
      </c>
      <c r="H34" t="str">
        <f>SmtRes!O37</f>
        <v>м3</v>
      </c>
      <c r="I34">
        <f>SmtRes!Y37*Source!I38</f>
        <v>0.18942000000000001</v>
      </c>
      <c r="J34">
        <f>SmtRes!AO37</f>
        <v>1</v>
      </c>
      <c r="K34">
        <f>SmtRes!AE37</f>
        <v>2.44</v>
      </c>
      <c r="L34">
        <f>SmtRes!DB37</f>
        <v>9.39</v>
      </c>
      <c r="M34">
        <f>ROUND(ROUND(L34*Source!I38, 6)*1, 2)</f>
        <v>0.46</v>
      </c>
      <c r="N34">
        <f>SmtRes!AA37</f>
        <v>21.45</v>
      </c>
      <c r="O34">
        <f>ROUND(ROUND(L34*Source!I38, 6)*SmtRes!DA37, 2)</f>
        <v>4.0599999999999996</v>
      </c>
      <c r="P34">
        <f>SmtRes!AG37</f>
        <v>0</v>
      </c>
      <c r="Q34">
        <f>SmtRes!DC37</f>
        <v>0</v>
      </c>
      <c r="R34">
        <f>ROUND(ROUND(Q34*Source!I38, 6)*1, 2)</f>
        <v>0</v>
      </c>
      <c r="S34">
        <f>SmtRes!AC37</f>
        <v>0</v>
      </c>
      <c r="T34">
        <f>ROUND(ROUND(Q34*Source!I38, 6)*SmtRes!AK37, 2)</f>
        <v>0</v>
      </c>
      <c r="U34">
        <v>3</v>
      </c>
      <c r="Z34">
        <f>SmtRes!X37</f>
        <v>-143474561</v>
      </c>
      <c r="AA34">
        <v>197266994</v>
      </c>
      <c r="AB34">
        <v>1852311330</v>
      </c>
    </row>
    <row r="35" spans="1:28" x14ac:dyDescent="0.2">
      <c r="A35">
        <v>20</v>
      </c>
      <c r="B35">
        <v>36</v>
      </c>
      <c r="C35">
        <v>2</v>
      </c>
      <c r="D35">
        <v>0</v>
      </c>
      <c r="E35">
        <f>SmtRes!AV36</f>
        <v>0</v>
      </c>
      <c r="F35" t="str">
        <f>SmtRes!I36</f>
        <v>91.14.02-001</v>
      </c>
      <c r="G35" t="str">
        <f>SmtRes!K36</f>
        <v>Автомобили бортовые, грузоподъемность до 5 т</v>
      </c>
      <c r="H35" t="str">
        <f>SmtRes!O36</f>
        <v>маш.-ч.</v>
      </c>
      <c r="I35">
        <f>SmtRes!Y36*Source!I38</f>
        <v>1.7220000000000003E-2</v>
      </c>
      <c r="J35">
        <f>SmtRes!AO36</f>
        <v>1</v>
      </c>
      <c r="K35">
        <f>SmtRes!AF36</f>
        <v>65.709999999999994</v>
      </c>
      <c r="L35">
        <f>SmtRes!DB36</f>
        <v>23</v>
      </c>
      <c r="M35">
        <f>ROUND(ROUND(L35*Source!I38, 6)*1, 2)</f>
        <v>1.1299999999999999</v>
      </c>
      <c r="N35">
        <f>SmtRes!AB36</f>
        <v>947.54</v>
      </c>
      <c r="O35">
        <f>ROUND(ROUND(L35*Source!I38, 6)*SmtRes!DA36, 2)</f>
        <v>16.32</v>
      </c>
      <c r="P35">
        <f>SmtRes!AG36</f>
        <v>11.6</v>
      </c>
      <c r="Q35">
        <f>SmtRes!DC36</f>
        <v>4.0625</v>
      </c>
      <c r="R35">
        <f>ROUND(ROUND(Q35*Source!I38, 6)*1, 2)</f>
        <v>0.2</v>
      </c>
      <c r="S35">
        <f>SmtRes!AC36</f>
        <v>456.23</v>
      </c>
      <c r="T35">
        <f>ROUND(ROUND(Q35*Source!I38, 6)*SmtRes!AK36, 2)</f>
        <v>7.86</v>
      </c>
      <c r="U35">
        <v>2</v>
      </c>
      <c r="Z35">
        <f>SmtRes!X36</f>
        <v>509054691</v>
      </c>
      <c r="AA35">
        <v>1555251513</v>
      </c>
      <c r="AB35">
        <v>-341607382</v>
      </c>
    </row>
    <row r="36" spans="1:28" x14ac:dyDescent="0.2">
      <c r="A36">
        <v>20</v>
      </c>
      <c r="B36">
        <v>35</v>
      </c>
      <c r="C36">
        <v>2</v>
      </c>
      <c r="D36">
        <v>0</v>
      </c>
      <c r="E36">
        <f>SmtRes!AV35</f>
        <v>0</v>
      </c>
      <c r="F36" t="str">
        <f>SmtRes!I35</f>
        <v>91.06.06-048</v>
      </c>
      <c r="G36" t="str">
        <f>SmtRes!K35</f>
        <v>Подъемники одномачтовые, грузоподъемность до 500 кг, высота подъема 45 м</v>
      </c>
      <c r="H36" t="str">
        <f>SmtRes!O35</f>
        <v>маш.-ч.</v>
      </c>
      <c r="I36">
        <f>SmtRes!Y35*Source!I38</f>
        <v>0.14144999999999999</v>
      </c>
      <c r="J36">
        <f>SmtRes!AO35</f>
        <v>1</v>
      </c>
      <c r="K36">
        <f>SmtRes!AF35</f>
        <v>31.26</v>
      </c>
      <c r="L36">
        <f>SmtRes!DB35</f>
        <v>89.875</v>
      </c>
      <c r="M36">
        <f>ROUND(ROUND(L36*Source!I38, 6)*1, 2)</f>
        <v>4.42</v>
      </c>
      <c r="N36">
        <f>SmtRes!AB35</f>
        <v>450.77</v>
      </c>
      <c r="O36">
        <f>ROUND(ROUND(L36*Source!I38, 6)*SmtRes!DA35, 2)</f>
        <v>63.76</v>
      </c>
      <c r="P36">
        <f>SmtRes!AG35</f>
        <v>13.5</v>
      </c>
      <c r="Q36">
        <f>SmtRes!DC35</f>
        <v>38.8125</v>
      </c>
      <c r="R36">
        <f>ROUND(ROUND(Q36*Source!I38, 6)*1, 2)</f>
        <v>1.91</v>
      </c>
      <c r="S36">
        <f>SmtRes!AC35</f>
        <v>530.96</v>
      </c>
      <c r="T36">
        <f>ROUND(ROUND(Q36*Source!I38, 6)*SmtRes!AK35, 2)</f>
        <v>75.099999999999994</v>
      </c>
      <c r="U36">
        <v>2</v>
      </c>
      <c r="Z36">
        <f>SmtRes!X35</f>
        <v>1232162608</v>
      </c>
      <c r="AA36">
        <v>142210996</v>
      </c>
      <c r="AB36">
        <v>550578493</v>
      </c>
    </row>
    <row r="37" spans="1:28" x14ac:dyDescent="0.2">
      <c r="A37">
        <v>20</v>
      </c>
      <c r="B37">
        <v>34</v>
      </c>
      <c r="C37">
        <v>2</v>
      </c>
      <c r="D37">
        <v>0</v>
      </c>
      <c r="E37">
        <f>SmtRes!AV34</f>
        <v>0</v>
      </c>
      <c r="F37" t="str">
        <f>SmtRes!I34</f>
        <v>91.06.05-011</v>
      </c>
      <c r="G37" t="str">
        <f>SmtRes!K34</f>
        <v>Погрузчики, грузоподъемность 5 т</v>
      </c>
      <c r="H37" t="str">
        <f>SmtRes!O34</f>
        <v>маш.-ч.</v>
      </c>
      <c r="I37">
        <f>SmtRes!Y34*Source!I38</f>
        <v>2.2139999999999996E-2</v>
      </c>
      <c r="J37">
        <f>SmtRes!AO34</f>
        <v>1</v>
      </c>
      <c r="K37">
        <f>SmtRes!AF34</f>
        <v>89.99</v>
      </c>
      <c r="L37">
        <f>SmtRes!DB34</f>
        <v>40.5</v>
      </c>
      <c r="M37">
        <f>ROUND(ROUND(L37*Source!I38, 6)*1, 2)</f>
        <v>1.99</v>
      </c>
      <c r="N37">
        <f>SmtRes!AB34</f>
        <v>1297.6600000000001</v>
      </c>
      <c r="O37">
        <f>ROUND(ROUND(L37*Source!I38, 6)*SmtRes!DA34, 2)</f>
        <v>28.73</v>
      </c>
      <c r="P37">
        <f>SmtRes!AG34</f>
        <v>10.06</v>
      </c>
      <c r="Q37">
        <f>SmtRes!DC34</f>
        <v>4.5250000000000004</v>
      </c>
      <c r="R37">
        <f>ROUND(ROUND(Q37*Source!I38, 6)*1, 2)</f>
        <v>0.22</v>
      </c>
      <c r="S37">
        <f>SmtRes!AC34</f>
        <v>395.66</v>
      </c>
      <c r="T37">
        <f>ROUND(ROUND(Q37*Source!I38, 6)*SmtRes!AK34, 2)</f>
        <v>8.76</v>
      </c>
      <c r="U37">
        <v>2</v>
      </c>
      <c r="Z37">
        <f>SmtRes!X34</f>
        <v>-896236776</v>
      </c>
      <c r="AA37">
        <v>136637897</v>
      </c>
      <c r="AB37">
        <v>520652551</v>
      </c>
    </row>
    <row r="38" spans="1:28" x14ac:dyDescent="0.2">
      <c r="A38">
        <v>20</v>
      </c>
      <c r="B38">
        <v>32</v>
      </c>
      <c r="C38">
        <v>1</v>
      </c>
      <c r="D38">
        <v>0</v>
      </c>
      <c r="E38">
        <f>SmtRes!AV32</f>
        <v>1</v>
      </c>
      <c r="F38" t="str">
        <f>SmtRes!I32</f>
        <v>1-100-32</v>
      </c>
      <c r="G38" t="str">
        <f>SmtRes!K32</f>
        <v>Затраты труда рабочих (Средний разряд - 3,2)</v>
      </c>
      <c r="H38" t="str">
        <f>SmtRes!O32</f>
        <v>чел.-ч.</v>
      </c>
      <c r="I38">
        <f>SmtRes!Y32*Source!I38</f>
        <v>5.9974799999999995</v>
      </c>
      <c r="J38">
        <f>SmtRes!AO32</f>
        <v>1</v>
      </c>
      <c r="K38">
        <f>SmtRes!AH32</f>
        <v>8.74</v>
      </c>
      <c r="L38">
        <f>SmtRes!DB32</f>
        <v>1065.4059999999999</v>
      </c>
      <c r="M38">
        <f>ROUND(ROUND(L38*Source!I38, 6)*1, 2)</f>
        <v>52.42</v>
      </c>
      <c r="N38">
        <f>SmtRes!AD32</f>
        <v>343.74</v>
      </c>
      <c r="O38">
        <f>ROUND(ROUND(L38*Source!I38, 6)*SmtRes!DA32, 2)</f>
        <v>2061.6</v>
      </c>
      <c r="P38">
        <f>SmtRes!AG32</f>
        <v>0</v>
      </c>
      <c r="Q38">
        <f>SmtRes!DC32</f>
        <v>0</v>
      </c>
      <c r="R38">
        <f>ROUND(ROUND(Q38*Source!I38, 6)*1, 2)</f>
        <v>0</v>
      </c>
      <c r="S38">
        <f>SmtRes!AC32</f>
        <v>0</v>
      </c>
      <c r="T38">
        <f>ROUND(ROUND(Q38*Source!I38, 6)*SmtRes!AK32, 2)</f>
        <v>0</v>
      </c>
      <c r="U38">
        <v>1</v>
      </c>
      <c r="Z38">
        <f>SmtRes!X32</f>
        <v>784619160</v>
      </c>
      <c r="AA38">
        <v>-859080157</v>
      </c>
      <c r="AB38">
        <v>1262808885</v>
      </c>
    </row>
    <row r="39" spans="1:28" x14ac:dyDescent="0.2">
      <c r="A39">
        <f>Source!A41</f>
        <v>18</v>
      </c>
      <c r="B39">
        <v>41</v>
      </c>
      <c r="C39">
        <v>3</v>
      </c>
      <c r="D39">
        <f>Source!BI41</f>
        <v>1</v>
      </c>
      <c r="E39">
        <f>Source!FS41</f>
        <v>0</v>
      </c>
      <c r="F39" t="str">
        <f>Source!F41</f>
        <v>14.1.06.04-0010</v>
      </c>
      <c r="G39" t="str">
        <f>Source!G41</f>
        <v>Клей плиточный «Боларс Аква»</v>
      </c>
      <c r="H39" t="str">
        <f>Source!H41</f>
        <v>кг</v>
      </c>
      <c r="I39">
        <f>Source!I41</f>
        <v>75</v>
      </c>
      <c r="J39">
        <v>1</v>
      </c>
      <c r="K39">
        <f>Source!AC41</f>
        <v>4.93</v>
      </c>
      <c r="M39">
        <f>ROUND(K39*I39, 2)</f>
        <v>369.75</v>
      </c>
      <c r="N39">
        <f>Source!AC41*IF(Source!BC41&lt;&gt; 0, Source!BC41, 1)</f>
        <v>43.334699999999991</v>
      </c>
      <c r="O39">
        <f>ROUND(N39*I39, 2)</f>
        <v>3250.1</v>
      </c>
      <c r="P39">
        <f>Source!AE41</f>
        <v>0</v>
      </c>
      <c r="R39">
        <f>ROUND(P39*I39, 2)</f>
        <v>0</v>
      </c>
      <c r="S39">
        <f>Source!AE41*IF(Source!BS41&lt;&gt; 0, Source!BS41, 1)</f>
        <v>0</v>
      </c>
      <c r="T39">
        <f>ROUND(S39*I39, 2)</f>
        <v>0</v>
      </c>
      <c r="U39">
        <v>3</v>
      </c>
      <c r="Z39">
        <f>Source!GF41</f>
        <v>272805291</v>
      </c>
      <c r="AA39">
        <v>1494413386</v>
      </c>
      <c r="AB39">
        <v>730537242</v>
      </c>
    </row>
    <row r="40" spans="1:28" x14ac:dyDescent="0.2">
      <c r="A40">
        <f>Source!A42</f>
        <v>18</v>
      </c>
      <c r="B40">
        <v>42</v>
      </c>
      <c r="C40">
        <v>3</v>
      </c>
      <c r="D40">
        <f>Source!BI42</f>
        <v>1</v>
      </c>
      <c r="E40">
        <f>Source!FS42</f>
        <v>0</v>
      </c>
      <c r="F40" t="str">
        <f>Source!F42</f>
        <v>06.2.05.03-1000</v>
      </c>
      <c r="G40" t="str">
        <f>Source!G42</f>
        <v>Плитка керамогранитная, размер 300x300x8 мм</v>
      </c>
      <c r="H40" t="str">
        <f>Source!H42</f>
        <v>м2</v>
      </c>
      <c r="I40">
        <f>Source!I42</f>
        <v>5.0183999999999997</v>
      </c>
      <c r="J40">
        <v>1</v>
      </c>
      <c r="K40">
        <f>Source!AC42</f>
        <v>47.83</v>
      </c>
      <c r="M40">
        <f>ROUND(K40*I40, 2)</f>
        <v>240.03</v>
      </c>
      <c r="N40">
        <f>Source!AC42*IF(Source!BC42&lt;&gt; 0, Source!BC42, 1)</f>
        <v>420.42569999999995</v>
      </c>
      <c r="O40">
        <f>ROUND(N40*I40, 2)</f>
        <v>2109.86</v>
      </c>
      <c r="P40">
        <f>Source!AE42</f>
        <v>0</v>
      </c>
      <c r="R40">
        <f>ROUND(P40*I40, 2)</f>
        <v>0</v>
      </c>
      <c r="S40">
        <f>Source!AE42*IF(Source!BS42&lt;&gt; 0, Source!BS42, 1)</f>
        <v>0</v>
      </c>
      <c r="T40">
        <f>ROUND(S40*I40, 2)</f>
        <v>0</v>
      </c>
      <c r="U40">
        <v>3</v>
      </c>
      <c r="Z40">
        <f>Source!GF42</f>
        <v>-773684841</v>
      </c>
      <c r="AA40">
        <v>920425757</v>
      </c>
      <c r="AB40">
        <v>-1994779640</v>
      </c>
    </row>
    <row r="41" spans="1:28" x14ac:dyDescent="0.2">
      <c r="A41">
        <v>20</v>
      </c>
      <c r="B41">
        <v>55</v>
      </c>
      <c r="C41">
        <v>3</v>
      </c>
      <c r="D41">
        <v>0</v>
      </c>
      <c r="E41">
        <f>SmtRes!AV55</f>
        <v>0</v>
      </c>
      <c r="F41" t="str">
        <f>SmtRes!I55</f>
        <v>08.3.03.05-0017</v>
      </c>
      <c r="G41" t="str">
        <f>SmtRes!K55</f>
        <v>Проволока стальная низкоуглеродистая разного назначения оцинкованная, диаметр 3,0 мм</v>
      </c>
      <c r="H41" t="str">
        <f>SmtRes!O55</f>
        <v>т</v>
      </c>
      <c r="I41">
        <f>SmtRes!Y55*Source!I43</f>
        <v>2.6840000000000002E-3</v>
      </c>
      <c r="J41">
        <f>SmtRes!AO55</f>
        <v>1</v>
      </c>
      <c r="K41">
        <f>SmtRes!AE55</f>
        <v>12242</v>
      </c>
      <c r="L41">
        <f>SmtRes!DB55</f>
        <v>244.84</v>
      </c>
      <c r="M41">
        <f>ROUND(ROUND(L41*Source!I43, 6)*1, 2)</f>
        <v>32.86</v>
      </c>
      <c r="N41">
        <f>SmtRes!AA55</f>
        <v>107607.18</v>
      </c>
      <c r="O41">
        <f>ROUND(ROUND(L41*Source!I43, 6)*SmtRes!DA55, 2)</f>
        <v>288.82</v>
      </c>
      <c r="P41">
        <f>SmtRes!AG55</f>
        <v>0</v>
      </c>
      <c r="Q41">
        <f>SmtRes!DC55</f>
        <v>0</v>
      </c>
      <c r="R41">
        <f>ROUND(ROUND(Q41*Source!I43, 6)*1, 2)</f>
        <v>0</v>
      </c>
      <c r="S41">
        <f>SmtRes!AC55</f>
        <v>0</v>
      </c>
      <c r="T41">
        <f>ROUND(ROUND(Q41*Source!I43, 6)*SmtRes!AK55, 2)</f>
        <v>0</v>
      </c>
      <c r="U41">
        <v>3</v>
      </c>
      <c r="Z41">
        <f>SmtRes!X55</f>
        <v>1354244301</v>
      </c>
      <c r="AA41">
        <v>-649061568</v>
      </c>
      <c r="AB41">
        <v>1996775060</v>
      </c>
    </row>
    <row r="42" spans="1:28" x14ac:dyDescent="0.2">
      <c r="A42">
        <v>20</v>
      </c>
      <c r="B42">
        <v>53</v>
      </c>
      <c r="C42">
        <v>3</v>
      </c>
      <c r="D42">
        <v>0</v>
      </c>
      <c r="E42">
        <f>SmtRes!AV53</f>
        <v>0</v>
      </c>
      <c r="F42" t="str">
        <f>SmtRes!I53</f>
        <v>04.3.01.12-0111</v>
      </c>
      <c r="G42" t="str">
        <f>SmtRes!K53</f>
        <v>Раствор готовый отделочный тяжелый, цементно-известковый, состав 1:1:6</v>
      </c>
      <c r="H42" t="str">
        <f>SmtRes!O53</f>
        <v>м3</v>
      </c>
      <c r="I42">
        <f>SmtRes!Y53*Source!I43</f>
        <v>0.26840000000000003</v>
      </c>
      <c r="J42">
        <f>SmtRes!AO53</f>
        <v>1</v>
      </c>
      <c r="K42">
        <f>SmtRes!AE53</f>
        <v>517.91</v>
      </c>
      <c r="L42">
        <f>SmtRes!DB53</f>
        <v>1035.82</v>
      </c>
      <c r="M42">
        <f>ROUND(ROUND(L42*Source!I43, 6)*1, 2)</f>
        <v>139.01</v>
      </c>
      <c r="N42">
        <f>SmtRes!AA53</f>
        <v>4552.43</v>
      </c>
      <c r="O42">
        <f>ROUND(ROUND(L42*Source!I43, 6)*SmtRes!DA53, 2)</f>
        <v>1221.8699999999999</v>
      </c>
      <c r="P42">
        <f>SmtRes!AG53</f>
        <v>0</v>
      </c>
      <c r="Q42">
        <f>SmtRes!DC53</f>
        <v>0</v>
      </c>
      <c r="R42">
        <f>ROUND(ROUND(Q42*Source!I43, 6)*1, 2)</f>
        <v>0</v>
      </c>
      <c r="S42">
        <f>SmtRes!AC53</f>
        <v>0</v>
      </c>
      <c r="T42">
        <f>ROUND(ROUND(Q42*Source!I43, 6)*SmtRes!AK53, 2)</f>
        <v>0</v>
      </c>
      <c r="U42">
        <v>3</v>
      </c>
      <c r="Z42">
        <f>SmtRes!X53</f>
        <v>-2007109984</v>
      </c>
      <c r="AA42">
        <v>2017654502</v>
      </c>
      <c r="AB42">
        <v>-807192053</v>
      </c>
    </row>
    <row r="43" spans="1:28" x14ac:dyDescent="0.2">
      <c r="A43">
        <v>20</v>
      </c>
      <c r="B43">
        <v>52</v>
      </c>
      <c r="C43">
        <v>3</v>
      </c>
      <c r="D43">
        <v>0</v>
      </c>
      <c r="E43">
        <f>SmtRes!AV52</f>
        <v>0</v>
      </c>
      <c r="F43" t="str">
        <f>SmtRes!I52</f>
        <v>02.4.03.02-0001</v>
      </c>
      <c r="G43" t="str">
        <f>SmtRes!K52</f>
        <v>Щебень пористый из металлургического шлака М 600, фракция 5-10 мм</v>
      </c>
      <c r="H43" t="str">
        <f>SmtRes!O52</f>
        <v>м3</v>
      </c>
      <c r="I43">
        <f>SmtRes!Y52*Source!I43</f>
        <v>9.3940000000000007E-4</v>
      </c>
      <c r="J43">
        <f>SmtRes!AO52</f>
        <v>1</v>
      </c>
      <c r="K43">
        <f>SmtRes!AE52</f>
        <v>74.58</v>
      </c>
      <c r="L43">
        <f>SmtRes!DB52</f>
        <v>0.52</v>
      </c>
      <c r="M43">
        <f>ROUND(ROUND(L43*Source!I43, 6)*1, 2)</f>
        <v>7.0000000000000007E-2</v>
      </c>
      <c r="N43">
        <f>SmtRes!AA52</f>
        <v>655.56</v>
      </c>
      <c r="O43">
        <f>ROUND(ROUND(L43*Source!I43, 6)*SmtRes!DA52, 2)</f>
        <v>0.61</v>
      </c>
      <c r="P43">
        <f>SmtRes!AG52</f>
        <v>0</v>
      </c>
      <c r="Q43">
        <f>SmtRes!DC52</f>
        <v>0</v>
      </c>
      <c r="R43">
        <f>ROUND(ROUND(Q43*Source!I43, 6)*1, 2)</f>
        <v>0</v>
      </c>
      <c r="S43">
        <f>SmtRes!AC52</f>
        <v>0</v>
      </c>
      <c r="T43">
        <f>ROUND(ROUND(Q43*Source!I43, 6)*SmtRes!AK52, 2)</f>
        <v>0</v>
      </c>
      <c r="U43">
        <v>3</v>
      </c>
      <c r="Z43">
        <f>SmtRes!X52</f>
        <v>116102337</v>
      </c>
      <c r="AA43">
        <v>1337776523</v>
      </c>
      <c r="AB43">
        <v>1155639359</v>
      </c>
    </row>
    <row r="44" spans="1:28" x14ac:dyDescent="0.2">
      <c r="A44">
        <v>20</v>
      </c>
      <c r="B44">
        <v>51</v>
      </c>
      <c r="C44">
        <v>3</v>
      </c>
      <c r="D44">
        <v>0</v>
      </c>
      <c r="E44">
        <f>SmtRes!AV51</f>
        <v>0</v>
      </c>
      <c r="F44" t="str">
        <f>SmtRes!I51</f>
        <v>01.7.20.08-0051</v>
      </c>
      <c r="G44" t="str">
        <f>SmtRes!K51</f>
        <v>Ветошь</v>
      </c>
      <c r="H44" t="str">
        <f>SmtRes!O51</f>
        <v>кг</v>
      </c>
      <c r="I44">
        <f>SmtRes!Y51*Source!I43</f>
        <v>0.67100000000000004</v>
      </c>
      <c r="J44">
        <f>SmtRes!AO51</f>
        <v>1</v>
      </c>
      <c r="K44">
        <f>SmtRes!AE51</f>
        <v>1.82</v>
      </c>
      <c r="L44">
        <f>SmtRes!DB51</f>
        <v>9.1</v>
      </c>
      <c r="M44">
        <f>ROUND(ROUND(L44*Source!I43, 6)*1, 2)</f>
        <v>1.22</v>
      </c>
      <c r="N44">
        <f>SmtRes!AA51</f>
        <v>16</v>
      </c>
      <c r="O44">
        <f>ROUND(ROUND(L44*Source!I43, 6)*SmtRes!DA51, 2)</f>
        <v>10.73</v>
      </c>
      <c r="P44">
        <f>SmtRes!AG51</f>
        <v>0</v>
      </c>
      <c r="Q44">
        <f>SmtRes!DC51</f>
        <v>0</v>
      </c>
      <c r="R44">
        <f>ROUND(ROUND(Q44*Source!I43, 6)*1, 2)</f>
        <v>0</v>
      </c>
      <c r="S44">
        <f>SmtRes!AC51</f>
        <v>0</v>
      </c>
      <c r="T44">
        <f>ROUND(ROUND(Q44*Source!I43, 6)*SmtRes!AK51, 2)</f>
        <v>0</v>
      </c>
      <c r="U44">
        <v>3</v>
      </c>
      <c r="Z44">
        <f>SmtRes!X51</f>
        <v>-1877867608</v>
      </c>
      <c r="AA44">
        <v>-361699886</v>
      </c>
      <c r="AB44">
        <v>903852933</v>
      </c>
    </row>
    <row r="45" spans="1:28" x14ac:dyDescent="0.2">
      <c r="A45">
        <v>20</v>
      </c>
      <c r="B45">
        <v>50</v>
      </c>
      <c r="C45">
        <v>3</v>
      </c>
      <c r="D45">
        <v>0</v>
      </c>
      <c r="E45">
        <f>SmtRes!AV50</f>
        <v>0</v>
      </c>
      <c r="F45" t="str">
        <f>SmtRes!I50</f>
        <v>01.7.17.05-0021</v>
      </c>
      <c r="G45" t="str">
        <f>SmtRes!K50</f>
        <v>Карборунд</v>
      </c>
      <c r="H45" t="str">
        <f>SmtRes!O50</f>
        <v>кг</v>
      </c>
      <c r="I45">
        <f>SmtRes!Y50*Source!I43</f>
        <v>0.99844800000000011</v>
      </c>
      <c r="J45">
        <f>SmtRes!AO50</f>
        <v>1</v>
      </c>
      <c r="K45">
        <f>SmtRes!AE50</f>
        <v>5.71</v>
      </c>
      <c r="L45">
        <f>SmtRes!DB50</f>
        <v>42.48</v>
      </c>
      <c r="M45">
        <f>ROUND(ROUND(L45*Source!I43, 6)*1, 2)</f>
        <v>5.7</v>
      </c>
      <c r="N45">
        <f>SmtRes!AA50</f>
        <v>50.19</v>
      </c>
      <c r="O45">
        <f>ROUND(ROUND(L45*Source!I43, 6)*SmtRes!DA50, 2)</f>
        <v>50.11</v>
      </c>
      <c r="P45">
        <f>SmtRes!AG50</f>
        <v>0</v>
      </c>
      <c r="Q45">
        <f>SmtRes!DC50</f>
        <v>0</v>
      </c>
      <c r="R45">
        <f>ROUND(ROUND(Q45*Source!I43, 6)*1, 2)</f>
        <v>0</v>
      </c>
      <c r="S45">
        <f>SmtRes!AC50</f>
        <v>0</v>
      </c>
      <c r="T45">
        <f>ROUND(ROUND(Q45*Source!I43, 6)*SmtRes!AK50, 2)</f>
        <v>0</v>
      </c>
      <c r="U45">
        <v>3</v>
      </c>
      <c r="Z45">
        <f>SmtRes!X50</f>
        <v>571635844</v>
      </c>
      <c r="AA45">
        <v>-49200405</v>
      </c>
      <c r="AB45">
        <v>-186999755</v>
      </c>
    </row>
    <row r="46" spans="1:28" x14ac:dyDescent="0.2">
      <c r="A46">
        <v>20</v>
      </c>
      <c r="B46">
        <v>49</v>
      </c>
      <c r="C46">
        <v>3</v>
      </c>
      <c r="D46">
        <v>0</v>
      </c>
      <c r="E46">
        <f>SmtRes!AV49</f>
        <v>0</v>
      </c>
      <c r="F46" t="str">
        <f>SmtRes!I49</f>
        <v>01.7.07.13-0001</v>
      </c>
      <c r="G46" t="str">
        <f>SmtRes!K49</f>
        <v>Мука андезитовая кислотоупорная, А</v>
      </c>
      <c r="H46" t="str">
        <f>SmtRes!O49</f>
        <v>т</v>
      </c>
      <c r="I46">
        <f>SmtRes!Y49*Source!I43</f>
        <v>6.0389999999999999E-4</v>
      </c>
      <c r="J46">
        <f>SmtRes!AO49</f>
        <v>1</v>
      </c>
      <c r="K46">
        <f>SmtRes!AE49</f>
        <v>688.8</v>
      </c>
      <c r="L46">
        <f>SmtRes!DB49</f>
        <v>3.1</v>
      </c>
      <c r="M46">
        <f>ROUND(ROUND(L46*Source!I43, 6)*1, 2)</f>
        <v>0.42</v>
      </c>
      <c r="N46">
        <f>SmtRes!AA49</f>
        <v>6054.55</v>
      </c>
      <c r="O46">
        <f>ROUND(ROUND(L46*Source!I43, 6)*SmtRes!DA49, 2)</f>
        <v>3.66</v>
      </c>
      <c r="P46">
        <f>SmtRes!AG49</f>
        <v>0</v>
      </c>
      <c r="Q46">
        <f>SmtRes!DC49</f>
        <v>0</v>
      </c>
      <c r="R46">
        <f>ROUND(ROUND(Q46*Source!I43, 6)*1, 2)</f>
        <v>0</v>
      </c>
      <c r="S46">
        <f>SmtRes!AC49</f>
        <v>0</v>
      </c>
      <c r="T46">
        <f>ROUND(ROUND(Q46*Source!I43, 6)*SmtRes!AK49, 2)</f>
        <v>0</v>
      </c>
      <c r="U46">
        <v>3</v>
      </c>
      <c r="Z46">
        <f>SmtRes!X49</f>
        <v>-1258424839</v>
      </c>
      <c r="AA46">
        <v>-1035637104</v>
      </c>
      <c r="AB46">
        <v>520628784</v>
      </c>
    </row>
    <row r="47" spans="1:28" x14ac:dyDescent="0.2">
      <c r="A47">
        <v>20</v>
      </c>
      <c r="B47">
        <v>48</v>
      </c>
      <c r="C47">
        <v>3</v>
      </c>
      <c r="D47">
        <v>0</v>
      </c>
      <c r="E47">
        <f>SmtRes!AV48</f>
        <v>0</v>
      </c>
      <c r="F47" t="str">
        <f>SmtRes!I48</f>
        <v>01.7.03.01-0001</v>
      </c>
      <c r="G47" t="str">
        <f>SmtRes!K48</f>
        <v>Вода</v>
      </c>
      <c r="H47" t="str">
        <f>SmtRes!O48</f>
        <v>м3</v>
      </c>
      <c r="I47">
        <f>SmtRes!Y48*Source!I43</f>
        <v>0.21606200000000003</v>
      </c>
      <c r="J47">
        <f>SmtRes!AO48</f>
        <v>1</v>
      </c>
      <c r="K47">
        <f>SmtRes!AE48</f>
        <v>2.44</v>
      </c>
      <c r="L47">
        <f>SmtRes!DB48</f>
        <v>3.93</v>
      </c>
      <c r="M47">
        <f>ROUND(ROUND(L47*Source!I43, 6)*1, 2)</f>
        <v>0.53</v>
      </c>
      <c r="N47">
        <f>SmtRes!AA48</f>
        <v>21.45</v>
      </c>
      <c r="O47">
        <f>ROUND(ROUND(L47*Source!I43, 6)*SmtRes!DA48, 2)</f>
        <v>4.6399999999999997</v>
      </c>
      <c r="P47">
        <f>SmtRes!AG48</f>
        <v>0</v>
      </c>
      <c r="Q47">
        <f>SmtRes!DC48</f>
        <v>0</v>
      </c>
      <c r="R47">
        <f>ROUND(ROUND(Q47*Source!I43, 6)*1, 2)</f>
        <v>0</v>
      </c>
      <c r="S47">
        <f>SmtRes!AC48</f>
        <v>0</v>
      </c>
      <c r="T47">
        <f>ROUND(ROUND(Q47*Source!I43, 6)*SmtRes!AK48, 2)</f>
        <v>0</v>
      </c>
      <c r="U47">
        <v>3</v>
      </c>
      <c r="Z47">
        <f>SmtRes!X48</f>
        <v>-1033255509</v>
      </c>
      <c r="AA47">
        <v>-1846669192</v>
      </c>
      <c r="AB47">
        <v>-806166878</v>
      </c>
    </row>
    <row r="48" spans="1:28" x14ac:dyDescent="0.2">
      <c r="A48">
        <v>20</v>
      </c>
      <c r="B48">
        <v>47</v>
      </c>
      <c r="C48">
        <v>3</v>
      </c>
      <c r="D48">
        <v>0</v>
      </c>
      <c r="E48">
        <f>SmtRes!AV47</f>
        <v>0</v>
      </c>
      <c r="F48" t="str">
        <f>SmtRes!I47</f>
        <v>01.7.02.10-0005</v>
      </c>
      <c r="G48" t="str">
        <f>SmtRes!K47</f>
        <v>Бумага ролевая</v>
      </c>
      <c r="H48" t="str">
        <f>SmtRes!O47</f>
        <v>т</v>
      </c>
      <c r="I48">
        <f>SmtRes!Y47*Source!I43</f>
        <v>9.3940000000000007E-4</v>
      </c>
      <c r="J48">
        <f>SmtRes!AO47</f>
        <v>1</v>
      </c>
      <c r="K48">
        <f>SmtRes!AE47</f>
        <v>5650</v>
      </c>
      <c r="L48">
        <f>SmtRes!DB47</f>
        <v>39.549999999999997</v>
      </c>
      <c r="M48">
        <f>ROUND(ROUND(L48*Source!I43, 6)*1, 2)</f>
        <v>5.31</v>
      </c>
      <c r="N48">
        <f>SmtRes!AA47</f>
        <v>49663.5</v>
      </c>
      <c r="O48">
        <f>ROUND(ROUND(L48*Source!I43, 6)*SmtRes!DA47, 2)</f>
        <v>46.65</v>
      </c>
      <c r="P48">
        <f>SmtRes!AG47</f>
        <v>0</v>
      </c>
      <c r="Q48">
        <f>SmtRes!DC47</f>
        <v>0</v>
      </c>
      <c r="R48">
        <f>ROUND(ROUND(Q48*Source!I43, 6)*1, 2)</f>
        <v>0</v>
      </c>
      <c r="S48">
        <f>SmtRes!AC47</f>
        <v>0</v>
      </c>
      <c r="T48">
        <f>ROUND(ROUND(Q48*Source!I43, 6)*SmtRes!AK47, 2)</f>
        <v>0</v>
      </c>
      <c r="U48">
        <v>3</v>
      </c>
      <c r="Z48">
        <f>SmtRes!X47</f>
        <v>503531831</v>
      </c>
      <c r="AA48">
        <v>814742731</v>
      </c>
      <c r="AB48">
        <v>-723108037</v>
      </c>
    </row>
    <row r="49" spans="1:28" x14ac:dyDescent="0.2">
      <c r="A49">
        <v>20</v>
      </c>
      <c r="B49">
        <v>46</v>
      </c>
      <c r="C49">
        <v>2</v>
      </c>
      <c r="D49">
        <v>0</v>
      </c>
      <c r="E49">
        <f>SmtRes!AV46</f>
        <v>0</v>
      </c>
      <c r="F49" t="str">
        <f>SmtRes!I46</f>
        <v>91.06.06-048</v>
      </c>
      <c r="G49" t="str">
        <f>SmtRes!K46</f>
        <v>Подъемники одномачтовые, грузоподъемность до 500 кг, высота подъема 45 м</v>
      </c>
      <c r="H49" t="str">
        <f>SmtRes!O46</f>
        <v>маш.-ч</v>
      </c>
      <c r="I49">
        <f>SmtRes!Y46*Source!I43</f>
        <v>0.36401750000000005</v>
      </c>
      <c r="J49">
        <f>SmtRes!AO46</f>
        <v>1</v>
      </c>
      <c r="K49">
        <f>SmtRes!AF46</f>
        <v>31.26</v>
      </c>
      <c r="L49">
        <f>SmtRes!DB46</f>
        <v>84.787499999999994</v>
      </c>
      <c r="M49">
        <f>ROUND(ROUND(L49*Source!I43, 6)*1, 2)</f>
        <v>11.38</v>
      </c>
      <c r="N49">
        <f>SmtRes!AB46</f>
        <v>450.77</v>
      </c>
      <c r="O49">
        <f>ROUND(ROUND(L49*Source!I43, 6)*SmtRes!DA46, 2)</f>
        <v>164.08</v>
      </c>
      <c r="P49">
        <f>SmtRes!AG46</f>
        <v>13.5</v>
      </c>
      <c r="Q49">
        <f>SmtRes!DC46</f>
        <v>36.625</v>
      </c>
      <c r="R49">
        <f>ROUND(ROUND(Q49*Source!I43, 6)*1, 2)</f>
        <v>4.92</v>
      </c>
      <c r="S49">
        <f>SmtRes!AC46</f>
        <v>530.96</v>
      </c>
      <c r="T49">
        <f>ROUND(ROUND(Q49*Source!I43, 6)*SmtRes!AK46, 2)</f>
        <v>193.31</v>
      </c>
      <c r="U49">
        <v>2</v>
      </c>
      <c r="Z49">
        <f>SmtRes!X46</f>
        <v>-1360328220</v>
      </c>
      <c r="AA49">
        <v>-1896321524</v>
      </c>
      <c r="AB49">
        <v>1002604171</v>
      </c>
    </row>
    <row r="50" spans="1:28" x14ac:dyDescent="0.2">
      <c r="A50">
        <v>20</v>
      </c>
      <c r="B50">
        <v>45</v>
      </c>
      <c r="C50">
        <v>2</v>
      </c>
      <c r="D50">
        <v>0</v>
      </c>
      <c r="E50">
        <f>SmtRes!AV45</f>
        <v>0</v>
      </c>
      <c r="F50" t="str">
        <f>SmtRes!I45</f>
        <v>91.06.05-011</v>
      </c>
      <c r="G50" t="str">
        <f>SmtRes!K45</f>
        <v>Погрузчики, грузоподъемность 5 т</v>
      </c>
      <c r="H50" t="str">
        <f>SmtRes!O45</f>
        <v>маш.-ч</v>
      </c>
      <c r="I50">
        <f>SmtRes!Y45*Source!I43</f>
        <v>6.5422500000000008E-2</v>
      </c>
      <c r="J50">
        <f>SmtRes!AO45</f>
        <v>1</v>
      </c>
      <c r="K50">
        <f>SmtRes!AF45</f>
        <v>89.99</v>
      </c>
      <c r="L50">
        <f>SmtRes!DB45</f>
        <v>43.875</v>
      </c>
      <c r="M50">
        <f>ROUND(ROUND(L50*Source!I43, 6)*1, 2)</f>
        <v>5.89</v>
      </c>
      <c r="N50">
        <f>SmtRes!AB45</f>
        <v>1297.6600000000001</v>
      </c>
      <c r="O50">
        <f>ROUND(ROUND(L50*Source!I43, 6)*SmtRes!DA45, 2)</f>
        <v>84.91</v>
      </c>
      <c r="P50">
        <f>SmtRes!AG45</f>
        <v>10.06</v>
      </c>
      <c r="Q50">
        <f>SmtRes!DC45</f>
        <v>4.9000000000000004</v>
      </c>
      <c r="R50">
        <f>ROUND(ROUND(Q50*Source!I43, 6)*1, 2)</f>
        <v>0.66</v>
      </c>
      <c r="S50">
        <f>SmtRes!AC45</f>
        <v>395.66</v>
      </c>
      <c r="T50">
        <f>ROUND(ROUND(Q50*Source!I43, 6)*SmtRes!AK45, 2)</f>
        <v>25.86</v>
      </c>
      <c r="U50">
        <v>2</v>
      </c>
      <c r="Z50">
        <f>SmtRes!X45</f>
        <v>-1845589996</v>
      </c>
      <c r="AA50">
        <v>-544468788</v>
      </c>
      <c r="AB50">
        <v>1449851093</v>
      </c>
    </row>
    <row r="51" spans="1:28" x14ac:dyDescent="0.2">
      <c r="A51">
        <v>20</v>
      </c>
      <c r="B51">
        <v>43</v>
      </c>
      <c r="C51">
        <v>1</v>
      </c>
      <c r="D51">
        <v>0</v>
      </c>
      <c r="E51">
        <f>SmtRes!AV43</f>
        <v>1</v>
      </c>
      <c r="F51" t="str">
        <f>SmtRes!I43</f>
        <v>1-100-47</v>
      </c>
      <c r="G51" t="str">
        <f>SmtRes!K43</f>
        <v>Рабочий среднего разряда 4.7</v>
      </c>
      <c r="H51" t="str">
        <f>SmtRes!O43</f>
        <v>чел.-ч.</v>
      </c>
      <c r="I51">
        <f>SmtRes!Y43*Source!I43</f>
        <v>84.881500000000003</v>
      </c>
      <c r="J51">
        <f>SmtRes!AO43</f>
        <v>1</v>
      </c>
      <c r="K51">
        <f>SmtRes!AH43</f>
        <v>10.65</v>
      </c>
      <c r="L51">
        <f>SmtRes!DB43</f>
        <v>6736.125</v>
      </c>
      <c r="M51">
        <f>ROUND(ROUND(L51*Source!I43, 6)*1, 2)</f>
        <v>903.99</v>
      </c>
      <c r="N51">
        <f>SmtRes!AD43</f>
        <v>418.86</v>
      </c>
      <c r="O51">
        <f>ROUND(ROUND(L51*Source!I43, 6)*SmtRes!DA43, 2)</f>
        <v>35553.85</v>
      </c>
      <c r="P51">
        <f>SmtRes!AG43</f>
        <v>0</v>
      </c>
      <c r="Q51">
        <f>SmtRes!DC43</f>
        <v>0</v>
      </c>
      <c r="R51">
        <f>ROUND(ROUND(Q51*Source!I43, 6)*1, 2)</f>
        <v>0</v>
      </c>
      <c r="S51">
        <f>SmtRes!AC43</f>
        <v>0</v>
      </c>
      <c r="T51">
        <f>ROUND(ROUND(Q51*Source!I43, 6)*SmtRes!AK43, 2)</f>
        <v>0</v>
      </c>
      <c r="U51">
        <v>1</v>
      </c>
      <c r="Z51">
        <f>SmtRes!X43</f>
        <v>1145761654</v>
      </c>
      <c r="AA51">
        <v>1330369000</v>
      </c>
      <c r="AB51">
        <v>-621965525</v>
      </c>
    </row>
    <row r="52" spans="1:28" x14ac:dyDescent="0.2">
      <c r="A52">
        <f>Source!A46</f>
        <v>18</v>
      </c>
      <c r="B52">
        <v>46</v>
      </c>
      <c r="C52">
        <v>3</v>
      </c>
      <c r="D52">
        <f>Source!BI46</f>
        <v>1</v>
      </c>
      <c r="E52">
        <f>Source!FS46</f>
        <v>0</v>
      </c>
      <c r="F52" t="str">
        <f>Source!F46</f>
        <v>06.2.05.03-1000</v>
      </c>
      <c r="G52" t="str">
        <f>Source!G46</f>
        <v>Плитка керамогранитная, размер 300x300x8 мм</v>
      </c>
      <c r="H52" t="str">
        <f>Source!H46</f>
        <v>м2</v>
      </c>
      <c r="I52">
        <f>Source!I46</f>
        <v>13.5542</v>
      </c>
      <c r="J52">
        <v>1</v>
      </c>
      <c r="K52">
        <f>Source!AC46</f>
        <v>47.83</v>
      </c>
      <c r="M52">
        <f>ROUND(K52*I52, 2)</f>
        <v>648.29999999999995</v>
      </c>
      <c r="N52">
        <f>Source!AC46*IF(Source!BC46&lt;&gt; 0, Source!BC46, 1)</f>
        <v>420.42569999999995</v>
      </c>
      <c r="O52">
        <f>ROUND(N52*I52, 2)</f>
        <v>5698.53</v>
      </c>
      <c r="P52">
        <f>Source!AE46</f>
        <v>0</v>
      </c>
      <c r="R52">
        <f>ROUND(P52*I52, 2)</f>
        <v>0</v>
      </c>
      <c r="S52">
        <f>Source!AE46*IF(Source!BS46&lt;&gt; 0, Source!BS46, 1)</f>
        <v>0</v>
      </c>
      <c r="T52">
        <f>ROUND(S52*I52, 2)</f>
        <v>0</v>
      </c>
      <c r="U52">
        <v>3</v>
      </c>
      <c r="Z52">
        <f>Source!GF46</f>
        <v>-773684841</v>
      </c>
      <c r="AA52">
        <v>920425757</v>
      </c>
      <c r="AB52">
        <v>-1994779640</v>
      </c>
    </row>
    <row r="53" spans="1:28" x14ac:dyDescent="0.2">
      <c r="A53">
        <v>20</v>
      </c>
      <c r="B53">
        <v>66</v>
      </c>
      <c r="C53">
        <v>3</v>
      </c>
      <c r="D53">
        <v>0</v>
      </c>
      <c r="E53">
        <f>SmtRes!AV66</f>
        <v>0</v>
      </c>
      <c r="F53" t="str">
        <f>SmtRes!I66</f>
        <v>04.3.01.09-0023</v>
      </c>
      <c r="G53" t="str">
        <f>SmtRes!K66</f>
        <v>Раствор отделочный тяжелый цементный, состав 1:3</v>
      </c>
      <c r="H53" t="str">
        <f>SmtRes!O66</f>
        <v>м3</v>
      </c>
      <c r="I53">
        <f>SmtRes!Y66*Source!I47</f>
        <v>0.16200000000000001</v>
      </c>
      <c r="J53">
        <f>SmtRes!AO66</f>
        <v>1</v>
      </c>
      <c r="K53">
        <f>SmtRes!AE66</f>
        <v>497</v>
      </c>
      <c r="L53">
        <f>SmtRes!DB66</f>
        <v>994</v>
      </c>
      <c r="M53">
        <f>ROUND(ROUND(L53*Source!I47, 6)*1, 2)</f>
        <v>80.510000000000005</v>
      </c>
      <c r="N53">
        <f>SmtRes!AA66</f>
        <v>4368.63</v>
      </c>
      <c r="O53">
        <f>ROUND(ROUND(L53*Source!I47, 6)*SmtRes!DA66, 2)</f>
        <v>707.72</v>
      </c>
      <c r="P53">
        <f>SmtRes!AG66</f>
        <v>0</v>
      </c>
      <c r="Q53">
        <f>SmtRes!DC66</f>
        <v>0</v>
      </c>
      <c r="R53">
        <f>ROUND(ROUND(Q53*Source!I47, 6)*1, 2)</f>
        <v>0</v>
      </c>
      <c r="S53">
        <f>SmtRes!AC66</f>
        <v>0</v>
      </c>
      <c r="T53">
        <f>ROUND(ROUND(Q53*Source!I47, 6)*SmtRes!AK66, 2)</f>
        <v>0</v>
      </c>
      <c r="U53">
        <v>3</v>
      </c>
      <c r="Z53">
        <f>SmtRes!X66</f>
        <v>940109158</v>
      </c>
      <c r="AA53">
        <v>211625266</v>
      </c>
      <c r="AB53">
        <v>-2077712775</v>
      </c>
    </row>
    <row r="54" spans="1:28" x14ac:dyDescent="0.2">
      <c r="A54">
        <v>20</v>
      </c>
      <c r="B54">
        <v>64</v>
      </c>
      <c r="C54">
        <v>3</v>
      </c>
      <c r="D54">
        <v>0</v>
      </c>
      <c r="E54">
        <f>SmtRes!AV64</f>
        <v>0</v>
      </c>
      <c r="F54" t="str">
        <f>SmtRes!I64</f>
        <v>03.2.01.04-0002</v>
      </c>
      <c r="G54" t="str">
        <f>SmtRes!K64</f>
        <v>Цемент пуццолановый М400 ППЦ (ЦЕМ IV 32,5Н)</v>
      </c>
      <c r="H54" t="str">
        <f>SmtRes!O64</f>
        <v>т</v>
      </c>
      <c r="I54">
        <f>SmtRes!Y64*Source!I47</f>
        <v>3.2400000000000003E-3</v>
      </c>
      <c r="J54">
        <f>SmtRes!AO64</f>
        <v>1</v>
      </c>
      <c r="K54">
        <f>SmtRes!AE64</f>
        <v>412</v>
      </c>
      <c r="L54">
        <f>SmtRes!DB64</f>
        <v>16.48</v>
      </c>
      <c r="M54">
        <f>ROUND(ROUND(L54*Source!I47, 6)*1, 2)</f>
        <v>1.33</v>
      </c>
      <c r="N54">
        <f>SmtRes!AA64</f>
        <v>3621.48</v>
      </c>
      <c r="O54">
        <f>ROUND(ROUND(L54*Source!I47, 6)*SmtRes!DA64, 2)</f>
        <v>11.73</v>
      </c>
      <c r="P54">
        <f>SmtRes!AG64</f>
        <v>0</v>
      </c>
      <c r="Q54">
        <f>SmtRes!DC64</f>
        <v>0</v>
      </c>
      <c r="R54">
        <f>ROUND(ROUND(Q54*Source!I47, 6)*1, 2)</f>
        <v>0</v>
      </c>
      <c r="S54">
        <f>SmtRes!AC64</f>
        <v>0</v>
      </c>
      <c r="T54">
        <f>ROUND(ROUND(Q54*Source!I47, 6)*SmtRes!AK64, 2)</f>
        <v>0</v>
      </c>
      <c r="U54">
        <v>3</v>
      </c>
      <c r="Z54">
        <f>SmtRes!X64</f>
        <v>-1326156508</v>
      </c>
      <c r="AA54">
        <v>-660917209</v>
      </c>
      <c r="AB54">
        <v>1154186002</v>
      </c>
    </row>
    <row r="55" spans="1:28" x14ac:dyDescent="0.2">
      <c r="A55">
        <v>20</v>
      </c>
      <c r="B55">
        <v>63</v>
      </c>
      <c r="C55">
        <v>3</v>
      </c>
      <c r="D55">
        <v>0</v>
      </c>
      <c r="E55">
        <f>SmtRes!AV63</f>
        <v>0</v>
      </c>
      <c r="F55" t="str">
        <f>SmtRes!I63</f>
        <v>01.7.20.08-0051</v>
      </c>
      <c r="G55" t="str">
        <f>SmtRes!K63</f>
        <v>Ветошь</v>
      </c>
      <c r="H55" t="str">
        <f>SmtRes!O63</f>
        <v>кг</v>
      </c>
      <c r="I55">
        <f>SmtRes!Y63*Source!I47</f>
        <v>4.0500000000000001E-2</v>
      </c>
      <c r="J55">
        <f>SmtRes!AO63</f>
        <v>1</v>
      </c>
      <c r="K55">
        <f>SmtRes!AE63</f>
        <v>1.82</v>
      </c>
      <c r="L55">
        <f>SmtRes!DB63</f>
        <v>0.91</v>
      </c>
      <c r="M55">
        <f>ROUND(ROUND(L55*Source!I47, 6)*1, 2)</f>
        <v>7.0000000000000007E-2</v>
      </c>
      <c r="N55">
        <f>SmtRes!AA63</f>
        <v>16</v>
      </c>
      <c r="O55">
        <f>ROUND(ROUND(L55*Source!I47, 6)*SmtRes!DA63, 2)</f>
        <v>0.65</v>
      </c>
      <c r="P55">
        <f>SmtRes!AG63</f>
        <v>0</v>
      </c>
      <c r="Q55">
        <f>SmtRes!DC63</f>
        <v>0</v>
      </c>
      <c r="R55">
        <f>ROUND(ROUND(Q55*Source!I47, 6)*1, 2)</f>
        <v>0</v>
      </c>
      <c r="S55">
        <f>SmtRes!AC63</f>
        <v>0</v>
      </c>
      <c r="T55">
        <f>ROUND(ROUND(Q55*Source!I47, 6)*SmtRes!AK63, 2)</f>
        <v>0</v>
      </c>
      <c r="U55">
        <v>3</v>
      </c>
      <c r="Z55">
        <f>SmtRes!X63</f>
        <v>1052716416</v>
      </c>
      <c r="AA55">
        <v>-605706354</v>
      </c>
      <c r="AB55">
        <v>688655737</v>
      </c>
    </row>
    <row r="56" spans="1:28" x14ac:dyDescent="0.2">
      <c r="A56">
        <v>20</v>
      </c>
      <c r="B56">
        <v>62</v>
      </c>
      <c r="C56">
        <v>3</v>
      </c>
      <c r="D56">
        <v>0</v>
      </c>
      <c r="E56">
        <f>SmtRes!AV62</f>
        <v>0</v>
      </c>
      <c r="F56" t="str">
        <f>SmtRes!I62</f>
        <v>01.7.03.01-0001</v>
      </c>
      <c r="G56" t="str">
        <f>SmtRes!K62</f>
        <v>Вода</v>
      </c>
      <c r="H56" t="str">
        <f>SmtRes!O62</f>
        <v>м3</v>
      </c>
      <c r="I56">
        <f>SmtRes!Y62*Source!I47</f>
        <v>4.0500000000000001E-2</v>
      </c>
      <c r="J56">
        <f>SmtRes!AO62</f>
        <v>1</v>
      </c>
      <c r="K56">
        <f>SmtRes!AE62</f>
        <v>2.44</v>
      </c>
      <c r="L56">
        <f>SmtRes!DB62</f>
        <v>1.22</v>
      </c>
      <c r="M56">
        <f>ROUND(ROUND(L56*Source!I47, 6)*1, 2)</f>
        <v>0.1</v>
      </c>
      <c r="N56">
        <f>SmtRes!AA62</f>
        <v>21.45</v>
      </c>
      <c r="O56">
        <f>ROUND(ROUND(L56*Source!I47, 6)*SmtRes!DA62, 2)</f>
        <v>0.87</v>
      </c>
      <c r="P56">
        <f>SmtRes!AG62</f>
        <v>0</v>
      </c>
      <c r="Q56">
        <f>SmtRes!DC62</f>
        <v>0</v>
      </c>
      <c r="R56">
        <f>ROUND(ROUND(Q56*Source!I47, 6)*1, 2)</f>
        <v>0</v>
      </c>
      <c r="S56">
        <f>SmtRes!AC62</f>
        <v>0</v>
      </c>
      <c r="T56">
        <f>ROUND(ROUND(Q56*Source!I47, 6)*SmtRes!AK62, 2)</f>
        <v>0</v>
      </c>
      <c r="U56">
        <v>3</v>
      </c>
      <c r="Z56">
        <f>SmtRes!X62</f>
        <v>-143474561</v>
      </c>
      <c r="AA56">
        <v>197266994</v>
      </c>
      <c r="AB56">
        <v>1852311330</v>
      </c>
    </row>
    <row r="57" spans="1:28" x14ac:dyDescent="0.2">
      <c r="A57">
        <v>20</v>
      </c>
      <c r="B57">
        <v>61</v>
      </c>
      <c r="C57">
        <v>2</v>
      </c>
      <c r="D57">
        <v>0</v>
      </c>
      <c r="E57">
        <f>SmtRes!AV61</f>
        <v>0</v>
      </c>
      <c r="F57" t="str">
        <f>SmtRes!I61</f>
        <v>91.06.06-048</v>
      </c>
      <c r="G57" t="str">
        <f>SmtRes!K61</f>
        <v>Подъемники одномачтовые, грузоподъемность до 500 кг, высота подъема 45 м</v>
      </c>
      <c r="H57" t="str">
        <f>SmtRes!O61</f>
        <v>маш.-ч.</v>
      </c>
      <c r="I57">
        <f>SmtRes!Y61*Source!I47</f>
        <v>0.1225125</v>
      </c>
      <c r="J57">
        <f>SmtRes!AO61</f>
        <v>1</v>
      </c>
      <c r="K57">
        <f>SmtRes!AF61</f>
        <v>31.26</v>
      </c>
      <c r="L57">
        <f>SmtRes!DB61</f>
        <v>47.274999999999999</v>
      </c>
      <c r="M57">
        <f>ROUND(ROUND(L57*Source!I47, 6)*1, 2)</f>
        <v>3.83</v>
      </c>
      <c r="N57">
        <f>SmtRes!AB61</f>
        <v>450.77</v>
      </c>
      <c r="O57">
        <f>ROUND(ROUND(L57*Source!I47, 6)*SmtRes!DA61, 2)</f>
        <v>55.22</v>
      </c>
      <c r="P57">
        <f>SmtRes!AG61</f>
        <v>13.5</v>
      </c>
      <c r="Q57">
        <f>SmtRes!DC61</f>
        <v>20.425000000000001</v>
      </c>
      <c r="R57">
        <f>ROUND(ROUND(Q57*Source!I47, 6)*1, 2)</f>
        <v>1.65</v>
      </c>
      <c r="S57">
        <f>SmtRes!AC61</f>
        <v>530.96</v>
      </c>
      <c r="T57">
        <f>ROUND(ROUND(Q57*Source!I47, 6)*SmtRes!AK61, 2)</f>
        <v>65.069999999999993</v>
      </c>
      <c r="U57">
        <v>2</v>
      </c>
      <c r="Z57">
        <f>SmtRes!X61</f>
        <v>1232162608</v>
      </c>
      <c r="AA57">
        <v>142210996</v>
      </c>
      <c r="AB57">
        <v>550578493</v>
      </c>
    </row>
    <row r="58" spans="1:28" x14ac:dyDescent="0.2">
      <c r="A58">
        <v>20</v>
      </c>
      <c r="B58">
        <v>60</v>
      </c>
      <c r="C58">
        <v>2</v>
      </c>
      <c r="D58">
        <v>0</v>
      </c>
      <c r="E58">
        <f>SmtRes!AV60</f>
        <v>0</v>
      </c>
      <c r="F58" t="str">
        <f>SmtRes!I60</f>
        <v>91.06.05-011</v>
      </c>
      <c r="G58" t="str">
        <f>SmtRes!K60</f>
        <v>Погрузчики, грузоподъемность 5 т</v>
      </c>
      <c r="H58" t="str">
        <f>SmtRes!O60</f>
        <v>маш.-ч.</v>
      </c>
      <c r="I58">
        <f>SmtRes!Y60*Source!I47</f>
        <v>1.1137500000000002E-2</v>
      </c>
      <c r="J58">
        <f>SmtRes!AO60</f>
        <v>1</v>
      </c>
      <c r="K58">
        <f>SmtRes!AF60</f>
        <v>89.99</v>
      </c>
      <c r="L58">
        <f>SmtRes!DB60</f>
        <v>12.375</v>
      </c>
      <c r="M58">
        <f>ROUND(ROUND(L58*Source!I47, 6)*1, 2)</f>
        <v>1</v>
      </c>
      <c r="N58">
        <f>SmtRes!AB60</f>
        <v>1297.6600000000001</v>
      </c>
      <c r="O58">
        <f>ROUND(ROUND(L58*Source!I47, 6)*SmtRes!DA60, 2)</f>
        <v>14.45</v>
      </c>
      <c r="P58">
        <f>SmtRes!AG60</f>
        <v>10.06</v>
      </c>
      <c r="Q58">
        <f>SmtRes!DC60</f>
        <v>1.3875</v>
      </c>
      <c r="R58">
        <f>ROUND(ROUND(Q58*Source!I47, 6)*1, 2)</f>
        <v>0.11</v>
      </c>
      <c r="S58">
        <f>SmtRes!AC60</f>
        <v>395.66</v>
      </c>
      <c r="T58">
        <f>ROUND(ROUND(Q58*Source!I47, 6)*SmtRes!AK60, 2)</f>
        <v>4.42</v>
      </c>
      <c r="U58">
        <v>2</v>
      </c>
      <c r="Z58">
        <f>SmtRes!X60</f>
        <v>-896236776</v>
      </c>
      <c r="AA58">
        <v>136637897</v>
      </c>
      <c r="AB58">
        <v>520652551</v>
      </c>
    </row>
    <row r="59" spans="1:28" x14ac:dyDescent="0.2">
      <c r="A59">
        <v>20</v>
      </c>
      <c r="B59">
        <v>58</v>
      </c>
      <c r="C59">
        <v>1</v>
      </c>
      <c r="D59">
        <v>0</v>
      </c>
      <c r="E59">
        <f>SmtRes!AV58</f>
        <v>1</v>
      </c>
      <c r="F59" t="str">
        <f>SmtRes!I58</f>
        <v>1-100-38</v>
      </c>
      <c r="G59" t="str">
        <f>SmtRes!K58</f>
        <v>Затраты труда рабочих (Средний разряд - 3,8)</v>
      </c>
      <c r="H59" t="str">
        <f>SmtRes!O58</f>
        <v>чел.-ч.</v>
      </c>
      <c r="I59">
        <f>SmtRes!Y58*Source!I47</f>
        <v>25.150500000000001</v>
      </c>
      <c r="J59">
        <f>SmtRes!AO58</f>
        <v>1</v>
      </c>
      <c r="K59">
        <f>SmtRes!AH58</f>
        <v>9.4</v>
      </c>
      <c r="L59">
        <f>SmtRes!DB58</f>
        <v>2918.7</v>
      </c>
      <c r="M59">
        <f>ROUND(ROUND(L59*Source!I47, 6)*1, 2)</f>
        <v>236.41</v>
      </c>
      <c r="N59">
        <f>SmtRes!AD58</f>
        <v>369.7</v>
      </c>
      <c r="O59">
        <f>ROUND(ROUND(L59*Source!I47, 6)*SmtRes!DA58, 2)</f>
        <v>9298.19</v>
      </c>
      <c r="P59">
        <f>SmtRes!AG58</f>
        <v>0</v>
      </c>
      <c r="Q59">
        <f>SmtRes!DC58</f>
        <v>0</v>
      </c>
      <c r="R59">
        <f>ROUND(ROUND(Q59*Source!I47, 6)*1, 2)</f>
        <v>0</v>
      </c>
      <c r="S59">
        <f>SmtRes!AC58</f>
        <v>0</v>
      </c>
      <c r="T59">
        <f>ROUND(ROUND(Q59*Source!I47, 6)*SmtRes!AK58, 2)</f>
        <v>0</v>
      </c>
      <c r="U59">
        <v>1</v>
      </c>
      <c r="Z59">
        <f>SmtRes!X58</f>
        <v>-2012709214</v>
      </c>
      <c r="AA59">
        <v>1763359681</v>
      </c>
      <c r="AB59">
        <v>-1426927726</v>
      </c>
    </row>
    <row r="60" spans="1:28" x14ac:dyDescent="0.2">
      <c r="A60">
        <f>Source!A48</f>
        <v>18</v>
      </c>
      <c r="B60">
        <v>48</v>
      </c>
      <c r="C60">
        <v>3</v>
      </c>
      <c r="D60">
        <f>Source!BI48</f>
        <v>1</v>
      </c>
      <c r="E60">
        <f>Source!FS48</f>
        <v>0</v>
      </c>
      <c r="F60" t="str">
        <f>Source!F48</f>
        <v>06.2.05.03-1000</v>
      </c>
      <c r="G60" t="str">
        <f>Source!G48</f>
        <v>Плитка керамогранитная, размер 300x300x8 мм</v>
      </c>
      <c r="H60" t="str">
        <f>Source!H48</f>
        <v>м2</v>
      </c>
      <c r="I60">
        <f>Source!I48</f>
        <v>8.1</v>
      </c>
      <c r="J60">
        <v>1</v>
      </c>
      <c r="K60">
        <f>Source!AC48</f>
        <v>47.83</v>
      </c>
      <c r="M60">
        <f>ROUND(K60*I60, 2)</f>
        <v>387.42</v>
      </c>
      <c r="N60">
        <f>Source!AC48*IF(Source!BC48&lt;&gt; 0, Source!BC48, 1)</f>
        <v>420.42569999999995</v>
      </c>
      <c r="O60">
        <f>ROUND(N60*I60, 2)</f>
        <v>3405.45</v>
      </c>
      <c r="P60">
        <f>Source!AE48</f>
        <v>0</v>
      </c>
      <c r="R60">
        <f>ROUND(P60*I60, 2)</f>
        <v>0</v>
      </c>
      <c r="S60">
        <f>Source!AE48*IF(Source!BS48&lt;&gt; 0, Source!BS48, 1)</f>
        <v>0</v>
      </c>
      <c r="T60">
        <f>ROUND(S60*I60, 2)</f>
        <v>0</v>
      </c>
      <c r="U60">
        <v>3</v>
      </c>
      <c r="Z60">
        <f>Source!GF48</f>
        <v>-773684841</v>
      </c>
      <c r="AA60">
        <v>920425757</v>
      </c>
      <c r="AB60">
        <v>-1994779640</v>
      </c>
    </row>
    <row r="61" spans="1:28" x14ac:dyDescent="0.2">
      <c r="A61">
        <v>20</v>
      </c>
      <c r="B61">
        <v>74</v>
      </c>
      <c r="C61">
        <v>3</v>
      </c>
      <c r="D61">
        <v>0</v>
      </c>
      <c r="E61">
        <f>SmtRes!AV74</f>
        <v>0</v>
      </c>
      <c r="F61" t="str">
        <f>SmtRes!I74</f>
        <v>01.7.15.14-0166</v>
      </c>
      <c r="G61" t="str">
        <f>SmtRes!K74</f>
        <v>Шурупы с полукруглой головкой 5x35 мм</v>
      </c>
      <c r="H61" t="str">
        <f>SmtRes!O74</f>
        <v>т</v>
      </c>
      <c r="I61">
        <f>SmtRes!Y74*Source!I53</f>
        <v>1.83E-4</v>
      </c>
      <c r="J61">
        <f>SmtRes!AO74</f>
        <v>1</v>
      </c>
      <c r="K61">
        <f>SmtRes!AE74</f>
        <v>12430</v>
      </c>
      <c r="L61">
        <f>SmtRes!DB74</f>
        <v>9.32</v>
      </c>
      <c r="M61">
        <f>ROUND(ROUND(L61*Source!I53, 6)*1, 2)</f>
        <v>2.27</v>
      </c>
      <c r="N61">
        <f>SmtRes!AA74</f>
        <v>109259.7</v>
      </c>
      <c r="O61">
        <f>ROUND(ROUND(L61*Source!I53, 6)*SmtRes!DA74, 2)</f>
        <v>19.989999999999998</v>
      </c>
      <c r="P61">
        <f>SmtRes!AG74</f>
        <v>0</v>
      </c>
      <c r="Q61">
        <f>SmtRes!DC74</f>
        <v>0</v>
      </c>
      <c r="R61">
        <f>ROUND(ROUND(Q61*Source!I53, 6)*1, 2)</f>
        <v>0</v>
      </c>
      <c r="S61">
        <f>SmtRes!AC74</f>
        <v>0</v>
      </c>
      <c r="T61">
        <f>ROUND(ROUND(Q61*Source!I53, 6)*SmtRes!AK74, 2)</f>
        <v>0</v>
      </c>
      <c r="U61">
        <v>3</v>
      </c>
      <c r="Z61">
        <f>SmtRes!X74</f>
        <v>-1574380220</v>
      </c>
      <c r="AA61">
        <v>-1945821663</v>
      </c>
      <c r="AB61">
        <v>-459914792</v>
      </c>
    </row>
    <row r="62" spans="1:28" x14ac:dyDescent="0.2">
      <c r="A62">
        <v>20</v>
      </c>
      <c r="B62">
        <v>73</v>
      </c>
      <c r="C62">
        <v>2</v>
      </c>
      <c r="D62">
        <v>0</v>
      </c>
      <c r="E62">
        <f>SmtRes!AV73</f>
        <v>0</v>
      </c>
      <c r="F62" t="str">
        <f>SmtRes!I73</f>
        <v>91.14.02-001</v>
      </c>
      <c r="G62" t="str">
        <f>SmtRes!K73</f>
        <v>Автомобили бортовые, грузоподъемность до 5 т</v>
      </c>
      <c r="H62" t="str">
        <f>SmtRes!O73</f>
        <v>маш.-ч.</v>
      </c>
      <c r="I62">
        <f>SmtRes!Y73*Source!I53</f>
        <v>1.525E-2</v>
      </c>
      <c r="J62">
        <f>SmtRes!AO73</f>
        <v>1</v>
      </c>
      <c r="K62">
        <f>SmtRes!AF73</f>
        <v>65.709999999999994</v>
      </c>
      <c r="L62">
        <f>SmtRes!DB73</f>
        <v>4.1124999999999998</v>
      </c>
      <c r="M62">
        <f>ROUND(ROUND(L62*Source!I53, 6)*1, 2)</f>
        <v>1</v>
      </c>
      <c r="N62">
        <f>SmtRes!AB73</f>
        <v>947.54</v>
      </c>
      <c r="O62">
        <f>ROUND(ROUND(L62*Source!I53, 6)*SmtRes!DA73, 2)</f>
        <v>14.47</v>
      </c>
      <c r="P62">
        <f>SmtRes!AG73</f>
        <v>11.6</v>
      </c>
      <c r="Q62">
        <f>SmtRes!DC73</f>
        <v>0.72499999999999998</v>
      </c>
      <c r="R62">
        <f>ROUND(ROUND(Q62*Source!I53, 6)*1, 2)</f>
        <v>0.18</v>
      </c>
      <c r="S62">
        <f>SmtRes!AC73</f>
        <v>456.23</v>
      </c>
      <c r="T62">
        <f>ROUND(ROUND(Q62*Source!I53, 6)*SmtRes!AK73, 2)</f>
        <v>6.96</v>
      </c>
      <c r="U62">
        <v>2</v>
      </c>
      <c r="Z62">
        <f>SmtRes!X73</f>
        <v>509054691</v>
      </c>
      <c r="AA62">
        <v>1555251513</v>
      </c>
      <c r="AB62">
        <v>-341607382</v>
      </c>
    </row>
    <row r="63" spans="1:28" x14ac:dyDescent="0.2">
      <c r="A63">
        <v>20</v>
      </c>
      <c r="B63">
        <v>71</v>
      </c>
      <c r="C63">
        <v>1</v>
      </c>
      <c r="D63">
        <v>0</v>
      </c>
      <c r="E63">
        <f>SmtRes!AV71</f>
        <v>1</v>
      </c>
      <c r="F63" t="str">
        <f>SmtRes!I71</f>
        <v>1-100-37</v>
      </c>
      <c r="G63" t="str">
        <f>SmtRes!K71</f>
        <v>Затраты труда рабочих (Средний разряд - 3,7)</v>
      </c>
      <c r="H63" t="str">
        <f>SmtRes!O71</f>
        <v>чел.-ч.</v>
      </c>
      <c r="I63">
        <f>SmtRes!Y71*Source!I53</f>
        <v>3.5411719999999995</v>
      </c>
      <c r="J63">
        <f>SmtRes!AO71</f>
        <v>1</v>
      </c>
      <c r="K63">
        <f>SmtRes!AH71</f>
        <v>9.2899999999999991</v>
      </c>
      <c r="L63">
        <f>SmtRes!DB71</f>
        <v>134.82599999999999</v>
      </c>
      <c r="M63">
        <f>ROUND(ROUND(L63*Source!I53, 6)*1, 2)</f>
        <v>32.9</v>
      </c>
      <c r="N63">
        <f>SmtRes!AD71</f>
        <v>365.38</v>
      </c>
      <c r="O63">
        <f>ROUND(ROUND(L63*Source!I53, 6)*SmtRes!DA71, 2)</f>
        <v>1293.8599999999999</v>
      </c>
      <c r="P63">
        <f>SmtRes!AG71</f>
        <v>0</v>
      </c>
      <c r="Q63">
        <f>SmtRes!DC71</f>
        <v>0</v>
      </c>
      <c r="R63">
        <f>ROUND(ROUND(Q63*Source!I53, 6)*1, 2)</f>
        <v>0</v>
      </c>
      <c r="S63">
        <f>SmtRes!AC71</f>
        <v>0</v>
      </c>
      <c r="T63">
        <f>ROUND(ROUND(Q63*Source!I53, 6)*SmtRes!AK71, 2)</f>
        <v>0</v>
      </c>
      <c r="U63">
        <v>1</v>
      </c>
      <c r="Z63">
        <f>SmtRes!X71</f>
        <v>-881424154</v>
      </c>
      <c r="AA63">
        <v>-16767708</v>
      </c>
      <c r="AB63">
        <v>553408591</v>
      </c>
    </row>
    <row r="64" spans="1:28" x14ac:dyDescent="0.2">
      <c r="A64">
        <f>Source!A56</f>
        <v>18</v>
      </c>
      <c r="B64">
        <v>56</v>
      </c>
      <c r="C64">
        <v>3</v>
      </c>
      <c r="D64">
        <f>Source!BI56</f>
        <v>1</v>
      </c>
      <c r="E64">
        <f>Source!FS56</f>
        <v>0</v>
      </c>
      <c r="F64" t="str">
        <f>Source!F56</f>
        <v>07.2.06.03-0228</v>
      </c>
      <c r="G64" t="str">
        <f>Source!G56</f>
        <v>Профиль угловой ПУ 25x25 мм для защиты углов, алюминиевый</v>
      </c>
      <c r="H64" t="str">
        <f>Source!H56</f>
        <v>м</v>
      </c>
      <c r="I64">
        <f>Source!I56</f>
        <v>24.4</v>
      </c>
      <c r="J64">
        <v>1</v>
      </c>
      <c r="K64">
        <f>Source!AC56</f>
        <v>5.01</v>
      </c>
      <c r="M64">
        <f>ROUND(K64*I64, 2)</f>
        <v>122.24</v>
      </c>
      <c r="N64">
        <f>Source!AC56*IF(Source!BC56&lt;&gt; 0, Source!BC56, 1)</f>
        <v>44.037899999999993</v>
      </c>
      <c r="O64">
        <f>ROUND(N64*I64, 2)</f>
        <v>1074.52</v>
      </c>
      <c r="P64">
        <f>Source!AE56</f>
        <v>0</v>
      </c>
      <c r="R64">
        <f>ROUND(P64*I64, 2)</f>
        <v>0</v>
      </c>
      <c r="S64">
        <f>Source!AE56*IF(Source!BS56&lt;&gt; 0, Source!BS56, 1)</f>
        <v>0</v>
      </c>
      <c r="T64">
        <f>ROUND(S64*I64, 2)</f>
        <v>0</v>
      </c>
      <c r="U64">
        <v>3</v>
      </c>
      <c r="Z64">
        <f>Source!GF56</f>
        <v>771637963</v>
      </c>
      <c r="AA64">
        <v>2009287780</v>
      </c>
      <c r="AB64">
        <v>1788961215</v>
      </c>
    </row>
    <row r="65" spans="1:28" x14ac:dyDescent="0.2">
      <c r="A65">
        <v>20</v>
      </c>
      <c r="B65">
        <v>78</v>
      </c>
      <c r="C65">
        <v>1</v>
      </c>
      <c r="D65">
        <v>0</v>
      </c>
      <c r="E65">
        <f>SmtRes!AV78</f>
        <v>1</v>
      </c>
      <c r="F65" t="str">
        <f>SmtRes!I78</f>
        <v>1-100-30</v>
      </c>
      <c r="G65" t="str">
        <f>SmtRes!K78</f>
        <v>Затраты труда рабочих (Средний разряд - 3)</v>
      </c>
      <c r="H65" t="str">
        <f>SmtRes!O78</f>
        <v>чел.-ч.</v>
      </c>
      <c r="I65">
        <f>SmtRes!Y78*Source!I57</f>
        <v>12.419999999999998</v>
      </c>
      <c r="J65">
        <f>SmtRes!AO78</f>
        <v>1</v>
      </c>
      <c r="K65">
        <f>SmtRes!AH78</f>
        <v>8.5299999999999994</v>
      </c>
      <c r="L65">
        <f>SmtRes!DB78</f>
        <v>8.8320000000000007</v>
      </c>
      <c r="M65">
        <f>ROUND(ROUND(L65*Source!I57, 6)*1, 2)</f>
        <v>105.98</v>
      </c>
      <c r="N65">
        <f>SmtRes!AD78</f>
        <v>335.48</v>
      </c>
      <c r="O65">
        <f>ROUND(ROUND(L65*Source!I57, 6)*SmtRes!DA78, 2)</f>
        <v>4168.3500000000004</v>
      </c>
      <c r="P65">
        <f>SmtRes!AG78</f>
        <v>0</v>
      </c>
      <c r="Q65">
        <f>SmtRes!DC78</f>
        <v>0</v>
      </c>
      <c r="R65">
        <f>ROUND(ROUND(Q65*Source!I57, 6)*1, 2)</f>
        <v>0</v>
      </c>
      <c r="S65">
        <f>SmtRes!AC78</f>
        <v>0</v>
      </c>
      <c r="T65">
        <f>ROUND(ROUND(Q65*Source!I57, 6)*SmtRes!AK78, 2)</f>
        <v>0</v>
      </c>
      <c r="U65">
        <v>1</v>
      </c>
      <c r="Z65">
        <f>SmtRes!X78</f>
        <v>1049124552</v>
      </c>
      <c r="AA65">
        <v>835615299</v>
      </c>
      <c r="AB65">
        <v>1140953449</v>
      </c>
    </row>
    <row r="66" spans="1:28" x14ac:dyDescent="0.2">
      <c r="A66">
        <v>20</v>
      </c>
      <c r="B66">
        <v>89</v>
      </c>
      <c r="C66">
        <v>3</v>
      </c>
      <c r="D66">
        <v>0</v>
      </c>
      <c r="E66">
        <f>SmtRes!AV89</f>
        <v>0</v>
      </c>
      <c r="F66" t="str">
        <f>SmtRes!I89</f>
        <v>14.5.09.07-0022</v>
      </c>
      <c r="G66" t="str">
        <f>SmtRes!K89</f>
        <v>Растворитель № 646</v>
      </c>
      <c r="H66" t="str">
        <f>SmtRes!O89</f>
        <v>т</v>
      </c>
      <c r="I66">
        <f>SmtRes!Y89*Source!I58</f>
        <v>3.5999999999999997E-4</v>
      </c>
      <c r="J66">
        <f>SmtRes!AO89</f>
        <v>1</v>
      </c>
      <c r="K66">
        <f>SmtRes!AE89</f>
        <v>10465</v>
      </c>
      <c r="L66">
        <f>SmtRes!DB89</f>
        <v>31.4</v>
      </c>
      <c r="M66">
        <f>ROUND(ROUND(L66*Source!I58, 6)*1, 2)</f>
        <v>3.77</v>
      </c>
      <c r="N66">
        <f>SmtRes!AA89</f>
        <v>91987.35</v>
      </c>
      <c r="O66">
        <f>ROUND(ROUND(L66*Source!I58, 6)*SmtRes!DA89, 2)</f>
        <v>33.119999999999997</v>
      </c>
      <c r="P66">
        <f>SmtRes!AG89</f>
        <v>0</v>
      </c>
      <c r="Q66">
        <f>SmtRes!DC89</f>
        <v>0</v>
      </c>
      <c r="R66">
        <f>ROUND(ROUND(Q66*Source!I58, 6)*1, 2)</f>
        <v>0</v>
      </c>
      <c r="S66">
        <f>SmtRes!AC89</f>
        <v>0</v>
      </c>
      <c r="T66">
        <f>ROUND(ROUND(Q66*Source!I58, 6)*SmtRes!AK89, 2)</f>
        <v>0</v>
      </c>
      <c r="U66">
        <v>3</v>
      </c>
      <c r="Z66">
        <f>SmtRes!X89</f>
        <v>-1250693108</v>
      </c>
      <c r="AA66">
        <v>-498646716</v>
      </c>
      <c r="AB66">
        <v>1676543118</v>
      </c>
    </row>
    <row r="67" spans="1:28" x14ac:dyDescent="0.2">
      <c r="A67">
        <v>20</v>
      </c>
      <c r="B67">
        <v>88</v>
      </c>
      <c r="C67">
        <v>3</v>
      </c>
      <c r="D67">
        <v>0</v>
      </c>
      <c r="E67">
        <f>SmtRes!AV88</f>
        <v>0</v>
      </c>
      <c r="F67" t="str">
        <f>SmtRes!I88</f>
        <v>14.5.09.04-0111</v>
      </c>
      <c r="G67" t="str">
        <f>SmtRes!K88</f>
        <v>Отвердитель № 1</v>
      </c>
      <c r="H67" t="str">
        <f>SmtRes!O88</f>
        <v>т</v>
      </c>
      <c r="I67">
        <f>SmtRes!Y88*Source!I58</f>
        <v>2.4000000000000001E-4</v>
      </c>
      <c r="J67">
        <f>SmtRes!AO88</f>
        <v>1</v>
      </c>
      <c r="K67">
        <f>SmtRes!AE88</f>
        <v>67872</v>
      </c>
      <c r="L67">
        <f>SmtRes!DB88</f>
        <v>135.74</v>
      </c>
      <c r="M67">
        <f>ROUND(ROUND(L67*Source!I58, 6)*1, 2)</f>
        <v>16.29</v>
      </c>
      <c r="N67">
        <f>SmtRes!AA88</f>
        <v>596594.88</v>
      </c>
      <c r="O67">
        <f>ROUND(ROUND(L67*Source!I58, 6)*SmtRes!DA88, 2)</f>
        <v>143.18</v>
      </c>
      <c r="P67">
        <f>SmtRes!AG88</f>
        <v>0</v>
      </c>
      <c r="Q67">
        <f>SmtRes!DC88</f>
        <v>0</v>
      </c>
      <c r="R67">
        <f>ROUND(ROUND(Q67*Source!I58, 6)*1, 2)</f>
        <v>0</v>
      </c>
      <c r="S67">
        <f>SmtRes!AC88</f>
        <v>0</v>
      </c>
      <c r="T67">
        <f>ROUND(ROUND(Q67*Source!I58, 6)*SmtRes!AK88, 2)</f>
        <v>0</v>
      </c>
      <c r="U67">
        <v>3</v>
      </c>
      <c r="Z67">
        <f>SmtRes!X88</f>
        <v>-1709569930</v>
      </c>
      <c r="AA67">
        <v>487104698</v>
      </c>
      <c r="AB67">
        <v>627078738</v>
      </c>
    </row>
    <row r="68" spans="1:28" x14ac:dyDescent="0.2">
      <c r="A68">
        <v>20</v>
      </c>
      <c r="B68">
        <v>87</v>
      </c>
      <c r="C68">
        <v>3</v>
      </c>
      <c r="D68">
        <v>0</v>
      </c>
      <c r="E68">
        <f>SmtRes!AV87</f>
        <v>0</v>
      </c>
      <c r="F68" t="str">
        <f>SmtRes!I87</f>
        <v>14.4.01.09-0430</v>
      </c>
      <c r="G68" t="str">
        <f>SmtRes!K87</f>
        <v>Грунтовка двухкомпонентная на основе эпоксидной смолы</v>
      </c>
      <c r="H68" t="str">
        <f>SmtRes!O87</f>
        <v>т</v>
      </c>
      <c r="I68">
        <f>SmtRes!Y87*Source!I58</f>
        <v>2.3999999999999998E-3</v>
      </c>
      <c r="J68">
        <f>SmtRes!AO87</f>
        <v>1</v>
      </c>
      <c r="K68">
        <f>SmtRes!AE87</f>
        <v>53320</v>
      </c>
      <c r="L68">
        <f>SmtRes!DB87</f>
        <v>1066.4000000000001</v>
      </c>
      <c r="M68">
        <f>ROUND(ROUND(L68*Source!I58, 6)*1, 2)</f>
        <v>127.97</v>
      </c>
      <c r="N68">
        <f>SmtRes!AA87</f>
        <v>468682.8</v>
      </c>
      <c r="O68">
        <f>ROUND(ROUND(L68*Source!I58, 6)*SmtRes!DA87, 2)</f>
        <v>1124.8399999999999</v>
      </c>
      <c r="P68">
        <f>SmtRes!AG87</f>
        <v>0</v>
      </c>
      <c r="Q68">
        <f>SmtRes!DC87</f>
        <v>0</v>
      </c>
      <c r="R68">
        <f>ROUND(ROUND(Q68*Source!I58, 6)*1, 2)</f>
        <v>0</v>
      </c>
      <c r="S68">
        <f>SmtRes!AC87</f>
        <v>0</v>
      </c>
      <c r="T68">
        <f>ROUND(ROUND(Q68*Source!I58, 6)*SmtRes!AK87, 2)</f>
        <v>0</v>
      </c>
      <c r="U68">
        <v>3</v>
      </c>
      <c r="Z68">
        <f>SmtRes!X87</f>
        <v>-1217403070</v>
      </c>
      <c r="AA68">
        <v>-1468364578</v>
      </c>
      <c r="AB68">
        <v>-286131530</v>
      </c>
    </row>
    <row r="69" spans="1:28" x14ac:dyDescent="0.2">
      <c r="A69">
        <v>20</v>
      </c>
      <c r="B69">
        <v>84</v>
      </c>
      <c r="C69">
        <v>2</v>
      </c>
      <c r="D69">
        <v>0</v>
      </c>
      <c r="E69">
        <f>SmtRes!AV84</f>
        <v>0</v>
      </c>
      <c r="F69" t="str">
        <f>SmtRes!I84</f>
        <v>91.21.01-012</v>
      </c>
      <c r="G69" t="str">
        <f>SmtRes!K84</f>
        <v>Агрегаты окрасочные высокого давления для окраски поверхностей конструкций, мощность 1 кВт</v>
      </c>
      <c r="H69" t="str">
        <f>SmtRes!O84</f>
        <v>маш.-ч.</v>
      </c>
      <c r="I69">
        <f>SmtRes!Y84*Source!I58</f>
        <v>0.16800000000000001</v>
      </c>
      <c r="J69">
        <f>SmtRes!AO84</f>
        <v>1</v>
      </c>
      <c r="K69">
        <f>SmtRes!AF84</f>
        <v>6.82</v>
      </c>
      <c r="L69">
        <f>SmtRes!DB84</f>
        <v>9.5500000000000007</v>
      </c>
      <c r="M69">
        <f>ROUND(ROUND(L69*Source!I58, 6)*1, 2)</f>
        <v>1.1499999999999999</v>
      </c>
      <c r="N69">
        <f>SmtRes!AB84</f>
        <v>98.34</v>
      </c>
      <c r="O69">
        <f>ROUND(ROUND(L69*Source!I58, 6)*SmtRes!DA84, 2)</f>
        <v>16.53</v>
      </c>
      <c r="P69">
        <f>SmtRes!AG84</f>
        <v>0</v>
      </c>
      <c r="Q69">
        <f>SmtRes!DC84</f>
        <v>0</v>
      </c>
      <c r="R69">
        <f>ROUND(ROUND(Q69*Source!I58, 6)*1, 2)</f>
        <v>0</v>
      </c>
      <c r="S69">
        <f>SmtRes!AC84</f>
        <v>0</v>
      </c>
      <c r="T69">
        <f>ROUND(ROUND(Q69*Source!I58, 6)*SmtRes!AK84, 2)</f>
        <v>0</v>
      </c>
      <c r="U69">
        <v>2</v>
      </c>
      <c r="Z69">
        <f>SmtRes!X84</f>
        <v>-1745017968</v>
      </c>
      <c r="AA69">
        <v>2100240186</v>
      </c>
      <c r="AB69">
        <v>-975903495</v>
      </c>
    </row>
    <row r="70" spans="1:28" x14ac:dyDescent="0.2">
      <c r="A70">
        <v>20</v>
      </c>
      <c r="B70">
        <v>83</v>
      </c>
      <c r="C70">
        <v>2</v>
      </c>
      <c r="D70">
        <v>0</v>
      </c>
      <c r="E70">
        <f>SmtRes!AV83</f>
        <v>0</v>
      </c>
      <c r="F70" t="str">
        <f>SmtRes!I83</f>
        <v>91.14.02-001</v>
      </c>
      <c r="G70" t="str">
        <f>SmtRes!K83</f>
        <v>Автомобили бортовые, грузоподъемность до 5 т</v>
      </c>
      <c r="H70" t="str">
        <f>SmtRes!O83</f>
        <v>маш.-ч.</v>
      </c>
      <c r="I70">
        <f>SmtRes!Y83*Source!I58</f>
        <v>1.5E-3</v>
      </c>
      <c r="J70">
        <f>SmtRes!AO83</f>
        <v>1</v>
      </c>
      <c r="K70">
        <f>SmtRes!AF83</f>
        <v>65.709999999999994</v>
      </c>
      <c r="L70">
        <f>SmtRes!DB83</f>
        <v>0.82499999999999996</v>
      </c>
      <c r="M70">
        <f>ROUND(ROUND(L70*Source!I58, 6)*1, 2)</f>
        <v>0.1</v>
      </c>
      <c r="N70">
        <f>SmtRes!AB83</f>
        <v>947.54</v>
      </c>
      <c r="O70">
        <f>ROUND(ROUND(L70*Source!I58, 6)*SmtRes!DA83, 2)</f>
        <v>1.43</v>
      </c>
      <c r="P70">
        <f>SmtRes!AG83</f>
        <v>11.6</v>
      </c>
      <c r="Q70">
        <f>SmtRes!DC83</f>
        <v>0.15</v>
      </c>
      <c r="R70">
        <f>ROUND(ROUND(Q70*Source!I58, 6)*1, 2)</f>
        <v>0.02</v>
      </c>
      <c r="S70">
        <f>SmtRes!AC83</f>
        <v>456.23</v>
      </c>
      <c r="T70">
        <f>ROUND(ROUND(Q70*Source!I58, 6)*SmtRes!AK83, 2)</f>
        <v>0.71</v>
      </c>
      <c r="U70">
        <v>2</v>
      </c>
      <c r="Z70">
        <f>SmtRes!X83</f>
        <v>509054691</v>
      </c>
      <c r="AA70">
        <v>1555251513</v>
      </c>
      <c r="AB70">
        <v>-341607382</v>
      </c>
    </row>
    <row r="71" spans="1:28" x14ac:dyDescent="0.2">
      <c r="A71">
        <v>20</v>
      </c>
      <c r="B71">
        <v>82</v>
      </c>
      <c r="C71">
        <v>2</v>
      </c>
      <c r="D71">
        <v>0</v>
      </c>
      <c r="E71">
        <f>SmtRes!AV82</f>
        <v>0</v>
      </c>
      <c r="F71" t="str">
        <f>SmtRes!I82</f>
        <v>91.06.05-011</v>
      </c>
      <c r="G71" t="str">
        <f>SmtRes!K82</f>
        <v>Погрузчики, грузоподъемность 5 т</v>
      </c>
      <c r="H71" t="str">
        <f>SmtRes!O82</f>
        <v>маш.-ч.</v>
      </c>
      <c r="I71">
        <f>SmtRes!Y82*Source!I58</f>
        <v>1.5E-3</v>
      </c>
      <c r="J71">
        <f>SmtRes!AO82</f>
        <v>1</v>
      </c>
      <c r="K71">
        <f>SmtRes!AF82</f>
        <v>89.99</v>
      </c>
      <c r="L71">
        <f>SmtRes!DB82</f>
        <v>1.125</v>
      </c>
      <c r="M71">
        <f>ROUND(ROUND(L71*Source!I58, 6)*1, 2)</f>
        <v>0.14000000000000001</v>
      </c>
      <c r="N71">
        <f>SmtRes!AB82</f>
        <v>1297.6600000000001</v>
      </c>
      <c r="O71">
        <f>ROUND(ROUND(L71*Source!I58, 6)*SmtRes!DA82, 2)</f>
        <v>1.95</v>
      </c>
      <c r="P71">
        <f>SmtRes!AG82</f>
        <v>10.06</v>
      </c>
      <c r="Q71">
        <f>SmtRes!DC82</f>
        <v>0.125</v>
      </c>
      <c r="R71">
        <f>ROUND(ROUND(Q71*Source!I58, 6)*1, 2)</f>
        <v>0.02</v>
      </c>
      <c r="S71">
        <f>SmtRes!AC82</f>
        <v>395.66</v>
      </c>
      <c r="T71">
        <f>ROUND(ROUND(Q71*Source!I58, 6)*SmtRes!AK82, 2)</f>
        <v>0.59</v>
      </c>
      <c r="U71">
        <v>2</v>
      </c>
      <c r="Z71">
        <f>SmtRes!X82</f>
        <v>-896236776</v>
      </c>
      <c r="AA71">
        <v>136637897</v>
      </c>
      <c r="AB71">
        <v>520652551</v>
      </c>
    </row>
    <row r="72" spans="1:28" x14ac:dyDescent="0.2">
      <c r="A72">
        <v>20</v>
      </c>
      <c r="B72">
        <v>81</v>
      </c>
      <c r="C72">
        <v>2</v>
      </c>
      <c r="D72">
        <v>0</v>
      </c>
      <c r="E72">
        <f>SmtRes!AV81</f>
        <v>0</v>
      </c>
      <c r="F72" t="str">
        <f>SmtRes!I81</f>
        <v>91.06.03-060</v>
      </c>
      <c r="G72" t="str">
        <f>SmtRes!K81</f>
        <v>Лебедки электрические тяговым усилием до 5,79 кН (0,59 т)</v>
      </c>
      <c r="H72" t="str">
        <f>SmtRes!O81</f>
        <v>маш.-ч.</v>
      </c>
      <c r="I72">
        <f>SmtRes!Y81*Source!I58</f>
        <v>1.5E-3</v>
      </c>
      <c r="J72">
        <f>SmtRes!AO81</f>
        <v>1</v>
      </c>
      <c r="K72">
        <f>SmtRes!AF81</f>
        <v>1.7</v>
      </c>
      <c r="L72">
        <f>SmtRes!DB81</f>
        <v>2.5000000000000001E-2</v>
      </c>
      <c r="M72">
        <f>ROUND(ROUND(L72*Source!I58, 6)*1, 2)</f>
        <v>0</v>
      </c>
      <c r="N72">
        <f>SmtRes!AB81</f>
        <v>24.51</v>
      </c>
      <c r="O72">
        <f>ROUND(ROUND(L72*Source!I58, 6)*SmtRes!DA81, 2)</f>
        <v>0.04</v>
      </c>
      <c r="P72">
        <f>SmtRes!AG81</f>
        <v>0</v>
      </c>
      <c r="Q72">
        <f>SmtRes!DC81</f>
        <v>0</v>
      </c>
      <c r="R72">
        <f>ROUND(ROUND(Q72*Source!I58, 6)*1, 2)</f>
        <v>0</v>
      </c>
      <c r="S72">
        <f>SmtRes!AC81</f>
        <v>0</v>
      </c>
      <c r="T72">
        <f>ROUND(ROUND(Q72*Source!I58, 6)*SmtRes!AK81, 2)</f>
        <v>0</v>
      </c>
      <c r="U72">
        <v>2</v>
      </c>
      <c r="Z72">
        <f>SmtRes!X81</f>
        <v>208619310</v>
      </c>
      <c r="AA72">
        <v>1081998786</v>
      </c>
      <c r="AB72">
        <v>-1087507982</v>
      </c>
    </row>
    <row r="73" spans="1:28" x14ac:dyDescent="0.2">
      <c r="A73">
        <v>20</v>
      </c>
      <c r="B73">
        <v>79</v>
      </c>
      <c r="C73">
        <v>1</v>
      </c>
      <c r="D73">
        <v>0</v>
      </c>
      <c r="E73">
        <f>SmtRes!AV79</f>
        <v>1</v>
      </c>
      <c r="F73" t="str">
        <f>SmtRes!I79</f>
        <v>1-100-49</v>
      </c>
      <c r="G73" t="str">
        <f>SmtRes!K79</f>
        <v>Затраты труда рабочих (Средний разряд - 4,9)</v>
      </c>
      <c r="H73" t="str">
        <f>SmtRes!O79</f>
        <v>чел.-ч.</v>
      </c>
      <c r="I73">
        <f>SmtRes!Y79*Source!I58</f>
        <v>0.64031999999999989</v>
      </c>
      <c r="J73">
        <f>SmtRes!AO79</f>
        <v>1</v>
      </c>
      <c r="K73">
        <f>SmtRes!AH79</f>
        <v>10.94</v>
      </c>
      <c r="L73">
        <f>SmtRes!DB79</f>
        <v>58.374000000000002</v>
      </c>
      <c r="M73">
        <f>ROUND(ROUND(L73*Source!I58, 6)*1, 2)</f>
        <v>7</v>
      </c>
      <c r="N73">
        <f>SmtRes!AD79</f>
        <v>430.27</v>
      </c>
      <c r="O73">
        <f>ROUND(ROUND(L73*Source!I58, 6)*SmtRes!DA79, 2)</f>
        <v>275.5</v>
      </c>
      <c r="P73">
        <f>SmtRes!AG79</f>
        <v>0</v>
      </c>
      <c r="Q73">
        <f>SmtRes!DC79</f>
        <v>0</v>
      </c>
      <c r="R73">
        <f>ROUND(ROUND(Q73*Source!I58, 6)*1, 2)</f>
        <v>0</v>
      </c>
      <c r="S73">
        <f>SmtRes!AC79</f>
        <v>0</v>
      </c>
      <c r="T73">
        <f>ROUND(ROUND(Q73*Source!I58, 6)*SmtRes!AK79, 2)</f>
        <v>0</v>
      </c>
      <c r="U73">
        <v>1</v>
      </c>
      <c r="Z73">
        <f>SmtRes!X79</f>
        <v>1423317190</v>
      </c>
      <c r="AA73">
        <v>940826111</v>
      </c>
      <c r="AB73">
        <v>-775616230</v>
      </c>
    </row>
    <row r="74" spans="1:28" x14ac:dyDescent="0.2">
      <c r="A74">
        <v>20</v>
      </c>
      <c r="B74">
        <v>99</v>
      </c>
      <c r="C74">
        <v>3</v>
      </c>
      <c r="D74">
        <v>0</v>
      </c>
      <c r="E74">
        <f>SmtRes!AV99</f>
        <v>0</v>
      </c>
      <c r="F74" t="str">
        <f>SmtRes!I99</f>
        <v>14.5.09.07-0030</v>
      </c>
      <c r="G74" t="str">
        <f>SmtRes!K99</f>
        <v>Растворитель Р-4</v>
      </c>
      <c r="H74" t="str">
        <f>SmtRes!O99</f>
        <v>кг</v>
      </c>
      <c r="I74">
        <f>SmtRes!Y99*Source!I61</f>
        <v>0.32400000000000001</v>
      </c>
      <c r="J74">
        <f>SmtRes!AO99</f>
        <v>1</v>
      </c>
      <c r="K74">
        <f>SmtRes!AE99</f>
        <v>9.42</v>
      </c>
      <c r="L74">
        <f>SmtRes!DB99</f>
        <v>25.43</v>
      </c>
      <c r="M74">
        <f>ROUND(ROUND(L74*Source!I61, 6)*1, 2)</f>
        <v>3.05</v>
      </c>
      <c r="N74">
        <f>SmtRes!AA99</f>
        <v>82.8</v>
      </c>
      <c r="O74">
        <f>ROUND(ROUND(L74*Source!I61, 6)*SmtRes!DA99, 2)</f>
        <v>26.82</v>
      </c>
      <c r="P74">
        <f>SmtRes!AG99</f>
        <v>0</v>
      </c>
      <c r="Q74">
        <f>SmtRes!DC99</f>
        <v>0</v>
      </c>
      <c r="R74">
        <f>ROUND(ROUND(Q74*Source!I61, 6)*1, 2)</f>
        <v>0</v>
      </c>
      <c r="S74">
        <f>SmtRes!AC99</f>
        <v>0</v>
      </c>
      <c r="T74">
        <f>ROUND(ROUND(Q74*Source!I61, 6)*SmtRes!AK99, 2)</f>
        <v>0</v>
      </c>
      <c r="U74">
        <v>3</v>
      </c>
      <c r="Z74">
        <f>SmtRes!X99</f>
        <v>-1449230318</v>
      </c>
      <c r="AA74">
        <v>519563086</v>
      </c>
      <c r="AB74">
        <v>1321358672</v>
      </c>
    </row>
    <row r="75" spans="1:28" x14ac:dyDescent="0.2">
      <c r="A75">
        <v>20</v>
      </c>
      <c r="B75">
        <v>98</v>
      </c>
      <c r="C75">
        <v>3</v>
      </c>
      <c r="D75">
        <v>0</v>
      </c>
      <c r="E75">
        <f>SmtRes!AV98</f>
        <v>0</v>
      </c>
      <c r="F75" t="str">
        <f>SmtRes!I98</f>
        <v>14.5.09.04-0115</v>
      </c>
      <c r="G75" t="str">
        <f>SmtRes!K98</f>
        <v>Отвердитель амино-фенольный</v>
      </c>
      <c r="H75" t="str">
        <f>SmtRes!O98</f>
        <v>кг</v>
      </c>
      <c r="I75">
        <f>SmtRes!Y98*Source!I61</f>
        <v>0.06</v>
      </c>
      <c r="J75">
        <f>SmtRes!AO98</f>
        <v>1</v>
      </c>
      <c r="K75">
        <f>SmtRes!AE98</f>
        <v>48.6</v>
      </c>
      <c r="L75">
        <f>SmtRes!DB98</f>
        <v>24.3</v>
      </c>
      <c r="M75">
        <f>ROUND(ROUND(L75*Source!I61, 6)*1, 2)</f>
        <v>2.92</v>
      </c>
      <c r="N75">
        <f>SmtRes!AA98</f>
        <v>427.19</v>
      </c>
      <c r="O75">
        <f>ROUND(ROUND(L75*Source!I61, 6)*SmtRes!DA98, 2)</f>
        <v>25.63</v>
      </c>
      <c r="P75">
        <f>SmtRes!AG98</f>
        <v>0</v>
      </c>
      <c r="Q75">
        <f>SmtRes!DC98</f>
        <v>0</v>
      </c>
      <c r="R75">
        <f>ROUND(ROUND(Q75*Source!I61, 6)*1, 2)</f>
        <v>0</v>
      </c>
      <c r="S75">
        <f>SmtRes!AC98</f>
        <v>0</v>
      </c>
      <c r="T75">
        <f>ROUND(ROUND(Q75*Source!I61, 6)*SmtRes!AK98, 2)</f>
        <v>0</v>
      </c>
      <c r="U75">
        <v>3</v>
      </c>
      <c r="Z75">
        <f>SmtRes!X98</f>
        <v>-1936602384</v>
      </c>
      <c r="AA75">
        <v>-1887617499</v>
      </c>
      <c r="AB75">
        <v>-1406023943</v>
      </c>
    </row>
    <row r="76" spans="1:28" x14ac:dyDescent="0.2">
      <c r="A76">
        <v>20</v>
      </c>
      <c r="B76">
        <v>96</v>
      </c>
      <c r="C76">
        <v>3</v>
      </c>
      <c r="D76">
        <v>0</v>
      </c>
      <c r="E76">
        <f>SmtRes!AV96</f>
        <v>0</v>
      </c>
      <c r="F76" t="str">
        <f>SmtRes!I96</f>
        <v>14.4.04.11-0005</v>
      </c>
      <c r="G76" t="str">
        <f>SmtRes!K96</f>
        <v>Эмаль двухкомпонентная из сополимера винилхлорида, модифицированного эпоксидной смолой</v>
      </c>
      <c r="H76" t="str">
        <f>SmtRes!O96</f>
        <v>т</v>
      </c>
      <c r="I76">
        <f>SmtRes!Y96*Source!I61</f>
        <v>3.2399999999999998E-3</v>
      </c>
      <c r="J76">
        <f>SmtRes!AO96</f>
        <v>1</v>
      </c>
      <c r="K76">
        <f>SmtRes!AE96</f>
        <v>48307</v>
      </c>
      <c r="L76">
        <f>SmtRes!DB96</f>
        <v>1304.29</v>
      </c>
      <c r="M76">
        <f>ROUND(ROUND(L76*Source!I61, 6)*1, 2)</f>
        <v>156.51</v>
      </c>
      <c r="N76">
        <f>SmtRes!AA96</f>
        <v>424618.53</v>
      </c>
      <c r="O76">
        <f>ROUND(ROUND(L76*Source!I61, 6)*SmtRes!DA96, 2)</f>
        <v>1375.77</v>
      </c>
      <c r="P76">
        <f>SmtRes!AG96</f>
        <v>0</v>
      </c>
      <c r="Q76">
        <f>SmtRes!DC96</f>
        <v>0</v>
      </c>
      <c r="R76">
        <f>ROUND(ROUND(Q76*Source!I61, 6)*1, 2)</f>
        <v>0</v>
      </c>
      <c r="S76">
        <f>SmtRes!AC96</f>
        <v>0</v>
      </c>
      <c r="T76">
        <f>ROUND(ROUND(Q76*Source!I61, 6)*SmtRes!AK96, 2)</f>
        <v>0</v>
      </c>
      <c r="U76">
        <v>3</v>
      </c>
      <c r="Z76">
        <f>SmtRes!X96</f>
        <v>-1481682458</v>
      </c>
      <c r="AA76">
        <v>777935512</v>
      </c>
      <c r="AB76">
        <v>1893772075</v>
      </c>
    </row>
    <row r="77" spans="1:28" x14ac:dyDescent="0.2">
      <c r="A77">
        <v>20</v>
      </c>
      <c r="B77">
        <v>95</v>
      </c>
      <c r="C77">
        <v>2</v>
      </c>
      <c r="D77">
        <v>0</v>
      </c>
      <c r="E77">
        <f>SmtRes!AV95</f>
        <v>0</v>
      </c>
      <c r="F77" t="str">
        <f>SmtRes!I95</f>
        <v>91.21.01-012</v>
      </c>
      <c r="G77" t="str">
        <f>SmtRes!K95</f>
        <v>Агрегаты окрасочные высокого давления для окраски поверхностей конструкций, мощность 1 кВт</v>
      </c>
      <c r="H77" t="str">
        <f>SmtRes!O95</f>
        <v>маш.-ч.</v>
      </c>
      <c r="I77">
        <f>SmtRes!Y95*Source!I61</f>
        <v>0.29249999999999998</v>
      </c>
      <c r="J77">
        <f>SmtRes!AO95</f>
        <v>1</v>
      </c>
      <c r="K77">
        <f>SmtRes!AF95</f>
        <v>6.82</v>
      </c>
      <c r="L77">
        <f>SmtRes!DB95</f>
        <v>16.625</v>
      </c>
      <c r="M77">
        <f>ROUND(ROUND(L77*Source!I61, 6)*1, 2)</f>
        <v>2</v>
      </c>
      <c r="N77">
        <f>SmtRes!AB95</f>
        <v>98.34</v>
      </c>
      <c r="O77">
        <f>ROUND(ROUND(L77*Source!I61, 6)*SmtRes!DA95, 2)</f>
        <v>28.77</v>
      </c>
      <c r="P77">
        <f>SmtRes!AG95</f>
        <v>0</v>
      </c>
      <c r="Q77">
        <f>SmtRes!DC95</f>
        <v>0</v>
      </c>
      <c r="R77">
        <f>ROUND(ROUND(Q77*Source!I61, 6)*1, 2)</f>
        <v>0</v>
      </c>
      <c r="S77">
        <f>SmtRes!AC95</f>
        <v>0</v>
      </c>
      <c r="T77">
        <f>ROUND(ROUND(Q77*Source!I61, 6)*SmtRes!AK95, 2)</f>
        <v>0</v>
      </c>
      <c r="U77">
        <v>2</v>
      </c>
      <c r="Z77">
        <f>SmtRes!X95</f>
        <v>-1745017968</v>
      </c>
      <c r="AA77">
        <v>2100240186</v>
      </c>
      <c r="AB77">
        <v>-975903495</v>
      </c>
    </row>
    <row r="78" spans="1:28" x14ac:dyDescent="0.2">
      <c r="A78">
        <v>20</v>
      </c>
      <c r="B78">
        <v>94</v>
      </c>
      <c r="C78">
        <v>2</v>
      </c>
      <c r="D78">
        <v>0</v>
      </c>
      <c r="E78">
        <f>SmtRes!AV94</f>
        <v>0</v>
      </c>
      <c r="F78" t="str">
        <f>SmtRes!I94</f>
        <v>91.14.02-001</v>
      </c>
      <c r="G78" t="str">
        <f>SmtRes!K94</f>
        <v>Автомобили бортовые, грузоподъемность до 5 т</v>
      </c>
      <c r="H78" t="str">
        <f>SmtRes!O94</f>
        <v>маш.-ч.</v>
      </c>
      <c r="I78">
        <f>SmtRes!Y94*Source!I61</f>
        <v>4.4999999999999997E-3</v>
      </c>
      <c r="J78">
        <f>SmtRes!AO94</f>
        <v>1</v>
      </c>
      <c r="K78">
        <f>SmtRes!AF94</f>
        <v>65.709999999999994</v>
      </c>
      <c r="L78">
        <f>SmtRes!DB94</f>
        <v>2.4624999999999999</v>
      </c>
      <c r="M78">
        <f>ROUND(ROUND(L78*Source!I61, 6)*1, 2)</f>
        <v>0.3</v>
      </c>
      <c r="N78">
        <f>SmtRes!AB94</f>
        <v>947.54</v>
      </c>
      <c r="O78">
        <f>ROUND(ROUND(L78*Source!I61, 6)*SmtRes!DA94, 2)</f>
        <v>4.26</v>
      </c>
      <c r="P78">
        <f>SmtRes!AG94</f>
        <v>11.6</v>
      </c>
      <c r="Q78">
        <f>SmtRes!DC94</f>
        <v>0.4375</v>
      </c>
      <c r="R78">
        <f>ROUND(ROUND(Q78*Source!I61, 6)*1, 2)</f>
        <v>0.05</v>
      </c>
      <c r="S78">
        <f>SmtRes!AC94</f>
        <v>456.23</v>
      </c>
      <c r="T78">
        <f>ROUND(ROUND(Q78*Source!I61, 6)*SmtRes!AK94, 2)</f>
        <v>2.06</v>
      </c>
      <c r="U78">
        <v>2</v>
      </c>
      <c r="Z78">
        <f>SmtRes!X94</f>
        <v>509054691</v>
      </c>
      <c r="AA78">
        <v>1555251513</v>
      </c>
      <c r="AB78">
        <v>-341607382</v>
      </c>
    </row>
    <row r="79" spans="1:28" x14ac:dyDescent="0.2">
      <c r="A79">
        <v>20</v>
      </c>
      <c r="B79">
        <v>93</v>
      </c>
      <c r="C79">
        <v>2</v>
      </c>
      <c r="D79">
        <v>0</v>
      </c>
      <c r="E79">
        <f>SmtRes!AV93</f>
        <v>0</v>
      </c>
      <c r="F79" t="str">
        <f>SmtRes!I93</f>
        <v>91.06.05-011</v>
      </c>
      <c r="G79" t="str">
        <f>SmtRes!K93</f>
        <v>Погрузчики, грузоподъемность 5 т</v>
      </c>
      <c r="H79" t="str">
        <f>SmtRes!O93</f>
        <v>маш.-ч.</v>
      </c>
      <c r="I79">
        <f>SmtRes!Y93*Source!I61</f>
        <v>1.5E-3</v>
      </c>
      <c r="J79">
        <f>SmtRes!AO93</f>
        <v>1</v>
      </c>
      <c r="K79">
        <f>SmtRes!AF93</f>
        <v>89.99</v>
      </c>
      <c r="L79">
        <f>SmtRes!DB93</f>
        <v>1.125</v>
      </c>
      <c r="M79">
        <f>ROUND(ROUND(L79*Source!I61, 6)*1, 2)</f>
        <v>0.14000000000000001</v>
      </c>
      <c r="N79">
        <f>SmtRes!AB93</f>
        <v>1297.6600000000001</v>
      </c>
      <c r="O79">
        <f>ROUND(ROUND(L79*Source!I61, 6)*SmtRes!DA93, 2)</f>
        <v>1.95</v>
      </c>
      <c r="P79">
        <f>SmtRes!AG93</f>
        <v>10.06</v>
      </c>
      <c r="Q79">
        <f>SmtRes!DC93</f>
        <v>0.125</v>
      </c>
      <c r="R79">
        <f>ROUND(ROUND(Q79*Source!I61, 6)*1, 2)</f>
        <v>0.02</v>
      </c>
      <c r="S79">
        <f>SmtRes!AC93</f>
        <v>395.66</v>
      </c>
      <c r="T79">
        <f>ROUND(ROUND(Q79*Source!I61, 6)*SmtRes!AK93, 2)</f>
        <v>0.59</v>
      </c>
      <c r="U79">
        <v>2</v>
      </c>
      <c r="Z79">
        <f>SmtRes!X93</f>
        <v>-896236776</v>
      </c>
      <c r="AA79">
        <v>136637897</v>
      </c>
      <c r="AB79">
        <v>520652551</v>
      </c>
    </row>
    <row r="80" spans="1:28" x14ac:dyDescent="0.2">
      <c r="A80">
        <v>20</v>
      </c>
      <c r="B80">
        <v>92</v>
      </c>
      <c r="C80">
        <v>2</v>
      </c>
      <c r="D80">
        <v>0</v>
      </c>
      <c r="E80">
        <f>SmtRes!AV92</f>
        <v>0</v>
      </c>
      <c r="F80" t="str">
        <f>SmtRes!I92</f>
        <v>91.06.03-060</v>
      </c>
      <c r="G80" t="str">
        <f>SmtRes!K92</f>
        <v>Лебедки электрические тяговым усилием до 5,79 кН (0,59 т)</v>
      </c>
      <c r="H80" t="str">
        <f>SmtRes!O92</f>
        <v>маш.-ч.</v>
      </c>
      <c r="I80">
        <f>SmtRes!Y92*Source!I61</f>
        <v>1.5E-3</v>
      </c>
      <c r="J80">
        <f>SmtRes!AO92</f>
        <v>1</v>
      </c>
      <c r="K80">
        <f>SmtRes!AF92</f>
        <v>1.7</v>
      </c>
      <c r="L80">
        <f>SmtRes!DB92</f>
        <v>2.5000000000000001E-2</v>
      </c>
      <c r="M80">
        <f>ROUND(ROUND(L80*Source!I61, 6)*1, 2)</f>
        <v>0</v>
      </c>
      <c r="N80">
        <f>SmtRes!AB92</f>
        <v>24.51</v>
      </c>
      <c r="O80">
        <f>ROUND(ROUND(L80*Source!I61, 6)*SmtRes!DA92, 2)</f>
        <v>0.04</v>
      </c>
      <c r="P80">
        <f>SmtRes!AG92</f>
        <v>0</v>
      </c>
      <c r="Q80">
        <f>SmtRes!DC92</f>
        <v>0</v>
      </c>
      <c r="R80">
        <f>ROUND(ROUND(Q80*Source!I61, 6)*1, 2)</f>
        <v>0</v>
      </c>
      <c r="S80">
        <f>SmtRes!AC92</f>
        <v>0</v>
      </c>
      <c r="T80">
        <f>ROUND(ROUND(Q80*Source!I61, 6)*SmtRes!AK92, 2)</f>
        <v>0</v>
      </c>
      <c r="U80">
        <v>2</v>
      </c>
      <c r="Z80">
        <f>SmtRes!X92</f>
        <v>208619310</v>
      </c>
      <c r="AA80">
        <v>1081998786</v>
      </c>
      <c r="AB80">
        <v>-1087507982</v>
      </c>
    </row>
    <row r="81" spans="1:28" x14ac:dyDescent="0.2">
      <c r="A81">
        <v>20</v>
      </c>
      <c r="B81">
        <v>90</v>
      </c>
      <c r="C81">
        <v>1</v>
      </c>
      <c r="D81">
        <v>0</v>
      </c>
      <c r="E81">
        <f>SmtRes!AV90</f>
        <v>1</v>
      </c>
      <c r="F81" t="str">
        <f>SmtRes!I90</f>
        <v>1-100-35</v>
      </c>
      <c r="G81" t="str">
        <f>SmtRes!K90</f>
        <v>Затраты труда рабочих (Средний разряд - 3,5)</v>
      </c>
      <c r="H81" t="str">
        <f>SmtRes!O90</f>
        <v>чел.-ч.</v>
      </c>
      <c r="I81">
        <f>SmtRes!Y90*Source!I61</f>
        <v>0.38363999999999993</v>
      </c>
      <c r="J81">
        <f>SmtRes!AO90</f>
        <v>1</v>
      </c>
      <c r="K81">
        <f>SmtRes!AH90</f>
        <v>9.07</v>
      </c>
      <c r="L81">
        <f>SmtRes!DB90</f>
        <v>28.991499999999998</v>
      </c>
      <c r="M81">
        <f>ROUND(ROUND(L81*Source!I61, 6)*1, 2)</f>
        <v>3.48</v>
      </c>
      <c r="N81">
        <f>SmtRes!AD90</f>
        <v>356.72</v>
      </c>
      <c r="O81">
        <f>ROUND(ROUND(L81*Source!I61, 6)*SmtRes!DA90, 2)</f>
        <v>136.83000000000001</v>
      </c>
      <c r="P81">
        <f>SmtRes!AG90</f>
        <v>0</v>
      </c>
      <c r="Q81">
        <f>SmtRes!DC90</f>
        <v>0</v>
      </c>
      <c r="R81">
        <f>ROUND(ROUND(Q81*Source!I61, 6)*1, 2)</f>
        <v>0</v>
      </c>
      <c r="S81">
        <f>SmtRes!AC90</f>
        <v>0</v>
      </c>
      <c r="T81">
        <f>ROUND(ROUND(Q81*Source!I61, 6)*SmtRes!AK90, 2)</f>
        <v>0</v>
      </c>
      <c r="U81">
        <v>1</v>
      </c>
      <c r="Z81">
        <f>SmtRes!X90</f>
        <v>1893946532</v>
      </c>
      <c r="AA81">
        <v>1619794217</v>
      </c>
      <c r="AB81">
        <v>612535488</v>
      </c>
    </row>
    <row r="82" spans="1:28" x14ac:dyDescent="0.2">
      <c r="A82">
        <v>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D369"/>
  <sheetViews>
    <sheetView tabSelected="1" zoomScale="75" zoomScaleNormal="75" workbookViewId="0">
      <selection activeCell="B4" sqref="B4:E4"/>
    </sheetView>
  </sheetViews>
  <sheetFormatPr defaultRowHeight="12.75" x14ac:dyDescent="0.2"/>
  <cols>
    <col min="1" max="1" width="5.7109375" customWidth="1"/>
    <col min="2" max="2" width="20.7109375" customWidth="1"/>
    <col min="3" max="3" width="40.7109375" customWidth="1"/>
    <col min="4" max="4" width="10.7109375" customWidth="1"/>
    <col min="5" max="12" width="15.7109375" customWidth="1"/>
    <col min="15" max="101" width="0" hidden="1" customWidth="1"/>
  </cols>
  <sheetData>
    <row r="1" spans="1:12" x14ac:dyDescent="0.2">
      <c r="A1" s="1" t="str">
        <f>Source!B1</f>
        <v>Smeta.RU  (495) 974-1589</v>
      </c>
    </row>
    <row r="2" spans="1:12" ht="12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6.5" customHeight="1" x14ac:dyDescent="0.25">
      <c r="A3" s="9"/>
      <c r="B3" s="74" t="s">
        <v>460</v>
      </c>
      <c r="C3" s="74"/>
      <c r="D3" s="74"/>
      <c r="E3" s="74"/>
      <c r="F3" s="10"/>
      <c r="G3" s="10"/>
      <c r="H3" s="74" t="s">
        <v>461</v>
      </c>
      <c r="I3" s="74"/>
      <c r="J3" s="74"/>
      <c r="K3" s="74"/>
      <c r="L3" s="74"/>
    </row>
    <row r="4" spans="1:12" ht="14.25" customHeight="1" x14ac:dyDescent="0.2">
      <c r="A4" s="10"/>
      <c r="B4" s="75"/>
      <c r="C4" s="75"/>
      <c r="D4" s="75"/>
      <c r="E4" s="75"/>
      <c r="F4" s="10"/>
      <c r="G4" s="10"/>
      <c r="H4" s="75"/>
      <c r="I4" s="75"/>
      <c r="J4" s="75"/>
      <c r="K4" s="75"/>
      <c r="L4" s="75"/>
    </row>
    <row r="5" spans="1:12" ht="14.25" customHeight="1" x14ac:dyDescent="0.2">
      <c r="A5" s="10"/>
      <c r="B5" s="10"/>
      <c r="C5" s="11"/>
      <c r="D5" s="11"/>
      <c r="E5" s="11"/>
      <c r="F5" s="10"/>
      <c r="G5" s="10"/>
      <c r="H5" s="11"/>
      <c r="I5" s="11"/>
      <c r="J5" s="11"/>
      <c r="K5" s="11"/>
      <c r="L5" s="11"/>
    </row>
    <row r="6" spans="1:12" ht="14.25" customHeight="1" x14ac:dyDescent="0.2">
      <c r="A6" s="11"/>
      <c r="B6" s="75" t="str">
        <f>CONCATENATE("______________________ ", IF(Source!AL12&lt;&gt;"", Source!AL12, ""))</f>
        <v xml:space="preserve">______________________ </v>
      </c>
      <c r="C6" s="75"/>
      <c r="D6" s="75"/>
      <c r="E6" s="75"/>
      <c r="F6" s="10"/>
      <c r="G6" s="10"/>
      <c r="H6" s="75"/>
      <c r="I6" s="75"/>
      <c r="J6" s="75"/>
      <c r="K6" s="75"/>
      <c r="L6" s="75"/>
    </row>
    <row r="7" spans="1:12" ht="14.25" customHeight="1" x14ac:dyDescent="0.2">
      <c r="A7" s="12"/>
      <c r="B7" s="70" t="s">
        <v>462</v>
      </c>
      <c r="C7" s="70"/>
      <c r="D7" s="70"/>
      <c r="E7" s="70"/>
      <c r="F7" s="10"/>
      <c r="G7" s="10"/>
      <c r="H7" s="70"/>
      <c r="I7" s="70"/>
      <c r="J7" s="70"/>
      <c r="K7" s="70"/>
      <c r="L7" s="70"/>
    </row>
    <row r="10" spans="1:12" ht="12.75" customHeight="1" x14ac:dyDescent="0.2">
      <c r="A10" s="71" t="s">
        <v>515</v>
      </c>
      <c r="B10" s="71"/>
      <c r="C10" s="71"/>
      <c r="D10" s="71"/>
      <c r="E10" s="71"/>
      <c r="F10" s="72" t="s">
        <v>544</v>
      </c>
      <c r="G10" s="72"/>
      <c r="H10" s="72"/>
      <c r="I10" s="72"/>
      <c r="J10" s="72"/>
      <c r="K10" s="72"/>
      <c r="L10" s="72"/>
    </row>
    <row r="11" spans="1:12" ht="12.75" customHeight="1" x14ac:dyDescent="0.2">
      <c r="A11" s="14"/>
      <c r="B11" s="14"/>
      <c r="C11" s="14"/>
      <c r="D11" s="14"/>
      <c r="E11" s="14"/>
      <c r="F11" s="15"/>
      <c r="G11" s="15"/>
      <c r="H11" s="15"/>
      <c r="I11" s="15"/>
      <c r="J11" s="15"/>
      <c r="K11" s="15"/>
      <c r="L11" s="15"/>
    </row>
    <row r="12" spans="1:12" ht="34.5" customHeight="1" x14ac:dyDescent="0.2">
      <c r="A12" s="71" t="s">
        <v>516</v>
      </c>
      <c r="B12" s="71"/>
      <c r="C12" s="71"/>
      <c r="D12" s="71"/>
      <c r="E12" s="71"/>
      <c r="F12" s="73" t="str">
        <f>IF([1]Source!CQ12&lt;&gt;"",[1]Source!CQ12,"")</f>
        <v>Приказ Минстроя России от 26.12.2019 г. № 876/пр;   Приказ Минстроя России от 04.08.2020 г. № 421/пр;  Приказ Минстроя России от 21.12.2020 г. № 812/пр;  Приказ Минстроя России от 11.12.2020 г. № 774/пр</v>
      </c>
      <c r="G12" s="73"/>
      <c r="H12" s="73"/>
      <c r="I12" s="73"/>
      <c r="J12" s="73"/>
      <c r="K12" s="73"/>
      <c r="L12" s="73"/>
    </row>
    <row r="13" spans="1:12" ht="12.75" customHeight="1" x14ac:dyDescent="0.2">
      <c r="A13" s="14"/>
      <c r="B13" s="14"/>
      <c r="C13" s="14"/>
      <c r="D13" s="14"/>
      <c r="E13" s="14"/>
      <c r="F13" s="67"/>
      <c r="G13" s="67"/>
      <c r="H13" s="67"/>
      <c r="I13" s="67"/>
      <c r="J13" s="67"/>
      <c r="K13" s="67"/>
      <c r="L13" s="67"/>
    </row>
    <row r="14" spans="1:12" ht="92.25" customHeight="1" x14ac:dyDescent="0.2">
      <c r="A14" s="78" t="s">
        <v>517</v>
      </c>
      <c r="B14" s="78"/>
      <c r="C14" s="78"/>
      <c r="D14" s="78"/>
      <c r="E14" s="78"/>
      <c r="F14" s="79" t="str">
        <f>IF([1]Source!CV12&lt;&gt;"",[1]Source!CV12,"")</f>
        <v>Приказ Минстроя России от 30.03.2020 г. № 172/пр; Приказ Минстроя России от 01.06.2020 г. № 294/пр;   Приказ Минстроя России от 30.06.2020 г. № 352/пр; Приказ Минстроя России от 20.10.2020 г. № 636/пр; Приказ Минстроя России от 9.02.2021 г. № 51/пр;   Приказ Минстроя России от 24.05.2021 г. № 321/пр; Приказ Минстроя России от 24.06.2021 г. № 408/пр; Приказ Минстроя России от 14.10.2021 г. № 746/пр; Приказ Минстроя России от 20.12.2021 г. № 962/пр;  Приказ Минстроя России от 07.07.2022 г. № 557/пр, Приказ Минстроя России от 30.01.2024 г. № 55/пр;  Приказ Минстроя России от 02.09.2021 г. № 636/пр, Приказ Минстроя России от 26.07.2022 г. № 611/пр;  Приказ Минстроя России от 22.04.2022 г. № 317/пр</v>
      </c>
      <c r="G14" s="79"/>
      <c r="H14" s="79"/>
      <c r="I14" s="79"/>
      <c r="J14" s="79"/>
      <c r="K14" s="79"/>
      <c r="L14" s="79"/>
    </row>
    <row r="15" spans="1:12" ht="12.75" customHeight="1" x14ac:dyDescent="0.2">
      <c r="A15" s="14"/>
      <c r="B15" s="14"/>
      <c r="C15" s="14"/>
      <c r="D15" s="14"/>
      <c r="E15" s="14"/>
      <c r="F15" s="15"/>
      <c r="G15" s="15"/>
      <c r="H15" s="15"/>
      <c r="I15" s="15"/>
      <c r="J15" s="15"/>
      <c r="K15" s="15"/>
      <c r="L15" s="15"/>
    </row>
    <row r="16" spans="1:12" ht="76.5" customHeight="1" x14ac:dyDescent="0.2">
      <c r="A16" s="71" t="s">
        <v>518</v>
      </c>
      <c r="B16" s="71"/>
      <c r="C16" s="71"/>
      <c r="D16" s="71"/>
      <c r="E16" s="71"/>
      <c r="F16" s="72" t="s">
        <v>646</v>
      </c>
      <c r="G16" s="72"/>
      <c r="H16" s="72"/>
      <c r="I16" s="72"/>
      <c r="J16" s="72"/>
      <c r="K16" s="72"/>
      <c r="L16" s="72"/>
    </row>
    <row r="17" spans="1:12" ht="12.75" customHeight="1" x14ac:dyDescent="0.2">
      <c r="A17" s="14"/>
      <c r="B17" s="14"/>
      <c r="C17" s="14"/>
      <c r="D17" s="14"/>
      <c r="E17" s="14"/>
      <c r="F17" s="15"/>
      <c r="G17" s="15"/>
      <c r="H17" s="15"/>
      <c r="I17" s="15"/>
      <c r="J17" s="15"/>
      <c r="K17" s="15"/>
      <c r="L17" s="15"/>
    </row>
    <row r="18" spans="1:12" ht="38.25" customHeight="1" x14ac:dyDescent="0.2">
      <c r="A18" s="71" t="s">
        <v>519</v>
      </c>
      <c r="B18" s="71"/>
      <c r="C18" s="71"/>
      <c r="D18" s="71"/>
      <c r="E18" s="71"/>
      <c r="F18" s="72"/>
      <c r="G18" s="72"/>
      <c r="H18" s="72"/>
      <c r="I18" s="72"/>
      <c r="J18" s="72"/>
      <c r="K18" s="72"/>
      <c r="L18" s="72"/>
    </row>
    <row r="19" spans="1:12" ht="12.75" customHeight="1" x14ac:dyDescent="0.2">
      <c r="A19" s="16"/>
      <c r="B19" s="16"/>
      <c r="C19" s="16"/>
      <c r="D19" s="16"/>
      <c r="E19" s="16"/>
      <c r="F19" s="17"/>
      <c r="G19" s="17"/>
      <c r="H19" s="17"/>
      <c r="I19" s="17"/>
      <c r="J19" s="17"/>
      <c r="K19" s="17"/>
      <c r="L19" s="17"/>
    </row>
    <row r="20" spans="1:12" ht="12.75" customHeight="1" x14ac:dyDescent="0.2">
      <c r="A20" s="71" t="s">
        <v>520</v>
      </c>
      <c r="B20" s="71"/>
      <c r="C20" s="71"/>
      <c r="D20" s="71"/>
      <c r="E20" s="71"/>
      <c r="F20" s="72" t="s">
        <v>648</v>
      </c>
      <c r="G20" s="72"/>
      <c r="H20" s="72"/>
      <c r="I20" s="72"/>
      <c r="J20" s="72"/>
      <c r="K20" s="72"/>
      <c r="L20" s="72"/>
    </row>
    <row r="21" spans="1:12" ht="12.75" customHeight="1" x14ac:dyDescent="0.2">
      <c r="A21" s="16"/>
      <c r="B21" s="16"/>
      <c r="C21" s="16"/>
      <c r="D21" s="16"/>
      <c r="E21" s="16"/>
      <c r="F21" s="17"/>
      <c r="G21" s="17"/>
      <c r="H21" s="17"/>
      <c r="I21" s="17"/>
      <c r="J21" s="17"/>
      <c r="K21" s="17"/>
      <c r="L21" s="15"/>
    </row>
    <row r="22" spans="1:12" ht="12.75" customHeight="1" x14ac:dyDescent="0.2">
      <c r="A22" s="71" t="s">
        <v>521</v>
      </c>
      <c r="B22" s="71"/>
      <c r="C22" s="71"/>
      <c r="D22" s="71"/>
      <c r="E22" s="71"/>
      <c r="F22" s="72" t="s">
        <v>647</v>
      </c>
      <c r="G22" s="72"/>
      <c r="H22" s="72"/>
      <c r="I22" s="72"/>
      <c r="J22" s="72"/>
      <c r="K22" s="72"/>
      <c r="L22" s="72"/>
    </row>
    <row r="23" spans="1:12" ht="12.75" customHeight="1" x14ac:dyDescent="0.2">
      <c r="A23" s="8"/>
      <c r="B23" s="8"/>
      <c r="C23" s="8"/>
      <c r="D23" s="8"/>
      <c r="E23" s="8"/>
      <c r="F23" s="18"/>
      <c r="G23" s="18"/>
      <c r="H23" s="18"/>
      <c r="I23" s="18"/>
      <c r="J23" s="18"/>
      <c r="K23" s="18"/>
      <c r="L23" s="18"/>
    </row>
    <row r="24" spans="1:12" ht="12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5.75" customHeight="1" x14ac:dyDescent="0.25">
      <c r="A25" s="76" t="s">
        <v>645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</row>
    <row r="26" spans="1:12" ht="14.25" customHeight="1" x14ac:dyDescent="0.2">
      <c r="A26" s="77" t="s">
        <v>463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</row>
    <row r="27" spans="1:12" ht="14.2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15.75" customHeight="1" x14ac:dyDescent="0.25">
      <c r="A28" s="76" t="s">
        <v>644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</row>
    <row r="29" spans="1:12" ht="14.25" customHeight="1" x14ac:dyDescent="0.2">
      <c r="A29" s="77" t="s">
        <v>522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</row>
    <row r="30" spans="1:12" ht="14.25" customHeight="1" x14ac:dyDescent="0.2">
      <c r="A30" s="10"/>
      <c r="B30" s="10"/>
      <c r="C30" s="10"/>
      <c r="D30" s="10"/>
      <c r="E30" s="10"/>
      <c r="F30" s="12"/>
      <c r="G30" s="12"/>
      <c r="H30" s="12"/>
      <c r="I30" s="12"/>
      <c r="J30" s="12"/>
      <c r="K30" s="12"/>
      <c r="L30" s="12"/>
    </row>
    <row r="31" spans="1:12" ht="15.75" customHeight="1" x14ac:dyDescent="0.25">
      <c r="A31" s="83" t="s">
        <v>643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</row>
    <row r="32" spans="1:12" ht="15" customHeight="1" x14ac:dyDescent="0.25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19"/>
    </row>
    <row r="33" spans="1:12" ht="18" customHeight="1" x14ac:dyDescent="0.25">
      <c r="A33" s="84" t="s">
        <v>649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</row>
    <row r="34" spans="1:12" ht="14.25" customHeight="1" x14ac:dyDescent="0.2">
      <c r="A34" s="77" t="s">
        <v>523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</row>
    <row r="35" spans="1:12" ht="14.2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4.2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ht="12.75" customHeight="1" x14ac:dyDescent="0.2">
      <c r="A37" s="13" t="s">
        <v>524</v>
      </c>
      <c r="B37" s="13"/>
      <c r="C37" s="21" t="s">
        <v>545</v>
      </c>
      <c r="D37" s="13" t="s">
        <v>525</v>
      </c>
      <c r="E37" s="13"/>
      <c r="F37" s="13"/>
      <c r="G37" s="13"/>
      <c r="H37" s="13"/>
      <c r="I37" s="13"/>
      <c r="J37" s="13"/>
      <c r="K37" s="13"/>
      <c r="L37" s="13"/>
    </row>
    <row r="38" spans="1:12" ht="12.75" customHeight="1" x14ac:dyDescent="0.2">
      <c r="A38" s="13"/>
      <c r="B38" s="13"/>
      <c r="C38" s="22"/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12.75" customHeight="1" x14ac:dyDescent="0.2">
      <c r="A39" s="13" t="s">
        <v>526</v>
      </c>
      <c r="B39" s="13"/>
      <c r="C39" s="85" t="s">
        <v>642</v>
      </c>
      <c r="D39" s="85"/>
      <c r="E39" s="85"/>
      <c r="F39" s="85"/>
      <c r="G39" s="85"/>
      <c r="H39" s="85"/>
      <c r="I39" s="85"/>
      <c r="J39" s="85"/>
      <c r="K39" s="85"/>
      <c r="L39" s="85"/>
    </row>
    <row r="40" spans="1:12" ht="14.25" customHeight="1" x14ac:dyDescent="0.2">
      <c r="A40" s="23"/>
      <c r="B40" s="24"/>
      <c r="C40" s="77" t="s">
        <v>527</v>
      </c>
      <c r="D40" s="77"/>
      <c r="E40" s="77"/>
      <c r="F40" s="77"/>
      <c r="G40" s="77"/>
      <c r="H40" s="77"/>
      <c r="I40" s="77"/>
      <c r="J40" s="77"/>
      <c r="K40" s="77"/>
      <c r="L40" s="77"/>
    </row>
    <row r="41" spans="1:12" ht="14.2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14.25" customHeight="1" x14ac:dyDescent="0.2">
      <c r="A42" s="13" t="s">
        <v>641</v>
      </c>
      <c r="B42" s="10"/>
      <c r="C42" s="10"/>
      <c r="D42" s="25"/>
      <c r="E42" s="10"/>
      <c r="F42" s="10"/>
      <c r="G42" s="10"/>
      <c r="H42" s="10"/>
      <c r="I42" s="10"/>
      <c r="J42" s="10"/>
      <c r="K42" s="10"/>
      <c r="L42" s="10"/>
    </row>
    <row r="43" spans="1:12" ht="14.2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14.25" customHeight="1" x14ac:dyDescent="0.2">
      <c r="A44" s="26" t="s">
        <v>464</v>
      </c>
      <c r="B44" s="10"/>
      <c r="C44" s="56">
        <f>C47+C48+C49+C50</f>
        <v>161.91999999999999</v>
      </c>
      <c r="D44" s="80">
        <f>D47+D48+D49+D50</f>
        <v>6.15</v>
      </c>
      <c r="E44" s="81"/>
      <c r="F44" s="13" t="s">
        <v>465</v>
      </c>
      <c r="G44" s="8"/>
      <c r="H44" s="8"/>
      <c r="I44" s="8"/>
      <c r="J44" s="8"/>
      <c r="K44" s="8"/>
      <c r="L44" s="10"/>
    </row>
    <row r="45" spans="1:12" ht="14.25" customHeight="1" x14ac:dyDescent="0.25">
      <c r="A45" s="26"/>
      <c r="B45" s="63" t="s">
        <v>640</v>
      </c>
      <c r="C45" s="64">
        <f>L362/1000</f>
        <v>197.54339000000002</v>
      </c>
      <c r="D45" s="65"/>
      <c r="E45" s="66"/>
      <c r="F45" s="26" t="s">
        <v>465</v>
      </c>
      <c r="G45" s="8"/>
      <c r="H45" s="8"/>
      <c r="I45" s="8"/>
      <c r="J45" s="8"/>
      <c r="K45" s="8"/>
      <c r="L45" s="10"/>
    </row>
    <row r="46" spans="1:12" ht="14.25" customHeight="1" x14ac:dyDescent="0.2">
      <c r="A46" s="10"/>
      <c r="B46" s="27" t="s">
        <v>528</v>
      </c>
      <c r="C46" s="58"/>
      <c r="D46" s="57"/>
      <c r="E46" s="28"/>
      <c r="F46" s="13"/>
      <c r="G46" s="13" t="s">
        <v>529</v>
      </c>
      <c r="H46" s="10"/>
      <c r="I46" s="58">
        <f>ROUND(SUM(AR58:AR362)/1000, 2)</f>
        <v>56.55</v>
      </c>
      <c r="J46" s="58">
        <f>ROUND((SUM(S58:S362))/1000, 2)</f>
        <v>1.44</v>
      </c>
      <c r="K46" s="13" t="s">
        <v>465</v>
      </c>
      <c r="L46" s="10"/>
    </row>
    <row r="47" spans="1:12" ht="14.25" customHeight="1" x14ac:dyDescent="0.2">
      <c r="A47" s="10"/>
      <c r="B47" s="26" t="s">
        <v>530</v>
      </c>
      <c r="C47" s="56">
        <f>ROUND((Source!F111)/1000, 2)</f>
        <v>161.91999999999999</v>
      </c>
      <c r="D47" s="80">
        <f>ROUND((SUM(BH58:BH362)+SUMIF(CD58:CD362, 1, AG58:AG362)+SUMIF(CD58:CD362, 1, AF58:AF362))/1000, 2)</f>
        <v>6.15</v>
      </c>
      <c r="E47" s="81"/>
      <c r="F47" s="13" t="s">
        <v>465</v>
      </c>
      <c r="G47" s="13" t="s">
        <v>531</v>
      </c>
      <c r="H47" s="10"/>
      <c r="I47" s="13"/>
      <c r="J47" s="62">
        <f>Source!F116</f>
        <v>144.328846</v>
      </c>
      <c r="K47" s="13" t="s">
        <v>324</v>
      </c>
      <c r="L47" s="10"/>
    </row>
    <row r="48" spans="1:12" ht="14.25" customHeight="1" x14ac:dyDescent="0.2">
      <c r="A48" s="10"/>
      <c r="B48" s="26" t="s">
        <v>532</v>
      </c>
      <c r="C48" s="56">
        <f>ROUND((Source!F112)/1000, 2)</f>
        <v>0</v>
      </c>
      <c r="D48" s="80">
        <f>ROUND((SUM(BI58:BI362)+SUMIF(CD58:CD362, 2, AG58:AG362)+SUMIF(CD58:CD362, 2, AF58:AF362))/1000, 2)</f>
        <v>0</v>
      </c>
      <c r="E48" s="81"/>
      <c r="F48" s="13" t="s">
        <v>465</v>
      </c>
      <c r="G48" s="13" t="s">
        <v>533</v>
      </c>
      <c r="H48" s="10"/>
      <c r="I48" s="13"/>
      <c r="J48" s="62">
        <f>Source!F117</f>
        <v>1.03834</v>
      </c>
      <c r="K48" s="13" t="s">
        <v>324</v>
      </c>
      <c r="L48" s="10"/>
    </row>
    <row r="49" spans="1:12" ht="14.25" customHeight="1" x14ac:dyDescent="0.2">
      <c r="A49" s="10"/>
      <c r="B49" s="26" t="s">
        <v>534</v>
      </c>
      <c r="C49" s="56">
        <f>ROUND((Source!F103)/1000, 2)</f>
        <v>0</v>
      </c>
      <c r="D49" s="80">
        <f>ROUND((SUM(BJ58:BJ362)+SUM(AH58:AH362))/1000, 2)</f>
        <v>0</v>
      </c>
      <c r="E49" s="81"/>
      <c r="F49" s="13" t="s">
        <v>465</v>
      </c>
      <c r="G49" s="13"/>
      <c r="H49" s="13"/>
      <c r="I49" s="13"/>
      <c r="J49" s="13"/>
      <c r="K49" s="13"/>
      <c r="L49" s="10"/>
    </row>
    <row r="50" spans="1:12" ht="14.25" customHeight="1" x14ac:dyDescent="0.2">
      <c r="A50" s="10"/>
      <c r="B50" s="26" t="s">
        <v>535</v>
      </c>
      <c r="C50" s="56">
        <f>ROUND((Source!F113)/1000, 2)</f>
        <v>0</v>
      </c>
      <c r="D50" s="80">
        <f>ROUND((SUM(BL58:BL362)+SUMIF(CD58:CD362, 4, AG58:AG362)+SUM(BM58:BM362)+SUM(BN58:BN362)+SUMIF(CD58:CD362, 4, AF58:AF362))/1000, 2)</f>
        <v>0</v>
      </c>
      <c r="E50" s="82"/>
      <c r="F50" s="13" t="s">
        <v>465</v>
      </c>
      <c r="G50" s="13"/>
      <c r="H50" s="13"/>
      <c r="I50" s="13"/>
      <c r="J50" s="13"/>
      <c r="K50" s="13"/>
      <c r="L50" s="10"/>
    </row>
    <row r="51" spans="1:12" ht="14.25" customHeight="1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</row>
    <row r="52" spans="1:12" ht="12.75" customHeight="1" x14ac:dyDescent="0.2">
      <c r="A52" s="89" t="s">
        <v>466</v>
      </c>
      <c r="B52" s="89" t="s">
        <v>513</v>
      </c>
      <c r="C52" s="89" t="s">
        <v>467</v>
      </c>
      <c r="D52" s="89" t="s">
        <v>514</v>
      </c>
      <c r="E52" s="95" t="s">
        <v>536</v>
      </c>
      <c r="F52" s="96"/>
      <c r="G52" s="97"/>
      <c r="H52" s="95" t="s">
        <v>537</v>
      </c>
      <c r="I52" s="96"/>
      <c r="J52" s="104"/>
      <c r="K52" s="86" t="s">
        <v>538</v>
      </c>
      <c r="L52" s="89" t="s">
        <v>539</v>
      </c>
    </row>
    <row r="53" spans="1:12" ht="12.75" customHeight="1" x14ac:dyDescent="0.2">
      <c r="A53" s="90"/>
      <c r="B53" s="90"/>
      <c r="C53" s="90"/>
      <c r="D53" s="90"/>
      <c r="E53" s="98"/>
      <c r="F53" s="99"/>
      <c r="G53" s="100"/>
      <c r="H53" s="98"/>
      <c r="I53" s="99"/>
      <c r="J53" s="105"/>
      <c r="K53" s="87"/>
      <c r="L53" s="90"/>
    </row>
    <row r="54" spans="1:12" ht="12.75" customHeight="1" x14ac:dyDescent="0.2">
      <c r="A54" s="90"/>
      <c r="B54" s="90"/>
      <c r="C54" s="90"/>
      <c r="D54" s="90"/>
      <c r="E54" s="98"/>
      <c r="F54" s="99"/>
      <c r="G54" s="100"/>
      <c r="H54" s="98"/>
      <c r="I54" s="99"/>
      <c r="J54" s="105"/>
      <c r="K54" s="87"/>
      <c r="L54" s="90"/>
    </row>
    <row r="55" spans="1:12" ht="12.75" customHeight="1" x14ac:dyDescent="0.2">
      <c r="A55" s="90"/>
      <c r="B55" s="90"/>
      <c r="C55" s="90"/>
      <c r="D55" s="90"/>
      <c r="E55" s="101"/>
      <c r="F55" s="102"/>
      <c r="G55" s="103"/>
      <c r="H55" s="101"/>
      <c r="I55" s="102"/>
      <c r="J55" s="106"/>
      <c r="K55" s="87"/>
      <c r="L55" s="90"/>
    </row>
    <row r="56" spans="1:12" ht="25.5" customHeight="1" x14ac:dyDescent="0.2">
      <c r="A56" s="91"/>
      <c r="B56" s="91"/>
      <c r="C56" s="91"/>
      <c r="D56" s="91"/>
      <c r="E56" s="30" t="s">
        <v>540</v>
      </c>
      <c r="F56" s="30" t="s">
        <v>541</v>
      </c>
      <c r="G56" s="31" t="s">
        <v>542</v>
      </c>
      <c r="H56" s="30" t="s">
        <v>540</v>
      </c>
      <c r="I56" s="30" t="s">
        <v>541</v>
      </c>
      <c r="J56" s="32" t="s">
        <v>543</v>
      </c>
      <c r="K56" s="88"/>
      <c r="L56" s="91"/>
    </row>
    <row r="57" spans="1:12" ht="14.25" customHeight="1" x14ac:dyDescent="0.2">
      <c r="A57" s="33">
        <v>1</v>
      </c>
      <c r="B57" s="33">
        <v>2</v>
      </c>
      <c r="C57" s="33">
        <v>3</v>
      </c>
      <c r="D57" s="33">
        <v>4</v>
      </c>
      <c r="E57" s="33">
        <v>5</v>
      </c>
      <c r="F57" s="33">
        <v>6</v>
      </c>
      <c r="G57" s="33">
        <v>7</v>
      </c>
      <c r="H57" s="33">
        <v>8</v>
      </c>
      <c r="I57" s="33">
        <v>9</v>
      </c>
      <c r="J57" s="33">
        <v>10</v>
      </c>
      <c r="K57" s="34">
        <v>11</v>
      </c>
      <c r="L57" s="34">
        <v>12</v>
      </c>
    </row>
    <row r="59" spans="1:12" ht="16.5" x14ac:dyDescent="0.2">
      <c r="A59" s="92" t="s">
        <v>546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</row>
    <row r="60" spans="1:12" ht="28.5" x14ac:dyDescent="0.2">
      <c r="A60" s="35" t="s">
        <v>19</v>
      </c>
      <c r="B60" s="5" t="str">
        <f>Source!F28</f>
        <v>57-2-3</v>
      </c>
      <c r="C60" s="5" t="str">
        <f>Source!G28</f>
        <v>Разборка покрытий полов: из керамических плиток</v>
      </c>
      <c r="D60" s="36" t="str">
        <f>Source!H28</f>
        <v>100 м2</v>
      </c>
      <c r="E60" s="2">
        <f>Source!K28</f>
        <v>0.1225</v>
      </c>
      <c r="F60" s="2"/>
      <c r="G60" s="2">
        <f>Source!I28</f>
        <v>0.1225</v>
      </c>
      <c r="H60" s="38"/>
      <c r="I60" s="37"/>
      <c r="J60" s="38"/>
      <c r="K60" s="37"/>
      <c r="L60" s="38"/>
    </row>
    <row r="61" spans="1:12" x14ac:dyDescent="0.2">
      <c r="C61" s="3" t="str">
        <f>"Объем: "&amp;Source!I28&amp;"=12,25/"&amp;"100"</f>
        <v>Объем: 0,1225=12,25/100</v>
      </c>
    </row>
    <row r="62" spans="1:12" ht="14.25" x14ac:dyDescent="0.2">
      <c r="A62" s="5"/>
      <c r="B62" s="37">
        <v>1</v>
      </c>
      <c r="C62" s="5" t="s">
        <v>547</v>
      </c>
      <c r="D62" s="36"/>
      <c r="E62" s="2"/>
      <c r="F62" s="2"/>
      <c r="G62" s="2"/>
      <c r="H62" s="38">
        <f>Source!AO28</f>
        <v>595.99</v>
      </c>
      <c r="I62" s="37"/>
      <c r="J62" s="38">
        <f>ROUND(Source!AF28*Source!I28, 2)</f>
        <v>73.010000000000005</v>
      </c>
      <c r="K62" s="37">
        <f>IF(Source!BA28&lt;&gt; 0, Source!BA28, 1)</f>
        <v>39.33</v>
      </c>
      <c r="L62" s="38">
        <f>Source!S28</f>
        <v>2871.44</v>
      </c>
    </row>
    <row r="63" spans="1:12" ht="14.25" x14ac:dyDescent="0.2">
      <c r="A63" s="5"/>
      <c r="B63" s="37">
        <v>2</v>
      </c>
      <c r="C63" s="5" t="s">
        <v>548</v>
      </c>
      <c r="D63" s="36"/>
      <c r="E63" s="2"/>
      <c r="F63" s="2"/>
      <c r="G63" s="2"/>
      <c r="H63" s="38">
        <f>Source!AM28</f>
        <v>45.01</v>
      </c>
      <c r="I63" s="37"/>
      <c r="J63" s="38">
        <f>(ROUND((ROUND(((Source!ET28)*Source!I28),2)),2)+ROUND((ROUND(((Source!AE28-(Source!EU28))*Source!I28),2)),2))</f>
        <v>5.51</v>
      </c>
      <c r="K63" s="37">
        <f>IF(Source!BB28&lt;&gt; 0, Source!BB28, 1)</f>
        <v>14.42</v>
      </c>
      <c r="L63" s="38">
        <f>Source!Q28</f>
        <v>79.45</v>
      </c>
    </row>
    <row r="64" spans="1:12" ht="14.25" x14ac:dyDescent="0.2">
      <c r="A64" s="5"/>
      <c r="B64" s="37">
        <v>3</v>
      </c>
      <c r="C64" s="5" t="s">
        <v>549</v>
      </c>
      <c r="D64" s="36"/>
      <c r="E64" s="2"/>
      <c r="F64" s="2"/>
      <c r="G64" s="2"/>
      <c r="H64" s="38">
        <f>Source!AN28</f>
        <v>19.440000000000001</v>
      </c>
      <c r="I64" s="37"/>
      <c r="J64" s="39">
        <f>(ROUND((ROUND(((Source!EU28)*Source!I28),2)),2)+ROUND((ROUND(((Source!AE28-(Source!EU28))*Source!I28),2)),2))</f>
        <v>2.38</v>
      </c>
      <c r="K64" s="37">
        <f>IF(Source!BS28&lt;&gt; 0, Source!BS28, 1)</f>
        <v>39.33</v>
      </c>
      <c r="L64" s="39">
        <f>Source!R28</f>
        <v>93.61</v>
      </c>
    </row>
    <row r="65" spans="1:82" ht="14.25" x14ac:dyDescent="0.2">
      <c r="A65" s="5"/>
      <c r="B65" s="5"/>
      <c r="C65" s="5" t="s">
        <v>550</v>
      </c>
      <c r="D65" s="36" t="s">
        <v>324</v>
      </c>
      <c r="E65" s="2">
        <f>Source!AQ28</f>
        <v>69.87</v>
      </c>
      <c r="F65" s="2"/>
      <c r="G65" s="2">
        <f>ROUND(Source!U28, 7)</f>
        <v>8.559075</v>
      </c>
      <c r="H65" s="38"/>
      <c r="I65" s="37"/>
      <c r="J65" s="38"/>
      <c r="K65" s="37"/>
      <c r="L65" s="38"/>
    </row>
    <row r="66" spans="1:82" ht="14.25" x14ac:dyDescent="0.2">
      <c r="A66" s="5"/>
      <c r="B66" s="5"/>
      <c r="C66" s="6" t="s">
        <v>551</v>
      </c>
      <c r="D66" s="40" t="s">
        <v>324</v>
      </c>
      <c r="E66" s="41">
        <f>Source!AR28</f>
        <v>1.44</v>
      </c>
      <c r="F66" s="41"/>
      <c r="G66" s="41">
        <f>ROUND(Source!V28, 7)</f>
        <v>0.1764</v>
      </c>
      <c r="H66" s="42"/>
      <c r="I66" s="43"/>
      <c r="J66" s="42"/>
      <c r="K66" s="43"/>
      <c r="L66" s="42"/>
    </row>
    <row r="67" spans="1:82" ht="14.25" x14ac:dyDescent="0.2">
      <c r="A67" s="5"/>
      <c r="B67" s="5"/>
      <c r="C67" s="5" t="s">
        <v>552</v>
      </c>
      <c r="D67" s="36"/>
      <c r="E67" s="2"/>
      <c r="F67" s="2"/>
      <c r="G67" s="2"/>
      <c r="H67" s="38">
        <f>H62+H63</f>
        <v>641</v>
      </c>
      <c r="I67" s="37"/>
      <c r="J67" s="38">
        <f>J62+J63</f>
        <v>78.52000000000001</v>
      </c>
      <c r="K67" s="37"/>
      <c r="L67" s="38">
        <f>L62+L63</f>
        <v>2950.89</v>
      </c>
    </row>
    <row r="68" spans="1:82" ht="14.25" x14ac:dyDescent="0.2">
      <c r="A68" s="35" t="s">
        <v>553</v>
      </c>
      <c r="B68" s="5" t="str">
        <f>Source!F29</f>
        <v>999-9900</v>
      </c>
      <c r="C68" s="5" t="str">
        <f>Source!G29</f>
        <v>Строительный мусор</v>
      </c>
      <c r="D68" s="36" t="str">
        <f>Source!H29</f>
        <v>т</v>
      </c>
      <c r="E68" s="2">
        <f>SmtRes!AT4</f>
        <v>5.2</v>
      </c>
      <c r="F68" s="2"/>
      <c r="G68" s="2">
        <f>Source!I29</f>
        <v>0.63700000000000001</v>
      </c>
      <c r="H68" s="38">
        <f>Source!AL29+Source!AO29+Source!AM29</f>
        <v>0</v>
      </c>
      <c r="I68" s="37"/>
      <c r="J68" s="38">
        <f>ROUND(Source!AC29*Source!I29, 2)+(ROUND((ROUND(((Source!ET29)*Source!I29),2)),2)+ROUND((ROUND(((Source!AE29-(Source!EU29))*Source!I29),2)),2))+ROUND(Source!AF29*Source!I29, 2)</f>
        <v>0</v>
      </c>
      <c r="K68" s="37">
        <f>IF(Source!BC29&lt;&gt; 0, Source!BC29, 1)</f>
        <v>8.7899999999999991</v>
      </c>
      <c r="L68" s="38">
        <f>Source!P29</f>
        <v>0</v>
      </c>
      <c r="O68">
        <f>J68</f>
        <v>0</v>
      </c>
      <c r="AA68">
        <f>J68</f>
        <v>0</v>
      </c>
      <c r="AD68">
        <f>ROUND((Source!AT29/100)*((ROUND(Source!AF29*Source!I29, 2)+(ROUND((ROUND(((Source!EU29)*Source!I29),2)),2)+ROUND((ROUND(((Source!AE29-(Source!EU29))*Source!I29),2)),2)))), 2)</f>
        <v>0</v>
      </c>
      <c r="AE68">
        <f>ROUND((Source!AU29/100)*((ROUND(Source!AF29*Source!I29, 2)+(ROUND((ROUND(((Source!EU29)*Source!I29),2)),2)+ROUND((ROUND(((Source!AE29-(Source!EU29))*Source!I29),2)),2)))), 2)</f>
        <v>0</v>
      </c>
      <c r="AN68">
        <f>L68</f>
        <v>0</v>
      </c>
      <c r="AW68">
        <f>L68</f>
        <v>0</v>
      </c>
      <c r="AZ68">
        <f>Source!X29</f>
        <v>0</v>
      </c>
      <c r="BA68">
        <f>Source!Y29</f>
        <v>0</v>
      </c>
      <c r="BH68">
        <f>J68</f>
        <v>0</v>
      </c>
      <c r="CD68">
        <v>1</v>
      </c>
    </row>
    <row r="69" spans="1:82" ht="14.25" x14ac:dyDescent="0.2">
      <c r="A69" s="5"/>
      <c r="B69" s="5"/>
      <c r="C69" s="5" t="s">
        <v>554</v>
      </c>
      <c r="D69" s="36"/>
      <c r="E69" s="2"/>
      <c r="F69" s="2"/>
      <c r="G69" s="2"/>
      <c r="H69" s="38"/>
      <c r="I69" s="37"/>
      <c r="J69" s="38">
        <f>SUM(S60:S72)+SUM(T60:T72)+SUM(X60:X72)+SUM(Y60:Y72)+SUM(Z60:Z72)</f>
        <v>75.39</v>
      </c>
      <c r="K69" s="37"/>
      <c r="L69" s="38">
        <f>SUM(AR60:AR72)+SUM(AS60:AS72)+SUM(AT60:AT72)+SUM(AU60:AU72)+SUM(AV60:AV72)</f>
        <v>2965.05</v>
      </c>
    </row>
    <row r="70" spans="1:82" ht="14.25" x14ac:dyDescent="0.2">
      <c r="A70" s="5"/>
      <c r="B70" s="5" t="s">
        <v>27</v>
      </c>
      <c r="C70" s="5" t="s">
        <v>555</v>
      </c>
      <c r="D70" s="36" t="s">
        <v>468</v>
      </c>
      <c r="E70" s="2">
        <f>Source!BZ28</f>
        <v>89</v>
      </c>
      <c r="F70" s="2"/>
      <c r="G70" s="2">
        <f>Source!AT28</f>
        <v>89</v>
      </c>
      <c r="H70" s="38"/>
      <c r="I70" s="37"/>
      <c r="J70" s="38">
        <f>SUM(AD60:AD72)</f>
        <v>67.099999999999994</v>
      </c>
      <c r="K70" s="37"/>
      <c r="L70" s="38">
        <f>SUM(AZ60:AZ72)</f>
        <v>2638.89</v>
      </c>
    </row>
    <row r="71" spans="1:82" ht="14.25" x14ac:dyDescent="0.2">
      <c r="A71" s="6"/>
      <c r="B71" s="6" t="s">
        <v>28</v>
      </c>
      <c r="C71" s="6" t="s">
        <v>556</v>
      </c>
      <c r="D71" s="40" t="s">
        <v>468</v>
      </c>
      <c r="E71" s="41">
        <f>Source!CA28</f>
        <v>49</v>
      </c>
      <c r="F71" s="41"/>
      <c r="G71" s="41">
        <f>Source!AU28</f>
        <v>49</v>
      </c>
      <c r="H71" s="42"/>
      <c r="I71" s="43"/>
      <c r="J71" s="42">
        <f>SUM(AE60:AE72)</f>
        <v>36.94</v>
      </c>
      <c r="K71" s="43"/>
      <c r="L71" s="42">
        <f>SUM(BA60:BA72)</f>
        <v>1452.87</v>
      </c>
    </row>
    <row r="72" spans="1:82" ht="15" x14ac:dyDescent="0.2">
      <c r="C72" s="93" t="s">
        <v>557</v>
      </c>
      <c r="D72" s="93"/>
      <c r="E72" s="93"/>
      <c r="F72" s="93"/>
      <c r="G72" s="93"/>
      <c r="H72" s="93"/>
      <c r="I72" s="94">
        <f>J62+J63+J70+J71+SUM(J68:J68)-SUMIF(CE68:CE68, 1, J68:J68)</f>
        <v>182.56</v>
      </c>
      <c r="J72" s="94"/>
      <c r="K72" s="94">
        <f>L62+L63+L70+L71+SUM(L68:L68)-SUMIF(CE68:CE68, 1, L68:L68)</f>
        <v>7042.65</v>
      </c>
      <c r="L72" s="94"/>
      <c r="O72" s="4">
        <f>J62+J63+J70+J71</f>
        <v>182.56</v>
      </c>
      <c r="P72" s="4">
        <f>J63</f>
        <v>5.51</v>
      </c>
      <c r="R72" t="s">
        <v>558</v>
      </c>
      <c r="S72" s="4">
        <f>J62</f>
        <v>73.010000000000005</v>
      </c>
      <c r="U72" s="4">
        <f>J62</f>
        <v>73.010000000000005</v>
      </c>
      <c r="X72" s="4">
        <f>J64</f>
        <v>2.38</v>
      </c>
      <c r="Z72" t="s">
        <v>558</v>
      </c>
      <c r="AA72">
        <f>0</f>
        <v>0</v>
      </c>
      <c r="AD72">
        <f>ROUND((Source!AT28/100)*((ROUND(Source!AF28*Source!I28, 2)+(ROUND((ROUND(((Source!EU28)*Source!I28),2)),2)+ROUND((ROUND(((Source!AE28-(Source!EU28))*Source!I28),2)),2)))), 2)</f>
        <v>67.099999999999994</v>
      </c>
      <c r="AE72">
        <f>ROUND((Source!AU28/100)*((ROUND(Source!AF28*Source!I28, 2)+(ROUND((ROUND(((Source!EU28)*Source!I28),2)),2)+ROUND((ROUND(((Source!AE28-(Source!EU28))*Source!I28),2)),2)))), 2)</f>
        <v>36.94</v>
      </c>
      <c r="AN72" s="4">
        <f>L62+L63+L70+L71</f>
        <v>7042.65</v>
      </c>
      <c r="AO72" s="4">
        <f>L63</f>
        <v>79.45</v>
      </c>
      <c r="AQ72" t="s">
        <v>558</v>
      </c>
      <c r="AR72" s="4">
        <f>L62</f>
        <v>2871.44</v>
      </c>
      <c r="AT72" s="4">
        <f>L64</f>
        <v>93.61</v>
      </c>
      <c r="AV72" t="s">
        <v>558</v>
      </c>
      <c r="AW72">
        <f>0</f>
        <v>0</v>
      </c>
      <c r="AZ72">
        <f>Source!X28</f>
        <v>2638.89</v>
      </c>
      <c r="BA72">
        <f>Source!Y28</f>
        <v>1452.87</v>
      </c>
      <c r="BH72" s="4">
        <f>J62+J63+J70+J71</f>
        <v>182.56</v>
      </c>
      <c r="CD72">
        <v>1</v>
      </c>
    </row>
    <row r="73" spans="1:82" ht="28.5" x14ac:dyDescent="0.2">
      <c r="A73" s="35" t="s">
        <v>34</v>
      </c>
      <c r="B73" s="5" t="str">
        <f>Source!F30</f>
        <v>69-15-1</v>
      </c>
      <c r="C73" s="5" t="str">
        <f>Source!G30</f>
        <v>Затаривание строительного мусора в мешки</v>
      </c>
      <c r="D73" s="36" t="str">
        <f>Source!H30</f>
        <v>т</v>
      </c>
      <c r="E73" s="2">
        <f>Source!K30</f>
        <v>0.33079999999999998</v>
      </c>
      <c r="F73" s="2"/>
      <c r="G73" s="2">
        <f>Source!I30</f>
        <v>0.33079999999999998</v>
      </c>
      <c r="H73" s="38"/>
      <c r="I73" s="37"/>
      <c r="J73" s="38"/>
      <c r="K73" s="37"/>
      <c r="L73" s="38"/>
    </row>
    <row r="74" spans="1:82" ht="14.25" x14ac:dyDescent="0.2">
      <c r="A74" s="5"/>
      <c r="B74" s="37">
        <v>1</v>
      </c>
      <c r="C74" s="5" t="s">
        <v>547</v>
      </c>
      <c r="D74" s="36"/>
      <c r="E74" s="2"/>
      <c r="F74" s="2"/>
      <c r="G74" s="2"/>
      <c r="H74" s="38">
        <f>Source!AO30</f>
        <v>7.41</v>
      </c>
      <c r="I74" s="37"/>
      <c r="J74" s="38">
        <f>ROUND(Source!AF30*Source!I30, 2)</f>
        <v>2.4500000000000002</v>
      </c>
      <c r="K74" s="37">
        <f>IF(Source!BA30&lt;&gt; 0, Source!BA30, 1)</f>
        <v>39.33</v>
      </c>
      <c r="L74" s="38">
        <f>Source!S30</f>
        <v>96.41</v>
      </c>
    </row>
    <row r="75" spans="1:82" ht="14.25" x14ac:dyDescent="0.2">
      <c r="A75" s="5"/>
      <c r="B75" s="37">
        <v>4</v>
      </c>
      <c r="C75" s="5" t="s">
        <v>559</v>
      </c>
      <c r="D75" s="36"/>
      <c r="E75" s="2"/>
      <c r="F75" s="2"/>
      <c r="G75" s="2"/>
      <c r="H75" s="38">
        <f>Source!AL30</f>
        <v>16.399999999999999</v>
      </c>
      <c r="I75" s="37"/>
      <c r="J75" s="38">
        <f>ROUND(Source!AC30*Source!I30, 2)</f>
        <v>5.43</v>
      </c>
      <c r="K75" s="37">
        <f>IF(Source!BC30&lt;&gt; 0, Source!BC30, 1)</f>
        <v>8.7899999999999991</v>
      </c>
      <c r="L75" s="38">
        <f>Source!P30</f>
        <v>47.69</v>
      </c>
    </row>
    <row r="76" spans="1:82" ht="14.25" x14ac:dyDescent="0.2">
      <c r="A76" s="5"/>
      <c r="B76" s="5"/>
      <c r="C76" s="6" t="s">
        <v>550</v>
      </c>
      <c r="D76" s="40" t="s">
        <v>324</v>
      </c>
      <c r="E76" s="41">
        <f>Source!AQ30</f>
        <v>1.03</v>
      </c>
      <c r="F76" s="41"/>
      <c r="G76" s="41">
        <f>ROUND(Source!U30, 7)</f>
        <v>0.34072400000000003</v>
      </c>
      <c r="H76" s="42"/>
      <c r="I76" s="43"/>
      <c r="J76" s="42"/>
      <c r="K76" s="43"/>
      <c r="L76" s="42"/>
    </row>
    <row r="77" spans="1:82" ht="14.25" x14ac:dyDescent="0.2">
      <c r="A77" s="5"/>
      <c r="B77" s="5"/>
      <c r="C77" s="5" t="s">
        <v>552</v>
      </c>
      <c r="D77" s="36"/>
      <c r="E77" s="2"/>
      <c r="F77" s="2"/>
      <c r="G77" s="2"/>
      <c r="H77" s="38">
        <f>H74+H75</f>
        <v>23.81</v>
      </c>
      <c r="I77" s="37"/>
      <c r="J77" s="38">
        <f>J74+J75</f>
        <v>7.88</v>
      </c>
      <c r="K77" s="37"/>
      <c r="L77" s="38">
        <f>L74+L75</f>
        <v>144.1</v>
      </c>
    </row>
    <row r="78" spans="1:82" ht="14.25" x14ac:dyDescent="0.2">
      <c r="A78" s="5"/>
      <c r="B78" s="5"/>
      <c r="C78" s="5" t="s">
        <v>554</v>
      </c>
      <c r="D78" s="36"/>
      <c r="E78" s="2"/>
      <c r="F78" s="2"/>
      <c r="G78" s="2"/>
      <c r="H78" s="38"/>
      <c r="I78" s="37"/>
      <c r="J78" s="38">
        <f>SUM(S73:S81)+SUM(T73:T81)+SUM(X73:X81)+SUM(Y73:Y81)+SUM(Z73:Z81)</f>
        <v>2.4500000000000002</v>
      </c>
      <c r="K78" s="37"/>
      <c r="L78" s="38">
        <f>SUM(AR73:AR81)+SUM(AS73:AS81)+SUM(AT73:AT81)+SUM(AU73:AU81)+SUM(AV73:AV81)</f>
        <v>96.41</v>
      </c>
    </row>
    <row r="79" spans="1:82" ht="28.5" x14ac:dyDescent="0.2">
      <c r="A79" s="5"/>
      <c r="B79" s="5" t="s">
        <v>40</v>
      </c>
      <c r="C79" s="5" t="s">
        <v>560</v>
      </c>
      <c r="D79" s="36" t="s">
        <v>468</v>
      </c>
      <c r="E79" s="2">
        <f>Source!BZ30</f>
        <v>92</v>
      </c>
      <c r="F79" s="2"/>
      <c r="G79" s="2">
        <f>Source!AT30</f>
        <v>92</v>
      </c>
      <c r="H79" s="38"/>
      <c r="I79" s="37"/>
      <c r="J79" s="38">
        <f>SUM(AD73:AD81)</f>
        <v>2.25</v>
      </c>
      <c r="K79" s="37"/>
      <c r="L79" s="38">
        <f>SUM(AZ73:AZ81)</f>
        <v>88.7</v>
      </c>
    </row>
    <row r="80" spans="1:82" ht="28.5" x14ac:dyDescent="0.2">
      <c r="A80" s="6"/>
      <c r="B80" s="6" t="s">
        <v>41</v>
      </c>
      <c r="C80" s="6" t="s">
        <v>561</v>
      </c>
      <c r="D80" s="40" t="s">
        <v>468</v>
      </c>
      <c r="E80" s="41">
        <f>Source!CA30</f>
        <v>44</v>
      </c>
      <c r="F80" s="41"/>
      <c r="G80" s="41">
        <f>Source!AU30</f>
        <v>44</v>
      </c>
      <c r="H80" s="42"/>
      <c r="I80" s="43"/>
      <c r="J80" s="42">
        <f>SUM(AE73:AE81)</f>
        <v>1.08</v>
      </c>
      <c r="K80" s="43"/>
      <c r="L80" s="42">
        <f>SUM(BA73:BA81)</f>
        <v>42.42</v>
      </c>
    </row>
    <row r="81" spans="1:82" ht="15" x14ac:dyDescent="0.2">
      <c r="C81" s="93" t="s">
        <v>557</v>
      </c>
      <c r="D81" s="93"/>
      <c r="E81" s="93"/>
      <c r="F81" s="93"/>
      <c r="G81" s="93"/>
      <c r="H81" s="93"/>
      <c r="I81" s="94">
        <f>J74+J75+J79+J80</f>
        <v>11.209999999999999</v>
      </c>
      <c r="J81" s="94"/>
      <c r="K81" s="94">
        <f>L74+L75+L79+L80</f>
        <v>275.22000000000003</v>
      </c>
      <c r="L81" s="94"/>
      <c r="O81" s="4">
        <f>J74+J75+J79+J80</f>
        <v>11.209999999999999</v>
      </c>
      <c r="P81">
        <f>0</f>
        <v>0</v>
      </c>
      <c r="R81" t="s">
        <v>558</v>
      </c>
      <c r="S81" s="4">
        <f>J74</f>
        <v>2.4500000000000002</v>
      </c>
      <c r="U81" s="4">
        <f>J74</f>
        <v>2.4500000000000002</v>
      </c>
      <c r="X81">
        <f>0</f>
        <v>0</v>
      </c>
      <c r="Z81" t="s">
        <v>558</v>
      </c>
      <c r="AA81" s="4">
        <f>J75</f>
        <v>5.43</v>
      </c>
      <c r="AD81">
        <f>ROUND((Source!AT30/100)*((ROUND(Source!AF30*Source!I30, 2)+(ROUND((ROUND(((Source!EU30)*Source!I30),2)),2)+ROUND((ROUND(((Source!AE30-(Source!EU30))*Source!I30),2)),2)))), 2)</f>
        <v>2.25</v>
      </c>
      <c r="AE81">
        <f>ROUND((Source!AU30/100)*((ROUND(Source!AF30*Source!I30, 2)+(ROUND((ROUND(((Source!EU30)*Source!I30),2)),2)+ROUND((ROUND(((Source!AE30-(Source!EU30))*Source!I30),2)),2)))), 2)</f>
        <v>1.08</v>
      </c>
      <c r="AN81" s="4">
        <f>L74+L75+L79+L80</f>
        <v>275.22000000000003</v>
      </c>
      <c r="AO81">
        <f>0</f>
        <v>0</v>
      </c>
      <c r="AQ81" t="s">
        <v>558</v>
      </c>
      <c r="AR81" s="4">
        <f>L74</f>
        <v>96.41</v>
      </c>
      <c r="AT81">
        <f>0</f>
        <v>0</v>
      </c>
      <c r="AV81" t="s">
        <v>558</v>
      </c>
      <c r="AW81" s="4">
        <f>L75</f>
        <v>47.69</v>
      </c>
      <c r="AZ81">
        <f>Source!X30</f>
        <v>88.7</v>
      </c>
      <c r="BA81">
        <f>Source!Y30</f>
        <v>42.42</v>
      </c>
      <c r="BH81" s="4">
        <f>J74+J75+J79+J80</f>
        <v>11.209999999999999</v>
      </c>
      <c r="CD81">
        <v>1</v>
      </c>
    </row>
    <row r="82" spans="1:82" ht="28.5" x14ac:dyDescent="0.2">
      <c r="A82" s="35" t="s">
        <v>42</v>
      </c>
      <c r="B82" s="5" t="str">
        <f>Source!F31</f>
        <v>68-12-5</v>
      </c>
      <c r="C82" s="5" t="str">
        <f>Source!G31</f>
        <v>Разборка покрытий и оснований: цементно-бетонных</v>
      </c>
      <c r="D82" s="36" t="str">
        <f>Source!H31</f>
        <v>100 м3</v>
      </c>
      <c r="E82" s="2">
        <f>Source!K31</f>
        <v>2.5000000000000001E-3</v>
      </c>
      <c r="F82" s="2"/>
      <c r="G82" s="2">
        <f>Source!I31</f>
        <v>2.5000000000000001E-3</v>
      </c>
      <c r="H82" s="38"/>
      <c r="I82" s="37"/>
      <c r="J82" s="38"/>
      <c r="K82" s="37"/>
      <c r="L82" s="38"/>
    </row>
    <row r="83" spans="1:82" x14ac:dyDescent="0.2">
      <c r="C83" s="3" t="str">
        <f>"Объем: "&amp;Source!I31&amp;"=0,25/"&amp;"100"</f>
        <v>Объем: 0,0025=0,25/100</v>
      </c>
    </row>
    <row r="84" spans="1:82" ht="14.25" x14ac:dyDescent="0.2">
      <c r="A84" s="5"/>
      <c r="B84" s="37">
        <v>1</v>
      </c>
      <c r="C84" s="5" t="s">
        <v>547</v>
      </c>
      <c r="D84" s="36"/>
      <c r="E84" s="2"/>
      <c r="F84" s="2"/>
      <c r="G84" s="2"/>
      <c r="H84" s="38">
        <f>Source!AO31</f>
        <v>400.46</v>
      </c>
      <c r="I84" s="37"/>
      <c r="J84" s="38">
        <f>ROUND(Source!AF31*Source!I31, 2)</f>
        <v>1</v>
      </c>
      <c r="K84" s="37">
        <f>IF(Source!BA31&lt;&gt; 0, Source!BA31, 1)</f>
        <v>39.33</v>
      </c>
      <c r="L84" s="38">
        <f>Source!S31</f>
        <v>39.380000000000003</v>
      </c>
    </row>
    <row r="85" spans="1:82" ht="14.25" x14ac:dyDescent="0.2">
      <c r="A85" s="5"/>
      <c r="B85" s="37">
        <v>2</v>
      </c>
      <c r="C85" s="5" t="s">
        <v>548</v>
      </c>
      <c r="D85" s="36"/>
      <c r="E85" s="2"/>
      <c r="F85" s="2"/>
      <c r="G85" s="2"/>
      <c r="H85" s="38">
        <f>Source!AM31</f>
        <v>1148.79</v>
      </c>
      <c r="I85" s="37"/>
      <c r="J85" s="38">
        <f>(ROUND((ROUND(((Source!ET31)*Source!I31),2)),2)+ROUND((ROUND(((Source!AE31-(Source!EU31))*Source!I31),2)),2))</f>
        <v>2.87</v>
      </c>
      <c r="K85" s="37">
        <f>IF(Source!BB31&lt;&gt; 0, Source!BB31, 1)</f>
        <v>14.42</v>
      </c>
      <c r="L85" s="38">
        <f>Source!Q31</f>
        <v>41.39</v>
      </c>
    </row>
    <row r="86" spans="1:82" ht="14.25" x14ac:dyDescent="0.2">
      <c r="A86" s="5"/>
      <c r="B86" s="37">
        <v>3</v>
      </c>
      <c r="C86" s="5" t="s">
        <v>549</v>
      </c>
      <c r="D86" s="36"/>
      <c r="E86" s="2"/>
      <c r="F86" s="2"/>
      <c r="G86" s="2"/>
      <c r="H86" s="38">
        <f>Source!AN31</f>
        <v>144.86000000000001</v>
      </c>
      <c r="I86" s="37"/>
      <c r="J86" s="39">
        <f>(ROUND((ROUND(((Source!EU31)*Source!I31),2)),2)+ROUND((ROUND(((Source!AE31-(Source!EU31))*Source!I31),2)),2))</f>
        <v>0.36</v>
      </c>
      <c r="K86" s="37">
        <f>IF(Source!BS31&lt;&gt; 0, Source!BS31, 1)</f>
        <v>39.33</v>
      </c>
      <c r="L86" s="39">
        <f>Source!R31</f>
        <v>14.16</v>
      </c>
    </row>
    <row r="87" spans="1:82" ht="14.25" x14ac:dyDescent="0.2">
      <c r="A87" s="5"/>
      <c r="B87" s="5"/>
      <c r="C87" s="5" t="s">
        <v>550</v>
      </c>
      <c r="D87" s="36" t="s">
        <v>324</v>
      </c>
      <c r="E87" s="2">
        <f>Source!AQ31</f>
        <v>49.5</v>
      </c>
      <c r="F87" s="2"/>
      <c r="G87" s="2">
        <f>ROUND(Source!U31, 7)</f>
        <v>0.12375</v>
      </c>
      <c r="H87" s="38"/>
      <c r="I87" s="37"/>
      <c r="J87" s="38"/>
      <c r="K87" s="37"/>
      <c r="L87" s="38"/>
    </row>
    <row r="88" spans="1:82" ht="14.25" x14ac:dyDescent="0.2">
      <c r="A88" s="5"/>
      <c r="B88" s="5"/>
      <c r="C88" s="6" t="s">
        <v>551</v>
      </c>
      <c r="D88" s="40" t="s">
        <v>324</v>
      </c>
      <c r="E88" s="41">
        <f>Source!AR31</f>
        <v>10.73</v>
      </c>
      <c r="F88" s="41"/>
      <c r="G88" s="41">
        <f>ROUND(Source!V31, 7)</f>
        <v>2.6825000000000002E-2</v>
      </c>
      <c r="H88" s="42"/>
      <c r="I88" s="43"/>
      <c r="J88" s="42"/>
      <c r="K88" s="43"/>
      <c r="L88" s="42"/>
    </row>
    <row r="89" spans="1:82" ht="14.25" x14ac:dyDescent="0.2">
      <c r="A89" s="5"/>
      <c r="B89" s="5"/>
      <c r="C89" s="5" t="s">
        <v>552</v>
      </c>
      <c r="D89" s="36"/>
      <c r="E89" s="2"/>
      <c r="F89" s="2"/>
      <c r="G89" s="2"/>
      <c r="H89" s="38">
        <f>H84+H85</f>
        <v>1549.25</v>
      </c>
      <c r="I89" s="37"/>
      <c r="J89" s="38">
        <f>J84+J85</f>
        <v>3.87</v>
      </c>
      <c r="K89" s="37"/>
      <c r="L89" s="38">
        <f>L84+L85</f>
        <v>80.77000000000001</v>
      </c>
    </row>
    <row r="90" spans="1:82" ht="14.25" x14ac:dyDescent="0.2">
      <c r="A90" s="35" t="s">
        <v>562</v>
      </c>
      <c r="B90" s="5" t="str">
        <f>Source!F32</f>
        <v>999-9900</v>
      </c>
      <c r="C90" s="5" t="str">
        <f>Source!G32</f>
        <v>Строительный мусор</v>
      </c>
      <c r="D90" s="36" t="str">
        <f>Source!H32</f>
        <v>т</v>
      </c>
      <c r="E90" s="2">
        <f>SmtRes!AT12</f>
        <v>240</v>
      </c>
      <c r="F90" s="2"/>
      <c r="G90" s="2">
        <f>Source!I32</f>
        <v>0.6</v>
      </c>
      <c r="H90" s="38">
        <f>Source!AL32+Source!AO32+Source!AM32</f>
        <v>0</v>
      </c>
      <c r="I90" s="37"/>
      <c r="J90" s="38">
        <f>ROUND(Source!AC32*Source!I32, 2)+(ROUND((ROUND(((Source!ET32)*Source!I32),2)),2)+ROUND((ROUND(((Source!AE32-(Source!EU32))*Source!I32),2)),2))+ROUND(Source!AF32*Source!I32, 2)</f>
        <v>0</v>
      </c>
      <c r="K90" s="37">
        <f>IF(Source!BC32&lt;&gt; 0, Source!BC32, 1)</f>
        <v>8.7899999999999991</v>
      </c>
      <c r="L90" s="38">
        <f>Source!P32</f>
        <v>0</v>
      </c>
      <c r="O90">
        <f>J90</f>
        <v>0</v>
      </c>
      <c r="AA90">
        <f>J90</f>
        <v>0</v>
      </c>
      <c r="AD90">
        <f>ROUND((Source!AT32/100)*((ROUND(Source!AF32*Source!I32, 2)+(ROUND((ROUND(((Source!EU32)*Source!I32),2)),2)+ROUND((ROUND(((Source!AE32-(Source!EU32))*Source!I32),2)),2)))), 2)</f>
        <v>0</v>
      </c>
      <c r="AE90">
        <f>ROUND((Source!AU32/100)*((ROUND(Source!AF32*Source!I32, 2)+(ROUND((ROUND(((Source!EU32)*Source!I32),2)),2)+ROUND((ROUND(((Source!AE32-(Source!EU32))*Source!I32),2)),2)))), 2)</f>
        <v>0</v>
      </c>
      <c r="AN90">
        <f>L90</f>
        <v>0</v>
      </c>
      <c r="AW90">
        <f>L90</f>
        <v>0</v>
      </c>
      <c r="AZ90">
        <f>Source!X32</f>
        <v>0</v>
      </c>
      <c r="BA90">
        <f>Source!Y32</f>
        <v>0</v>
      </c>
      <c r="BH90">
        <f>J90</f>
        <v>0</v>
      </c>
      <c r="CD90">
        <v>1</v>
      </c>
    </row>
    <row r="91" spans="1:82" ht="14.25" x14ac:dyDescent="0.2">
      <c r="A91" s="5"/>
      <c r="B91" s="5"/>
      <c r="C91" s="5" t="s">
        <v>554</v>
      </c>
      <c r="D91" s="36"/>
      <c r="E91" s="2"/>
      <c r="F91" s="2"/>
      <c r="G91" s="2"/>
      <c r="H91" s="38"/>
      <c r="I91" s="37"/>
      <c r="J91" s="38">
        <f>SUM(S82:S94)+SUM(T82:T94)+SUM(X82:X94)+SUM(Y82:Y94)+SUM(Z82:Z94)</f>
        <v>1.3599999999999999</v>
      </c>
      <c r="K91" s="37"/>
      <c r="L91" s="38">
        <f>SUM(AR82:AR94)+SUM(AS82:AS94)+SUM(AT82:AT94)+SUM(AU82:AU94)+SUM(AV82:AV94)</f>
        <v>53.540000000000006</v>
      </c>
    </row>
    <row r="92" spans="1:82" ht="14.25" x14ac:dyDescent="0.2">
      <c r="A92" s="5"/>
      <c r="B92" s="5" t="s">
        <v>49</v>
      </c>
      <c r="C92" s="5" t="s">
        <v>563</v>
      </c>
      <c r="D92" s="36" t="s">
        <v>468</v>
      </c>
      <c r="E92" s="2">
        <f>Source!BZ31</f>
        <v>102</v>
      </c>
      <c r="F92" s="2"/>
      <c r="G92" s="2">
        <f>Source!AT31</f>
        <v>102</v>
      </c>
      <c r="H92" s="38"/>
      <c r="I92" s="37"/>
      <c r="J92" s="38">
        <f>SUM(AD82:AD94)</f>
        <v>1.39</v>
      </c>
      <c r="K92" s="37"/>
      <c r="L92" s="38">
        <f>SUM(AZ82:AZ94)</f>
        <v>54.61</v>
      </c>
    </row>
    <row r="93" spans="1:82" ht="14.25" x14ac:dyDescent="0.2">
      <c r="A93" s="6"/>
      <c r="B93" s="6" t="s">
        <v>50</v>
      </c>
      <c r="C93" s="6" t="s">
        <v>564</v>
      </c>
      <c r="D93" s="40" t="s">
        <v>468</v>
      </c>
      <c r="E93" s="41">
        <f>Source!CA31</f>
        <v>54</v>
      </c>
      <c r="F93" s="41"/>
      <c r="G93" s="41">
        <f>Source!AU31</f>
        <v>54</v>
      </c>
      <c r="H93" s="42"/>
      <c r="I93" s="43"/>
      <c r="J93" s="42">
        <f>SUM(AE82:AE94)</f>
        <v>0.73</v>
      </c>
      <c r="K93" s="43"/>
      <c r="L93" s="42">
        <f>SUM(BA82:BA94)</f>
        <v>28.91</v>
      </c>
    </row>
    <row r="94" spans="1:82" ht="15" x14ac:dyDescent="0.2">
      <c r="C94" s="93" t="s">
        <v>557</v>
      </c>
      <c r="D94" s="93"/>
      <c r="E94" s="93"/>
      <c r="F94" s="93"/>
      <c r="G94" s="93"/>
      <c r="H94" s="93"/>
      <c r="I94" s="94">
        <f>J84+J85+J92+J93+SUM(J90:J90)-SUMIF(CE90:CE90, 1, J90:J90)</f>
        <v>5.99</v>
      </c>
      <c r="J94" s="94"/>
      <c r="K94" s="94">
        <f>L84+L85+L92+L93+SUM(L90:L90)-SUMIF(CE90:CE90, 1, L90:L90)</f>
        <v>164.29</v>
      </c>
      <c r="L94" s="94"/>
      <c r="O94" s="4">
        <f>J84+J85+J92+J93</f>
        <v>5.99</v>
      </c>
      <c r="P94" s="4">
        <f>J85</f>
        <v>2.87</v>
      </c>
      <c r="R94" t="s">
        <v>558</v>
      </c>
      <c r="S94" s="4">
        <f>J84</f>
        <v>1</v>
      </c>
      <c r="U94" s="4">
        <f>J84</f>
        <v>1</v>
      </c>
      <c r="X94" s="4">
        <f>J86</f>
        <v>0.36</v>
      </c>
      <c r="Z94" t="s">
        <v>558</v>
      </c>
      <c r="AA94">
        <f>0</f>
        <v>0</v>
      </c>
      <c r="AD94">
        <f>ROUND((Source!AT31/100)*((ROUND(Source!AF31*Source!I31, 2)+(ROUND((ROUND(((Source!EU31)*Source!I31),2)),2)+ROUND((ROUND(((Source!AE31-(Source!EU31))*Source!I31),2)),2)))), 2)</f>
        <v>1.39</v>
      </c>
      <c r="AE94">
        <f>ROUND((Source!AU31/100)*((ROUND(Source!AF31*Source!I31, 2)+(ROUND((ROUND(((Source!EU31)*Source!I31),2)),2)+ROUND((ROUND(((Source!AE31-(Source!EU31))*Source!I31),2)),2)))), 2)</f>
        <v>0.73</v>
      </c>
      <c r="AN94" s="4">
        <f>L84+L85+L92+L93</f>
        <v>164.29</v>
      </c>
      <c r="AO94" s="4">
        <f>L85</f>
        <v>41.39</v>
      </c>
      <c r="AQ94" t="s">
        <v>558</v>
      </c>
      <c r="AR94" s="4">
        <f>L84</f>
        <v>39.380000000000003</v>
      </c>
      <c r="AT94" s="4">
        <f>L86</f>
        <v>14.16</v>
      </c>
      <c r="AV94" t="s">
        <v>558</v>
      </c>
      <c r="AW94">
        <f>0</f>
        <v>0</v>
      </c>
      <c r="AZ94">
        <f>Source!X31</f>
        <v>54.61</v>
      </c>
      <c r="BA94">
        <f>Source!Y31</f>
        <v>28.91</v>
      </c>
      <c r="BH94" s="4">
        <f>J84+J85+J92+J93</f>
        <v>5.99</v>
      </c>
      <c r="CD94">
        <v>1</v>
      </c>
    </row>
    <row r="95" spans="1:82" ht="42.75" x14ac:dyDescent="0.2">
      <c r="A95" s="45" t="s">
        <v>52</v>
      </c>
      <c r="B95" s="6" t="str">
        <f>Source!F33</f>
        <v>т01-01-01-041</v>
      </c>
      <c r="C95" s="6" t="str">
        <f>Source!G33</f>
        <v>Погрузка при автомобильных перевозках мусора строительного с погрузкой вручную</v>
      </c>
      <c r="D95" s="40" t="str">
        <f>Source!H33</f>
        <v>1 Т ГРУЗА</v>
      </c>
      <c r="E95" s="41">
        <f>Source!K33</f>
        <v>0.33079999999999998</v>
      </c>
      <c r="F95" s="41"/>
      <c r="G95" s="41">
        <f>Source!I33</f>
        <v>0.33079999999999998</v>
      </c>
      <c r="H95" s="42">
        <f>Source!AK33</f>
        <v>42.98</v>
      </c>
      <c r="I95" s="43"/>
      <c r="J95" s="42">
        <f>ROUND(Source!AB33*Source!I33, 2)</f>
        <v>14.22</v>
      </c>
      <c r="K95" s="43">
        <f>Source!AZ33</f>
        <v>1</v>
      </c>
      <c r="L95" s="42">
        <f>Source!HD33</f>
        <v>14.22</v>
      </c>
    </row>
    <row r="96" spans="1:82" ht="15" x14ac:dyDescent="0.2">
      <c r="C96" s="93" t="s">
        <v>557</v>
      </c>
      <c r="D96" s="93"/>
      <c r="E96" s="93"/>
      <c r="F96" s="93"/>
      <c r="G96" s="93"/>
      <c r="H96" s="93"/>
      <c r="I96" s="94">
        <f>J95</f>
        <v>14.22</v>
      </c>
      <c r="J96" s="94"/>
      <c r="K96" s="94">
        <f>L95</f>
        <v>14.22</v>
      </c>
      <c r="L96" s="94"/>
      <c r="O96" s="4">
        <f>J95</f>
        <v>14.22</v>
      </c>
      <c r="Q96">
        <f>0</f>
        <v>0</v>
      </c>
      <c r="R96" t="s">
        <v>558</v>
      </c>
      <c r="T96">
        <f>0</f>
        <v>0</v>
      </c>
      <c r="U96">
        <f>0</f>
        <v>0</v>
      </c>
      <c r="Y96">
        <f>0</f>
        <v>0</v>
      </c>
      <c r="Z96" t="s">
        <v>558</v>
      </c>
      <c r="AD96">
        <f>ROUND((Source!AT33/100)*((ROUND(0*Source!I33, 2)+0)), 2)</f>
        <v>0</v>
      </c>
      <c r="AE96">
        <f>ROUND((Source!AU33/100)*((ROUND(0*Source!I33, 2)+0)), 2)</f>
        <v>0</v>
      </c>
      <c r="AF96" s="4">
        <f>J95</f>
        <v>14.22</v>
      </c>
      <c r="AN96" s="4">
        <f>L95</f>
        <v>14.22</v>
      </c>
      <c r="AP96">
        <f>0</f>
        <v>0</v>
      </c>
      <c r="AQ96" t="s">
        <v>558</v>
      </c>
      <c r="AS96">
        <f>0</f>
        <v>0</v>
      </c>
      <c r="AU96">
        <f>0</f>
        <v>0</v>
      </c>
      <c r="AV96" t="s">
        <v>558</v>
      </c>
      <c r="AZ96">
        <f>Source!X33</f>
        <v>0</v>
      </c>
      <c r="BA96">
        <f>Source!Y33</f>
        <v>0</v>
      </c>
      <c r="BB96" s="4">
        <f>L95</f>
        <v>14.22</v>
      </c>
      <c r="CD96">
        <v>1</v>
      </c>
    </row>
    <row r="97" spans="1:82" ht="57" x14ac:dyDescent="0.2">
      <c r="A97" s="45" t="s">
        <v>61</v>
      </c>
      <c r="B97" s="6" t="str">
        <f>Source!F34</f>
        <v>т03-02-01-015</v>
      </c>
      <c r="C97" s="6" t="str">
        <f>Source!G34</f>
        <v>Перевозка грузов I класса автомобилями бортовыми грузоподъемностью до 5 т на расстояние до 15 км</v>
      </c>
      <c r="D97" s="40" t="str">
        <f>Source!H34</f>
        <v>1 Т ГРУЗА</v>
      </c>
      <c r="E97" s="41">
        <f>Source!K34</f>
        <v>0.33079999999999998</v>
      </c>
      <c r="F97" s="41"/>
      <c r="G97" s="41">
        <f>Source!I34</f>
        <v>0.33079999999999998</v>
      </c>
      <c r="H97" s="42">
        <f>Source!AK34</f>
        <v>25.02</v>
      </c>
      <c r="I97" s="43"/>
      <c r="J97" s="42">
        <f>ROUND(Source!AB34*Source!I34, 2)</f>
        <v>8.2799999999999994</v>
      </c>
      <c r="K97" s="43">
        <f>Source!AZ34</f>
        <v>17.8</v>
      </c>
      <c r="L97" s="42">
        <f>Source!HD34</f>
        <v>147.32</v>
      </c>
    </row>
    <row r="98" spans="1:82" ht="15" x14ac:dyDescent="0.2">
      <c r="C98" s="93" t="s">
        <v>557</v>
      </c>
      <c r="D98" s="93"/>
      <c r="E98" s="93"/>
      <c r="F98" s="93"/>
      <c r="G98" s="93"/>
      <c r="H98" s="93"/>
      <c r="I98" s="94">
        <f>J97</f>
        <v>8.2799999999999994</v>
      </c>
      <c r="J98" s="94"/>
      <c r="K98" s="94">
        <f>L97</f>
        <v>147.32</v>
      </c>
      <c r="L98" s="94"/>
      <c r="O98" s="4">
        <f>J97</f>
        <v>8.2799999999999994</v>
      </c>
      <c r="Q98">
        <f>0</f>
        <v>0</v>
      </c>
      <c r="R98" t="s">
        <v>558</v>
      </c>
      <c r="T98">
        <f>0</f>
        <v>0</v>
      </c>
      <c r="U98">
        <f>0</f>
        <v>0</v>
      </c>
      <c r="Y98">
        <f>0</f>
        <v>0</v>
      </c>
      <c r="Z98" t="s">
        <v>558</v>
      </c>
      <c r="AD98">
        <f>ROUND((Source!AT34/100)*((ROUND(0*Source!I34, 2)+0)), 2)</f>
        <v>0</v>
      </c>
      <c r="AE98">
        <f>ROUND((Source!AU34/100)*((ROUND(0*Source!I34, 2)+0)), 2)</f>
        <v>0</v>
      </c>
      <c r="AF98" s="4">
        <f>J97</f>
        <v>8.2799999999999994</v>
      </c>
      <c r="AN98" s="4">
        <f>L97</f>
        <v>147.32</v>
      </c>
      <c r="AP98">
        <f>0</f>
        <v>0</v>
      </c>
      <c r="AQ98" t="s">
        <v>558</v>
      </c>
      <c r="AS98">
        <f>0</f>
        <v>0</v>
      </c>
      <c r="AU98">
        <f>0</f>
        <v>0</v>
      </c>
      <c r="AV98" t="s">
        <v>558</v>
      </c>
      <c r="AZ98">
        <f>Source!X34</f>
        <v>0</v>
      </c>
      <c r="BA98">
        <f>Source!Y34</f>
        <v>0</v>
      </c>
      <c r="BB98" s="4">
        <f>L97</f>
        <v>147.32</v>
      </c>
      <c r="CD98">
        <v>1</v>
      </c>
    </row>
    <row r="99" spans="1:82" ht="42.75" x14ac:dyDescent="0.2">
      <c r="A99" s="35" t="s">
        <v>68</v>
      </c>
      <c r="B99" s="5" t="str">
        <f>Source!F35</f>
        <v>06-03-001-01</v>
      </c>
      <c r="C99" s="5" t="str">
        <f>Source!G35</f>
        <v>Устройство опалубки (снизу) и поддерживающих ее конструкций для высоких ростверков (для крыльца)</v>
      </c>
      <c r="D99" s="36" t="str">
        <f>Source!H35</f>
        <v>100 м2</v>
      </c>
      <c r="E99" s="2">
        <f>Source!K35</f>
        <v>1.8800000000000001E-2</v>
      </c>
      <c r="F99" s="2"/>
      <c r="G99" s="2">
        <f>Source!I35</f>
        <v>1.8800000000000001E-2</v>
      </c>
      <c r="H99" s="38"/>
      <c r="I99" s="37"/>
      <c r="J99" s="38"/>
      <c r="K99" s="37"/>
      <c r="L99" s="38"/>
    </row>
    <row r="100" spans="1:82" ht="25.5" x14ac:dyDescent="0.2">
      <c r="B100" s="46" t="s">
        <v>455</v>
      </c>
      <c r="C100" s="107" t="s">
        <v>565</v>
      </c>
      <c r="D100" s="107"/>
      <c r="E100" s="107"/>
      <c r="F100" s="107"/>
      <c r="G100" s="107"/>
      <c r="H100" s="107"/>
      <c r="I100" s="107"/>
      <c r="J100" s="107"/>
      <c r="K100" s="107"/>
      <c r="L100" s="107"/>
    </row>
    <row r="101" spans="1:82" x14ac:dyDescent="0.2">
      <c r="C101" s="3" t="str">
        <f>"Объем: "&amp;Source!I35&amp;"=1,88/"&amp;"100"</f>
        <v>Объем: 0,0188=1,88/100</v>
      </c>
    </row>
    <row r="102" spans="1:82" ht="14.25" x14ac:dyDescent="0.2">
      <c r="A102" s="5"/>
      <c r="B102" s="37">
        <v>1</v>
      </c>
      <c r="C102" s="5" t="s">
        <v>547</v>
      </c>
      <c r="D102" s="36"/>
      <c r="E102" s="2"/>
      <c r="F102" s="2"/>
      <c r="G102" s="2"/>
      <c r="H102" s="38">
        <f>Source!AO35</f>
        <v>744.48</v>
      </c>
      <c r="I102" s="37">
        <f>ROUND(1.15,7)</f>
        <v>1.1499999999999999</v>
      </c>
      <c r="J102" s="38">
        <f>ROUND(Source!AF35*Source!I35, 2)</f>
        <v>16.100000000000001</v>
      </c>
      <c r="K102" s="37">
        <f>IF(Source!BA35&lt;&gt; 0, Source!BA35, 1)</f>
        <v>39.33</v>
      </c>
      <c r="L102" s="38">
        <f>Source!S35</f>
        <v>633.04</v>
      </c>
    </row>
    <row r="103" spans="1:82" ht="14.25" x14ac:dyDescent="0.2">
      <c r="A103" s="5"/>
      <c r="B103" s="37">
        <v>2</v>
      </c>
      <c r="C103" s="5" t="s">
        <v>548</v>
      </c>
      <c r="D103" s="36"/>
      <c r="E103" s="2"/>
      <c r="F103" s="2"/>
      <c r="G103" s="2"/>
      <c r="H103" s="38">
        <f>Source!AM35</f>
        <v>38.950000000000003</v>
      </c>
      <c r="I103" s="37">
        <f>ROUND(1.25,7)</f>
        <v>1.25</v>
      </c>
      <c r="J103" s="38">
        <f>(ROUND((ROUND((((Source!ET35*ROUND(1.25,7)))*Source!I35),2)),2)+ROUND((ROUND(((Source!AE35-((Source!EU35*ROUND(1.25,7))))*Source!I35),2)),2))</f>
        <v>0.92</v>
      </c>
      <c r="K103" s="37">
        <f>IF(Source!BB35&lt;&gt; 0, Source!BB35, 1)</f>
        <v>14.42</v>
      </c>
      <c r="L103" s="38">
        <f>Source!Q35</f>
        <v>13.27</v>
      </c>
    </row>
    <row r="104" spans="1:82" ht="14.25" x14ac:dyDescent="0.2">
      <c r="A104" s="5"/>
      <c r="B104" s="37">
        <v>3</v>
      </c>
      <c r="C104" s="5" t="s">
        <v>549</v>
      </c>
      <c r="D104" s="36"/>
      <c r="E104" s="2"/>
      <c r="F104" s="2"/>
      <c r="G104" s="2"/>
      <c r="H104" s="38">
        <f>Source!AN35</f>
        <v>4.83</v>
      </c>
      <c r="I104" s="37">
        <f>ROUND(1.25,7)</f>
        <v>1.25</v>
      </c>
      <c r="J104" s="39">
        <f>(ROUND((ROUND((((Source!EU35*ROUND(1.25,7)))*Source!I35),2)),2)+ROUND((ROUND(((Source!AE35-((Source!EU35*ROUND(1.25,7))))*Source!I35),2)),2))</f>
        <v>0.11</v>
      </c>
      <c r="K104" s="37">
        <f>IF(Source!BS35&lt;&gt; 0, Source!BS35, 1)</f>
        <v>39.33</v>
      </c>
      <c r="L104" s="39">
        <f>Source!R35</f>
        <v>4.33</v>
      </c>
    </row>
    <row r="105" spans="1:82" ht="14.25" x14ac:dyDescent="0.2">
      <c r="A105" s="5"/>
      <c r="B105" s="37">
        <v>4</v>
      </c>
      <c r="C105" s="5" t="s">
        <v>559</v>
      </c>
      <c r="D105" s="36"/>
      <c r="E105" s="2"/>
      <c r="F105" s="2"/>
      <c r="G105" s="2"/>
      <c r="H105" s="38">
        <f>Source!AL35</f>
        <v>1300.68</v>
      </c>
      <c r="I105" s="37"/>
      <c r="J105" s="38">
        <f>ROUND(Source!AC35*Source!I35, 2)</f>
        <v>24.45</v>
      </c>
      <c r="K105" s="37">
        <f>IF(Source!BC35&lt;&gt; 0, Source!BC35, 1)</f>
        <v>8.7899999999999991</v>
      </c>
      <c r="L105" s="38">
        <f>Source!P35</f>
        <v>214.94</v>
      </c>
    </row>
    <row r="106" spans="1:82" ht="14.25" x14ac:dyDescent="0.2">
      <c r="A106" s="5"/>
      <c r="B106" s="5"/>
      <c r="C106" s="5" t="s">
        <v>550</v>
      </c>
      <c r="D106" s="36" t="s">
        <v>324</v>
      </c>
      <c r="E106" s="2">
        <f>Source!AQ35</f>
        <v>88</v>
      </c>
      <c r="F106" s="2">
        <f>ROUND(1.15,7)</f>
        <v>1.1499999999999999</v>
      </c>
      <c r="G106" s="2">
        <f>ROUND(Source!U35, 7)</f>
        <v>1.90256</v>
      </c>
      <c r="H106" s="38"/>
      <c r="I106" s="37"/>
      <c r="J106" s="38"/>
      <c r="K106" s="37"/>
      <c r="L106" s="38"/>
    </row>
    <row r="107" spans="1:82" ht="14.25" x14ac:dyDescent="0.2">
      <c r="A107" s="5"/>
      <c r="B107" s="5"/>
      <c r="C107" s="6" t="s">
        <v>551</v>
      </c>
      <c r="D107" s="40" t="s">
        <v>324</v>
      </c>
      <c r="E107" s="41">
        <f>Source!AR35</f>
        <v>0.44</v>
      </c>
      <c r="F107" s="41">
        <f>ROUND(1.25,7)</f>
        <v>1.25</v>
      </c>
      <c r="G107" s="41">
        <f>ROUND(Source!V35, 7)</f>
        <v>1.034E-2</v>
      </c>
      <c r="H107" s="42"/>
      <c r="I107" s="43"/>
      <c r="J107" s="42"/>
      <c r="K107" s="43"/>
      <c r="L107" s="42"/>
    </row>
    <row r="108" spans="1:82" ht="14.25" x14ac:dyDescent="0.2">
      <c r="A108" s="5"/>
      <c r="B108" s="5"/>
      <c r="C108" s="5" t="s">
        <v>552</v>
      </c>
      <c r="D108" s="36"/>
      <c r="E108" s="2"/>
      <c r="F108" s="2"/>
      <c r="G108" s="2"/>
      <c r="H108" s="38">
        <f>H102+H103+H105</f>
        <v>2084.11</v>
      </c>
      <c r="I108" s="37"/>
      <c r="J108" s="38">
        <f>J102+J103+J105</f>
        <v>41.47</v>
      </c>
      <c r="K108" s="37"/>
      <c r="L108" s="38">
        <f>L102+L103+L105</f>
        <v>861.25</v>
      </c>
    </row>
    <row r="109" spans="1:82" ht="14.25" x14ac:dyDescent="0.2">
      <c r="A109" s="5"/>
      <c r="B109" s="5"/>
      <c r="C109" s="5" t="s">
        <v>554</v>
      </c>
      <c r="D109" s="36"/>
      <c r="E109" s="2"/>
      <c r="F109" s="2"/>
      <c r="G109" s="2"/>
      <c r="H109" s="38"/>
      <c r="I109" s="37"/>
      <c r="J109" s="38">
        <f>SUM(S99:S112)+SUM(T99:T112)+SUM(X99:X112)+SUM(Y99:Y112)+SUM(Z99:Z112)</f>
        <v>16.21</v>
      </c>
      <c r="K109" s="37"/>
      <c r="L109" s="38">
        <f>SUM(AR99:AR112)+SUM(AS99:AS112)+SUM(AT99:AT112)+SUM(AU99:AU112)+SUM(AV99:AV112)</f>
        <v>637.37</v>
      </c>
    </row>
    <row r="110" spans="1:82" ht="42.75" x14ac:dyDescent="0.2">
      <c r="A110" s="5"/>
      <c r="B110" s="5" t="s">
        <v>566</v>
      </c>
      <c r="C110" s="5" t="s">
        <v>567</v>
      </c>
      <c r="D110" s="36" t="s">
        <v>468</v>
      </c>
      <c r="E110" s="2">
        <f>Source!BZ35</f>
        <v>102</v>
      </c>
      <c r="F110" s="2">
        <f>ROUND(0.9,7)</f>
        <v>0.9</v>
      </c>
      <c r="G110" s="2">
        <f>Source!AT35</f>
        <v>91.8</v>
      </c>
      <c r="H110" s="38"/>
      <c r="I110" s="37"/>
      <c r="J110" s="38">
        <f>SUM(AD99:AD112)</f>
        <v>14.88</v>
      </c>
      <c r="K110" s="37"/>
      <c r="L110" s="38">
        <f>SUM(AZ99:AZ112)</f>
        <v>585.11</v>
      </c>
    </row>
    <row r="111" spans="1:82" ht="42.75" x14ac:dyDescent="0.2">
      <c r="A111" s="6"/>
      <c r="B111" s="6" t="s">
        <v>568</v>
      </c>
      <c r="C111" s="6" t="s">
        <v>569</v>
      </c>
      <c r="D111" s="40" t="s">
        <v>468</v>
      </c>
      <c r="E111" s="41">
        <f>Source!CA35</f>
        <v>58</v>
      </c>
      <c r="F111" s="41">
        <f>ROUND(0.85,7)</f>
        <v>0.85</v>
      </c>
      <c r="G111" s="41">
        <f>Source!AU35</f>
        <v>49.3</v>
      </c>
      <c r="H111" s="42"/>
      <c r="I111" s="43"/>
      <c r="J111" s="42">
        <f>SUM(AE99:AE112)</f>
        <v>7.99</v>
      </c>
      <c r="K111" s="43"/>
      <c r="L111" s="42">
        <f>SUM(BA99:BA112)</f>
        <v>314.22000000000003</v>
      </c>
    </row>
    <row r="112" spans="1:82" ht="15" x14ac:dyDescent="0.2">
      <c r="C112" s="93" t="s">
        <v>557</v>
      </c>
      <c r="D112" s="93"/>
      <c r="E112" s="93"/>
      <c r="F112" s="93"/>
      <c r="G112" s="93"/>
      <c r="H112" s="93"/>
      <c r="I112" s="94">
        <f>J102+J103+J105+J110+J111</f>
        <v>64.34</v>
      </c>
      <c r="J112" s="94"/>
      <c r="K112" s="94">
        <f>L102+L103+L105+L110+L111</f>
        <v>1760.5800000000002</v>
      </c>
      <c r="L112" s="94"/>
      <c r="O112" s="4">
        <f>J102+J103+J105+J110+J111</f>
        <v>64.34</v>
      </c>
      <c r="P112" s="4">
        <f>J103</f>
        <v>0.92</v>
      </c>
      <c r="R112" t="s">
        <v>558</v>
      </c>
      <c r="S112" s="4">
        <f>J102</f>
        <v>16.100000000000001</v>
      </c>
      <c r="U112" s="4">
        <f>J102</f>
        <v>16.100000000000001</v>
      </c>
      <c r="X112" s="4">
        <f>J104</f>
        <v>0.11</v>
      </c>
      <c r="Z112" t="s">
        <v>558</v>
      </c>
      <c r="AA112" s="4">
        <f>J105</f>
        <v>24.45</v>
      </c>
      <c r="AD112">
        <f>ROUND((Source!AT35/100)*((ROUND(Source!AF35*Source!I35, 2)+(ROUND((ROUND((((Source!EU35*ROUND(1.25,7)))*Source!I35),2)),2)+ROUND((ROUND(((Source!AE35-((Source!EU35*ROUND(1.25,7))))*Source!I35),2)),2)))), 2)</f>
        <v>14.88</v>
      </c>
      <c r="AE112">
        <f>ROUND((Source!AU35/100)*((ROUND(Source!AF35*Source!I35, 2)+(ROUND((ROUND((((Source!EU35*ROUND(1.25,7)))*Source!I35),2)),2)+ROUND((ROUND(((Source!AE35-((Source!EU35*ROUND(1.25,7))))*Source!I35),2)),2)))), 2)</f>
        <v>7.99</v>
      </c>
      <c r="AN112" s="4">
        <f>L102+L103+L105+L110+L111</f>
        <v>1760.5800000000002</v>
      </c>
      <c r="AO112" s="4">
        <f>L103</f>
        <v>13.27</v>
      </c>
      <c r="AQ112" t="s">
        <v>558</v>
      </c>
      <c r="AR112" s="4">
        <f>L102</f>
        <v>633.04</v>
      </c>
      <c r="AT112" s="4">
        <f>L104</f>
        <v>4.33</v>
      </c>
      <c r="AV112" t="s">
        <v>558</v>
      </c>
      <c r="AW112" s="4">
        <f>L105</f>
        <v>214.94</v>
      </c>
      <c r="AZ112">
        <f>Source!X35</f>
        <v>585.11</v>
      </c>
      <c r="BA112">
        <f>Source!Y35</f>
        <v>314.22000000000003</v>
      </c>
      <c r="BH112" s="4">
        <f>J102+J103+J105+J110+J111</f>
        <v>64.34</v>
      </c>
      <c r="CD112">
        <v>1</v>
      </c>
    </row>
    <row r="113" spans="1:82" ht="14.25" x14ac:dyDescent="0.2">
      <c r="A113" s="35" t="s">
        <v>82</v>
      </c>
      <c r="B113" s="5" t="str">
        <f>Source!F36</f>
        <v>06-01-001-01</v>
      </c>
      <c r="C113" s="5" t="str">
        <f>Source!G36</f>
        <v>Устройство бетонной подготовки</v>
      </c>
      <c r="D113" s="36" t="str">
        <f>Source!H36</f>
        <v>100 м3</v>
      </c>
      <c r="E113" s="2">
        <f>Source!K36</f>
        <v>2.5000000000000001E-3</v>
      </c>
      <c r="F113" s="2"/>
      <c r="G113" s="2">
        <f>Source!I36</f>
        <v>2.5000000000000001E-3</v>
      </c>
      <c r="H113" s="38"/>
      <c r="I113" s="37"/>
      <c r="J113" s="38"/>
      <c r="K113" s="37"/>
      <c r="L113" s="38"/>
    </row>
    <row r="114" spans="1:82" ht="25.5" x14ac:dyDescent="0.2">
      <c r="B114" s="46" t="s">
        <v>455</v>
      </c>
      <c r="C114" s="107" t="s">
        <v>565</v>
      </c>
      <c r="D114" s="107"/>
      <c r="E114" s="107"/>
      <c r="F114" s="107"/>
      <c r="G114" s="107"/>
      <c r="H114" s="107"/>
      <c r="I114" s="107"/>
      <c r="J114" s="107"/>
      <c r="K114" s="107"/>
      <c r="L114" s="107"/>
    </row>
    <row r="115" spans="1:82" x14ac:dyDescent="0.2">
      <c r="C115" s="3" t="str">
        <f>"Объем: "&amp;Source!I36&amp;"=0,25/"&amp;"100"</f>
        <v>Объем: 0,0025=0,25/100</v>
      </c>
    </row>
    <row r="116" spans="1:82" ht="14.25" x14ac:dyDescent="0.2">
      <c r="A116" s="5"/>
      <c r="B116" s="37">
        <v>1</v>
      </c>
      <c r="C116" s="5" t="s">
        <v>547</v>
      </c>
      <c r="D116" s="36"/>
      <c r="E116" s="2"/>
      <c r="F116" s="2"/>
      <c r="G116" s="2"/>
      <c r="H116" s="38">
        <f>Source!AO36</f>
        <v>1053</v>
      </c>
      <c r="I116" s="37">
        <f>ROUND(1.15,7)</f>
        <v>1.1499999999999999</v>
      </c>
      <c r="J116" s="38">
        <f>ROUND(Source!AF36*Source!I36, 2)</f>
        <v>3.03</v>
      </c>
      <c r="K116" s="37">
        <f>IF(Source!BA36&lt;&gt; 0, Source!BA36, 1)</f>
        <v>39.33</v>
      </c>
      <c r="L116" s="38">
        <f>Source!S36</f>
        <v>119.07</v>
      </c>
    </row>
    <row r="117" spans="1:82" ht="14.25" x14ac:dyDescent="0.2">
      <c r="A117" s="5"/>
      <c r="B117" s="37">
        <v>2</v>
      </c>
      <c r="C117" s="5" t="s">
        <v>548</v>
      </c>
      <c r="D117" s="36"/>
      <c r="E117" s="2"/>
      <c r="F117" s="2"/>
      <c r="G117" s="2"/>
      <c r="H117" s="38">
        <f>Source!AM36</f>
        <v>1566.06</v>
      </c>
      <c r="I117" s="37">
        <f>ROUND(1.25,7)</f>
        <v>1.25</v>
      </c>
      <c r="J117" s="38">
        <f>(ROUND((ROUND((((Source!ET36*ROUND(1.25,7)))*Source!I36),2)),2)+ROUND((ROUND(((Source!AE36-((Source!EU36*ROUND(1.25,7))))*Source!I36),2)),2))</f>
        <v>4.8899999999999997</v>
      </c>
      <c r="K117" s="37">
        <f>IF(Source!BB36&lt;&gt; 0, Source!BB36, 1)</f>
        <v>14.42</v>
      </c>
      <c r="L117" s="38">
        <f>Source!Q36</f>
        <v>70.510000000000005</v>
      </c>
    </row>
    <row r="118" spans="1:82" ht="14.25" x14ac:dyDescent="0.2">
      <c r="A118" s="5"/>
      <c r="B118" s="37">
        <v>3</v>
      </c>
      <c r="C118" s="5" t="s">
        <v>549</v>
      </c>
      <c r="D118" s="36"/>
      <c r="E118" s="2"/>
      <c r="F118" s="2"/>
      <c r="G118" s="2"/>
      <c r="H118" s="38">
        <f>Source!AN36</f>
        <v>244.39</v>
      </c>
      <c r="I118" s="37">
        <f>ROUND(1.25,7)</f>
        <v>1.25</v>
      </c>
      <c r="J118" s="39">
        <f>(ROUND((ROUND((((Source!EU36*ROUND(1.25,7)))*Source!I36),2)),2)+ROUND((ROUND(((Source!AE36-((Source!EU36*ROUND(1.25,7))))*Source!I36),2)),2))</f>
        <v>0.76</v>
      </c>
      <c r="K118" s="37">
        <f>IF(Source!BS36&lt;&gt; 0, Source!BS36, 1)</f>
        <v>39.33</v>
      </c>
      <c r="L118" s="39">
        <f>Source!R36</f>
        <v>29.89</v>
      </c>
    </row>
    <row r="119" spans="1:82" ht="14.25" x14ac:dyDescent="0.2">
      <c r="A119" s="5"/>
      <c r="B119" s="37">
        <v>4</v>
      </c>
      <c r="C119" s="5" t="s">
        <v>559</v>
      </c>
      <c r="D119" s="36"/>
      <c r="E119" s="2"/>
      <c r="F119" s="2"/>
      <c r="G119" s="2"/>
      <c r="H119" s="38">
        <f>Source!AL36</f>
        <v>909.27</v>
      </c>
      <c r="I119" s="37"/>
      <c r="J119" s="38">
        <f>ROUND(Source!AC36*Source!I36, 2)</f>
        <v>2.27</v>
      </c>
      <c r="K119" s="37">
        <f>IF(Source!BC36&lt;&gt; 0, Source!BC36, 1)</f>
        <v>8.7899999999999991</v>
      </c>
      <c r="L119" s="38">
        <f>Source!P36</f>
        <v>19.98</v>
      </c>
    </row>
    <row r="120" spans="1:82" ht="14.25" x14ac:dyDescent="0.2">
      <c r="A120" s="5"/>
      <c r="B120" s="5"/>
      <c r="C120" s="5" t="s">
        <v>550</v>
      </c>
      <c r="D120" s="36" t="s">
        <v>324</v>
      </c>
      <c r="E120" s="2">
        <f>Source!AQ36</f>
        <v>135</v>
      </c>
      <c r="F120" s="2">
        <f>ROUND(1.15,7)</f>
        <v>1.1499999999999999</v>
      </c>
      <c r="G120" s="2">
        <f>ROUND(Source!U36, 7)</f>
        <v>0.388125</v>
      </c>
      <c r="H120" s="38"/>
      <c r="I120" s="37"/>
      <c r="J120" s="38"/>
      <c r="K120" s="37"/>
      <c r="L120" s="38"/>
    </row>
    <row r="121" spans="1:82" ht="14.25" x14ac:dyDescent="0.2">
      <c r="A121" s="5"/>
      <c r="B121" s="5"/>
      <c r="C121" s="6" t="s">
        <v>551</v>
      </c>
      <c r="D121" s="40" t="s">
        <v>324</v>
      </c>
      <c r="E121" s="41">
        <f>Source!AR36</f>
        <v>18.12</v>
      </c>
      <c r="F121" s="41">
        <f>ROUND(1.25,7)</f>
        <v>1.25</v>
      </c>
      <c r="G121" s="41">
        <f>ROUND(Source!V36, 7)</f>
        <v>5.6625000000000002E-2</v>
      </c>
      <c r="H121" s="42"/>
      <c r="I121" s="43"/>
      <c r="J121" s="42"/>
      <c r="K121" s="43"/>
      <c r="L121" s="42"/>
    </row>
    <row r="122" spans="1:82" ht="14.25" x14ac:dyDescent="0.2">
      <c r="A122" s="5"/>
      <c r="B122" s="5"/>
      <c r="C122" s="5" t="s">
        <v>552</v>
      </c>
      <c r="D122" s="36"/>
      <c r="E122" s="2"/>
      <c r="F122" s="2"/>
      <c r="G122" s="2"/>
      <c r="H122" s="38">
        <f>H116+H117+H119</f>
        <v>3528.33</v>
      </c>
      <c r="I122" s="37"/>
      <c r="J122" s="38">
        <f>J116+J117+J119</f>
        <v>10.19</v>
      </c>
      <c r="K122" s="37"/>
      <c r="L122" s="38">
        <f>L116+L117+L119</f>
        <v>209.55999999999997</v>
      </c>
    </row>
    <row r="123" spans="1:82" ht="28.5" x14ac:dyDescent="0.2">
      <c r="A123" s="35" t="s">
        <v>570</v>
      </c>
      <c r="B123" s="5" t="str">
        <f>Source!F37</f>
        <v>04.1.02.05-0007</v>
      </c>
      <c r="C123" s="5" t="str">
        <f>Source!G37</f>
        <v>Смеси бетонные тяжелого бетона (БСТ), класс В20 (М250)</v>
      </c>
      <c r="D123" s="36" t="str">
        <f>Source!H37</f>
        <v>м3</v>
      </c>
      <c r="E123" s="2">
        <f>SmtRes!AT31</f>
        <v>102</v>
      </c>
      <c r="F123" s="2"/>
      <c r="G123" s="2">
        <f>Source!I37</f>
        <v>0.255</v>
      </c>
      <c r="H123" s="38">
        <f>Source!AL37+Source!AO37+Source!AM37</f>
        <v>665</v>
      </c>
      <c r="I123" s="37"/>
      <c r="J123" s="38">
        <f>ROUND(Source!AC37*Source!I37, 2)+(ROUND((ROUND(((Source!ET37)*Source!I37),2)),2)+ROUND((ROUND(((Source!AE37-(Source!EU37))*Source!I37),2)),2))+ROUND(Source!AF37*Source!I37, 2)</f>
        <v>169.58</v>
      </c>
      <c r="K123" s="37">
        <f>IF(Source!BC37&lt;&gt; 0, Source!BC37, 1)</f>
        <v>8.7899999999999991</v>
      </c>
      <c r="L123" s="38">
        <f>Source!P37</f>
        <v>1490.56</v>
      </c>
      <c r="O123">
        <f>J123</f>
        <v>169.58</v>
      </c>
      <c r="AA123">
        <f>J123</f>
        <v>169.58</v>
      </c>
      <c r="AD123">
        <f>ROUND((Source!AT37/100)*((ROUND(Source!AF37*Source!I37, 2)+(ROUND((ROUND(((Source!EU37)*Source!I37),2)),2)+ROUND((ROUND(((Source!AE37-(Source!EU37))*Source!I37),2)),2)))), 2)</f>
        <v>0</v>
      </c>
      <c r="AE123">
        <f>ROUND((Source!AU37/100)*((ROUND(Source!AF37*Source!I37, 2)+(ROUND((ROUND(((Source!EU37)*Source!I37),2)),2)+ROUND((ROUND(((Source!AE37-(Source!EU37))*Source!I37),2)),2)))), 2)</f>
        <v>0</v>
      </c>
      <c r="AN123">
        <f>L123</f>
        <v>1490.56</v>
      </c>
      <c r="AW123">
        <f>L123</f>
        <v>1490.56</v>
      </c>
      <c r="AZ123">
        <f>Source!X37</f>
        <v>0</v>
      </c>
      <c r="BA123">
        <f>Source!Y37</f>
        <v>0</v>
      </c>
      <c r="BH123">
        <f>J123</f>
        <v>169.58</v>
      </c>
      <c r="CD123">
        <v>1</v>
      </c>
    </row>
    <row r="124" spans="1:82" ht="14.25" x14ac:dyDescent="0.2">
      <c r="A124" s="5"/>
      <c r="B124" s="5"/>
      <c r="C124" s="5" t="s">
        <v>554</v>
      </c>
      <c r="D124" s="36"/>
      <c r="E124" s="2"/>
      <c r="F124" s="2"/>
      <c r="G124" s="2"/>
      <c r="H124" s="38"/>
      <c r="I124" s="37"/>
      <c r="J124" s="38">
        <f>SUM(S113:S127)+SUM(T113:T127)+SUM(X113:X127)+SUM(Y113:Y127)+SUM(Z113:Z127)</f>
        <v>3.79</v>
      </c>
      <c r="K124" s="37"/>
      <c r="L124" s="38">
        <f>SUM(AR113:AR127)+SUM(AS113:AS127)+SUM(AT113:AT127)+SUM(AU113:AU127)+SUM(AV113:AV127)</f>
        <v>148.95999999999998</v>
      </c>
    </row>
    <row r="125" spans="1:82" ht="42.75" x14ac:dyDescent="0.2">
      <c r="A125" s="5"/>
      <c r="B125" s="5" t="s">
        <v>566</v>
      </c>
      <c r="C125" s="5" t="s">
        <v>567</v>
      </c>
      <c r="D125" s="36" t="s">
        <v>468</v>
      </c>
      <c r="E125" s="2">
        <f>Source!BZ36</f>
        <v>102</v>
      </c>
      <c r="F125" s="2">
        <f>ROUND(0.9,7)</f>
        <v>0.9</v>
      </c>
      <c r="G125" s="2">
        <f>Source!AT36</f>
        <v>91.8</v>
      </c>
      <c r="H125" s="38"/>
      <c r="I125" s="37"/>
      <c r="J125" s="38">
        <f>SUM(AD113:AD127)</f>
        <v>3.48</v>
      </c>
      <c r="K125" s="37"/>
      <c r="L125" s="38">
        <f>SUM(AZ113:AZ127)</f>
        <v>136.75</v>
      </c>
    </row>
    <row r="126" spans="1:82" ht="42.75" x14ac:dyDescent="0.2">
      <c r="A126" s="6"/>
      <c r="B126" s="6" t="s">
        <v>568</v>
      </c>
      <c r="C126" s="6" t="s">
        <v>569</v>
      </c>
      <c r="D126" s="40" t="s">
        <v>468</v>
      </c>
      <c r="E126" s="41">
        <f>Source!CA36</f>
        <v>58</v>
      </c>
      <c r="F126" s="41">
        <f>ROUND(0.85,7)</f>
        <v>0.85</v>
      </c>
      <c r="G126" s="41">
        <f>Source!AU36</f>
        <v>49.3</v>
      </c>
      <c r="H126" s="42"/>
      <c r="I126" s="43"/>
      <c r="J126" s="42">
        <f>SUM(AE113:AE127)</f>
        <v>1.87</v>
      </c>
      <c r="K126" s="43"/>
      <c r="L126" s="42">
        <f>SUM(BA113:BA127)</f>
        <v>73.44</v>
      </c>
    </row>
    <row r="127" spans="1:82" ht="15" x14ac:dyDescent="0.2">
      <c r="C127" s="93" t="s">
        <v>557</v>
      </c>
      <c r="D127" s="93"/>
      <c r="E127" s="93"/>
      <c r="F127" s="93"/>
      <c r="G127" s="93"/>
      <c r="H127" s="93"/>
      <c r="I127" s="94">
        <f>J116+J117+J119+J125+J126+SUM(J123:J123)-SUMIF(CE123:CE123, 1, J123:J123)</f>
        <v>185.12</v>
      </c>
      <c r="J127" s="94"/>
      <c r="K127" s="94">
        <f>L116+L117+L119+L125+L126+SUM(L123:L123)-SUMIF(CE123:CE123, 1, L123:L123)</f>
        <v>1910.31</v>
      </c>
      <c r="L127" s="94"/>
      <c r="O127" s="4">
        <f>J116+J117+J119+J125+J126</f>
        <v>15.54</v>
      </c>
      <c r="P127" s="4">
        <f>J117</f>
        <v>4.8899999999999997</v>
      </c>
      <c r="R127" t="s">
        <v>558</v>
      </c>
      <c r="S127" s="4">
        <f>J116</f>
        <v>3.03</v>
      </c>
      <c r="U127" s="4">
        <f>J116</f>
        <v>3.03</v>
      </c>
      <c r="X127" s="4">
        <f>J118</f>
        <v>0.76</v>
      </c>
      <c r="Z127" t="s">
        <v>558</v>
      </c>
      <c r="AA127" s="4">
        <f>J119</f>
        <v>2.27</v>
      </c>
      <c r="AD127">
        <f>ROUND((Source!AT36/100)*((ROUND(Source!AF36*Source!I36, 2)+(ROUND((ROUND((((Source!EU36*ROUND(1.25,7)))*Source!I36),2)),2)+ROUND((ROUND(((Source!AE36-((Source!EU36*ROUND(1.25,7))))*Source!I36),2)),2)))), 2)</f>
        <v>3.48</v>
      </c>
      <c r="AE127">
        <f>ROUND((Source!AU36/100)*((ROUND(Source!AF36*Source!I36, 2)+(ROUND((ROUND((((Source!EU36*ROUND(1.25,7)))*Source!I36),2)),2)+ROUND((ROUND(((Source!AE36-((Source!EU36*ROUND(1.25,7))))*Source!I36),2)),2)))), 2)</f>
        <v>1.87</v>
      </c>
      <c r="AN127" s="4">
        <f>L116+L117+L119+L125+L126</f>
        <v>419.74999999999994</v>
      </c>
      <c r="AO127" s="4">
        <f>L117</f>
        <v>70.510000000000005</v>
      </c>
      <c r="AQ127" t="s">
        <v>558</v>
      </c>
      <c r="AR127" s="4">
        <f>L116</f>
        <v>119.07</v>
      </c>
      <c r="AT127" s="4">
        <f>L118</f>
        <v>29.89</v>
      </c>
      <c r="AV127" t="s">
        <v>558</v>
      </c>
      <c r="AW127" s="4">
        <f>L119</f>
        <v>19.98</v>
      </c>
      <c r="AZ127">
        <f>Source!X36</f>
        <v>136.75</v>
      </c>
      <c r="BA127">
        <f>Source!Y36</f>
        <v>73.44</v>
      </c>
      <c r="BH127" s="4">
        <f>J116+J117+J119+J125+J126</f>
        <v>15.54</v>
      </c>
      <c r="CD127">
        <v>1</v>
      </c>
    </row>
    <row r="128" spans="1:82" ht="42.75" x14ac:dyDescent="0.2">
      <c r="A128" s="35" t="s">
        <v>91</v>
      </c>
      <c r="B128" s="5" t="str">
        <f>Source!F38</f>
        <v>11-01-027-03</v>
      </c>
      <c r="C128" s="5" t="str">
        <f>Source!G38</f>
        <v>Устройство покрытий на цементном растворе из плиток: керамических для полов одноцветных с красителем</v>
      </c>
      <c r="D128" s="36" t="str">
        <f>Source!H38</f>
        <v>100 м2</v>
      </c>
      <c r="E128" s="2">
        <f>Source!K38</f>
        <v>4.9200000000000001E-2</v>
      </c>
      <c r="F128" s="2"/>
      <c r="G128" s="2">
        <f>Source!I38</f>
        <v>4.9200000000000001E-2</v>
      </c>
      <c r="H128" s="38"/>
      <c r="I128" s="37"/>
      <c r="J128" s="38"/>
      <c r="K128" s="37"/>
      <c r="L128" s="38"/>
    </row>
    <row r="129" spans="1:82" ht="25.5" x14ac:dyDescent="0.2">
      <c r="B129" s="46" t="s">
        <v>455</v>
      </c>
      <c r="C129" s="107" t="s">
        <v>565</v>
      </c>
      <c r="D129" s="107"/>
      <c r="E129" s="107"/>
      <c r="F129" s="107"/>
      <c r="G129" s="107"/>
      <c r="H129" s="107"/>
      <c r="I129" s="107"/>
      <c r="J129" s="107"/>
      <c r="K129" s="107"/>
      <c r="L129" s="107"/>
    </row>
    <row r="130" spans="1:82" x14ac:dyDescent="0.2">
      <c r="C130" s="3" t="str">
        <f>"Объем: "&amp;Source!I38&amp;"=4,92/"&amp;"100"</f>
        <v>Объем: 0,0492=4,92/100</v>
      </c>
    </row>
    <row r="131" spans="1:82" ht="14.25" x14ac:dyDescent="0.2">
      <c r="A131" s="5"/>
      <c r="B131" s="37">
        <v>1</v>
      </c>
      <c r="C131" s="5" t="s">
        <v>547</v>
      </c>
      <c r="D131" s="36"/>
      <c r="E131" s="2"/>
      <c r="F131" s="2"/>
      <c r="G131" s="2"/>
      <c r="H131" s="38">
        <f>Source!AO38</f>
        <v>926.44</v>
      </c>
      <c r="I131" s="37">
        <f>ROUND(1.15,7)</f>
        <v>1.1499999999999999</v>
      </c>
      <c r="J131" s="38">
        <f>ROUND(Source!AF38*Source!I38, 2)</f>
        <v>52.42</v>
      </c>
      <c r="K131" s="37">
        <f>IF(Source!BA38&lt;&gt; 0, Source!BA38, 1)</f>
        <v>39.33</v>
      </c>
      <c r="L131" s="38">
        <f>Source!S38</f>
        <v>2061.6</v>
      </c>
    </row>
    <row r="132" spans="1:82" ht="14.25" x14ac:dyDescent="0.2">
      <c r="A132" s="5"/>
      <c r="B132" s="37">
        <v>2</v>
      </c>
      <c r="C132" s="5" t="s">
        <v>548</v>
      </c>
      <c r="D132" s="36"/>
      <c r="E132" s="2"/>
      <c r="F132" s="2"/>
      <c r="G132" s="2"/>
      <c r="H132" s="38">
        <f>Source!AM38</f>
        <v>122.7</v>
      </c>
      <c r="I132" s="37">
        <f>ROUND(1.25,7)</f>
        <v>1.25</v>
      </c>
      <c r="J132" s="38">
        <f>(ROUND((ROUND((((Source!ET38*ROUND(1.25,7)))*Source!I38),2)),2)+ROUND((ROUND(((Source!AE38-((Source!EU38*ROUND(1.25,7))))*Source!I38),2)),2))</f>
        <v>7.55</v>
      </c>
      <c r="K132" s="37">
        <f>IF(Source!BB38&lt;&gt; 0, Source!BB38, 1)</f>
        <v>14.42</v>
      </c>
      <c r="L132" s="38">
        <f>Source!Q38</f>
        <v>108.87</v>
      </c>
    </row>
    <row r="133" spans="1:82" ht="14.25" x14ac:dyDescent="0.2">
      <c r="A133" s="5"/>
      <c r="B133" s="37">
        <v>3</v>
      </c>
      <c r="C133" s="5" t="s">
        <v>549</v>
      </c>
      <c r="D133" s="36"/>
      <c r="E133" s="2"/>
      <c r="F133" s="2"/>
      <c r="G133" s="2"/>
      <c r="H133" s="38">
        <f>Source!AN38</f>
        <v>37.92</v>
      </c>
      <c r="I133" s="37">
        <f>ROUND(1.25,7)</f>
        <v>1.25</v>
      </c>
      <c r="J133" s="39">
        <f>(ROUND((ROUND((((Source!EU38*ROUND(1.25,7)))*Source!I38),2)),2)+ROUND((ROUND(((Source!AE38-((Source!EU38*ROUND(1.25,7))))*Source!I38),2)),2))</f>
        <v>2.33</v>
      </c>
      <c r="K133" s="37">
        <f>IF(Source!BS38&lt;&gt; 0, Source!BS38, 1)</f>
        <v>39.33</v>
      </c>
      <c r="L133" s="39">
        <f>Source!R38</f>
        <v>91.64</v>
      </c>
    </row>
    <row r="134" spans="1:82" ht="14.25" x14ac:dyDescent="0.2">
      <c r="A134" s="5"/>
      <c r="B134" s="37">
        <v>4</v>
      </c>
      <c r="C134" s="5" t="s">
        <v>559</v>
      </c>
      <c r="D134" s="36"/>
      <c r="E134" s="2"/>
      <c r="F134" s="2"/>
      <c r="G134" s="2"/>
      <c r="H134" s="38">
        <f>Source!AL38</f>
        <v>7811.85</v>
      </c>
      <c r="I134" s="37"/>
      <c r="J134" s="38">
        <f>ROUND(Source!AC38*Source!I38, 2)</f>
        <v>384.34</v>
      </c>
      <c r="K134" s="37">
        <f>IF(Source!BC38&lt;&gt; 0, Source!BC38, 1)</f>
        <v>8.7899999999999991</v>
      </c>
      <c r="L134" s="38">
        <f>Source!P38</f>
        <v>3378.38</v>
      </c>
    </row>
    <row r="135" spans="1:82" ht="14.25" x14ac:dyDescent="0.2">
      <c r="A135" s="5"/>
      <c r="B135" s="5"/>
      <c r="C135" s="5" t="s">
        <v>550</v>
      </c>
      <c r="D135" s="36" t="s">
        <v>324</v>
      </c>
      <c r="E135" s="2">
        <f>Source!AQ38</f>
        <v>106</v>
      </c>
      <c r="F135" s="2">
        <f>ROUND(1.15,7)</f>
        <v>1.1499999999999999</v>
      </c>
      <c r="G135" s="2">
        <f>ROUND(Source!U38, 7)</f>
        <v>5.9974800000000004</v>
      </c>
      <c r="H135" s="38"/>
      <c r="I135" s="37"/>
      <c r="J135" s="38"/>
      <c r="K135" s="37"/>
      <c r="L135" s="38"/>
    </row>
    <row r="136" spans="1:82" ht="14.25" x14ac:dyDescent="0.2">
      <c r="A136" s="5"/>
      <c r="B136" s="5"/>
      <c r="C136" s="6" t="s">
        <v>551</v>
      </c>
      <c r="D136" s="40" t="s">
        <v>324</v>
      </c>
      <c r="E136" s="41">
        <f>Source!AR38</f>
        <v>2.94</v>
      </c>
      <c r="F136" s="41">
        <f>ROUND(1.25,7)</f>
        <v>1.25</v>
      </c>
      <c r="G136" s="41">
        <f>ROUND(Source!V38, 7)</f>
        <v>0.18081</v>
      </c>
      <c r="H136" s="42"/>
      <c r="I136" s="43"/>
      <c r="J136" s="42"/>
      <c r="K136" s="43"/>
      <c r="L136" s="42"/>
    </row>
    <row r="137" spans="1:82" ht="14.25" x14ac:dyDescent="0.2">
      <c r="A137" s="5"/>
      <c r="B137" s="5"/>
      <c r="C137" s="5" t="s">
        <v>552</v>
      </c>
      <c r="D137" s="36"/>
      <c r="E137" s="2"/>
      <c r="F137" s="2"/>
      <c r="G137" s="2"/>
      <c r="H137" s="38">
        <f>H131+H132+H134</f>
        <v>8860.99</v>
      </c>
      <c r="I137" s="37"/>
      <c r="J137" s="38">
        <f>J131+J132+J134</f>
        <v>444.30999999999995</v>
      </c>
      <c r="K137" s="37"/>
      <c r="L137" s="38">
        <f>L131+L132+L134</f>
        <v>5548.85</v>
      </c>
    </row>
    <row r="138" spans="1:82" ht="71.25" x14ac:dyDescent="0.2">
      <c r="A138" s="35" t="s">
        <v>571</v>
      </c>
      <c r="B138" s="5" t="str">
        <f>Source!F39</f>
        <v>06.2.02.01-0071</v>
      </c>
      <c r="C138" s="5" t="s">
        <v>572</v>
      </c>
      <c r="D138" s="36" t="str">
        <f>Source!H39</f>
        <v>м2</v>
      </c>
      <c r="E138" s="2">
        <f>SmtRes!AT40</f>
        <v>-102</v>
      </c>
      <c r="F138" s="2"/>
      <c r="G138" s="2">
        <f>Source!I39</f>
        <v>-5.0183999999999997</v>
      </c>
      <c r="H138" s="38">
        <f>Source!AL39+Source!AO39+Source!AM39</f>
        <v>67.8</v>
      </c>
      <c r="I138" s="37"/>
      <c r="J138" s="38">
        <f>ROUND(Source!AC39*Source!I39, 2)+(ROUND((ROUND(((Source!ET39)*Source!I39),2)),2)+ROUND((ROUND(((Source!AE39-(Source!EU39))*Source!I39),2)),2))+ROUND(Source!AF39*Source!I39, 2)</f>
        <v>-340.25</v>
      </c>
      <c r="K138" s="37">
        <f>IF(Source!BC39&lt;&gt; 0, Source!BC39, 1)</f>
        <v>8.7899999999999991</v>
      </c>
      <c r="L138" s="38">
        <f>Source!P39</f>
        <v>-2990.78</v>
      </c>
      <c r="O138">
        <f>J138</f>
        <v>-340.25</v>
      </c>
      <c r="AA138">
        <f>J138</f>
        <v>-340.25</v>
      </c>
      <c r="AD138">
        <f>ROUND((Source!AT39/100)*((ROUND(Source!AF39*Source!I39, 2)+(ROUND((ROUND(((Source!EU39)*Source!I39),2)),2)+ROUND((ROUND(((Source!AE39-(Source!EU39))*Source!I39),2)),2)))), 2)</f>
        <v>0</v>
      </c>
      <c r="AE138">
        <f>ROUND((Source!AU39/100)*((ROUND(Source!AF39*Source!I39, 2)+(ROUND((ROUND(((Source!EU39)*Source!I39),2)),2)+ROUND((ROUND(((Source!AE39-(Source!EU39))*Source!I39),2)),2)))), 2)</f>
        <v>0</v>
      </c>
      <c r="AN138">
        <f>L138</f>
        <v>-2990.78</v>
      </c>
      <c r="AW138">
        <f>L138</f>
        <v>-2990.78</v>
      </c>
      <c r="AZ138">
        <f>Source!X39</f>
        <v>0</v>
      </c>
      <c r="BA138">
        <f>Source!Y39</f>
        <v>0</v>
      </c>
      <c r="BH138">
        <f>J138</f>
        <v>-340.25</v>
      </c>
      <c r="CD138">
        <v>1</v>
      </c>
    </row>
    <row r="139" spans="1:82" ht="42.75" x14ac:dyDescent="0.2">
      <c r="A139" s="35" t="s">
        <v>573</v>
      </c>
      <c r="B139" s="5" t="str">
        <f>Source!F40</f>
        <v>04.3.01.09-0016</v>
      </c>
      <c r="C139" s="5" t="s">
        <v>574</v>
      </c>
      <c r="D139" s="36" t="str">
        <f>Source!H40</f>
        <v>м3</v>
      </c>
      <c r="E139" s="2">
        <f>SmtRes!AT39</f>
        <v>-1.3</v>
      </c>
      <c r="F139" s="2"/>
      <c r="G139" s="2">
        <f>Source!I40</f>
        <v>-6.3960000000000003E-2</v>
      </c>
      <c r="H139" s="38">
        <f>Source!AL40+Source!AO40+Source!AM40</f>
        <v>600</v>
      </c>
      <c r="I139" s="37"/>
      <c r="J139" s="38">
        <f>ROUND(Source!AC40*Source!I40, 2)+(ROUND((ROUND(((Source!ET40)*Source!I40),2)),2)+ROUND((ROUND(((Source!AE40-(Source!EU40))*Source!I40),2)),2))+ROUND(Source!AF40*Source!I40, 2)</f>
        <v>-38.380000000000003</v>
      </c>
      <c r="K139" s="37">
        <f>IF(Source!BC40&lt;&gt; 0, Source!BC40, 1)</f>
        <v>8.7899999999999991</v>
      </c>
      <c r="L139" s="38">
        <f>Source!P40</f>
        <v>-337.33</v>
      </c>
      <c r="O139">
        <f>J139</f>
        <v>-38.380000000000003</v>
      </c>
      <c r="AA139">
        <f>J139</f>
        <v>-38.380000000000003</v>
      </c>
      <c r="AD139">
        <f>ROUND((Source!AT40/100)*((ROUND(Source!AF40*Source!I40, 2)+(ROUND((ROUND(((Source!EU40)*Source!I40),2)),2)+ROUND((ROUND(((Source!AE40-(Source!EU40))*Source!I40),2)),2)))), 2)</f>
        <v>0</v>
      </c>
      <c r="AE139">
        <f>ROUND((Source!AU40/100)*((ROUND(Source!AF40*Source!I40, 2)+(ROUND((ROUND(((Source!EU40)*Source!I40),2)),2)+ROUND((ROUND(((Source!AE40-(Source!EU40))*Source!I40),2)),2)))), 2)</f>
        <v>0</v>
      </c>
      <c r="AN139">
        <f>L139</f>
        <v>-337.33</v>
      </c>
      <c r="AW139">
        <f>L139</f>
        <v>-337.33</v>
      </c>
      <c r="AZ139">
        <f>Source!X40</f>
        <v>0</v>
      </c>
      <c r="BA139">
        <f>Source!Y40</f>
        <v>0</v>
      </c>
      <c r="BH139">
        <f>J139</f>
        <v>-38.380000000000003</v>
      </c>
      <c r="CD139">
        <v>1</v>
      </c>
    </row>
    <row r="140" spans="1:82" ht="14.25" x14ac:dyDescent="0.2">
      <c r="A140" s="35" t="s">
        <v>575</v>
      </c>
      <c r="B140" s="5" t="str">
        <f>Source!F41</f>
        <v>14.1.06.04-0010</v>
      </c>
      <c r="C140" s="5" t="str">
        <f>Source!G41</f>
        <v>Клей плиточный «Боларс Аква»</v>
      </c>
      <c r="D140" s="36" t="str">
        <f>Source!H41</f>
        <v>кг</v>
      </c>
      <c r="E140" s="2">
        <f>SmtRes!AT42</f>
        <v>1524.3902439000001</v>
      </c>
      <c r="F140" s="2"/>
      <c r="G140" s="2">
        <f>Source!I41</f>
        <v>75</v>
      </c>
      <c r="H140" s="38">
        <f>Source!AL41+Source!AO41+Source!AM41</f>
        <v>4.93</v>
      </c>
      <c r="I140" s="37"/>
      <c r="J140" s="38">
        <f>ROUND(Source!AC41*Source!I41, 2)+(ROUND((ROUND(((Source!ET41)*Source!I41),2)),2)+ROUND((ROUND(((Source!AE41-(Source!EU41))*Source!I41),2)),2))+ROUND(Source!AF41*Source!I41, 2)</f>
        <v>369.75</v>
      </c>
      <c r="K140" s="37">
        <f>IF(Source!BC41&lt;&gt; 0, Source!BC41, 1)</f>
        <v>8.7899999999999991</v>
      </c>
      <c r="L140" s="38">
        <f>Source!P41</f>
        <v>3250.1</v>
      </c>
      <c r="O140">
        <f>J140</f>
        <v>369.75</v>
      </c>
      <c r="AA140">
        <f>J140</f>
        <v>369.75</v>
      </c>
      <c r="AD140">
        <f>ROUND((Source!AT41/100)*((ROUND(Source!AF41*Source!I41, 2)+(ROUND((ROUND(((Source!EU41)*Source!I41),2)),2)+ROUND((ROUND(((Source!AE41-(Source!EU41))*Source!I41),2)),2)))), 2)</f>
        <v>0</v>
      </c>
      <c r="AE140">
        <f>ROUND((Source!AU41/100)*((ROUND(Source!AF41*Source!I41, 2)+(ROUND((ROUND(((Source!EU41)*Source!I41),2)),2)+ROUND((ROUND(((Source!AE41-(Source!EU41))*Source!I41),2)),2)))), 2)</f>
        <v>0</v>
      </c>
      <c r="AN140">
        <f>L140</f>
        <v>3250.1</v>
      </c>
      <c r="AW140">
        <f>L140</f>
        <v>3250.1</v>
      </c>
      <c r="AZ140">
        <f>Source!X41</f>
        <v>0</v>
      </c>
      <c r="BA140">
        <f>Source!Y41</f>
        <v>0</v>
      </c>
      <c r="BH140">
        <f>J140</f>
        <v>369.75</v>
      </c>
      <c r="CD140">
        <v>1</v>
      </c>
    </row>
    <row r="141" spans="1:82" ht="28.5" x14ac:dyDescent="0.2">
      <c r="A141" s="35" t="s">
        <v>576</v>
      </c>
      <c r="B141" s="5" t="str">
        <f>Source!F42</f>
        <v>06.2.05.03-1000</v>
      </c>
      <c r="C141" s="5" t="str">
        <f>Source!G42</f>
        <v>Плитка керамогранитная, размер 300x300x8 мм</v>
      </c>
      <c r="D141" s="36" t="str">
        <f>Source!H42</f>
        <v>м2</v>
      </c>
      <c r="E141" s="2">
        <f>SmtRes!AT41</f>
        <v>102</v>
      </c>
      <c r="F141" s="2"/>
      <c r="G141" s="2">
        <f>Source!I42</f>
        <v>5.0183999999999997</v>
      </c>
      <c r="H141" s="38">
        <f>Source!AL42+Source!AO42+Source!AM42</f>
        <v>47.83</v>
      </c>
      <c r="I141" s="37"/>
      <c r="J141" s="38">
        <f>ROUND(Source!AC42*Source!I42, 2)+(ROUND((ROUND(((Source!ET42)*Source!I42),2)),2)+ROUND((ROUND(((Source!AE42-(Source!EU42))*Source!I42),2)),2))+ROUND(Source!AF42*Source!I42, 2)</f>
        <v>240.03</v>
      </c>
      <c r="K141" s="37">
        <f>IF(Source!BC42&lt;&gt; 0, Source!BC42, 1)</f>
        <v>8.7899999999999991</v>
      </c>
      <c r="L141" s="38">
        <f>Source!P42</f>
        <v>2109.86</v>
      </c>
      <c r="O141">
        <f>J141</f>
        <v>240.03</v>
      </c>
      <c r="AA141">
        <f>J141</f>
        <v>240.03</v>
      </c>
      <c r="AD141">
        <f>ROUND((Source!AT42/100)*((ROUND(Source!AF42*Source!I42, 2)+(ROUND((ROUND(((Source!EU42)*Source!I42),2)),2)+ROUND((ROUND(((Source!AE42-(Source!EU42))*Source!I42),2)),2)))), 2)</f>
        <v>0</v>
      </c>
      <c r="AE141">
        <f>ROUND((Source!AU42/100)*((ROUND(Source!AF42*Source!I42, 2)+(ROUND((ROUND(((Source!EU42)*Source!I42),2)),2)+ROUND((ROUND(((Source!AE42-(Source!EU42))*Source!I42),2)),2)))), 2)</f>
        <v>0</v>
      </c>
      <c r="AN141">
        <f>L141</f>
        <v>2109.86</v>
      </c>
      <c r="AW141">
        <f>L141</f>
        <v>2109.86</v>
      </c>
      <c r="AZ141">
        <f>Source!X42</f>
        <v>0</v>
      </c>
      <c r="BA141">
        <f>Source!Y42</f>
        <v>0</v>
      </c>
      <c r="BH141">
        <f>J141</f>
        <v>240.03</v>
      </c>
      <c r="CD141">
        <v>1</v>
      </c>
    </row>
    <row r="142" spans="1:82" ht="14.25" x14ac:dyDescent="0.2">
      <c r="A142" s="5"/>
      <c r="B142" s="5"/>
      <c r="C142" s="5" t="s">
        <v>554</v>
      </c>
      <c r="D142" s="36"/>
      <c r="E142" s="2"/>
      <c r="F142" s="2"/>
      <c r="G142" s="2"/>
      <c r="H142" s="38"/>
      <c r="I142" s="37"/>
      <c r="J142" s="38">
        <f>SUM(S128:S145)+SUM(T128:T145)+SUM(X128:X145)+SUM(Y128:Y145)+SUM(Z128:Z145)</f>
        <v>54.75</v>
      </c>
      <c r="K142" s="37"/>
      <c r="L142" s="38">
        <f>SUM(AR128:AR145)+SUM(AS128:AS145)+SUM(AT128:AT145)+SUM(AU128:AU145)+SUM(AV128:AV145)</f>
        <v>2153.2399999999998</v>
      </c>
    </row>
    <row r="143" spans="1:82" ht="28.5" x14ac:dyDescent="0.2">
      <c r="A143" s="5"/>
      <c r="B143" s="5" t="s">
        <v>577</v>
      </c>
      <c r="C143" s="5" t="s">
        <v>555</v>
      </c>
      <c r="D143" s="36" t="s">
        <v>468</v>
      </c>
      <c r="E143" s="2">
        <f>Source!BZ38</f>
        <v>112</v>
      </c>
      <c r="F143" s="2">
        <f>ROUND(0.9,7)</f>
        <v>0.9</v>
      </c>
      <c r="G143" s="2">
        <f>Source!AT38</f>
        <v>100.8</v>
      </c>
      <c r="H143" s="38"/>
      <c r="I143" s="37"/>
      <c r="J143" s="38">
        <f>SUM(AD128:AD145)</f>
        <v>55.19</v>
      </c>
      <c r="K143" s="37"/>
      <c r="L143" s="38">
        <f>SUM(AZ128:AZ145)</f>
        <v>2170.4699999999998</v>
      </c>
    </row>
    <row r="144" spans="1:82" ht="28.5" x14ac:dyDescent="0.2">
      <c r="A144" s="6"/>
      <c r="B144" s="6" t="s">
        <v>578</v>
      </c>
      <c r="C144" s="6" t="s">
        <v>556</v>
      </c>
      <c r="D144" s="40" t="s">
        <v>468</v>
      </c>
      <c r="E144" s="41">
        <f>Source!CA38</f>
        <v>65</v>
      </c>
      <c r="F144" s="41">
        <f>ROUND(0.85,7)</f>
        <v>0.85</v>
      </c>
      <c r="G144" s="41">
        <f>Source!AU38</f>
        <v>55.25</v>
      </c>
      <c r="H144" s="42"/>
      <c r="I144" s="43"/>
      <c r="J144" s="42">
        <f>SUM(AE128:AE145)</f>
        <v>30.25</v>
      </c>
      <c r="K144" s="43"/>
      <c r="L144" s="42">
        <f>SUM(BA128:BA145)</f>
        <v>1189.67</v>
      </c>
    </row>
    <row r="145" spans="1:82" ht="15" x14ac:dyDescent="0.2">
      <c r="C145" s="93" t="s">
        <v>557</v>
      </c>
      <c r="D145" s="93"/>
      <c r="E145" s="93"/>
      <c r="F145" s="93"/>
      <c r="G145" s="93"/>
      <c r="H145" s="93"/>
      <c r="I145" s="94">
        <f>J131+J132+J134+J143+J144+SUM(J138:J141)-SUMIF(CE138:CE141, 1, J138:J141)</f>
        <v>760.9</v>
      </c>
      <c r="J145" s="94"/>
      <c r="K145" s="94">
        <f>L131+L132+L134+L143+L144+SUM(L138:L141)-SUMIF(CE138:CE141, 1, L138:L141)</f>
        <v>10940.84</v>
      </c>
      <c r="L145" s="94"/>
      <c r="O145" s="4">
        <f>J131+J132+J134+J143+J144</f>
        <v>529.75</v>
      </c>
      <c r="P145" s="4">
        <f>J132</f>
        <v>7.55</v>
      </c>
      <c r="R145" t="s">
        <v>558</v>
      </c>
      <c r="S145" s="4">
        <f>J131</f>
        <v>52.42</v>
      </c>
      <c r="U145" s="4">
        <f>J131</f>
        <v>52.42</v>
      </c>
      <c r="X145" s="4">
        <f>J133</f>
        <v>2.33</v>
      </c>
      <c r="Z145" t="s">
        <v>558</v>
      </c>
      <c r="AA145" s="4">
        <f>J134</f>
        <v>384.34</v>
      </c>
      <c r="AD145">
        <f>ROUND((Source!AT38/100)*((ROUND(Source!AF38*Source!I38, 2)+(ROUND((ROUND((((Source!EU38*ROUND(1.25,7)))*Source!I38),2)),2)+ROUND((ROUND(((Source!AE38-((Source!EU38*ROUND(1.25,7))))*Source!I38),2)),2)))), 2)</f>
        <v>55.19</v>
      </c>
      <c r="AE145">
        <f>ROUND((Source!AU38/100)*((ROUND(Source!AF38*Source!I38, 2)+(ROUND((ROUND((((Source!EU38*ROUND(1.25,7)))*Source!I38),2)),2)+ROUND((ROUND(((Source!AE38-((Source!EU38*ROUND(1.25,7))))*Source!I38),2)),2)))), 2)</f>
        <v>30.25</v>
      </c>
      <c r="AN145" s="4">
        <f>L131+L132+L134+L143+L144</f>
        <v>8908.99</v>
      </c>
      <c r="AO145" s="4">
        <f>L132</f>
        <v>108.87</v>
      </c>
      <c r="AQ145" t="s">
        <v>558</v>
      </c>
      <c r="AR145" s="4">
        <f>L131</f>
        <v>2061.6</v>
      </c>
      <c r="AT145" s="4">
        <f>L133</f>
        <v>91.64</v>
      </c>
      <c r="AV145" t="s">
        <v>558</v>
      </c>
      <c r="AW145" s="4">
        <f>L134</f>
        <v>3378.38</v>
      </c>
      <c r="AZ145">
        <f>Source!X38</f>
        <v>2170.4699999999998</v>
      </c>
      <c r="BA145">
        <f>Source!Y38</f>
        <v>1189.67</v>
      </c>
      <c r="BH145" s="4">
        <f>J131+J132+J134+J143+J144</f>
        <v>529.75</v>
      </c>
      <c r="CD145">
        <v>1</v>
      </c>
    </row>
    <row r="146" spans="1:82" ht="119.25" x14ac:dyDescent="0.2">
      <c r="A146" s="35" t="s">
        <v>116</v>
      </c>
      <c r="B146" s="5" t="str">
        <f>Source!F43</f>
        <v>15-01-010-01</v>
      </c>
      <c r="C146" s="5" t="s">
        <v>579</v>
      </c>
      <c r="D146" s="36" t="str">
        <f>Source!H43</f>
        <v>100 м2</v>
      </c>
      <c r="E146" s="2">
        <f>Source!K43</f>
        <v>0.13420000000000001</v>
      </c>
      <c r="F146" s="2"/>
      <c r="G146" s="2">
        <f>Source!I43</f>
        <v>0.13420000000000001</v>
      </c>
      <c r="H146" s="38"/>
      <c r="I146" s="37"/>
      <c r="J146" s="38"/>
      <c r="K146" s="37"/>
      <c r="L146" s="38"/>
    </row>
    <row r="147" spans="1:82" ht="38.25" x14ac:dyDescent="0.2">
      <c r="B147" s="46" t="str">
        <f>Source!EO43</f>
        <v>Поправка: 421/пр_2020_п.58_пп.б</v>
      </c>
    </row>
    <row r="148" spans="1:82" x14ac:dyDescent="0.2">
      <c r="C148" s="3" t="str">
        <f>"Объем: "&amp;Source!I43&amp;"=13,42/"&amp;"100"</f>
        <v>Объем: 0,1342=13,42/100</v>
      </c>
    </row>
    <row r="149" spans="1:82" ht="14.25" x14ac:dyDescent="0.2">
      <c r="A149" s="5"/>
      <c r="B149" s="37">
        <v>1</v>
      </c>
      <c r="C149" s="5" t="s">
        <v>547</v>
      </c>
      <c r="D149" s="36"/>
      <c r="E149" s="2"/>
      <c r="F149" s="2"/>
      <c r="G149" s="2"/>
      <c r="H149" s="38">
        <f>Source!AO43</f>
        <v>5857.5</v>
      </c>
      <c r="I149" s="37">
        <f>ROUND(1.15,7)</f>
        <v>1.1499999999999999</v>
      </c>
      <c r="J149" s="38">
        <f>ROUND(Source!AF43*Source!I43, 2)</f>
        <v>903.99</v>
      </c>
      <c r="K149" s="37">
        <f>IF(Source!BA43&lt;&gt; 0, Source!BA43, 1)</f>
        <v>39.33</v>
      </c>
      <c r="L149" s="38">
        <f>Source!S43</f>
        <v>35553.85</v>
      </c>
    </row>
    <row r="150" spans="1:82" ht="14.25" x14ac:dyDescent="0.2">
      <c r="A150" s="5"/>
      <c r="B150" s="37">
        <v>2</v>
      </c>
      <c r="C150" s="5" t="s">
        <v>548</v>
      </c>
      <c r="D150" s="36"/>
      <c r="E150" s="2"/>
      <c r="F150" s="2"/>
      <c r="G150" s="2"/>
      <c r="H150" s="38">
        <f>Source!AM43</f>
        <v>102.93</v>
      </c>
      <c r="I150" s="37">
        <f>ROUND(1.25,7)</f>
        <v>1.25</v>
      </c>
      <c r="J150" s="38">
        <f>(ROUND((ROUND((((Source!ET43*ROUND(1.25,7)))*Source!I43),2)),2)+ROUND((ROUND(((Source!AE43-((Source!EU43*ROUND(1.25,7))))*Source!I43),2)),2))</f>
        <v>17.27</v>
      </c>
      <c r="K150" s="37">
        <f>IF(Source!BB43&lt;&gt; 0, Source!BB43, 1)</f>
        <v>14.42</v>
      </c>
      <c r="L150" s="38">
        <f>Source!Q43</f>
        <v>249.03</v>
      </c>
    </row>
    <row r="151" spans="1:82" ht="14.25" x14ac:dyDescent="0.2">
      <c r="A151" s="5"/>
      <c r="B151" s="37">
        <v>3</v>
      </c>
      <c r="C151" s="5" t="s">
        <v>549</v>
      </c>
      <c r="D151" s="36"/>
      <c r="E151" s="2"/>
      <c r="F151" s="2"/>
      <c r="G151" s="2"/>
      <c r="H151" s="38">
        <f>Source!AN43</f>
        <v>33.22</v>
      </c>
      <c r="I151" s="37">
        <f>ROUND(1.25,7)</f>
        <v>1.25</v>
      </c>
      <c r="J151" s="39">
        <f>(ROUND((ROUND((((Source!EU43*ROUND(1.25,7)))*Source!I43),2)),2)+ROUND((ROUND(((Source!AE43-((Source!EU43*ROUND(1.25,7))))*Source!I43),2)),2))</f>
        <v>5.57</v>
      </c>
      <c r="K151" s="37">
        <f>IF(Source!BS43&lt;&gt; 0, Source!BS43, 1)</f>
        <v>39.33</v>
      </c>
      <c r="L151" s="39">
        <f>Source!R43</f>
        <v>219.07</v>
      </c>
    </row>
    <row r="152" spans="1:82" ht="14.25" x14ac:dyDescent="0.2">
      <c r="A152" s="5"/>
      <c r="B152" s="37">
        <v>4</v>
      </c>
      <c r="C152" s="5" t="s">
        <v>559</v>
      </c>
      <c r="D152" s="36"/>
      <c r="E152" s="2"/>
      <c r="F152" s="2"/>
      <c r="G152" s="2"/>
      <c r="H152" s="38">
        <f>Source!AL43</f>
        <v>1379.34</v>
      </c>
      <c r="I152" s="37"/>
      <c r="J152" s="38">
        <f>ROUND(Source!AC43*Source!I43, 2)</f>
        <v>185.11</v>
      </c>
      <c r="K152" s="37">
        <f>IF(Source!BC43&lt;&gt; 0, Source!BC43, 1)</f>
        <v>8.7899999999999991</v>
      </c>
      <c r="L152" s="38">
        <f>Source!P43</f>
        <v>1627.09</v>
      </c>
    </row>
    <row r="153" spans="1:82" ht="14.25" x14ac:dyDescent="0.2">
      <c r="A153" s="5"/>
      <c r="B153" s="5"/>
      <c r="C153" s="5" t="s">
        <v>550</v>
      </c>
      <c r="D153" s="36" t="s">
        <v>324</v>
      </c>
      <c r="E153" s="2">
        <f>Source!AQ43</f>
        <v>550</v>
      </c>
      <c r="F153" s="2">
        <f>ROUND(1.15,7)</f>
        <v>1.1499999999999999</v>
      </c>
      <c r="G153" s="2">
        <f>ROUND(Source!U43, 7)</f>
        <v>84.881500000000003</v>
      </c>
      <c r="H153" s="38"/>
      <c r="I153" s="37"/>
      <c r="J153" s="38"/>
      <c r="K153" s="37"/>
      <c r="L153" s="38"/>
    </row>
    <row r="154" spans="1:82" ht="14.25" x14ac:dyDescent="0.2">
      <c r="A154" s="5"/>
      <c r="B154" s="5"/>
      <c r="C154" s="6" t="s">
        <v>551</v>
      </c>
      <c r="D154" s="40" t="s">
        <v>324</v>
      </c>
      <c r="E154" s="41">
        <f>Source!AR43</f>
        <v>2.56</v>
      </c>
      <c r="F154" s="41">
        <f>ROUND(1.25,7)</f>
        <v>1.25</v>
      </c>
      <c r="G154" s="41">
        <f>ROUND(Source!V43, 7)</f>
        <v>0.42943999999999999</v>
      </c>
      <c r="H154" s="42"/>
      <c r="I154" s="43"/>
      <c r="J154" s="42"/>
      <c r="K154" s="43"/>
      <c r="L154" s="42"/>
    </row>
    <row r="155" spans="1:82" ht="14.25" x14ac:dyDescent="0.2">
      <c r="A155" s="5"/>
      <c r="B155" s="5"/>
      <c r="C155" s="5" t="s">
        <v>552</v>
      </c>
      <c r="D155" s="36"/>
      <c r="E155" s="2"/>
      <c r="F155" s="2"/>
      <c r="G155" s="2"/>
      <c r="H155" s="38">
        <f>H149+H150+H152</f>
        <v>7339.77</v>
      </c>
      <c r="I155" s="37"/>
      <c r="J155" s="38">
        <f>J149+J150+J152</f>
        <v>1106.3699999999999</v>
      </c>
      <c r="K155" s="37"/>
      <c r="L155" s="38">
        <f>L149+L150+L152</f>
        <v>37429.969999999994</v>
      </c>
    </row>
    <row r="156" spans="1:82" ht="28.5" x14ac:dyDescent="0.2">
      <c r="A156" s="35" t="s">
        <v>580</v>
      </c>
      <c r="B156" s="5" t="str">
        <f>Source!F46</f>
        <v>06.2.05.03-1000</v>
      </c>
      <c r="C156" s="5" t="str">
        <f>Source!G46</f>
        <v>Плитка керамогранитная, размер 300x300x8 мм</v>
      </c>
      <c r="D156" s="36" t="str">
        <f>Source!H46</f>
        <v>м2</v>
      </c>
      <c r="E156" s="2">
        <f>SmtRes!AT54</f>
        <v>101</v>
      </c>
      <c r="F156" s="2"/>
      <c r="G156" s="2">
        <f>Source!I46</f>
        <v>13.5542</v>
      </c>
      <c r="H156" s="38">
        <f>Source!AL46+Source!AO46+Source!AM46</f>
        <v>47.83</v>
      </c>
      <c r="I156" s="37"/>
      <c r="J156" s="38">
        <f>ROUND(Source!AC46*Source!I46, 2)+(ROUND((ROUND(((Source!ET46)*Source!I46),2)),2)+ROUND((ROUND(((Source!AE46-(Source!EU46))*Source!I46),2)),2))+ROUND(Source!AF46*Source!I46, 2)</f>
        <v>648.29999999999995</v>
      </c>
      <c r="K156" s="37">
        <f>IF(Source!BC46&lt;&gt; 0, Source!BC46, 1)</f>
        <v>8.7899999999999991</v>
      </c>
      <c r="L156" s="38">
        <f>Source!P46</f>
        <v>5698.53</v>
      </c>
      <c r="O156">
        <f>J156</f>
        <v>648.29999999999995</v>
      </c>
      <c r="AA156">
        <f>J156</f>
        <v>648.29999999999995</v>
      </c>
      <c r="AD156">
        <f>ROUND((Source!AT46/100)*((ROUND(Source!AF46*Source!I46, 2)+(ROUND((ROUND(((Source!EU46)*Source!I46),2)),2)+ROUND((ROUND(((Source!AE46-(Source!EU46))*Source!I46),2)),2)))), 2)</f>
        <v>0</v>
      </c>
      <c r="AE156">
        <f>ROUND((Source!AU46/100)*((ROUND(Source!AF46*Source!I46, 2)+(ROUND((ROUND(((Source!EU46)*Source!I46),2)),2)+ROUND((ROUND(((Source!AE46-(Source!EU46))*Source!I46),2)),2)))), 2)</f>
        <v>0</v>
      </c>
      <c r="AN156">
        <f>L156</f>
        <v>5698.53</v>
      </c>
      <c r="AW156">
        <f>L156</f>
        <v>5698.53</v>
      </c>
      <c r="AZ156">
        <f>Source!X46</f>
        <v>0</v>
      </c>
      <c r="BA156">
        <f>Source!Y46</f>
        <v>0</v>
      </c>
      <c r="BH156">
        <f>J156</f>
        <v>648.29999999999995</v>
      </c>
      <c r="CD156">
        <v>1</v>
      </c>
    </row>
    <row r="157" spans="1:82" ht="14.25" x14ac:dyDescent="0.2">
      <c r="A157" s="5"/>
      <c r="B157" s="5"/>
      <c r="C157" s="5" t="s">
        <v>554</v>
      </c>
      <c r="D157" s="36"/>
      <c r="E157" s="2"/>
      <c r="F157" s="2"/>
      <c r="G157" s="2"/>
      <c r="H157" s="38"/>
      <c r="I157" s="37"/>
      <c r="J157" s="38">
        <f>SUM(S146:S160)+SUM(T146:T160)+SUM(X146:X160)+SUM(Y146:Y160)+SUM(Z146:Z160)</f>
        <v>909.56000000000006</v>
      </c>
      <c r="K157" s="37"/>
      <c r="L157" s="38">
        <f>SUM(AR146:AR160)+SUM(AS146:AS160)+SUM(AT146:AT160)+SUM(AU146:AU160)+SUM(AV146:AV160)</f>
        <v>35772.92</v>
      </c>
    </row>
    <row r="158" spans="1:82" ht="14.25" x14ac:dyDescent="0.2">
      <c r="A158" s="5"/>
      <c r="B158" s="5" t="s">
        <v>122</v>
      </c>
      <c r="C158" s="5" t="s">
        <v>581</v>
      </c>
      <c r="D158" s="36" t="s">
        <v>468</v>
      </c>
      <c r="E158" s="2">
        <f>Source!BZ43</f>
        <v>100</v>
      </c>
      <c r="F158" s="2"/>
      <c r="G158" s="2">
        <f>Source!AT43</f>
        <v>100</v>
      </c>
      <c r="H158" s="38"/>
      <c r="I158" s="37"/>
      <c r="J158" s="38">
        <f>SUM(AD146:AD160)</f>
        <v>909.56</v>
      </c>
      <c r="K158" s="37"/>
      <c r="L158" s="38">
        <f>SUM(AZ146:AZ160)</f>
        <v>35772.92</v>
      </c>
    </row>
    <row r="159" spans="1:82" ht="14.25" x14ac:dyDescent="0.2">
      <c r="A159" s="6"/>
      <c r="B159" s="6" t="s">
        <v>123</v>
      </c>
      <c r="C159" s="6" t="s">
        <v>582</v>
      </c>
      <c r="D159" s="40" t="s">
        <v>468</v>
      </c>
      <c r="E159" s="41">
        <f>Source!CA43</f>
        <v>49</v>
      </c>
      <c r="F159" s="41"/>
      <c r="G159" s="41">
        <f>Source!AU43</f>
        <v>49</v>
      </c>
      <c r="H159" s="42"/>
      <c r="I159" s="43"/>
      <c r="J159" s="42">
        <f>SUM(AE146:AE160)</f>
        <v>445.68</v>
      </c>
      <c r="K159" s="43"/>
      <c r="L159" s="42">
        <f>SUM(BA146:BA160)</f>
        <v>17528.73</v>
      </c>
    </row>
    <row r="160" spans="1:82" ht="15" x14ac:dyDescent="0.2">
      <c r="C160" s="93" t="s">
        <v>557</v>
      </c>
      <c r="D160" s="93"/>
      <c r="E160" s="93"/>
      <c r="F160" s="93"/>
      <c r="G160" s="93"/>
      <c r="H160" s="93"/>
      <c r="I160" s="94">
        <f>J149+J150+J152+J158+J159+SUM(J156:J156)-SUMIF(CE156:CE156, 1, J156:J156)</f>
        <v>3109.91</v>
      </c>
      <c r="J160" s="94"/>
      <c r="K160" s="94">
        <f>L149+L150+L152+L158+L159+SUM(L156:L156)-SUMIF(CE156:CE156, 1, L156:L156)</f>
        <v>96430.14999999998</v>
      </c>
      <c r="L160" s="94"/>
      <c r="O160" s="4">
        <f>J149+J150+J152+J158+J159</f>
        <v>2461.6099999999997</v>
      </c>
      <c r="P160" s="4">
        <f>J150</f>
        <v>17.27</v>
      </c>
      <c r="R160" t="s">
        <v>558</v>
      </c>
      <c r="S160" s="4">
        <f>J149</f>
        <v>903.99</v>
      </c>
      <c r="U160" s="4">
        <f>J149</f>
        <v>903.99</v>
      </c>
      <c r="X160" s="4">
        <f>J151</f>
        <v>5.57</v>
      </c>
      <c r="Z160" t="s">
        <v>558</v>
      </c>
      <c r="AA160" s="4">
        <f>J152</f>
        <v>185.11</v>
      </c>
      <c r="AD160">
        <f>ROUND((Source!AT43/100)*((ROUND(Source!AF43*Source!I43, 2)+(ROUND((ROUND((((Source!EU43*ROUND(1.25,7)))*Source!I43),2)),2)+ROUND((ROUND(((Source!AE43-((Source!EU43*ROUND(1.25,7))))*Source!I43),2)),2)))), 2)</f>
        <v>909.56</v>
      </c>
      <c r="AE160">
        <f>ROUND((Source!AU43/100)*((ROUND(Source!AF43*Source!I43, 2)+(ROUND((ROUND((((Source!EU43*ROUND(1.25,7)))*Source!I43),2)),2)+ROUND((ROUND(((Source!AE43-((Source!EU43*ROUND(1.25,7))))*Source!I43),2)),2)))), 2)</f>
        <v>445.68</v>
      </c>
      <c r="AN160" s="4">
        <f>L149+L150+L152+L158+L159</f>
        <v>90731.619999999981</v>
      </c>
      <c r="AO160" s="4">
        <f>L150</f>
        <v>249.03</v>
      </c>
      <c r="AQ160" t="s">
        <v>558</v>
      </c>
      <c r="AR160" s="4">
        <f>L149</f>
        <v>35553.85</v>
      </c>
      <c r="AT160" s="4">
        <f>L151</f>
        <v>219.07</v>
      </c>
      <c r="AV160" t="s">
        <v>558</v>
      </c>
      <c r="AW160" s="4">
        <f>L152</f>
        <v>1627.09</v>
      </c>
      <c r="AZ160">
        <f>Source!X43</f>
        <v>35772.92</v>
      </c>
      <c r="BA160">
        <f>Source!Y43</f>
        <v>17528.73</v>
      </c>
      <c r="BH160" s="4">
        <f>J149+J150+J152+J158+J159</f>
        <v>2461.6099999999997</v>
      </c>
      <c r="CD160">
        <v>1</v>
      </c>
    </row>
    <row r="161" spans="1:82" ht="57" x14ac:dyDescent="0.2">
      <c r="A161" s="35" t="s">
        <v>130</v>
      </c>
      <c r="B161" s="5" t="str">
        <f>Source!F47</f>
        <v>15-01-016-02</v>
      </c>
      <c r="C161" s="5" t="str">
        <f>Source!G47</f>
        <v>Наружная облицовка по бетонной поверхности керамическими отдельными плитками: на цементном растворе стен</v>
      </c>
      <c r="D161" s="36" t="str">
        <f>Source!H47</f>
        <v>100 м2</v>
      </c>
      <c r="E161" s="2">
        <f>Source!K47</f>
        <v>8.1000000000000003E-2</v>
      </c>
      <c r="F161" s="2"/>
      <c r="G161" s="2">
        <f>Source!I47</f>
        <v>8.1000000000000003E-2</v>
      </c>
      <c r="H161" s="38"/>
      <c r="I161" s="37"/>
      <c r="J161" s="38"/>
      <c r="K161" s="37"/>
      <c r="L161" s="38"/>
    </row>
    <row r="162" spans="1:82" ht="25.5" x14ac:dyDescent="0.2">
      <c r="B162" s="46" t="s">
        <v>455</v>
      </c>
      <c r="C162" s="107" t="s">
        <v>565</v>
      </c>
      <c r="D162" s="107"/>
      <c r="E162" s="107"/>
      <c r="F162" s="107"/>
      <c r="G162" s="107"/>
      <c r="H162" s="107"/>
      <c r="I162" s="107"/>
      <c r="J162" s="107"/>
      <c r="K162" s="107"/>
      <c r="L162" s="107"/>
    </row>
    <row r="163" spans="1:82" x14ac:dyDescent="0.2">
      <c r="C163" s="3" t="str">
        <f>"Объем: "&amp;Source!I47&amp;"=8,1/"&amp;"100"</f>
        <v>Объем: 0,081=8,1/100</v>
      </c>
    </row>
    <row r="164" spans="1:82" ht="14.25" x14ac:dyDescent="0.2">
      <c r="A164" s="5"/>
      <c r="B164" s="37">
        <v>1</v>
      </c>
      <c r="C164" s="5" t="s">
        <v>547</v>
      </c>
      <c r="D164" s="36"/>
      <c r="E164" s="2"/>
      <c r="F164" s="2"/>
      <c r="G164" s="2"/>
      <c r="H164" s="38">
        <f>Source!AO47</f>
        <v>2538</v>
      </c>
      <c r="I164" s="37">
        <f>ROUND(1.15,7)</f>
        <v>1.1499999999999999</v>
      </c>
      <c r="J164" s="38">
        <f>ROUND(Source!AF47*Source!I47, 2)</f>
        <v>236.41</v>
      </c>
      <c r="K164" s="37">
        <f>IF(Source!BA47&lt;&gt; 0, Source!BA47, 1)</f>
        <v>39.33</v>
      </c>
      <c r="L164" s="38">
        <f>Source!S47</f>
        <v>9298.19</v>
      </c>
    </row>
    <row r="165" spans="1:82" ht="14.25" x14ac:dyDescent="0.2">
      <c r="A165" s="5"/>
      <c r="B165" s="37">
        <v>2</v>
      </c>
      <c r="C165" s="5" t="s">
        <v>548</v>
      </c>
      <c r="D165" s="36"/>
      <c r="E165" s="2"/>
      <c r="F165" s="2"/>
      <c r="G165" s="2"/>
      <c r="H165" s="38">
        <f>Source!AM47</f>
        <v>47.72</v>
      </c>
      <c r="I165" s="37">
        <f>ROUND(1.25,7)</f>
        <v>1.25</v>
      </c>
      <c r="J165" s="38">
        <f>(ROUND((ROUND((((Source!ET47*ROUND(1.25,7)))*Source!I47),2)),2)+ROUND((ROUND(((Source!AE47-((Source!EU47*ROUND(1.25,7))))*Source!I47),2)),2))</f>
        <v>4.83</v>
      </c>
      <c r="K165" s="37">
        <f>IF(Source!BB47&lt;&gt; 0, Source!BB47, 1)</f>
        <v>14.42</v>
      </c>
      <c r="L165" s="38">
        <f>Source!Q47</f>
        <v>69.650000000000006</v>
      </c>
    </row>
    <row r="166" spans="1:82" ht="14.25" x14ac:dyDescent="0.2">
      <c r="A166" s="5"/>
      <c r="B166" s="37">
        <v>3</v>
      </c>
      <c r="C166" s="5" t="s">
        <v>549</v>
      </c>
      <c r="D166" s="36"/>
      <c r="E166" s="2"/>
      <c r="F166" s="2"/>
      <c r="G166" s="2"/>
      <c r="H166" s="38">
        <f>Source!AN47</f>
        <v>17.45</v>
      </c>
      <c r="I166" s="37">
        <f>ROUND(1.25,7)</f>
        <v>1.25</v>
      </c>
      <c r="J166" s="39">
        <f>(ROUND((ROUND((((Source!EU47*ROUND(1.25,7)))*Source!I47),2)),2)+ROUND((ROUND(((Source!AE47-((Source!EU47*ROUND(1.25,7))))*Source!I47),2)),2))</f>
        <v>1.77</v>
      </c>
      <c r="K166" s="37">
        <f>IF(Source!BS47&lt;&gt; 0, Source!BS47, 1)</f>
        <v>39.33</v>
      </c>
      <c r="L166" s="39">
        <f>Source!R47</f>
        <v>69.61</v>
      </c>
    </row>
    <row r="167" spans="1:82" ht="14.25" x14ac:dyDescent="0.2">
      <c r="A167" s="5"/>
      <c r="B167" s="37">
        <v>4</v>
      </c>
      <c r="C167" s="5" t="s">
        <v>559</v>
      </c>
      <c r="D167" s="36"/>
      <c r="E167" s="2"/>
      <c r="F167" s="2"/>
      <c r="G167" s="2"/>
      <c r="H167" s="38">
        <f>Source!AL47</f>
        <v>1012.61</v>
      </c>
      <c r="I167" s="37"/>
      <c r="J167" s="38">
        <f>ROUND(Source!AC47*Source!I47, 2)</f>
        <v>82.02</v>
      </c>
      <c r="K167" s="37">
        <f>IF(Source!BC47&lt;&gt; 0, Source!BC47, 1)</f>
        <v>8.7899999999999991</v>
      </c>
      <c r="L167" s="38">
        <f>Source!P47</f>
        <v>720.97</v>
      </c>
    </row>
    <row r="168" spans="1:82" ht="14.25" x14ac:dyDescent="0.2">
      <c r="A168" s="5"/>
      <c r="B168" s="5"/>
      <c r="C168" s="5" t="s">
        <v>550</v>
      </c>
      <c r="D168" s="36" t="s">
        <v>324</v>
      </c>
      <c r="E168" s="2">
        <f>Source!AQ47</f>
        <v>270</v>
      </c>
      <c r="F168" s="2">
        <f>ROUND(1.15,7)</f>
        <v>1.1499999999999999</v>
      </c>
      <c r="G168" s="2">
        <f>ROUND(Source!U47, 7)</f>
        <v>25.150500000000001</v>
      </c>
      <c r="H168" s="38"/>
      <c r="I168" s="37"/>
      <c r="J168" s="38"/>
      <c r="K168" s="37"/>
      <c r="L168" s="38"/>
    </row>
    <row r="169" spans="1:82" ht="14.25" x14ac:dyDescent="0.2">
      <c r="A169" s="5"/>
      <c r="B169" s="5"/>
      <c r="C169" s="6" t="s">
        <v>551</v>
      </c>
      <c r="D169" s="40" t="s">
        <v>324</v>
      </c>
      <c r="E169" s="41">
        <f>Source!AR47</f>
        <v>1.32</v>
      </c>
      <c r="F169" s="41">
        <f>ROUND(1.25,7)</f>
        <v>1.25</v>
      </c>
      <c r="G169" s="41">
        <f>ROUND(Source!V47, 7)</f>
        <v>0.13364999999999999</v>
      </c>
      <c r="H169" s="42"/>
      <c r="I169" s="43"/>
      <c r="J169" s="42"/>
      <c r="K169" s="43"/>
      <c r="L169" s="42"/>
    </row>
    <row r="170" spans="1:82" ht="14.25" x14ac:dyDescent="0.2">
      <c r="A170" s="5"/>
      <c r="B170" s="5"/>
      <c r="C170" s="5" t="s">
        <v>552</v>
      </c>
      <c r="D170" s="36"/>
      <c r="E170" s="2"/>
      <c r="F170" s="2"/>
      <c r="G170" s="2"/>
      <c r="H170" s="38">
        <f>H164+H165+H167</f>
        <v>3598.33</v>
      </c>
      <c r="I170" s="37"/>
      <c r="J170" s="38">
        <f>J164+J165+J167</f>
        <v>323.26</v>
      </c>
      <c r="K170" s="37"/>
      <c r="L170" s="38">
        <f>L164+L165+L167</f>
        <v>10088.81</v>
      </c>
    </row>
    <row r="171" spans="1:82" ht="28.5" x14ac:dyDescent="0.2">
      <c r="A171" s="35" t="s">
        <v>583</v>
      </c>
      <c r="B171" s="5" t="str">
        <f>Source!F48</f>
        <v>06.2.05.03-1000</v>
      </c>
      <c r="C171" s="5" t="str">
        <f>Source!G48</f>
        <v>Плитка керамогранитная, размер 300x300x8 мм</v>
      </c>
      <c r="D171" s="36" t="str">
        <f>Source!H48</f>
        <v>м2</v>
      </c>
      <c r="E171" s="2">
        <f>SmtRes!AT69</f>
        <v>100</v>
      </c>
      <c r="F171" s="2"/>
      <c r="G171" s="2">
        <f>Source!I48</f>
        <v>8.1</v>
      </c>
      <c r="H171" s="38">
        <f>Source!AL48+Source!AO48+Source!AM48</f>
        <v>47.83</v>
      </c>
      <c r="I171" s="37"/>
      <c r="J171" s="38">
        <f>ROUND(Source!AC48*Source!I48, 2)+(ROUND((ROUND(((Source!ET48)*Source!I48),2)),2)+ROUND((ROUND(((Source!AE48-(Source!EU48))*Source!I48),2)),2))+ROUND(Source!AF48*Source!I48, 2)</f>
        <v>387.42</v>
      </c>
      <c r="K171" s="37">
        <f>IF(Source!BC48&lt;&gt; 0, Source!BC48, 1)</f>
        <v>8.7899999999999991</v>
      </c>
      <c r="L171" s="38">
        <f>Source!P48</f>
        <v>3405.45</v>
      </c>
      <c r="O171">
        <f>J171</f>
        <v>387.42</v>
      </c>
      <c r="AA171">
        <f>J171</f>
        <v>387.42</v>
      </c>
      <c r="AD171">
        <f>ROUND((Source!AT48/100)*((ROUND(Source!AF48*Source!I48, 2)+(ROUND((ROUND(((Source!EU48)*Source!I48),2)),2)+ROUND((ROUND(((Source!AE48-(Source!EU48))*Source!I48),2)),2)))), 2)</f>
        <v>0</v>
      </c>
      <c r="AE171">
        <f>ROUND((Source!AU48/100)*((ROUND(Source!AF48*Source!I48, 2)+(ROUND((ROUND(((Source!EU48)*Source!I48),2)),2)+ROUND((ROUND(((Source!AE48-(Source!EU48))*Source!I48),2)),2)))), 2)</f>
        <v>0</v>
      </c>
      <c r="AN171">
        <f>L171</f>
        <v>3405.45</v>
      </c>
      <c r="AW171">
        <f>L171</f>
        <v>3405.45</v>
      </c>
      <c r="AZ171">
        <f>Source!X48</f>
        <v>0</v>
      </c>
      <c r="BA171">
        <f>Source!Y48</f>
        <v>0</v>
      </c>
      <c r="BH171">
        <f>J171</f>
        <v>387.42</v>
      </c>
      <c r="CD171">
        <v>1</v>
      </c>
    </row>
    <row r="172" spans="1:82" ht="14.25" x14ac:dyDescent="0.2">
      <c r="A172" s="5"/>
      <c r="B172" s="5"/>
      <c r="C172" s="5" t="s">
        <v>554</v>
      </c>
      <c r="D172" s="36"/>
      <c r="E172" s="2"/>
      <c r="F172" s="2"/>
      <c r="G172" s="2"/>
      <c r="H172" s="38"/>
      <c r="I172" s="37"/>
      <c r="J172" s="38">
        <f>SUM(S161:S175)+SUM(T161:T175)+SUM(X161:X175)+SUM(Y161:Y175)+SUM(Z161:Z175)</f>
        <v>238.18</v>
      </c>
      <c r="K172" s="37"/>
      <c r="L172" s="38">
        <f>SUM(AR161:AR175)+SUM(AS161:AS175)+SUM(AT161:AT175)+SUM(AU161:AU175)+SUM(AV161:AV175)</f>
        <v>9367.8000000000011</v>
      </c>
    </row>
    <row r="173" spans="1:82" ht="28.5" x14ac:dyDescent="0.2">
      <c r="A173" s="5"/>
      <c r="B173" s="5" t="s">
        <v>584</v>
      </c>
      <c r="C173" s="5" t="s">
        <v>581</v>
      </c>
      <c r="D173" s="36" t="s">
        <v>468</v>
      </c>
      <c r="E173" s="2">
        <f>Source!BZ47</f>
        <v>100</v>
      </c>
      <c r="F173" s="2">
        <f>ROUND(0.9,7)</f>
        <v>0.9</v>
      </c>
      <c r="G173" s="2">
        <f>Source!AT47</f>
        <v>90</v>
      </c>
      <c r="H173" s="38"/>
      <c r="I173" s="37"/>
      <c r="J173" s="38">
        <f>SUM(AD161:AD175)</f>
        <v>214.36</v>
      </c>
      <c r="K173" s="37"/>
      <c r="L173" s="38">
        <f>SUM(AZ161:AZ175)</f>
        <v>8431.02</v>
      </c>
    </row>
    <row r="174" spans="1:82" ht="28.5" x14ac:dyDescent="0.2">
      <c r="A174" s="6"/>
      <c r="B174" s="6" t="s">
        <v>585</v>
      </c>
      <c r="C174" s="6" t="s">
        <v>582</v>
      </c>
      <c r="D174" s="40" t="s">
        <v>468</v>
      </c>
      <c r="E174" s="41">
        <f>Source!CA47</f>
        <v>49</v>
      </c>
      <c r="F174" s="41">
        <f>ROUND(0.85,7)</f>
        <v>0.85</v>
      </c>
      <c r="G174" s="41">
        <f>Source!AU47</f>
        <v>41.65</v>
      </c>
      <c r="H174" s="42"/>
      <c r="I174" s="43"/>
      <c r="J174" s="42">
        <f>SUM(AE161:AE175)</f>
        <v>99.2</v>
      </c>
      <c r="K174" s="43"/>
      <c r="L174" s="42">
        <f>SUM(BA161:BA175)</f>
        <v>3901.69</v>
      </c>
    </row>
    <row r="175" spans="1:82" ht="15" x14ac:dyDescent="0.2">
      <c r="C175" s="93" t="s">
        <v>557</v>
      </c>
      <c r="D175" s="93"/>
      <c r="E175" s="93"/>
      <c r="F175" s="93"/>
      <c r="G175" s="93"/>
      <c r="H175" s="93"/>
      <c r="I175" s="94">
        <f>J164+J165+J167+J173+J174+SUM(J171:J171)-SUMIF(CE171:CE171, 1, J171:J171)</f>
        <v>1024.24</v>
      </c>
      <c r="J175" s="94"/>
      <c r="K175" s="94">
        <f>L164+L165+L167+L173+L174+SUM(L171:L171)-SUMIF(CE171:CE171, 1, L171:L171)</f>
        <v>25826.97</v>
      </c>
      <c r="L175" s="94"/>
      <c r="O175" s="4">
        <f>J164+J165+J167+J173+J174</f>
        <v>636.82000000000005</v>
      </c>
      <c r="P175" s="4">
        <f>J165</f>
        <v>4.83</v>
      </c>
      <c r="R175" t="s">
        <v>558</v>
      </c>
      <c r="S175" s="4">
        <f>J164</f>
        <v>236.41</v>
      </c>
      <c r="U175" s="4">
        <f>J164</f>
        <v>236.41</v>
      </c>
      <c r="X175" s="4">
        <f>J166</f>
        <v>1.77</v>
      </c>
      <c r="Z175" t="s">
        <v>558</v>
      </c>
      <c r="AA175" s="4">
        <f>J167</f>
        <v>82.02</v>
      </c>
      <c r="AD175">
        <f>ROUND((Source!AT47/100)*((ROUND(Source!AF47*Source!I47, 2)+(ROUND((ROUND((((Source!EU47*ROUND(1.25,7)))*Source!I47),2)),2)+ROUND((ROUND(((Source!AE47-((Source!EU47*ROUND(1.25,7))))*Source!I47),2)),2)))), 2)</f>
        <v>214.36</v>
      </c>
      <c r="AE175">
        <f>ROUND((Source!AU47/100)*((ROUND(Source!AF47*Source!I47, 2)+(ROUND((ROUND((((Source!EU47*ROUND(1.25,7)))*Source!I47),2)),2)+ROUND((ROUND(((Source!AE47-((Source!EU47*ROUND(1.25,7))))*Source!I47),2)),2)))), 2)</f>
        <v>99.2</v>
      </c>
      <c r="AN175" s="4">
        <f>L164+L165+L167+L173+L174</f>
        <v>22421.52</v>
      </c>
      <c r="AO175" s="4">
        <f>L165</f>
        <v>69.650000000000006</v>
      </c>
      <c r="AQ175" t="s">
        <v>558</v>
      </c>
      <c r="AR175" s="4">
        <f>L164</f>
        <v>9298.19</v>
      </c>
      <c r="AT175" s="4">
        <f>L166</f>
        <v>69.61</v>
      </c>
      <c r="AV175" t="s">
        <v>558</v>
      </c>
      <c r="AW175" s="4">
        <f>L167</f>
        <v>720.97</v>
      </c>
      <c r="AZ175">
        <f>Source!X47</f>
        <v>8431.02</v>
      </c>
      <c r="BA175">
        <f>Source!Y47</f>
        <v>3901.69</v>
      </c>
      <c r="BH175" s="4">
        <f>J164+J165+J167+J173+J174</f>
        <v>636.82000000000005</v>
      </c>
      <c r="CD175">
        <v>1</v>
      </c>
    </row>
    <row r="176" spans="1:82" ht="28.5" x14ac:dyDescent="0.2">
      <c r="A176" s="35" t="s">
        <v>147</v>
      </c>
      <c r="B176" s="5" t="str">
        <f>Source!F53</f>
        <v>09-03-050-01</v>
      </c>
      <c r="C176" s="5" t="str">
        <f>Source!G53</f>
        <v>Монтаж стальных плинтусов из гнутого профиля</v>
      </c>
      <c r="D176" s="36" t="str">
        <f>Source!H53</f>
        <v>100 м</v>
      </c>
      <c r="E176" s="2">
        <f>Source!K53</f>
        <v>0.24399999999999999</v>
      </c>
      <c r="F176" s="2"/>
      <c r="G176" s="2">
        <f>Source!I53</f>
        <v>0.24399999999999999</v>
      </c>
      <c r="H176" s="38"/>
      <c r="I176" s="37"/>
      <c r="J176" s="38"/>
      <c r="K176" s="37"/>
      <c r="L176" s="38"/>
    </row>
    <row r="177" spans="1:82" ht="25.5" x14ac:dyDescent="0.2">
      <c r="B177" s="46" t="s">
        <v>455</v>
      </c>
      <c r="C177" s="107" t="s">
        <v>565</v>
      </c>
      <c r="D177" s="107"/>
      <c r="E177" s="107"/>
      <c r="F177" s="107"/>
      <c r="G177" s="107"/>
      <c r="H177" s="107"/>
      <c r="I177" s="107"/>
      <c r="J177" s="107"/>
      <c r="K177" s="107"/>
      <c r="L177" s="107"/>
    </row>
    <row r="178" spans="1:82" x14ac:dyDescent="0.2">
      <c r="C178" s="3" t="str">
        <f>"Объем: "&amp;Source!I53&amp;"=24,4/"&amp;"100"</f>
        <v>Объем: 0,244=24,4/100</v>
      </c>
    </row>
    <row r="179" spans="1:82" ht="14.25" x14ac:dyDescent="0.2">
      <c r="A179" s="5"/>
      <c r="B179" s="37">
        <v>1</v>
      </c>
      <c r="C179" s="5" t="s">
        <v>547</v>
      </c>
      <c r="D179" s="36"/>
      <c r="E179" s="2"/>
      <c r="F179" s="2"/>
      <c r="G179" s="2"/>
      <c r="H179" s="38">
        <f>Source!AO53</f>
        <v>117.24</v>
      </c>
      <c r="I179" s="37">
        <f>ROUND(1.15,7)</f>
        <v>1.1499999999999999</v>
      </c>
      <c r="J179" s="38">
        <f>ROUND(Source!AF53*Source!I53, 2)</f>
        <v>32.9</v>
      </c>
      <c r="K179" s="37">
        <f>IF(Source!BA53&lt;&gt; 0, Source!BA53, 1)</f>
        <v>39.33</v>
      </c>
      <c r="L179" s="38">
        <f>Source!S53</f>
        <v>1293.8599999999999</v>
      </c>
    </row>
    <row r="180" spans="1:82" ht="14.25" x14ac:dyDescent="0.2">
      <c r="A180" s="5"/>
      <c r="B180" s="37">
        <v>2</v>
      </c>
      <c r="C180" s="5" t="s">
        <v>548</v>
      </c>
      <c r="D180" s="36"/>
      <c r="E180" s="2"/>
      <c r="F180" s="2"/>
      <c r="G180" s="2"/>
      <c r="H180" s="38">
        <f>Source!AM53</f>
        <v>3.29</v>
      </c>
      <c r="I180" s="37">
        <f>ROUND(1.25,7)</f>
        <v>1.25</v>
      </c>
      <c r="J180" s="38">
        <f>(ROUND((ROUND((((Source!ET53*ROUND(1.25,7)))*Source!I53),2)),2)+ROUND((ROUND(((Source!AE53-((Source!EU53*ROUND(1.25,7))))*Source!I53),2)),2))</f>
        <v>1</v>
      </c>
      <c r="K180" s="37">
        <f>IF(Source!BB53&lt;&gt; 0, Source!BB53, 1)</f>
        <v>14.42</v>
      </c>
      <c r="L180" s="38">
        <f>Source!Q53</f>
        <v>14.42</v>
      </c>
    </row>
    <row r="181" spans="1:82" ht="14.25" x14ac:dyDescent="0.2">
      <c r="A181" s="5"/>
      <c r="B181" s="37">
        <v>3</v>
      </c>
      <c r="C181" s="5" t="s">
        <v>549</v>
      </c>
      <c r="D181" s="36"/>
      <c r="E181" s="2"/>
      <c r="F181" s="2"/>
      <c r="G181" s="2"/>
      <c r="H181" s="38">
        <f>Source!AN53</f>
        <v>0.57999999999999996</v>
      </c>
      <c r="I181" s="37">
        <f>ROUND(1.25,7)</f>
        <v>1.25</v>
      </c>
      <c r="J181" s="39">
        <f>(ROUND((ROUND((((Source!EU53*ROUND(1.25,7)))*Source!I53),2)),2)+ROUND((ROUND(((Source!AE53-((Source!EU53*ROUND(1.25,7))))*Source!I53),2)),2))</f>
        <v>0.18</v>
      </c>
      <c r="K181" s="37">
        <f>IF(Source!BS53&lt;&gt; 0, Source!BS53, 1)</f>
        <v>39.33</v>
      </c>
      <c r="L181" s="39">
        <f>Source!R53</f>
        <v>7.08</v>
      </c>
    </row>
    <row r="182" spans="1:82" ht="14.25" x14ac:dyDescent="0.2">
      <c r="A182" s="5"/>
      <c r="B182" s="37">
        <v>4</v>
      </c>
      <c r="C182" s="5" t="s">
        <v>559</v>
      </c>
      <c r="D182" s="36"/>
      <c r="E182" s="2"/>
      <c r="F182" s="2"/>
      <c r="G182" s="2"/>
      <c r="H182" s="38">
        <f>Source!AL53</f>
        <v>9.32</v>
      </c>
      <c r="I182" s="37"/>
      <c r="J182" s="38">
        <f>ROUND(Source!AC53*Source!I53, 2)</f>
        <v>2.27</v>
      </c>
      <c r="K182" s="37">
        <f>IF(Source!BC53&lt;&gt; 0, Source!BC53, 1)</f>
        <v>8.7899999999999991</v>
      </c>
      <c r="L182" s="38">
        <f>Source!P53</f>
        <v>19.989999999999998</v>
      </c>
    </row>
    <row r="183" spans="1:82" ht="14.25" x14ac:dyDescent="0.2">
      <c r="A183" s="5"/>
      <c r="B183" s="5"/>
      <c r="C183" s="5" t="s">
        <v>550</v>
      </c>
      <c r="D183" s="36" t="s">
        <v>324</v>
      </c>
      <c r="E183" s="2">
        <f>Source!AQ53</f>
        <v>12.62</v>
      </c>
      <c r="F183" s="2">
        <f>ROUND(1.15,7)</f>
        <v>1.1499999999999999</v>
      </c>
      <c r="G183" s="2">
        <f>ROUND(Source!U53, 7)</f>
        <v>3.541172</v>
      </c>
      <c r="H183" s="38"/>
      <c r="I183" s="37"/>
      <c r="J183" s="38"/>
      <c r="K183" s="37"/>
      <c r="L183" s="38"/>
    </row>
    <row r="184" spans="1:82" ht="14.25" x14ac:dyDescent="0.2">
      <c r="A184" s="5"/>
      <c r="B184" s="5"/>
      <c r="C184" s="6" t="s">
        <v>551</v>
      </c>
      <c r="D184" s="40" t="s">
        <v>324</v>
      </c>
      <c r="E184" s="41">
        <f>Source!AR53</f>
        <v>0.05</v>
      </c>
      <c r="F184" s="41">
        <f>ROUND(1.25,7)</f>
        <v>1.25</v>
      </c>
      <c r="G184" s="41">
        <f>ROUND(Source!V53, 7)</f>
        <v>1.525E-2</v>
      </c>
      <c r="H184" s="42"/>
      <c r="I184" s="43"/>
      <c r="J184" s="42"/>
      <c r="K184" s="43"/>
      <c r="L184" s="42"/>
    </row>
    <row r="185" spans="1:82" ht="14.25" x14ac:dyDescent="0.2">
      <c r="A185" s="5"/>
      <c r="B185" s="5"/>
      <c r="C185" s="5" t="s">
        <v>552</v>
      </c>
      <c r="D185" s="36"/>
      <c r="E185" s="2"/>
      <c r="F185" s="2"/>
      <c r="G185" s="2"/>
      <c r="H185" s="38">
        <f>H179+H180+H182</f>
        <v>129.85</v>
      </c>
      <c r="I185" s="37"/>
      <c r="J185" s="38">
        <f>J179+J180+J182</f>
        <v>36.17</v>
      </c>
      <c r="K185" s="37"/>
      <c r="L185" s="38">
        <f>L179+L180+L182</f>
        <v>1328.27</v>
      </c>
    </row>
    <row r="186" spans="1:82" ht="28.5" x14ac:dyDescent="0.2">
      <c r="A186" s="35" t="s">
        <v>586</v>
      </c>
      <c r="B186" s="5" t="str">
        <f>Source!F56</f>
        <v>07.2.06.03-0228</v>
      </c>
      <c r="C186" s="5" t="str">
        <f>Source!G56</f>
        <v>Профиль угловой ПУ 25x25 мм для защиты углов, алюминиевый</v>
      </c>
      <c r="D186" s="36" t="str">
        <f>Source!H56</f>
        <v>м</v>
      </c>
      <c r="E186" s="2">
        <f>SmtRes!AT75</f>
        <v>100</v>
      </c>
      <c r="F186" s="2"/>
      <c r="G186" s="2">
        <f>Source!I56</f>
        <v>24.4</v>
      </c>
      <c r="H186" s="38">
        <f>Source!AL56+Source!AO56+Source!AM56</f>
        <v>5.01</v>
      </c>
      <c r="I186" s="37"/>
      <c r="J186" s="38">
        <f>ROUND(Source!AC56*Source!I56, 2)+(ROUND((ROUND(((Source!ET56)*Source!I56),2)),2)+ROUND((ROUND(((Source!AE56-(Source!EU56))*Source!I56),2)),2))+ROUND(Source!AF56*Source!I56, 2)</f>
        <v>122.24</v>
      </c>
      <c r="K186" s="37">
        <f>IF(Source!BC56&lt;&gt; 0, Source!BC56, 1)</f>
        <v>8.7899999999999991</v>
      </c>
      <c r="L186" s="38">
        <f>Source!P56</f>
        <v>1074.52</v>
      </c>
      <c r="O186">
        <f>J186</f>
        <v>122.24</v>
      </c>
      <c r="AA186">
        <f>J186</f>
        <v>122.24</v>
      </c>
      <c r="AD186">
        <f>ROUND((Source!AT56/100)*((ROUND(Source!AF56*Source!I56, 2)+(ROUND((ROUND(((Source!EU56)*Source!I56),2)),2)+ROUND((ROUND(((Source!AE56-(Source!EU56))*Source!I56),2)),2)))), 2)</f>
        <v>0</v>
      </c>
      <c r="AE186">
        <f>ROUND((Source!AU56/100)*((ROUND(Source!AF56*Source!I56, 2)+(ROUND((ROUND(((Source!EU56)*Source!I56),2)),2)+ROUND((ROUND(((Source!AE56-(Source!EU56))*Source!I56),2)),2)))), 2)</f>
        <v>0</v>
      </c>
      <c r="AN186">
        <f>L186</f>
        <v>1074.52</v>
      </c>
      <c r="AW186">
        <f>L186</f>
        <v>1074.52</v>
      </c>
      <c r="AZ186">
        <f>Source!X56</f>
        <v>0</v>
      </c>
      <c r="BA186">
        <f>Source!Y56</f>
        <v>0</v>
      </c>
      <c r="BH186">
        <f>J186</f>
        <v>122.24</v>
      </c>
      <c r="CD186">
        <v>1</v>
      </c>
    </row>
    <row r="187" spans="1:82" ht="14.25" x14ac:dyDescent="0.2">
      <c r="A187" s="5"/>
      <c r="B187" s="5"/>
      <c r="C187" s="5" t="s">
        <v>554</v>
      </c>
      <c r="D187" s="36"/>
      <c r="E187" s="2"/>
      <c r="F187" s="2"/>
      <c r="G187" s="2"/>
      <c r="H187" s="38"/>
      <c r="I187" s="37"/>
      <c r="J187" s="38">
        <f>SUM(S176:S190)+SUM(T176:T190)+SUM(X176:X190)+SUM(Y176:Y190)+SUM(Z176:Z190)</f>
        <v>33.08</v>
      </c>
      <c r="K187" s="37"/>
      <c r="L187" s="38">
        <f>SUM(AR176:AR190)+SUM(AS176:AS190)+SUM(AT176:AT190)+SUM(AU176:AU190)+SUM(AV176:AV190)</f>
        <v>1300.9399999999998</v>
      </c>
    </row>
    <row r="188" spans="1:82" ht="28.5" x14ac:dyDescent="0.2">
      <c r="A188" s="5"/>
      <c r="B188" s="5" t="s">
        <v>587</v>
      </c>
      <c r="C188" s="5" t="s">
        <v>588</v>
      </c>
      <c r="D188" s="36" t="s">
        <v>468</v>
      </c>
      <c r="E188" s="2">
        <f>Source!BZ53</f>
        <v>93</v>
      </c>
      <c r="F188" s="2">
        <f>ROUND(0.9,7)</f>
        <v>0.9</v>
      </c>
      <c r="G188" s="2">
        <f>Source!AT53</f>
        <v>83.7</v>
      </c>
      <c r="H188" s="38"/>
      <c r="I188" s="37"/>
      <c r="J188" s="38">
        <f>SUM(AD176:AD190)</f>
        <v>27.69</v>
      </c>
      <c r="K188" s="37"/>
      <c r="L188" s="38">
        <f>SUM(AZ176:AZ190)</f>
        <v>1088.8900000000001</v>
      </c>
    </row>
    <row r="189" spans="1:82" ht="28.5" x14ac:dyDescent="0.2">
      <c r="A189" s="6"/>
      <c r="B189" s="6" t="s">
        <v>589</v>
      </c>
      <c r="C189" s="6" t="s">
        <v>590</v>
      </c>
      <c r="D189" s="40" t="s">
        <v>468</v>
      </c>
      <c r="E189" s="41">
        <f>Source!CA53</f>
        <v>62</v>
      </c>
      <c r="F189" s="41">
        <f>ROUND(0.85,7)</f>
        <v>0.85</v>
      </c>
      <c r="G189" s="41">
        <f>Source!AU53</f>
        <v>52.7</v>
      </c>
      <c r="H189" s="42"/>
      <c r="I189" s="43"/>
      <c r="J189" s="42">
        <f>SUM(AE176:AE190)</f>
        <v>17.43</v>
      </c>
      <c r="K189" s="43"/>
      <c r="L189" s="42">
        <f>SUM(BA176:BA190)</f>
        <v>685.6</v>
      </c>
    </row>
    <row r="190" spans="1:82" ht="15" x14ac:dyDescent="0.2">
      <c r="C190" s="93" t="s">
        <v>557</v>
      </c>
      <c r="D190" s="93"/>
      <c r="E190" s="93"/>
      <c r="F190" s="93"/>
      <c r="G190" s="93"/>
      <c r="H190" s="93"/>
      <c r="I190" s="94">
        <f>J179+J180+J182+J188+J189+SUM(J186:J186)-SUMIF(CE186:CE186, 1, J186:J186)</f>
        <v>203.52999999999997</v>
      </c>
      <c r="J190" s="94"/>
      <c r="K190" s="94">
        <f>L179+L180+L182+L188+L189+SUM(L186:L186)-SUMIF(CE186:CE186, 1, L186:L186)</f>
        <v>4177.28</v>
      </c>
      <c r="L190" s="94"/>
      <c r="O190" s="4">
        <f>J179+J180+J182+J188+J189</f>
        <v>81.289999999999992</v>
      </c>
      <c r="P190" s="4">
        <f>J180</f>
        <v>1</v>
      </c>
      <c r="R190" t="s">
        <v>558</v>
      </c>
      <c r="S190" s="4">
        <f>J179</f>
        <v>32.9</v>
      </c>
      <c r="U190" s="4">
        <f>J179</f>
        <v>32.9</v>
      </c>
      <c r="X190" s="4">
        <f>J181</f>
        <v>0.18</v>
      </c>
      <c r="Z190" t="s">
        <v>558</v>
      </c>
      <c r="AA190" s="4">
        <f>J182</f>
        <v>2.27</v>
      </c>
      <c r="AD190">
        <f>ROUND((Source!AT53/100)*((ROUND(Source!AF53*Source!I53, 2)+(ROUND((ROUND((((Source!EU53*ROUND(1.25,7)))*Source!I53),2)),2)+ROUND((ROUND(((Source!AE53-((Source!EU53*ROUND(1.25,7))))*Source!I53),2)),2)))), 2)</f>
        <v>27.69</v>
      </c>
      <c r="AE190">
        <f>ROUND((Source!AU53/100)*((ROUND(Source!AF53*Source!I53, 2)+(ROUND((ROUND((((Source!EU53*ROUND(1.25,7)))*Source!I53),2)),2)+ROUND((ROUND(((Source!AE53-((Source!EU53*ROUND(1.25,7))))*Source!I53),2)),2)))), 2)</f>
        <v>17.43</v>
      </c>
      <c r="AN190" s="4">
        <f>L179+L180+L182+L188+L189</f>
        <v>3102.7599999999998</v>
      </c>
      <c r="AO190" s="4">
        <f>L180</f>
        <v>14.42</v>
      </c>
      <c r="AQ190" t="s">
        <v>558</v>
      </c>
      <c r="AR190" s="4">
        <f>L179</f>
        <v>1293.8599999999999</v>
      </c>
      <c r="AT190" s="4">
        <f>L181</f>
        <v>7.08</v>
      </c>
      <c r="AV190" t="s">
        <v>558</v>
      </c>
      <c r="AW190" s="4">
        <f>L182</f>
        <v>19.989999999999998</v>
      </c>
      <c r="AZ190">
        <f>Source!X53</f>
        <v>1088.8900000000001</v>
      </c>
      <c r="BA190">
        <f>Source!Y53</f>
        <v>685.6</v>
      </c>
      <c r="BH190" s="4">
        <f>J179+J180+J182+J188+J189</f>
        <v>81.289999999999992</v>
      </c>
      <c r="CD190">
        <v>1</v>
      </c>
    </row>
    <row r="191" spans="1:82" ht="14.25" x14ac:dyDescent="0.2">
      <c r="A191" s="35" t="s">
        <v>167</v>
      </c>
      <c r="B191" s="5" t="str">
        <f>Source!F57</f>
        <v>13-06-003-01</v>
      </c>
      <c r="C191" s="5" t="str">
        <f>Source!G57</f>
        <v>Очистка поверхности щетками</v>
      </c>
      <c r="D191" s="36" t="str">
        <f>Source!H57</f>
        <v>м2</v>
      </c>
      <c r="E191" s="2">
        <f>Source!K57</f>
        <v>12</v>
      </c>
      <c r="F191" s="2"/>
      <c r="G191" s="2">
        <f>Source!I57</f>
        <v>12</v>
      </c>
      <c r="H191" s="38"/>
      <c r="I191" s="37"/>
      <c r="J191" s="38"/>
      <c r="K191" s="37"/>
      <c r="L191" s="38"/>
    </row>
    <row r="192" spans="1:82" ht="25.5" x14ac:dyDescent="0.2">
      <c r="B192" s="46" t="s">
        <v>455</v>
      </c>
      <c r="C192" s="107" t="s">
        <v>565</v>
      </c>
      <c r="D192" s="107"/>
      <c r="E192" s="107"/>
      <c r="F192" s="107"/>
      <c r="G192" s="107"/>
      <c r="H192" s="107"/>
      <c r="I192" s="107"/>
      <c r="J192" s="107"/>
      <c r="K192" s="107"/>
      <c r="L192" s="107"/>
    </row>
    <row r="193" spans="1:82" ht="14.25" x14ac:dyDescent="0.2">
      <c r="A193" s="5"/>
      <c r="B193" s="37">
        <v>1</v>
      </c>
      <c r="C193" s="5" t="s">
        <v>547</v>
      </c>
      <c r="D193" s="36"/>
      <c r="E193" s="2"/>
      <c r="F193" s="2"/>
      <c r="G193" s="2"/>
      <c r="H193" s="38">
        <f>Source!AO57</f>
        <v>7.68</v>
      </c>
      <c r="I193" s="37">
        <f>ROUND(1.15,7)</f>
        <v>1.1499999999999999</v>
      </c>
      <c r="J193" s="38">
        <f>ROUND(Source!AF57*Source!I57, 2)</f>
        <v>105.98</v>
      </c>
      <c r="K193" s="37">
        <f>IF(Source!BA57&lt;&gt; 0, Source!BA57, 1)</f>
        <v>39.33</v>
      </c>
      <c r="L193" s="38">
        <f>Source!S57</f>
        <v>4168.3500000000004</v>
      </c>
    </row>
    <row r="194" spans="1:82" ht="14.25" x14ac:dyDescent="0.2">
      <c r="A194" s="5"/>
      <c r="B194" s="5"/>
      <c r="C194" s="6" t="s">
        <v>550</v>
      </c>
      <c r="D194" s="40" t="s">
        <v>324</v>
      </c>
      <c r="E194" s="41">
        <f>Source!AQ57</f>
        <v>0.9</v>
      </c>
      <c r="F194" s="41">
        <f>ROUND(1.15,7)</f>
        <v>1.1499999999999999</v>
      </c>
      <c r="G194" s="41">
        <f>ROUND(Source!U57, 7)</f>
        <v>12.42</v>
      </c>
      <c r="H194" s="42"/>
      <c r="I194" s="43"/>
      <c r="J194" s="42"/>
      <c r="K194" s="43"/>
      <c r="L194" s="42"/>
    </row>
    <row r="195" spans="1:82" ht="14.25" x14ac:dyDescent="0.2">
      <c r="A195" s="5"/>
      <c r="B195" s="5"/>
      <c r="C195" s="5" t="s">
        <v>552</v>
      </c>
      <c r="D195" s="36"/>
      <c r="E195" s="2"/>
      <c r="F195" s="2"/>
      <c r="G195" s="2"/>
      <c r="H195" s="38">
        <f>H193</f>
        <v>7.68</v>
      </c>
      <c r="I195" s="37"/>
      <c r="J195" s="38">
        <f>J193</f>
        <v>105.98</v>
      </c>
      <c r="K195" s="37"/>
      <c r="L195" s="38">
        <f>L193</f>
        <v>4168.3500000000004</v>
      </c>
    </row>
    <row r="196" spans="1:82" ht="14.25" x14ac:dyDescent="0.2">
      <c r="A196" s="5"/>
      <c r="B196" s="5"/>
      <c r="C196" s="5" t="s">
        <v>554</v>
      </c>
      <c r="D196" s="36"/>
      <c r="E196" s="2"/>
      <c r="F196" s="2"/>
      <c r="G196" s="2"/>
      <c r="H196" s="38"/>
      <c r="I196" s="37"/>
      <c r="J196" s="38">
        <f>SUM(S191:S199)+SUM(T191:T199)+SUM(X191:X199)+SUM(Y191:Y199)+SUM(Z191:Z199)</f>
        <v>105.98</v>
      </c>
      <c r="K196" s="37"/>
      <c r="L196" s="38">
        <f>SUM(AR191:AR199)+SUM(AS191:AS199)+SUM(AT191:AT199)+SUM(AU191:AU199)+SUM(AV191:AV199)</f>
        <v>4168.3500000000004</v>
      </c>
    </row>
    <row r="197" spans="1:82" ht="28.5" x14ac:dyDescent="0.2">
      <c r="A197" s="5"/>
      <c r="B197" s="5" t="s">
        <v>591</v>
      </c>
      <c r="C197" s="5" t="s">
        <v>592</v>
      </c>
      <c r="D197" s="36" t="s">
        <v>468</v>
      </c>
      <c r="E197" s="2">
        <f>Source!BZ57</f>
        <v>94</v>
      </c>
      <c r="F197" s="2">
        <f>ROUND(0.9,7)</f>
        <v>0.9</v>
      </c>
      <c r="G197" s="2">
        <f>Source!AT57</f>
        <v>84.6</v>
      </c>
      <c r="H197" s="38"/>
      <c r="I197" s="37"/>
      <c r="J197" s="38">
        <f>SUM(AD191:AD199)</f>
        <v>89.66</v>
      </c>
      <c r="K197" s="37"/>
      <c r="L197" s="38">
        <f>SUM(AZ191:AZ199)</f>
        <v>3526.42</v>
      </c>
    </row>
    <row r="198" spans="1:82" ht="28.5" x14ac:dyDescent="0.2">
      <c r="A198" s="6"/>
      <c r="B198" s="6" t="s">
        <v>593</v>
      </c>
      <c r="C198" s="6" t="s">
        <v>594</v>
      </c>
      <c r="D198" s="40" t="s">
        <v>468</v>
      </c>
      <c r="E198" s="41">
        <f>Source!CA57</f>
        <v>51</v>
      </c>
      <c r="F198" s="41">
        <f>ROUND(0.85,7)</f>
        <v>0.85</v>
      </c>
      <c r="G198" s="41">
        <f>Source!AU57</f>
        <v>43.35</v>
      </c>
      <c r="H198" s="42"/>
      <c r="I198" s="43"/>
      <c r="J198" s="42">
        <f>SUM(AE191:AE199)</f>
        <v>45.94</v>
      </c>
      <c r="K198" s="43"/>
      <c r="L198" s="42">
        <f>SUM(BA191:BA199)</f>
        <v>1806.98</v>
      </c>
    </row>
    <row r="199" spans="1:82" ht="15" x14ac:dyDescent="0.2">
      <c r="C199" s="93" t="s">
        <v>557</v>
      </c>
      <c r="D199" s="93"/>
      <c r="E199" s="93"/>
      <c r="F199" s="93"/>
      <c r="G199" s="93"/>
      <c r="H199" s="93"/>
      <c r="I199" s="94">
        <f>J193+J197+J198</f>
        <v>241.57999999999998</v>
      </c>
      <c r="J199" s="94"/>
      <c r="K199" s="94">
        <f>L193+L197+L198</f>
        <v>9501.75</v>
      </c>
      <c r="L199" s="94"/>
      <c r="O199" s="4">
        <f>J193+J197+J198</f>
        <v>241.57999999999998</v>
      </c>
      <c r="P199">
        <f>0</f>
        <v>0</v>
      </c>
      <c r="R199" t="s">
        <v>558</v>
      </c>
      <c r="S199" s="4">
        <f>J193</f>
        <v>105.98</v>
      </c>
      <c r="U199" s="4">
        <f>J193</f>
        <v>105.98</v>
      </c>
      <c r="X199">
        <f>0</f>
        <v>0</v>
      </c>
      <c r="Z199" t="s">
        <v>558</v>
      </c>
      <c r="AA199">
        <f>0</f>
        <v>0</v>
      </c>
      <c r="AD199">
        <f>ROUND((Source!AT57/100)*((ROUND(Source!AF57*Source!I57, 2)+(ROUND((ROUND((((Source!EU57*ROUND(1.25,7)))*Source!I57),2)),2)+ROUND((ROUND(((Source!AE57-((Source!EU57*ROUND(1.25,7))))*Source!I57),2)),2)))), 2)</f>
        <v>89.66</v>
      </c>
      <c r="AE199">
        <f>ROUND((Source!AU57/100)*((ROUND(Source!AF57*Source!I57, 2)+(ROUND((ROUND((((Source!EU57*ROUND(1.25,7)))*Source!I57),2)),2)+ROUND((ROUND(((Source!AE57-((Source!EU57*ROUND(1.25,7))))*Source!I57),2)),2)))), 2)</f>
        <v>45.94</v>
      </c>
      <c r="AN199" s="4">
        <f>L193+L197+L198</f>
        <v>9501.75</v>
      </c>
      <c r="AO199">
        <f>0</f>
        <v>0</v>
      </c>
      <c r="AQ199" t="s">
        <v>558</v>
      </c>
      <c r="AR199" s="4">
        <f>L193</f>
        <v>4168.3500000000004</v>
      </c>
      <c r="AT199">
        <f>0</f>
        <v>0</v>
      </c>
      <c r="AV199" t="s">
        <v>558</v>
      </c>
      <c r="AW199">
        <f>0</f>
        <v>0</v>
      </c>
      <c r="AZ199">
        <f>Source!X57</f>
        <v>3526.42</v>
      </c>
      <c r="BA199">
        <f>Source!Y57</f>
        <v>1806.98</v>
      </c>
      <c r="BH199" s="4">
        <f>J193+J197+J198</f>
        <v>241.57999999999998</v>
      </c>
      <c r="CD199">
        <v>1</v>
      </c>
    </row>
    <row r="200" spans="1:82" ht="42.75" x14ac:dyDescent="0.2">
      <c r="A200" s="35" t="s">
        <v>176</v>
      </c>
      <c r="B200" s="5" t="str">
        <f>Source!F58</f>
        <v>13-03-002-12</v>
      </c>
      <c r="C200" s="5" t="str">
        <f>Source!G58</f>
        <v>Огрунтовка металлических поверхностей за один раз: грунтовкой ЭП-0259 (перила)</v>
      </c>
      <c r="D200" s="36" t="str">
        <f>Source!H58</f>
        <v>100 м2</v>
      </c>
      <c r="E200" s="2">
        <f>Source!K58</f>
        <v>0.12</v>
      </c>
      <c r="F200" s="2"/>
      <c r="G200" s="2">
        <f>Source!I58</f>
        <v>0.12</v>
      </c>
      <c r="H200" s="38"/>
      <c r="I200" s="37"/>
      <c r="J200" s="38"/>
      <c r="K200" s="37"/>
      <c r="L200" s="38"/>
    </row>
    <row r="201" spans="1:82" ht="25.5" x14ac:dyDescent="0.2">
      <c r="B201" s="46" t="s">
        <v>455</v>
      </c>
      <c r="C201" s="107" t="s">
        <v>565</v>
      </c>
      <c r="D201" s="107"/>
      <c r="E201" s="107"/>
      <c r="F201" s="107"/>
      <c r="G201" s="107"/>
      <c r="H201" s="107"/>
      <c r="I201" s="107"/>
      <c r="J201" s="107"/>
      <c r="K201" s="107"/>
      <c r="L201" s="107"/>
    </row>
    <row r="202" spans="1:82" x14ac:dyDescent="0.2">
      <c r="C202" s="3" t="str">
        <f>"Объем: "&amp;Source!I58&amp;"=12/"&amp;"100"</f>
        <v>Объем: 0,12=12/100</v>
      </c>
    </row>
    <row r="203" spans="1:82" ht="14.25" x14ac:dyDescent="0.2">
      <c r="A203" s="5"/>
      <c r="B203" s="37">
        <v>1</v>
      </c>
      <c r="C203" s="5" t="s">
        <v>547</v>
      </c>
      <c r="D203" s="36"/>
      <c r="E203" s="2"/>
      <c r="F203" s="2"/>
      <c r="G203" s="2"/>
      <c r="H203" s="38">
        <f>Source!AO58</f>
        <v>50.76</v>
      </c>
      <c r="I203" s="37">
        <f>ROUND(1.15,7)</f>
        <v>1.1499999999999999</v>
      </c>
      <c r="J203" s="38">
        <f>ROUND(Source!AF58*Source!I58, 2)</f>
        <v>7</v>
      </c>
      <c r="K203" s="37">
        <f>IF(Source!BA58&lt;&gt; 0, Source!BA58, 1)</f>
        <v>39.33</v>
      </c>
      <c r="L203" s="38">
        <f>Source!S58</f>
        <v>275.5</v>
      </c>
    </row>
    <row r="204" spans="1:82" ht="14.25" x14ac:dyDescent="0.2">
      <c r="A204" s="5"/>
      <c r="B204" s="37">
        <v>2</v>
      </c>
      <c r="C204" s="5" t="s">
        <v>548</v>
      </c>
      <c r="D204" s="36"/>
      <c r="E204" s="2"/>
      <c r="F204" s="2"/>
      <c r="G204" s="2"/>
      <c r="H204" s="38">
        <f>Source!AM58</f>
        <v>9.2200000000000006</v>
      </c>
      <c r="I204" s="37">
        <f>ROUND(1.25,7)</f>
        <v>1.25</v>
      </c>
      <c r="J204" s="38">
        <f>(ROUND((ROUND((((Source!ET58*ROUND(1.25,7)))*Source!I58),2)),2)+ROUND((ROUND(((Source!AE58-((Source!EU58*ROUND(1.25,7))))*Source!I58),2)),2))</f>
        <v>1.38</v>
      </c>
      <c r="K204" s="37">
        <f>IF(Source!BB58&lt;&gt; 0, Source!BB58, 1)</f>
        <v>14.42</v>
      </c>
      <c r="L204" s="38">
        <f>Source!Q58</f>
        <v>19.899999999999999</v>
      </c>
    </row>
    <row r="205" spans="1:82" ht="14.25" x14ac:dyDescent="0.2">
      <c r="A205" s="5"/>
      <c r="B205" s="37">
        <v>3</v>
      </c>
      <c r="C205" s="5" t="s">
        <v>549</v>
      </c>
      <c r="D205" s="36"/>
      <c r="E205" s="2"/>
      <c r="F205" s="2"/>
      <c r="G205" s="2"/>
      <c r="H205" s="38">
        <f>Source!AN58</f>
        <v>0.22</v>
      </c>
      <c r="I205" s="37">
        <f>ROUND(1.25,7)</f>
        <v>1.25</v>
      </c>
      <c r="J205" s="39">
        <f>(ROUND((ROUND((((Source!EU58*ROUND(1.25,7)))*Source!I58),2)),2)+ROUND((ROUND(((Source!AE58-((Source!EU58*ROUND(1.25,7))))*Source!I58),2)),2))</f>
        <v>0.03</v>
      </c>
      <c r="K205" s="37">
        <f>IF(Source!BS58&lt;&gt; 0, Source!BS58, 1)</f>
        <v>39.33</v>
      </c>
      <c r="L205" s="39">
        <f>Source!R58</f>
        <v>1.18</v>
      </c>
    </row>
    <row r="206" spans="1:82" ht="14.25" x14ac:dyDescent="0.2">
      <c r="A206" s="5"/>
      <c r="B206" s="37">
        <v>4</v>
      </c>
      <c r="C206" s="5" t="s">
        <v>559</v>
      </c>
      <c r="D206" s="36"/>
      <c r="E206" s="2"/>
      <c r="F206" s="2"/>
      <c r="G206" s="2"/>
      <c r="H206" s="38">
        <f>Source!AL58</f>
        <v>1233.54</v>
      </c>
      <c r="I206" s="37"/>
      <c r="J206" s="38">
        <f>ROUND(Source!AC58*Source!I58, 2)</f>
        <v>148.02000000000001</v>
      </c>
      <c r="K206" s="37">
        <f>IF(Source!BC58&lt;&gt; 0, Source!BC58, 1)</f>
        <v>8.7899999999999991</v>
      </c>
      <c r="L206" s="38">
        <f>Source!P58</f>
        <v>1301.1400000000001</v>
      </c>
    </row>
    <row r="207" spans="1:82" ht="14.25" x14ac:dyDescent="0.2">
      <c r="A207" s="5"/>
      <c r="B207" s="5"/>
      <c r="C207" s="5" t="s">
        <v>550</v>
      </c>
      <c r="D207" s="36" t="s">
        <v>324</v>
      </c>
      <c r="E207" s="2">
        <f>Source!AQ58</f>
        <v>4.6399999999999997</v>
      </c>
      <c r="F207" s="2">
        <f>ROUND(1.15,7)</f>
        <v>1.1499999999999999</v>
      </c>
      <c r="G207" s="2">
        <f>ROUND(Source!U58, 7)</f>
        <v>0.64032</v>
      </c>
      <c r="H207" s="38"/>
      <c r="I207" s="37"/>
      <c r="J207" s="38"/>
      <c r="K207" s="37"/>
      <c r="L207" s="38"/>
    </row>
    <row r="208" spans="1:82" ht="14.25" x14ac:dyDescent="0.2">
      <c r="A208" s="5"/>
      <c r="B208" s="5"/>
      <c r="C208" s="6" t="s">
        <v>551</v>
      </c>
      <c r="D208" s="40" t="s">
        <v>324</v>
      </c>
      <c r="E208" s="41">
        <f>Source!AR58</f>
        <v>0.02</v>
      </c>
      <c r="F208" s="41">
        <f>ROUND(1.25,7)</f>
        <v>1.25</v>
      </c>
      <c r="G208" s="41">
        <f>ROUND(Source!V58, 7)</f>
        <v>3.0000000000000001E-3</v>
      </c>
      <c r="H208" s="42"/>
      <c r="I208" s="43"/>
      <c r="J208" s="42"/>
      <c r="K208" s="43"/>
      <c r="L208" s="42"/>
    </row>
    <row r="209" spans="1:82" ht="14.25" x14ac:dyDescent="0.2">
      <c r="A209" s="5"/>
      <c r="B209" s="5"/>
      <c r="C209" s="5" t="s">
        <v>552</v>
      </c>
      <c r="D209" s="36"/>
      <c r="E209" s="2"/>
      <c r="F209" s="2"/>
      <c r="G209" s="2"/>
      <c r="H209" s="38">
        <f>H203+H204+H206</f>
        <v>1293.52</v>
      </c>
      <c r="I209" s="37"/>
      <c r="J209" s="38">
        <f>J203+J204+J206</f>
        <v>156.4</v>
      </c>
      <c r="K209" s="37"/>
      <c r="L209" s="38">
        <f>L203+L204+L206</f>
        <v>1596.54</v>
      </c>
    </row>
    <row r="210" spans="1:82" ht="14.25" x14ac:dyDescent="0.2">
      <c r="A210" s="5"/>
      <c r="B210" s="5"/>
      <c r="C210" s="5" t="s">
        <v>554</v>
      </c>
      <c r="D210" s="36"/>
      <c r="E210" s="2"/>
      <c r="F210" s="2"/>
      <c r="G210" s="2"/>
      <c r="H210" s="38"/>
      <c r="I210" s="37"/>
      <c r="J210" s="38">
        <f>SUM(S200:S213)+SUM(T200:T213)+SUM(X200:X213)+SUM(Y200:Y213)+SUM(Z200:Z213)</f>
        <v>7.03</v>
      </c>
      <c r="K210" s="37"/>
      <c r="L210" s="38">
        <f>SUM(AR200:AR213)+SUM(AS200:AS213)+SUM(AT200:AT213)+SUM(AU200:AU213)+SUM(AV200:AV213)</f>
        <v>276.68</v>
      </c>
    </row>
    <row r="211" spans="1:82" ht="28.5" x14ac:dyDescent="0.2">
      <c r="A211" s="5"/>
      <c r="B211" s="5" t="s">
        <v>591</v>
      </c>
      <c r="C211" s="5" t="s">
        <v>592</v>
      </c>
      <c r="D211" s="36" t="s">
        <v>468</v>
      </c>
      <c r="E211" s="2">
        <f>Source!BZ58</f>
        <v>94</v>
      </c>
      <c r="F211" s="2">
        <f>ROUND(0.9,7)</f>
        <v>0.9</v>
      </c>
      <c r="G211" s="2">
        <f>Source!AT58</f>
        <v>84.6</v>
      </c>
      <c r="H211" s="38"/>
      <c r="I211" s="37"/>
      <c r="J211" s="38">
        <f>SUM(AD200:AD213)</f>
        <v>5.95</v>
      </c>
      <c r="K211" s="37"/>
      <c r="L211" s="38">
        <f>SUM(AZ200:AZ213)</f>
        <v>234.07</v>
      </c>
    </row>
    <row r="212" spans="1:82" ht="28.5" x14ac:dyDescent="0.2">
      <c r="A212" s="6"/>
      <c r="B212" s="6" t="s">
        <v>593</v>
      </c>
      <c r="C212" s="6" t="s">
        <v>594</v>
      </c>
      <c r="D212" s="40" t="s">
        <v>468</v>
      </c>
      <c r="E212" s="41">
        <f>Source!CA58</f>
        <v>51</v>
      </c>
      <c r="F212" s="41">
        <f>ROUND(0.85,7)</f>
        <v>0.85</v>
      </c>
      <c r="G212" s="41">
        <f>Source!AU58</f>
        <v>43.35</v>
      </c>
      <c r="H212" s="42"/>
      <c r="I212" s="43"/>
      <c r="J212" s="42">
        <f>SUM(AE200:AE213)</f>
        <v>3.05</v>
      </c>
      <c r="K212" s="43"/>
      <c r="L212" s="42">
        <f>SUM(BA200:BA213)</f>
        <v>119.94</v>
      </c>
    </row>
    <row r="213" spans="1:82" ht="15" x14ac:dyDescent="0.2">
      <c r="C213" s="93" t="s">
        <v>557</v>
      </c>
      <c r="D213" s="93"/>
      <c r="E213" s="93"/>
      <c r="F213" s="93"/>
      <c r="G213" s="93"/>
      <c r="H213" s="93"/>
      <c r="I213" s="94">
        <f>J203+J204+J206+J211+J212</f>
        <v>165.4</v>
      </c>
      <c r="J213" s="94"/>
      <c r="K213" s="94">
        <f>L203+L204+L206+L211+L212</f>
        <v>1950.55</v>
      </c>
      <c r="L213" s="94"/>
      <c r="O213" s="4">
        <f>J203+J204+J206+J211+J212</f>
        <v>165.4</v>
      </c>
      <c r="P213" s="4">
        <f>J204</f>
        <v>1.38</v>
      </c>
      <c r="R213" t="s">
        <v>558</v>
      </c>
      <c r="S213" s="4">
        <f>J203</f>
        <v>7</v>
      </c>
      <c r="U213" s="4">
        <f>J203</f>
        <v>7</v>
      </c>
      <c r="X213" s="4">
        <f>J205</f>
        <v>0.03</v>
      </c>
      <c r="Z213" t="s">
        <v>558</v>
      </c>
      <c r="AA213" s="4">
        <f>J206</f>
        <v>148.02000000000001</v>
      </c>
      <c r="AD213">
        <f>ROUND((Source!AT58/100)*((ROUND(Source!AF58*Source!I58, 2)+(ROUND((ROUND((((Source!EU58*ROUND(1.25,7)))*Source!I58),2)),2)+ROUND((ROUND(((Source!AE58-((Source!EU58*ROUND(1.25,7))))*Source!I58),2)),2)))), 2)</f>
        <v>5.95</v>
      </c>
      <c r="AE213">
        <f>ROUND((Source!AU58/100)*((ROUND(Source!AF58*Source!I58, 2)+(ROUND((ROUND((((Source!EU58*ROUND(1.25,7)))*Source!I58),2)),2)+ROUND((ROUND(((Source!AE58-((Source!EU58*ROUND(1.25,7))))*Source!I58),2)),2)))), 2)</f>
        <v>3.05</v>
      </c>
      <c r="AN213" s="4">
        <f>L203+L204+L206+L211+L212</f>
        <v>1950.55</v>
      </c>
      <c r="AO213" s="4">
        <f>L204</f>
        <v>19.899999999999999</v>
      </c>
      <c r="AQ213" t="s">
        <v>558</v>
      </c>
      <c r="AR213" s="4">
        <f>L203</f>
        <v>275.5</v>
      </c>
      <c r="AT213" s="4">
        <f>L205</f>
        <v>1.18</v>
      </c>
      <c r="AV213" t="s">
        <v>558</v>
      </c>
      <c r="AW213" s="4">
        <f>L206</f>
        <v>1301.1400000000001</v>
      </c>
      <c r="AZ213">
        <f>Source!X58</f>
        <v>234.07</v>
      </c>
      <c r="BA213">
        <f>Source!Y58</f>
        <v>119.94</v>
      </c>
      <c r="BH213" s="4">
        <f>J203+J204+J206+J211+J212</f>
        <v>165.4</v>
      </c>
      <c r="CD213">
        <v>1</v>
      </c>
    </row>
    <row r="214" spans="1:82" ht="28.5" x14ac:dyDescent="0.2">
      <c r="A214" s="35" t="s">
        <v>188</v>
      </c>
      <c r="B214" s="5" t="str">
        <f>Source!F61</f>
        <v>13-03-004-01</v>
      </c>
      <c r="C214" s="5" t="str">
        <f>Source!G61</f>
        <v>Окраска металлических огрунтованных поверхностей: эмалью ХС-436 (трубы)</v>
      </c>
      <c r="D214" s="36" t="str">
        <f>Source!H61</f>
        <v>100 м2</v>
      </c>
      <c r="E214" s="2">
        <f>Source!K61</f>
        <v>0.12</v>
      </c>
      <c r="F214" s="2"/>
      <c r="G214" s="2">
        <f>Source!I61</f>
        <v>0.12</v>
      </c>
      <c r="H214" s="38"/>
      <c r="I214" s="37"/>
      <c r="J214" s="38"/>
      <c r="K214" s="37"/>
      <c r="L214" s="38"/>
    </row>
    <row r="215" spans="1:82" ht="25.5" x14ac:dyDescent="0.2">
      <c r="B215" s="46" t="s">
        <v>455</v>
      </c>
      <c r="C215" s="107" t="s">
        <v>565</v>
      </c>
      <c r="D215" s="107"/>
      <c r="E215" s="107"/>
      <c r="F215" s="107"/>
      <c r="G215" s="107"/>
      <c r="H215" s="107"/>
      <c r="I215" s="107"/>
      <c r="J215" s="107"/>
      <c r="K215" s="107"/>
      <c r="L215" s="107"/>
    </row>
    <row r="216" spans="1:82" x14ac:dyDescent="0.2">
      <c r="C216" s="3" t="str">
        <f>"Объем: "&amp;Source!I61&amp;"=12/"&amp;"100"</f>
        <v>Объем: 0,12=12/100</v>
      </c>
    </row>
    <row r="217" spans="1:82" ht="14.25" x14ac:dyDescent="0.2">
      <c r="A217" s="5"/>
      <c r="B217" s="37">
        <v>1</v>
      </c>
      <c r="C217" s="5" t="s">
        <v>547</v>
      </c>
      <c r="D217" s="36"/>
      <c r="E217" s="2"/>
      <c r="F217" s="2"/>
      <c r="G217" s="2"/>
      <c r="H217" s="38">
        <f>Source!AO61</f>
        <v>25.21</v>
      </c>
      <c r="I217" s="37">
        <f>ROUND(1.15,7)</f>
        <v>1.1499999999999999</v>
      </c>
      <c r="J217" s="38">
        <f>ROUND(Source!AF61*Source!I61, 2)</f>
        <v>3.48</v>
      </c>
      <c r="K217" s="37">
        <f>IF(Source!BA61&lt;&gt; 0, Source!BA61, 1)</f>
        <v>39.33</v>
      </c>
      <c r="L217" s="38">
        <f>Source!S61</f>
        <v>136.83000000000001</v>
      </c>
    </row>
    <row r="218" spans="1:82" ht="14.25" x14ac:dyDescent="0.2">
      <c r="A218" s="5"/>
      <c r="B218" s="37">
        <v>2</v>
      </c>
      <c r="C218" s="5" t="s">
        <v>548</v>
      </c>
      <c r="D218" s="36"/>
      <c r="E218" s="2"/>
      <c r="F218" s="2"/>
      <c r="G218" s="2"/>
      <c r="H218" s="38">
        <f>Source!AM61</f>
        <v>16.190000000000001</v>
      </c>
      <c r="I218" s="37">
        <f>ROUND(1.25,7)</f>
        <v>1.25</v>
      </c>
      <c r="J218" s="38">
        <f>(ROUND((ROUND((((Source!ET61*ROUND(1.25,7)))*Source!I61),2)),2)+ROUND((ROUND(((Source!AE61-((Source!EU61*ROUND(1.25,7))))*Source!I61),2)),2))</f>
        <v>2.4300000000000002</v>
      </c>
      <c r="K218" s="37">
        <f>IF(Source!BB61&lt;&gt; 0, Source!BB61, 1)</f>
        <v>14.42</v>
      </c>
      <c r="L218" s="38">
        <f>Source!Q61</f>
        <v>35.04</v>
      </c>
    </row>
    <row r="219" spans="1:82" ht="14.25" x14ac:dyDescent="0.2">
      <c r="A219" s="5"/>
      <c r="B219" s="37">
        <v>3</v>
      </c>
      <c r="C219" s="5" t="s">
        <v>549</v>
      </c>
      <c r="D219" s="36"/>
      <c r="E219" s="2"/>
      <c r="F219" s="2"/>
      <c r="G219" s="2"/>
      <c r="H219" s="38">
        <f>Source!AN61</f>
        <v>0.45</v>
      </c>
      <c r="I219" s="37">
        <f>ROUND(1.25,7)</f>
        <v>1.25</v>
      </c>
      <c r="J219" s="39">
        <f>(ROUND((ROUND((((Source!EU61*ROUND(1.25,7)))*Source!I61),2)),2)+ROUND((ROUND(((Source!AE61-((Source!EU61*ROUND(1.25,7))))*Source!I61),2)),2))</f>
        <v>7.0000000000000007E-2</v>
      </c>
      <c r="K219" s="37">
        <f>IF(Source!BS61&lt;&gt; 0, Source!BS61, 1)</f>
        <v>39.33</v>
      </c>
      <c r="L219" s="39">
        <f>Source!R61</f>
        <v>2.75</v>
      </c>
    </row>
    <row r="220" spans="1:82" ht="14.25" x14ac:dyDescent="0.2">
      <c r="A220" s="5"/>
      <c r="B220" s="37">
        <v>4</v>
      </c>
      <c r="C220" s="5" t="s">
        <v>559</v>
      </c>
      <c r="D220" s="36"/>
      <c r="E220" s="2"/>
      <c r="F220" s="2"/>
      <c r="G220" s="2"/>
      <c r="H220" s="38">
        <f>Source!AL61</f>
        <v>1354.02</v>
      </c>
      <c r="I220" s="37"/>
      <c r="J220" s="38">
        <f>ROUND(Source!AC61*Source!I61, 2)</f>
        <v>162.47999999999999</v>
      </c>
      <c r="K220" s="37">
        <f>IF(Source!BC61&lt;&gt; 0, Source!BC61, 1)</f>
        <v>8.7899999999999991</v>
      </c>
      <c r="L220" s="38">
        <f>Source!P61</f>
        <v>1428.22</v>
      </c>
    </row>
    <row r="221" spans="1:82" ht="14.25" x14ac:dyDescent="0.2">
      <c r="A221" s="5"/>
      <c r="B221" s="5"/>
      <c r="C221" s="5" t="s">
        <v>550</v>
      </c>
      <c r="D221" s="36" t="s">
        <v>324</v>
      </c>
      <c r="E221" s="2">
        <f>Source!AQ61</f>
        <v>2.78</v>
      </c>
      <c r="F221" s="2">
        <f>ROUND(1.15,7)</f>
        <v>1.1499999999999999</v>
      </c>
      <c r="G221" s="2">
        <f>ROUND(Source!U61, 7)</f>
        <v>0.38363999999999998</v>
      </c>
      <c r="H221" s="38"/>
      <c r="I221" s="37"/>
      <c r="J221" s="38"/>
      <c r="K221" s="37"/>
      <c r="L221" s="38"/>
    </row>
    <row r="222" spans="1:82" ht="14.25" x14ac:dyDescent="0.2">
      <c r="A222" s="5"/>
      <c r="B222" s="5"/>
      <c r="C222" s="6" t="s">
        <v>551</v>
      </c>
      <c r="D222" s="40" t="s">
        <v>324</v>
      </c>
      <c r="E222" s="41">
        <f>Source!AR61</f>
        <v>0.04</v>
      </c>
      <c r="F222" s="41">
        <f>ROUND(1.25,7)</f>
        <v>1.25</v>
      </c>
      <c r="G222" s="41">
        <f>ROUND(Source!V61, 7)</f>
        <v>6.0000000000000001E-3</v>
      </c>
      <c r="H222" s="42"/>
      <c r="I222" s="43"/>
      <c r="J222" s="42"/>
      <c r="K222" s="43"/>
      <c r="L222" s="42"/>
    </row>
    <row r="223" spans="1:82" ht="14.25" x14ac:dyDescent="0.2">
      <c r="A223" s="5"/>
      <c r="B223" s="5"/>
      <c r="C223" s="5" t="s">
        <v>552</v>
      </c>
      <c r="D223" s="36"/>
      <c r="E223" s="2"/>
      <c r="F223" s="2"/>
      <c r="G223" s="2"/>
      <c r="H223" s="38">
        <f>H217+H218+H220</f>
        <v>1395.42</v>
      </c>
      <c r="I223" s="37"/>
      <c r="J223" s="38">
        <f>J217+J218+J220</f>
        <v>168.39</v>
      </c>
      <c r="K223" s="37"/>
      <c r="L223" s="38">
        <f>L217+L218+L220</f>
        <v>1600.0900000000001</v>
      </c>
    </row>
    <row r="224" spans="1:82" ht="14.25" x14ac:dyDescent="0.2">
      <c r="A224" s="5"/>
      <c r="B224" s="5"/>
      <c r="C224" s="5" t="s">
        <v>554</v>
      </c>
      <c r="D224" s="36"/>
      <c r="E224" s="2"/>
      <c r="F224" s="2"/>
      <c r="G224" s="2"/>
      <c r="H224" s="38"/>
      <c r="I224" s="37"/>
      <c r="J224" s="38">
        <f>SUM(S214:S227)+SUM(T214:T227)+SUM(X214:X227)+SUM(Y214:Y227)+SUM(Z214:Z227)</f>
        <v>3.55</v>
      </c>
      <c r="K224" s="37"/>
      <c r="L224" s="38">
        <f>SUM(AR214:AR227)+SUM(AS214:AS227)+SUM(AT214:AT227)+SUM(AU214:AU227)+SUM(AV214:AV227)</f>
        <v>139.58000000000001</v>
      </c>
    </row>
    <row r="225" spans="1:82" ht="28.5" x14ac:dyDescent="0.2">
      <c r="A225" s="5"/>
      <c r="B225" s="5" t="s">
        <v>591</v>
      </c>
      <c r="C225" s="5" t="s">
        <v>592</v>
      </c>
      <c r="D225" s="36" t="s">
        <v>468</v>
      </c>
      <c r="E225" s="2">
        <f>Source!BZ61</f>
        <v>94</v>
      </c>
      <c r="F225" s="2">
        <f>ROUND(0.9,7)</f>
        <v>0.9</v>
      </c>
      <c r="G225" s="2">
        <f>Source!AT61</f>
        <v>84.6</v>
      </c>
      <c r="H225" s="38"/>
      <c r="I225" s="37"/>
      <c r="J225" s="38">
        <f>SUM(AD214:AD227)</f>
        <v>3</v>
      </c>
      <c r="K225" s="37"/>
      <c r="L225" s="38">
        <f>SUM(AZ214:AZ227)</f>
        <v>118.08</v>
      </c>
    </row>
    <row r="226" spans="1:82" ht="28.5" x14ac:dyDescent="0.2">
      <c r="A226" s="60"/>
      <c r="B226" s="6" t="s">
        <v>593</v>
      </c>
      <c r="C226" s="6" t="s">
        <v>594</v>
      </c>
      <c r="D226" s="40" t="s">
        <v>468</v>
      </c>
      <c r="E226" s="41">
        <f>Source!CA61</f>
        <v>51</v>
      </c>
      <c r="F226" s="41">
        <f>ROUND(0.85,7)</f>
        <v>0.85</v>
      </c>
      <c r="G226" s="41">
        <f>Source!AU61</f>
        <v>43.35</v>
      </c>
      <c r="H226" s="42"/>
      <c r="I226" s="43"/>
      <c r="J226" s="42">
        <f>SUM(AE214:AE227)</f>
        <v>1.54</v>
      </c>
      <c r="K226" s="43"/>
      <c r="L226" s="42">
        <f>SUM(BA214:BA227)</f>
        <v>60.51</v>
      </c>
    </row>
    <row r="227" spans="1:82" ht="15" x14ac:dyDescent="0.2">
      <c r="C227" s="93" t="s">
        <v>557</v>
      </c>
      <c r="D227" s="93"/>
      <c r="E227" s="93"/>
      <c r="F227" s="93"/>
      <c r="G227" s="93"/>
      <c r="H227" s="93"/>
      <c r="I227" s="94">
        <f>J217+J218+J220+J225+J226</f>
        <v>172.92999999999998</v>
      </c>
      <c r="J227" s="94"/>
      <c r="K227" s="94">
        <f>L217+L218+L220+L225+L226</f>
        <v>1778.68</v>
      </c>
      <c r="L227" s="94"/>
      <c r="O227" s="4">
        <f>J217+J218+J220+J225+J226</f>
        <v>172.92999999999998</v>
      </c>
      <c r="P227" s="4">
        <f>J218</f>
        <v>2.4300000000000002</v>
      </c>
      <c r="R227" t="s">
        <v>558</v>
      </c>
      <c r="S227" s="4">
        <f>J217</f>
        <v>3.48</v>
      </c>
      <c r="U227" s="4">
        <f>J217</f>
        <v>3.48</v>
      </c>
      <c r="X227" s="4">
        <f>J219</f>
        <v>7.0000000000000007E-2</v>
      </c>
      <c r="Z227" t="s">
        <v>558</v>
      </c>
      <c r="AA227" s="4">
        <f>J220</f>
        <v>162.47999999999999</v>
      </c>
      <c r="AD227">
        <f>ROUND((Source!AT61/100)*((ROUND(Source!AF61*Source!I61, 2)+(ROUND((ROUND((((Source!EU61*ROUND(1.25,7)))*Source!I61),2)),2)+ROUND((ROUND(((Source!AE61-((Source!EU61*ROUND(1.25,7))))*Source!I61),2)),2)))), 2)</f>
        <v>3</v>
      </c>
      <c r="AE227">
        <f>ROUND((Source!AU61/100)*((ROUND(Source!AF61*Source!I61, 2)+(ROUND((ROUND((((Source!EU61*ROUND(1.25,7)))*Source!I61),2)),2)+ROUND((ROUND(((Source!AE61-((Source!EU61*ROUND(1.25,7))))*Source!I61),2)),2)))), 2)</f>
        <v>1.54</v>
      </c>
      <c r="AN227" s="4">
        <f>L217+L218+L220+L225+L226</f>
        <v>1778.68</v>
      </c>
      <c r="AO227" s="4">
        <f>L218</f>
        <v>35.04</v>
      </c>
      <c r="AQ227" t="s">
        <v>558</v>
      </c>
      <c r="AR227" s="4">
        <f>L217</f>
        <v>136.83000000000001</v>
      </c>
      <c r="AT227" s="4">
        <f>L219</f>
        <v>2.75</v>
      </c>
      <c r="AV227" t="s">
        <v>558</v>
      </c>
      <c r="AW227" s="4">
        <f>L220</f>
        <v>1428.22</v>
      </c>
      <c r="AZ227">
        <f>Source!X61</f>
        <v>118.08</v>
      </c>
      <c r="BA227">
        <f>Source!Y61</f>
        <v>60.51</v>
      </c>
      <c r="BH227" s="4">
        <f>J217+J218+J220+J225+J226</f>
        <v>172.92999999999998</v>
      </c>
      <c r="CD227">
        <v>1</v>
      </c>
    </row>
    <row r="229" spans="1:82" ht="15" x14ac:dyDescent="0.2">
      <c r="A229" s="48"/>
      <c r="B229" s="49"/>
      <c r="C229" s="110" t="s">
        <v>595</v>
      </c>
      <c r="D229" s="110"/>
      <c r="E229" s="110"/>
      <c r="F229" s="110"/>
      <c r="G229" s="110"/>
      <c r="H229" s="110"/>
      <c r="I229" s="50"/>
      <c r="J229" s="51">
        <f>J231+J232+J238+J242</f>
        <v>4064</v>
      </c>
      <c r="K229" s="51"/>
      <c r="L229" s="51">
        <f>L231+L232+L238+L242</f>
        <v>79869.900000000009</v>
      </c>
    </row>
    <row r="230" spans="1:82" ht="14.25" x14ac:dyDescent="0.2">
      <c r="A230" s="44"/>
      <c r="B230" s="47"/>
      <c r="C230" s="109" t="s">
        <v>596</v>
      </c>
      <c r="D230" s="108"/>
      <c r="E230" s="108"/>
      <c r="F230" s="108"/>
      <c r="G230" s="108"/>
      <c r="H230" s="108"/>
      <c r="I230" s="2"/>
      <c r="J230" s="38"/>
      <c r="K230" s="38"/>
      <c r="L230" s="38"/>
    </row>
    <row r="231" spans="1:82" ht="14.25" x14ac:dyDescent="0.2">
      <c r="A231" s="44"/>
      <c r="B231" s="47"/>
      <c r="C231" s="108" t="s">
        <v>597</v>
      </c>
      <c r="D231" s="108"/>
      <c r="E231" s="108"/>
      <c r="F231" s="108"/>
      <c r="G231" s="108"/>
      <c r="H231" s="108"/>
      <c r="I231" s="2"/>
      <c r="J231" s="38">
        <f>SUM(S59:S227)</f>
        <v>1437.7700000000002</v>
      </c>
      <c r="K231" s="38"/>
      <c r="L231" s="38">
        <f>SUM(AR59:AR227)</f>
        <v>56547.520000000004</v>
      </c>
    </row>
    <row r="232" spans="1:82" ht="14.25" x14ac:dyDescent="0.2">
      <c r="A232" s="44"/>
      <c r="B232" s="47"/>
      <c r="C232" s="108" t="s">
        <v>598</v>
      </c>
      <c r="D232" s="108"/>
      <c r="E232" s="108"/>
      <c r="F232" s="108"/>
      <c r="G232" s="108"/>
      <c r="H232" s="108"/>
      <c r="I232" s="2"/>
      <c r="J232" s="38">
        <f>J234+J237</f>
        <v>48.65</v>
      </c>
      <c r="K232" s="38"/>
      <c r="L232" s="38">
        <f>L234+L237</f>
        <v>701.52999999999986</v>
      </c>
    </row>
    <row r="233" spans="1:82" ht="14.25" x14ac:dyDescent="0.2">
      <c r="A233" s="44"/>
      <c r="B233" s="47"/>
      <c r="C233" s="109" t="s">
        <v>599</v>
      </c>
      <c r="D233" s="108"/>
      <c r="E233" s="108"/>
      <c r="F233" s="108"/>
      <c r="G233" s="108"/>
      <c r="H233" s="108"/>
      <c r="I233" s="2"/>
      <c r="J233" s="38"/>
      <c r="K233" s="38"/>
      <c r="L233" s="38"/>
    </row>
    <row r="234" spans="1:82" ht="14.25" x14ac:dyDescent="0.2">
      <c r="A234" s="44"/>
      <c r="B234" s="47"/>
      <c r="C234" s="108" t="s">
        <v>600</v>
      </c>
      <c r="D234" s="108"/>
      <c r="E234" s="108"/>
      <c r="F234" s="108"/>
      <c r="G234" s="108"/>
      <c r="H234" s="108"/>
      <c r="I234" s="2"/>
      <c r="J234" s="38">
        <f>SUM(P59:P227)</f>
        <v>48.65</v>
      </c>
      <c r="K234" s="38"/>
      <c r="L234" s="38">
        <f>SUM(AO59:AO227)</f>
        <v>701.52999999999986</v>
      </c>
    </row>
    <row r="235" spans="1:82" ht="14.25" x14ac:dyDescent="0.2">
      <c r="A235" s="44"/>
      <c r="B235" s="47"/>
      <c r="C235" s="109" t="s">
        <v>601</v>
      </c>
      <c r="D235" s="108"/>
      <c r="E235" s="108"/>
      <c r="F235" s="108"/>
      <c r="G235" s="108"/>
      <c r="H235" s="108"/>
      <c r="I235" s="2"/>
      <c r="J235" s="38"/>
      <c r="K235" s="38"/>
      <c r="L235" s="38"/>
    </row>
    <row r="236" spans="1:82" ht="14.25" x14ac:dyDescent="0.2">
      <c r="A236" s="44"/>
      <c r="B236" s="47"/>
      <c r="C236" s="108" t="s">
        <v>602</v>
      </c>
      <c r="D236" s="108"/>
      <c r="E236" s="108"/>
      <c r="F236" s="108"/>
      <c r="G236" s="108"/>
      <c r="H236" s="108"/>
      <c r="I236" s="2"/>
      <c r="J236" s="38">
        <f>SUM(X59:X227)</f>
        <v>13.559999999999999</v>
      </c>
      <c r="K236" s="38"/>
      <c r="L236" s="38">
        <f>SUM(AT59:AT227)</f>
        <v>533.31999999999994</v>
      </c>
    </row>
    <row r="237" spans="1:82" ht="14.25" hidden="1" x14ac:dyDescent="0.2">
      <c r="A237" s="44"/>
      <c r="B237" s="47"/>
      <c r="C237" s="108" t="s">
        <v>603</v>
      </c>
      <c r="D237" s="108"/>
      <c r="E237" s="108"/>
      <c r="F237" s="108"/>
      <c r="G237" s="108"/>
      <c r="H237" s="108"/>
      <c r="I237" s="2"/>
      <c r="J237" s="38">
        <f>SUM(Z59:Z227)</f>
        <v>0</v>
      </c>
      <c r="K237" s="38"/>
      <c r="L237" s="38">
        <f>SUM(AV59:AV227)</f>
        <v>0</v>
      </c>
    </row>
    <row r="238" spans="1:82" ht="14.25" x14ac:dyDescent="0.2">
      <c r="A238" s="44"/>
      <c r="B238" s="47"/>
      <c r="C238" s="108" t="s">
        <v>604</v>
      </c>
      <c r="D238" s="108"/>
      <c r="E238" s="108"/>
      <c r="F238" s="108"/>
      <c r="G238" s="108"/>
      <c r="H238" s="108"/>
      <c r="I238" s="2"/>
      <c r="J238" s="38">
        <f>J240+J241</f>
        <v>2555.08</v>
      </c>
      <c r="K238" s="38"/>
      <c r="L238" s="38">
        <f>L240+L241</f>
        <v>22459.310000000005</v>
      </c>
    </row>
    <row r="239" spans="1:82" ht="14.25" x14ac:dyDescent="0.2">
      <c r="A239" s="44"/>
      <c r="B239" s="47"/>
      <c r="C239" s="109" t="s">
        <v>599</v>
      </c>
      <c r="D239" s="108"/>
      <c r="E239" s="108"/>
      <c r="F239" s="108"/>
      <c r="G239" s="108"/>
      <c r="H239" s="108"/>
      <c r="I239" s="2"/>
      <c r="J239" s="38"/>
      <c r="K239" s="38"/>
      <c r="L239" s="38"/>
    </row>
    <row r="240" spans="1:82" ht="14.25" x14ac:dyDescent="0.2">
      <c r="A240" s="44"/>
      <c r="B240" s="47"/>
      <c r="C240" s="108" t="s">
        <v>605</v>
      </c>
      <c r="D240" s="108"/>
      <c r="E240" s="108"/>
      <c r="F240" s="108"/>
      <c r="G240" s="108"/>
      <c r="H240" s="108"/>
      <c r="I240" s="2"/>
      <c r="J240" s="38">
        <f>SUM(AA59:AA227)-SUM(BJ59:BJ227)</f>
        <v>2555.08</v>
      </c>
      <c r="K240" s="38"/>
      <c r="L240" s="38">
        <f>SUM(AW59:AW227)-SUM(BK59:BK227)</f>
        <v>22459.310000000005</v>
      </c>
    </row>
    <row r="241" spans="1:12" ht="14.25" hidden="1" x14ac:dyDescent="0.2">
      <c r="A241" s="44"/>
      <c r="B241" s="47"/>
      <c r="C241" s="108" t="s">
        <v>606</v>
      </c>
      <c r="D241" s="108"/>
      <c r="E241" s="108"/>
      <c r="F241" s="108"/>
      <c r="G241" s="108"/>
      <c r="H241" s="108"/>
      <c r="I241" s="2"/>
      <c r="J241" s="38">
        <f>SUM(BC59:BC227)</f>
        <v>0</v>
      </c>
      <c r="K241" s="38"/>
      <c r="L241" s="38">
        <f>SUM(BC59:BC227)</f>
        <v>0</v>
      </c>
    </row>
    <row r="242" spans="1:12" ht="14.25" x14ac:dyDescent="0.2">
      <c r="A242" s="44"/>
      <c r="B242" s="47"/>
      <c r="C242" s="108" t="s">
        <v>607</v>
      </c>
      <c r="D242" s="108"/>
      <c r="E242" s="108"/>
      <c r="F242" s="108"/>
      <c r="G242" s="108"/>
      <c r="H242" s="108"/>
      <c r="I242" s="2"/>
      <c r="J242" s="38">
        <f>SUM(AF59:AF227)</f>
        <v>22.5</v>
      </c>
      <c r="K242" s="38"/>
      <c r="L242" s="38">
        <f>SUM(BB59:BB227)</f>
        <v>161.54</v>
      </c>
    </row>
    <row r="243" spans="1:12" ht="14.25" x14ac:dyDescent="0.2">
      <c r="A243" s="44"/>
      <c r="B243" s="47"/>
      <c r="C243" s="108" t="s">
        <v>608</v>
      </c>
      <c r="D243" s="108"/>
      <c r="E243" s="108"/>
      <c r="F243" s="108"/>
      <c r="G243" s="108"/>
      <c r="H243" s="108"/>
      <c r="I243" s="2"/>
      <c r="J243" s="38">
        <f>SUM(S59:S227)+SUM(X59:X227)+SUM(Z59:Z227)</f>
        <v>1451.3300000000002</v>
      </c>
      <c r="K243" s="38"/>
      <c r="L243" s="38">
        <f>SUM(AR59:AR227)+SUM(AT59:AT227)+SUM(AV59:AV227)</f>
        <v>57080.840000000004</v>
      </c>
    </row>
    <row r="244" spans="1:12" ht="14.25" x14ac:dyDescent="0.2">
      <c r="A244" s="44"/>
      <c r="B244" s="47"/>
      <c r="C244" s="108" t="s">
        <v>609</v>
      </c>
      <c r="D244" s="108"/>
      <c r="E244" s="108"/>
      <c r="F244" s="108"/>
      <c r="G244" s="108"/>
      <c r="H244" s="108"/>
      <c r="I244" s="2"/>
      <c r="J244" s="38">
        <f>SUM(AD59:AD227)</f>
        <v>1394.5100000000002</v>
      </c>
      <c r="K244" s="38"/>
      <c r="L244" s="38">
        <f>SUM(AZ59:AZ227)</f>
        <v>54845.93</v>
      </c>
    </row>
    <row r="245" spans="1:12" ht="14.25" x14ac:dyDescent="0.2">
      <c r="A245" s="44"/>
      <c r="B245" s="47"/>
      <c r="C245" s="108" t="s">
        <v>610</v>
      </c>
      <c r="D245" s="108"/>
      <c r="E245" s="108"/>
      <c r="F245" s="108"/>
      <c r="G245" s="108"/>
      <c r="H245" s="108"/>
      <c r="I245" s="2"/>
      <c r="J245" s="38">
        <f>SUM(AE59:AE227)</f>
        <v>691.69999999999982</v>
      </c>
      <c r="K245" s="38"/>
      <c r="L245" s="38">
        <f>SUM(BA59:BA227)</f>
        <v>27204.979999999992</v>
      </c>
    </row>
    <row r="246" spans="1:12" ht="14.25" hidden="1" x14ac:dyDescent="0.2">
      <c r="A246" s="44"/>
      <c r="B246" s="47"/>
      <c r="C246" s="108" t="s">
        <v>611</v>
      </c>
      <c r="D246" s="108"/>
      <c r="E246" s="108"/>
      <c r="F246" s="108"/>
      <c r="G246" s="108"/>
      <c r="H246" s="108"/>
      <c r="I246" s="2"/>
      <c r="J246" s="38">
        <f>J248+J249</f>
        <v>0</v>
      </c>
      <c r="K246" s="38"/>
      <c r="L246" s="38">
        <f>L248+L249</f>
        <v>0</v>
      </c>
    </row>
    <row r="247" spans="1:12" ht="14.25" hidden="1" x14ac:dyDescent="0.2">
      <c r="A247" s="44"/>
      <c r="B247" s="47"/>
      <c r="C247" s="109" t="s">
        <v>596</v>
      </c>
      <c r="D247" s="108"/>
      <c r="E247" s="108"/>
      <c r="F247" s="108"/>
      <c r="G247" s="108"/>
      <c r="H247" s="108"/>
      <c r="I247" s="2"/>
      <c r="J247" s="38"/>
      <c r="K247" s="38"/>
      <c r="L247" s="38"/>
    </row>
    <row r="248" spans="1:12" ht="14.25" hidden="1" x14ac:dyDescent="0.2">
      <c r="A248" s="44"/>
      <c r="B248" s="47"/>
      <c r="C248" s="108" t="s">
        <v>612</v>
      </c>
      <c r="D248" s="108"/>
      <c r="E248" s="108"/>
      <c r="F248" s="108"/>
      <c r="G248" s="108"/>
      <c r="H248" s="108"/>
      <c r="I248" s="2"/>
      <c r="J248" s="38">
        <f>SUM(BJ59:BJ227)</f>
        <v>0</v>
      </c>
      <c r="K248" s="38"/>
      <c r="L248" s="38">
        <f>SUM(BK59:BK227)</f>
        <v>0</v>
      </c>
    </row>
    <row r="249" spans="1:12" ht="14.25" hidden="1" x14ac:dyDescent="0.2">
      <c r="A249" s="44"/>
      <c r="B249" s="47"/>
      <c r="C249" s="108" t="s">
        <v>613</v>
      </c>
      <c r="D249" s="108"/>
      <c r="E249" s="108"/>
      <c r="F249" s="108"/>
      <c r="G249" s="108"/>
      <c r="H249" s="108"/>
      <c r="I249" s="2"/>
      <c r="J249" s="38">
        <f>SUM(AH59:AH227)</f>
        <v>0</v>
      </c>
      <c r="K249" s="38"/>
      <c r="L249" s="38">
        <f>SUM(BD59:BD227)</f>
        <v>0</v>
      </c>
    </row>
    <row r="250" spans="1:12" ht="14.25" hidden="1" x14ac:dyDescent="0.2">
      <c r="A250" s="44"/>
      <c r="B250" s="47"/>
      <c r="C250" s="108" t="s">
        <v>614</v>
      </c>
      <c r="D250" s="108"/>
      <c r="E250" s="108"/>
      <c r="F250" s="108"/>
      <c r="G250" s="108"/>
      <c r="H250" s="108"/>
      <c r="I250" s="2"/>
      <c r="J250" s="38">
        <f>SUM(BL59:BL227)</f>
        <v>0</v>
      </c>
      <c r="K250" s="38"/>
      <c r="L250" s="38"/>
    </row>
    <row r="251" spans="1:12" ht="14.25" hidden="1" x14ac:dyDescent="0.2">
      <c r="A251" s="44"/>
      <c r="B251" s="47"/>
      <c r="C251" s="108" t="s">
        <v>615</v>
      </c>
      <c r="D251" s="108"/>
      <c r="E251" s="108"/>
      <c r="F251" s="108"/>
      <c r="G251" s="108"/>
      <c r="H251" s="108"/>
      <c r="I251" s="2"/>
      <c r="J251" s="38">
        <f>SUM(BN59:BN227)</f>
        <v>0</v>
      </c>
      <c r="K251" s="38"/>
      <c r="L251" s="38">
        <f>SUM(BO59:BO227)</f>
        <v>0</v>
      </c>
    </row>
    <row r="252" spans="1:12" ht="15" x14ac:dyDescent="0.2">
      <c r="A252" s="48"/>
      <c r="B252" s="49"/>
      <c r="C252" s="110" t="s">
        <v>616</v>
      </c>
      <c r="D252" s="110"/>
      <c r="E252" s="110"/>
      <c r="F252" s="110"/>
      <c r="G252" s="110"/>
      <c r="H252" s="110"/>
      <c r="I252" s="50"/>
      <c r="J252" s="51">
        <f>J229+J244+J245+J246+J250+J251</f>
        <v>6150.21</v>
      </c>
      <c r="K252" s="51"/>
      <c r="L252" s="51">
        <f>L229+L244+L245+L246+L250+L251</f>
        <v>161920.81</v>
      </c>
    </row>
    <row r="253" spans="1:12" ht="14.25" x14ac:dyDescent="0.2">
      <c r="A253" s="44"/>
      <c r="B253" s="47"/>
      <c r="C253" s="109" t="s">
        <v>617</v>
      </c>
      <c r="D253" s="108"/>
      <c r="E253" s="108"/>
      <c r="F253" s="108"/>
      <c r="G253" s="108"/>
      <c r="H253" s="108"/>
      <c r="I253" s="2"/>
      <c r="J253" s="38"/>
      <c r="K253" s="38"/>
      <c r="L253" s="38"/>
    </row>
    <row r="254" spans="1:12" ht="14.25" hidden="1" x14ac:dyDescent="0.2">
      <c r="A254" s="44"/>
      <c r="B254" s="47"/>
      <c r="C254" s="108" t="s">
        <v>618</v>
      </c>
      <c r="D254" s="108"/>
      <c r="E254" s="108"/>
      <c r="F254" s="108"/>
      <c r="G254" s="108"/>
      <c r="H254" s="108"/>
      <c r="I254" s="2"/>
      <c r="J254" s="38">
        <f>SUM(AB59:AB227)</f>
        <v>0</v>
      </c>
      <c r="K254" s="38"/>
      <c r="L254" s="38">
        <f>SUM(AX59:AX227)</f>
        <v>0</v>
      </c>
    </row>
    <row r="255" spans="1:12" ht="14.25" hidden="1" x14ac:dyDescent="0.2">
      <c r="A255" s="44"/>
      <c r="B255" s="47"/>
      <c r="C255" s="108" t="s">
        <v>619</v>
      </c>
      <c r="D255" s="108"/>
      <c r="E255" s="108"/>
      <c r="F255" s="108"/>
      <c r="G255" s="108"/>
      <c r="H255" s="108"/>
      <c r="I255" s="2"/>
      <c r="J255" s="38">
        <f>SUM(AC59:AC227)</f>
        <v>0</v>
      </c>
      <c r="K255" s="38"/>
      <c r="L255" s="38">
        <f>SUM(AY59:AY227)</f>
        <v>0</v>
      </c>
    </row>
    <row r="256" spans="1:12" ht="14.25" x14ac:dyDescent="0.2">
      <c r="A256" s="44"/>
      <c r="B256" s="47"/>
      <c r="C256" s="108" t="s">
        <v>620</v>
      </c>
      <c r="D256" s="108"/>
      <c r="E256" s="108"/>
      <c r="F256" s="111"/>
      <c r="G256" s="61">
        <f>Source!F86</f>
        <v>144.328846</v>
      </c>
      <c r="H256" s="44"/>
      <c r="I256" s="44"/>
      <c r="J256" s="44"/>
      <c r="K256" s="44"/>
      <c r="L256" s="44"/>
    </row>
    <row r="257" spans="1:12" ht="14.25" x14ac:dyDescent="0.2">
      <c r="A257" s="44"/>
      <c r="B257" s="47"/>
      <c r="C257" s="108" t="s">
        <v>621</v>
      </c>
      <c r="D257" s="108"/>
      <c r="E257" s="108"/>
      <c r="F257" s="111"/>
      <c r="G257" s="61">
        <f>Source!F87</f>
        <v>1.03834</v>
      </c>
      <c r="H257" s="44"/>
      <c r="I257" s="44"/>
      <c r="J257" s="44"/>
      <c r="K257" s="44"/>
      <c r="L257" s="44"/>
    </row>
    <row r="260" spans="1:12" ht="15" x14ac:dyDescent="0.2">
      <c r="A260" s="52"/>
      <c r="B260" s="53"/>
      <c r="C260" s="112" t="s">
        <v>622</v>
      </c>
      <c r="D260" s="112"/>
      <c r="E260" s="112"/>
      <c r="F260" s="112"/>
      <c r="G260" s="112"/>
      <c r="H260" s="112"/>
      <c r="I260" s="54"/>
      <c r="J260" s="55"/>
      <c r="K260" s="55"/>
      <c r="L260" s="55"/>
    </row>
    <row r="262" spans="1:12" ht="15" x14ac:dyDescent="0.2">
      <c r="A262" s="48"/>
      <c r="B262" s="49"/>
      <c r="C262" s="110" t="s">
        <v>623</v>
      </c>
      <c r="D262" s="110"/>
      <c r="E262" s="110"/>
      <c r="F262" s="110"/>
      <c r="G262" s="110"/>
      <c r="H262" s="110"/>
      <c r="I262" s="50"/>
      <c r="J262" s="51">
        <f>J264+J279+J280</f>
        <v>6150.21</v>
      </c>
      <c r="K262" s="51"/>
      <c r="L262" s="51">
        <f>L264+L279+L280</f>
        <v>161920.81</v>
      </c>
    </row>
    <row r="263" spans="1:12" ht="14.25" x14ac:dyDescent="0.2">
      <c r="A263" s="44"/>
      <c r="B263" s="47"/>
      <c r="C263" s="109" t="s">
        <v>596</v>
      </c>
      <c r="D263" s="108"/>
      <c r="E263" s="108"/>
      <c r="F263" s="108"/>
      <c r="G263" s="108"/>
      <c r="H263" s="108"/>
      <c r="I263" s="2"/>
      <c r="J263" s="38"/>
      <c r="K263" s="38"/>
      <c r="L263" s="38"/>
    </row>
    <row r="264" spans="1:12" ht="14.25" x14ac:dyDescent="0.2">
      <c r="A264" s="44"/>
      <c r="B264" s="47"/>
      <c r="C264" s="108" t="s">
        <v>624</v>
      </c>
      <c r="D264" s="108"/>
      <c r="E264" s="108"/>
      <c r="F264" s="108"/>
      <c r="G264" s="108"/>
      <c r="H264" s="108"/>
      <c r="I264" s="2"/>
      <c r="J264" s="38">
        <f>J266+J267+J273+J277</f>
        <v>4064</v>
      </c>
      <c r="K264" s="38"/>
      <c r="L264" s="38">
        <f>L266+L267+L273+L277</f>
        <v>79869.900000000009</v>
      </c>
    </row>
    <row r="265" spans="1:12" ht="14.25" x14ac:dyDescent="0.2">
      <c r="A265" s="44"/>
      <c r="B265" s="47"/>
      <c r="C265" s="109" t="s">
        <v>596</v>
      </c>
      <c r="D265" s="108"/>
      <c r="E265" s="108"/>
      <c r="F265" s="108"/>
      <c r="G265" s="108"/>
      <c r="H265" s="108"/>
      <c r="I265" s="2"/>
      <c r="J265" s="38"/>
      <c r="K265" s="38"/>
      <c r="L265" s="38"/>
    </row>
    <row r="266" spans="1:12" ht="14.25" x14ac:dyDescent="0.2">
      <c r="A266" s="44"/>
      <c r="B266" s="47"/>
      <c r="C266" s="108" t="s">
        <v>625</v>
      </c>
      <c r="D266" s="108"/>
      <c r="E266" s="108"/>
      <c r="F266" s="108"/>
      <c r="G266" s="108"/>
      <c r="H266" s="108"/>
      <c r="I266" s="2"/>
      <c r="J266" s="38">
        <f>SUMIF(CD58:CD258, 1, S58:S258)</f>
        <v>1437.7700000000002</v>
      </c>
      <c r="K266" s="38"/>
      <c r="L266" s="38">
        <f>SUMIF(CD58:CD258, 1, AR58:AR258)</f>
        <v>56547.520000000004</v>
      </c>
    </row>
    <row r="267" spans="1:12" ht="14.25" x14ac:dyDescent="0.2">
      <c r="A267" s="44"/>
      <c r="B267" s="47"/>
      <c r="C267" s="108" t="s">
        <v>598</v>
      </c>
      <c r="D267" s="108"/>
      <c r="E267" s="108"/>
      <c r="F267" s="108"/>
      <c r="G267" s="108"/>
      <c r="H267" s="108"/>
      <c r="I267" s="2"/>
      <c r="J267" s="38">
        <f>J269+J272</f>
        <v>48.65</v>
      </c>
      <c r="K267" s="38"/>
      <c r="L267" s="38">
        <f>L269+L272</f>
        <v>701.52999999999986</v>
      </c>
    </row>
    <row r="268" spans="1:12" ht="14.25" x14ac:dyDescent="0.2">
      <c r="A268" s="44"/>
      <c r="B268" s="47"/>
      <c r="C268" s="109" t="s">
        <v>599</v>
      </c>
      <c r="D268" s="108"/>
      <c r="E268" s="108"/>
      <c r="F268" s="108"/>
      <c r="G268" s="108"/>
      <c r="H268" s="108"/>
      <c r="I268" s="2"/>
      <c r="J268" s="38"/>
      <c r="K268" s="38"/>
      <c r="L268" s="38"/>
    </row>
    <row r="269" spans="1:12" ht="14.25" x14ac:dyDescent="0.2">
      <c r="A269" s="44"/>
      <c r="B269" s="47"/>
      <c r="C269" s="108" t="s">
        <v>600</v>
      </c>
      <c r="D269" s="108"/>
      <c r="E269" s="108"/>
      <c r="F269" s="108"/>
      <c r="G269" s="108"/>
      <c r="H269" s="108"/>
      <c r="I269" s="2"/>
      <c r="J269" s="38">
        <f>SUMIF(CD58:CD258, 1, P58:P258)</f>
        <v>48.65</v>
      </c>
      <c r="K269" s="38"/>
      <c r="L269" s="38">
        <f>SUMIF(CD58:CD258, 1, AO58:AO258)</f>
        <v>701.52999999999986</v>
      </c>
    </row>
    <row r="270" spans="1:12" ht="14.25" x14ac:dyDescent="0.2">
      <c r="A270" s="44"/>
      <c r="B270" s="47"/>
      <c r="C270" s="109" t="s">
        <v>601</v>
      </c>
      <c r="D270" s="108"/>
      <c r="E270" s="108"/>
      <c r="F270" s="108"/>
      <c r="G270" s="108"/>
      <c r="H270" s="108"/>
      <c r="I270" s="2"/>
      <c r="J270" s="38"/>
      <c r="K270" s="38"/>
      <c r="L270" s="38"/>
    </row>
    <row r="271" spans="1:12" ht="14.25" x14ac:dyDescent="0.2">
      <c r="A271" s="44"/>
      <c r="B271" s="47"/>
      <c r="C271" s="108" t="s">
        <v>602</v>
      </c>
      <c r="D271" s="108"/>
      <c r="E271" s="108"/>
      <c r="F271" s="108"/>
      <c r="G271" s="108"/>
      <c r="H271" s="108"/>
      <c r="I271" s="2"/>
      <c r="J271" s="38">
        <f>SUMIF(CD58:CD258, 1, X58:X258)</f>
        <v>13.559999999999999</v>
      </c>
      <c r="K271" s="38"/>
      <c r="L271" s="38">
        <f>SUMIF(CD58:CD258, 1, AT58:AT258)</f>
        <v>533.31999999999994</v>
      </c>
    </row>
    <row r="272" spans="1:12" ht="14.25" hidden="1" x14ac:dyDescent="0.2">
      <c r="A272" s="44"/>
      <c r="B272" s="47"/>
      <c r="C272" s="108" t="s">
        <v>603</v>
      </c>
      <c r="D272" s="108"/>
      <c r="E272" s="108"/>
      <c r="F272" s="108"/>
      <c r="G272" s="108"/>
      <c r="H272" s="108"/>
      <c r="I272" s="2"/>
      <c r="J272" s="38">
        <f>SUMIF(CD58:CD258, 1, Z58:Z258)</f>
        <v>0</v>
      </c>
      <c r="K272" s="38"/>
      <c r="L272" s="38">
        <f>SUMIF(CD58:CD258, 1, AV58:AV258)</f>
        <v>0</v>
      </c>
    </row>
    <row r="273" spans="1:12" ht="14.25" x14ac:dyDescent="0.2">
      <c r="A273" s="44"/>
      <c r="B273" s="47"/>
      <c r="C273" s="108" t="s">
        <v>604</v>
      </c>
      <c r="D273" s="108"/>
      <c r="E273" s="108"/>
      <c r="F273" s="108"/>
      <c r="G273" s="108"/>
      <c r="H273" s="108"/>
      <c r="I273" s="2"/>
      <c r="J273" s="38">
        <f>J275+J276</f>
        <v>2555.08</v>
      </c>
      <c r="K273" s="38"/>
      <c r="L273" s="38">
        <f>L275+L276</f>
        <v>22459.310000000005</v>
      </c>
    </row>
    <row r="274" spans="1:12" ht="14.25" x14ac:dyDescent="0.2">
      <c r="A274" s="44"/>
      <c r="B274" s="47"/>
      <c r="C274" s="109" t="s">
        <v>599</v>
      </c>
      <c r="D274" s="108"/>
      <c r="E274" s="108"/>
      <c r="F274" s="108"/>
      <c r="G274" s="108"/>
      <c r="H274" s="108"/>
      <c r="I274" s="2"/>
      <c r="J274" s="38"/>
      <c r="K274" s="38"/>
      <c r="L274" s="38"/>
    </row>
    <row r="275" spans="1:12" ht="14.25" x14ac:dyDescent="0.2">
      <c r="A275" s="44"/>
      <c r="B275" s="47"/>
      <c r="C275" s="108" t="s">
        <v>605</v>
      </c>
      <c r="D275" s="108"/>
      <c r="E275" s="108"/>
      <c r="F275" s="108"/>
      <c r="G275" s="108"/>
      <c r="H275" s="108"/>
      <c r="I275" s="2"/>
      <c r="J275" s="38">
        <f>SUMIF(CD58:CD258, 1, AA58:AA258)-SUMIF(CD58:CD258, 1, BJ58:BJ258)</f>
        <v>2555.08</v>
      </c>
      <c r="K275" s="38"/>
      <c r="L275" s="38">
        <f>SUMIF(CD58:CD258, 1, AW58:AW258)-SUMIF(CD58:CD258, 1, BK58:BK258)</f>
        <v>22459.310000000005</v>
      </c>
    </row>
    <row r="276" spans="1:12" ht="14.25" hidden="1" x14ac:dyDescent="0.2">
      <c r="A276" s="44"/>
      <c r="B276" s="47"/>
      <c r="C276" s="108" t="s">
        <v>606</v>
      </c>
      <c r="D276" s="108"/>
      <c r="E276" s="108"/>
      <c r="F276" s="108"/>
      <c r="G276" s="108"/>
      <c r="H276" s="108"/>
      <c r="I276" s="2"/>
      <c r="J276" s="38">
        <f>SUMIF(CD58:CD258, 1, AG58:AG258)</f>
        <v>0</v>
      </c>
      <c r="K276" s="38"/>
      <c r="L276" s="38">
        <f>SUMIF(CD58:CD258, 1, BC58:BC258)</f>
        <v>0</v>
      </c>
    </row>
    <row r="277" spans="1:12" ht="14.25" x14ac:dyDescent="0.2">
      <c r="A277" s="44"/>
      <c r="B277" s="47"/>
      <c r="C277" s="108" t="s">
        <v>607</v>
      </c>
      <c r="D277" s="108"/>
      <c r="E277" s="108"/>
      <c r="F277" s="108"/>
      <c r="G277" s="108"/>
      <c r="H277" s="108"/>
      <c r="I277" s="2"/>
      <c r="J277" s="38">
        <f>SUMIF(CD58:CD258, 1, AF58:AF258)</f>
        <v>22.5</v>
      </c>
      <c r="K277" s="38"/>
      <c r="L277" s="38">
        <f>SUMIF(CD58:CD258, 1, BB58:BB258)</f>
        <v>161.54</v>
      </c>
    </row>
    <row r="278" spans="1:12" ht="14.25" x14ac:dyDescent="0.2">
      <c r="A278" s="44"/>
      <c r="B278" s="47"/>
      <c r="C278" s="108" t="s">
        <v>626</v>
      </c>
      <c r="D278" s="108"/>
      <c r="E278" s="108"/>
      <c r="F278" s="108"/>
      <c r="G278" s="108"/>
      <c r="H278" s="108"/>
      <c r="I278" s="2"/>
      <c r="J278" s="38">
        <f>SUMIF(CD58:CD258, 1, S58:S258)+SUMIF(CD58:CD258, 1, X58:X258)+SUMIF(CD58:CD258, 1, Z58:Z258)</f>
        <v>1451.3300000000002</v>
      </c>
      <c r="K278" s="38"/>
      <c r="L278" s="38">
        <f>SUMIF(CD58:CD258, 1, AR58:AR258)+SUMIF(CD58:CD258, 1, AT58:AT258)+SUMIF(CD58:CD258, 1, AV58:AV258)</f>
        <v>57080.840000000004</v>
      </c>
    </row>
    <row r="279" spans="1:12" ht="14.25" x14ac:dyDescent="0.2">
      <c r="A279" s="44"/>
      <c r="B279" s="47"/>
      <c r="C279" s="108" t="s">
        <v>627</v>
      </c>
      <c r="D279" s="108"/>
      <c r="E279" s="108"/>
      <c r="F279" s="108"/>
      <c r="G279" s="108"/>
      <c r="H279" s="108"/>
      <c r="I279" s="2"/>
      <c r="J279" s="38">
        <f>SUMIF(CD58:CD258, 1, AD58:AD258)</f>
        <v>1394.5100000000002</v>
      </c>
      <c r="K279" s="38"/>
      <c r="L279" s="38">
        <f>SUMIF(CD58:CD258, 1, AZ58:AZ258)</f>
        <v>54845.93</v>
      </c>
    </row>
    <row r="280" spans="1:12" ht="14.25" x14ac:dyDescent="0.2">
      <c r="A280" s="44"/>
      <c r="B280" s="47"/>
      <c r="C280" s="108" t="s">
        <v>628</v>
      </c>
      <c r="D280" s="108"/>
      <c r="E280" s="108"/>
      <c r="F280" s="108"/>
      <c r="G280" s="108"/>
      <c r="H280" s="108"/>
      <c r="I280" s="2"/>
      <c r="J280" s="38">
        <f>SUMIF(CD58:CD258, 1, AE58:AE258)</f>
        <v>691.69999999999982</v>
      </c>
      <c r="K280" s="38"/>
      <c r="L280" s="38">
        <f>SUMIF(CD58:CD258, 1, BA58:BA258)</f>
        <v>27204.979999999992</v>
      </c>
    </row>
    <row r="281" spans="1:12" hidden="1" x14ac:dyDescent="0.2"/>
    <row r="282" spans="1:12" ht="15" hidden="1" x14ac:dyDescent="0.2">
      <c r="A282" s="48"/>
      <c r="B282" s="49"/>
      <c r="C282" s="110" t="s">
        <v>629</v>
      </c>
      <c r="D282" s="110"/>
      <c r="E282" s="110"/>
      <c r="F282" s="110"/>
      <c r="G282" s="110"/>
      <c r="H282" s="110"/>
      <c r="I282" s="50"/>
      <c r="J282" s="51">
        <f>J284+J299+J300</f>
        <v>0</v>
      </c>
      <c r="K282" s="51"/>
      <c r="L282" s="51">
        <f>L284+L299+L300</f>
        <v>0</v>
      </c>
    </row>
    <row r="283" spans="1:12" ht="14.25" hidden="1" x14ac:dyDescent="0.2">
      <c r="A283" s="44"/>
      <c r="B283" s="47"/>
      <c r="C283" s="109" t="s">
        <v>596</v>
      </c>
      <c r="D283" s="108"/>
      <c r="E283" s="108"/>
      <c r="F283" s="108"/>
      <c r="G283" s="108"/>
      <c r="H283" s="108"/>
      <c r="I283" s="2"/>
      <c r="J283" s="38"/>
      <c r="K283" s="38"/>
      <c r="L283" s="38"/>
    </row>
    <row r="284" spans="1:12" ht="14.25" hidden="1" x14ac:dyDescent="0.2">
      <c r="A284" s="44"/>
      <c r="B284" s="47"/>
      <c r="C284" s="108" t="s">
        <v>624</v>
      </c>
      <c r="D284" s="108"/>
      <c r="E284" s="108"/>
      <c r="F284" s="108"/>
      <c r="G284" s="108"/>
      <c r="H284" s="108"/>
      <c r="I284" s="2"/>
      <c r="J284" s="38">
        <f>J286+J287+J293+J297</f>
        <v>0</v>
      </c>
      <c r="K284" s="38"/>
      <c r="L284" s="38">
        <f>L286+L287+L293+L297</f>
        <v>0</v>
      </c>
    </row>
    <row r="285" spans="1:12" ht="14.25" hidden="1" x14ac:dyDescent="0.2">
      <c r="A285" s="44"/>
      <c r="B285" s="47"/>
      <c r="C285" s="109" t="s">
        <v>596</v>
      </c>
      <c r="D285" s="108"/>
      <c r="E285" s="108"/>
      <c r="F285" s="108"/>
      <c r="G285" s="108"/>
      <c r="H285" s="108"/>
      <c r="I285" s="2"/>
      <c r="J285" s="38"/>
      <c r="K285" s="38"/>
      <c r="L285" s="38"/>
    </row>
    <row r="286" spans="1:12" ht="14.25" hidden="1" x14ac:dyDescent="0.2">
      <c r="A286" s="44"/>
      <c r="B286" s="47"/>
      <c r="C286" s="108" t="s">
        <v>625</v>
      </c>
      <c r="D286" s="108"/>
      <c r="E286" s="108"/>
      <c r="F286" s="108"/>
      <c r="G286" s="108"/>
      <c r="H286" s="108"/>
      <c r="I286" s="2"/>
      <c r="J286" s="38">
        <f>SUMIF(CD58:CD280, 2, S58:S280)</f>
        <v>0</v>
      </c>
      <c r="K286" s="38"/>
      <c r="L286" s="38">
        <f>SUMIF(CD58:CD280, 2, AR58:AR280)</f>
        <v>0</v>
      </c>
    </row>
    <row r="287" spans="1:12" ht="14.25" hidden="1" x14ac:dyDescent="0.2">
      <c r="A287" s="44"/>
      <c r="B287" s="47"/>
      <c r="C287" s="108" t="s">
        <v>598</v>
      </c>
      <c r="D287" s="108"/>
      <c r="E287" s="108"/>
      <c r="F287" s="108"/>
      <c r="G287" s="108"/>
      <c r="H287" s="108"/>
      <c r="I287" s="2"/>
      <c r="J287" s="38">
        <f>J289+J292</f>
        <v>0</v>
      </c>
      <c r="K287" s="38"/>
      <c r="L287" s="38">
        <f>L289+L292</f>
        <v>0</v>
      </c>
    </row>
    <row r="288" spans="1:12" ht="14.25" hidden="1" x14ac:dyDescent="0.2">
      <c r="A288" s="44"/>
      <c r="B288" s="47"/>
      <c r="C288" s="109" t="s">
        <v>599</v>
      </c>
      <c r="D288" s="108"/>
      <c r="E288" s="108"/>
      <c r="F288" s="108"/>
      <c r="G288" s="108"/>
      <c r="H288" s="108"/>
      <c r="I288" s="2"/>
      <c r="J288" s="38"/>
      <c r="K288" s="38"/>
      <c r="L288" s="38"/>
    </row>
    <row r="289" spans="1:12" ht="14.25" hidden="1" x14ac:dyDescent="0.2">
      <c r="A289" s="44"/>
      <c r="B289" s="47"/>
      <c r="C289" s="108" t="s">
        <v>600</v>
      </c>
      <c r="D289" s="108"/>
      <c r="E289" s="108"/>
      <c r="F289" s="108"/>
      <c r="G289" s="108"/>
      <c r="H289" s="108"/>
      <c r="I289" s="2"/>
      <c r="J289" s="38">
        <f>SUMIF(CD58:CD280, 2, P58:P280)</f>
        <v>0</v>
      </c>
      <c r="K289" s="38"/>
      <c r="L289" s="38">
        <f>SUMIF(CD58:CD280, 2, AO58:AO280)</f>
        <v>0</v>
      </c>
    </row>
    <row r="290" spans="1:12" ht="14.25" hidden="1" x14ac:dyDescent="0.2">
      <c r="A290" s="44"/>
      <c r="B290" s="47"/>
      <c r="C290" s="109" t="s">
        <v>601</v>
      </c>
      <c r="D290" s="108"/>
      <c r="E290" s="108"/>
      <c r="F290" s="108"/>
      <c r="G290" s="108"/>
      <c r="H290" s="108"/>
      <c r="I290" s="2"/>
      <c r="J290" s="38"/>
      <c r="K290" s="38"/>
      <c r="L290" s="38"/>
    </row>
    <row r="291" spans="1:12" ht="14.25" hidden="1" x14ac:dyDescent="0.2">
      <c r="A291" s="44"/>
      <c r="B291" s="47"/>
      <c r="C291" s="108" t="s">
        <v>602</v>
      </c>
      <c r="D291" s="108"/>
      <c r="E291" s="108"/>
      <c r="F291" s="108"/>
      <c r="G291" s="108"/>
      <c r="H291" s="108"/>
      <c r="I291" s="2"/>
      <c r="J291" s="38">
        <f>SUMIF(CD58:CD280, 2, X58:X280)</f>
        <v>0</v>
      </c>
      <c r="K291" s="38"/>
      <c r="L291" s="38">
        <f>SUMIF(CD58:CD280, 2, AT58:AT280)</f>
        <v>0</v>
      </c>
    </row>
    <row r="292" spans="1:12" ht="14.25" hidden="1" x14ac:dyDescent="0.2">
      <c r="A292" s="44"/>
      <c r="B292" s="47"/>
      <c r="C292" s="108" t="s">
        <v>603</v>
      </c>
      <c r="D292" s="108"/>
      <c r="E292" s="108"/>
      <c r="F292" s="108"/>
      <c r="G292" s="108"/>
      <c r="H292" s="108"/>
      <c r="I292" s="2"/>
      <c r="J292" s="38">
        <f>SUMIF(CD58:CD280, 2, Z58:Z280)</f>
        <v>0</v>
      </c>
      <c r="K292" s="38"/>
      <c r="L292" s="38">
        <f>SUMIF(CD58:CD280, 2, AV58:AV280)</f>
        <v>0</v>
      </c>
    </row>
    <row r="293" spans="1:12" ht="14.25" hidden="1" x14ac:dyDescent="0.2">
      <c r="A293" s="44"/>
      <c r="B293" s="47"/>
      <c r="C293" s="108" t="s">
        <v>604</v>
      </c>
      <c r="D293" s="108"/>
      <c r="E293" s="108"/>
      <c r="F293" s="108"/>
      <c r="G293" s="108"/>
      <c r="H293" s="108"/>
      <c r="I293" s="2"/>
      <c r="J293" s="38">
        <f>J295+J296</f>
        <v>0</v>
      </c>
      <c r="K293" s="38"/>
      <c r="L293" s="38">
        <f>L295+L296</f>
        <v>0</v>
      </c>
    </row>
    <row r="294" spans="1:12" ht="14.25" hidden="1" x14ac:dyDescent="0.2">
      <c r="A294" s="44"/>
      <c r="B294" s="47"/>
      <c r="C294" s="109" t="s">
        <v>599</v>
      </c>
      <c r="D294" s="108"/>
      <c r="E294" s="108"/>
      <c r="F294" s="108"/>
      <c r="G294" s="108"/>
      <c r="H294" s="108"/>
      <c r="I294" s="2"/>
      <c r="J294" s="38"/>
      <c r="K294" s="38"/>
      <c r="L294" s="38"/>
    </row>
    <row r="295" spans="1:12" ht="14.25" hidden="1" x14ac:dyDescent="0.2">
      <c r="A295" s="44"/>
      <c r="B295" s="47"/>
      <c r="C295" s="108" t="s">
        <v>605</v>
      </c>
      <c r="D295" s="108"/>
      <c r="E295" s="108"/>
      <c r="F295" s="108"/>
      <c r="G295" s="108"/>
      <c r="H295" s="108"/>
      <c r="I295" s="2"/>
      <c r="J295" s="38">
        <f>SUMIF(CD58:CD280, 2, AA58:AA280)-SUMIF(CD58:CD280, 2, BJ58:BJ280)</f>
        <v>0</v>
      </c>
      <c r="K295" s="38"/>
      <c r="L295" s="38">
        <f>SUMIF(CD58:CD280, 2, AW58:AW280)-SUMIF(CD58:CD280, 2, BK58:BK280)</f>
        <v>0</v>
      </c>
    </row>
    <row r="296" spans="1:12" ht="14.25" hidden="1" x14ac:dyDescent="0.2">
      <c r="A296" s="44"/>
      <c r="B296" s="47"/>
      <c r="C296" s="108" t="s">
        <v>606</v>
      </c>
      <c r="D296" s="108"/>
      <c r="E296" s="108"/>
      <c r="F296" s="108"/>
      <c r="G296" s="108"/>
      <c r="H296" s="108"/>
      <c r="I296" s="2"/>
      <c r="J296" s="38">
        <f>SUMIF(CD58:CD280, 2, AG58:AG280)</f>
        <v>0</v>
      </c>
      <c r="K296" s="38"/>
      <c r="L296" s="38">
        <f>SUMIF(CD58:CD280, 2, BC58:BC280)</f>
        <v>0</v>
      </c>
    </row>
    <row r="297" spans="1:12" ht="14.25" hidden="1" x14ac:dyDescent="0.2">
      <c r="A297" s="44"/>
      <c r="B297" s="47"/>
      <c r="C297" s="108" t="s">
        <v>607</v>
      </c>
      <c r="D297" s="108"/>
      <c r="E297" s="108"/>
      <c r="F297" s="108"/>
      <c r="G297" s="108"/>
      <c r="H297" s="108"/>
      <c r="I297" s="2"/>
      <c r="J297" s="38">
        <f>SUMIF(CD58:CD280, 2, AF58:AF280)</f>
        <v>0</v>
      </c>
      <c r="K297" s="38"/>
      <c r="L297" s="38">
        <f>SUMIF(CD58:CD280, 2, BB58:BB280)</f>
        <v>0</v>
      </c>
    </row>
    <row r="298" spans="1:12" ht="14.25" hidden="1" x14ac:dyDescent="0.2">
      <c r="A298" s="44"/>
      <c r="B298" s="47"/>
      <c r="C298" s="108" t="s">
        <v>626</v>
      </c>
      <c r="D298" s="108"/>
      <c r="E298" s="108"/>
      <c r="F298" s="108"/>
      <c r="G298" s="108"/>
      <c r="H298" s="108"/>
      <c r="I298" s="2"/>
      <c r="J298" s="38">
        <f>SUMIF(CD58:CD280, 2, S58:S280)+SUMIF(CD58:CD280, 2, X58:X280)+SUMIF(CD58:CD280, 2, Z58:Z280)</f>
        <v>0</v>
      </c>
      <c r="K298" s="38"/>
      <c r="L298" s="38">
        <f>SUMIF(CD58:CD280, 2, AR58:AR280)+SUMIF(CD58:CD280, 2, AT58:AT280)+SUMIF(CD58:CD280, 2, AV58:AV280)</f>
        <v>0</v>
      </c>
    </row>
    <row r="299" spans="1:12" ht="14.25" hidden="1" x14ac:dyDescent="0.2">
      <c r="A299" s="44"/>
      <c r="B299" s="47"/>
      <c r="C299" s="108" t="s">
        <v>627</v>
      </c>
      <c r="D299" s="108"/>
      <c r="E299" s="108"/>
      <c r="F299" s="108"/>
      <c r="G299" s="108"/>
      <c r="H299" s="108"/>
      <c r="I299" s="2"/>
      <c r="J299" s="38">
        <f>SUMIF(CD58:CD280, 2, AD58:AD280)</f>
        <v>0</v>
      </c>
      <c r="K299" s="38"/>
      <c r="L299" s="38">
        <f>SUMIF(CD58:CD280, 2, AZ58:AZ280)</f>
        <v>0</v>
      </c>
    </row>
    <row r="300" spans="1:12" ht="14.25" hidden="1" x14ac:dyDescent="0.2">
      <c r="A300" s="44"/>
      <c r="B300" s="47"/>
      <c r="C300" s="108" t="s">
        <v>628</v>
      </c>
      <c r="D300" s="108"/>
      <c r="E300" s="108"/>
      <c r="F300" s="108"/>
      <c r="G300" s="108"/>
      <c r="H300" s="108"/>
      <c r="I300" s="2"/>
      <c r="J300" s="38">
        <f>SUMIF(CD58:CD280, 2, AE58:AE280)</f>
        <v>0</v>
      </c>
      <c r="K300" s="38"/>
      <c r="L300" s="38">
        <f>SUMIF(CD58:CD280, 2, BA58:BA280)</f>
        <v>0</v>
      </c>
    </row>
    <row r="301" spans="1:12" hidden="1" x14ac:dyDescent="0.2"/>
    <row r="302" spans="1:12" ht="15" hidden="1" x14ac:dyDescent="0.2">
      <c r="A302" s="48"/>
      <c r="B302" s="49"/>
      <c r="C302" s="110" t="s">
        <v>630</v>
      </c>
      <c r="D302" s="110"/>
      <c r="E302" s="110"/>
      <c r="F302" s="110"/>
      <c r="G302" s="110"/>
      <c r="H302" s="110"/>
      <c r="I302" s="50"/>
      <c r="J302" s="51">
        <f>J304+J305</f>
        <v>0</v>
      </c>
      <c r="K302" s="51"/>
      <c r="L302" s="51">
        <f>L304+L305</f>
        <v>0</v>
      </c>
    </row>
    <row r="303" spans="1:12" ht="14.25" hidden="1" x14ac:dyDescent="0.2">
      <c r="A303" s="44"/>
      <c r="B303" s="47"/>
      <c r="C303" s="109" t="s">
        <v>596</v>
      </c>
      <c r="D303" s="108"/>
      <c r="E303" s="108"/>
      <c r="F303" s="108"/>
      <c r="G303" s="108"/>
      <c r="H303" s="108"/>
      <c r="I303" s="2"/>
      <c r="J303" s="38"/>
      <c r="K303" s="38"/>
      <c r="L303" s="38"/>
    </row>
    <row r="304" spans="1:12" ht="14.25" hidden="1" x14ac:dyDescent="0.2">
      <c r="A304" s="44"/>
      <c r="B304" s="47"/>
      <c r="C304" s="108" t="s">
        <v>612</v>
      </c>
      <c r="D304" s="108"/>
      <c r="E304" s="108"/>
      <c r="F304" s="108"/>
      <c r="G304" s="108"/>
      <c r="H304" s="108"/>
      <c r="I304" s="2"/>
      <c r="J304" s="38">
        <f>SUMIF(CD58:CD300, 3, BJ58:BJ300)</f>
        <v>0</v>
      </c>
      <c r="K304" s="38"/>
      <c r="L304" s="38">
        <f>SUMIF(CD58:CD300, 3, BK58:BK300)</f>
        <v>0</v>
      </c>
    </row>
    <row r="305" spans="1:12" ht="14.25" hidden="1" x14ac:dyDescent="0.2">
      <c r="A305" s="44"/>
      <c r="B305" s="47"/>
      <c r="C305" s="108" t="s">
        <v>613</v>
      </c>
      <c r="D305" s="108"/>
      <c r="E305" s="108"/>
      <c r="F305" s="108"/>
      <c r="G305" s="108"/>
      <c r="H305" s="108"/>
      <c r="I305" s="2"/>
      <c r="J305" s="38">
        <f>SUMIF(CD58:CD300, 3, AH58:AH300)</f>
        <v>0</v>
      </c>
      <c r="K305" s="38"/>
      <c r="L305" s="38">
        <f>SUMIF(CD58:CD300, 3, BD58:BD300)</f>
        <v>0</v>
      </c>
    </row>
    <row r="306" spans="1:12" hidden="1" x14ac:dyDescent="0.2"/>
    <row r="307" spans="1:12" ht="15" hidden="1" x14ac:dyDescent="0.2">
      <c r="A307" s="48"/>
      <c r="B307" s="49"/>
      <c r="C307" s="110" t="s">
        <v>631</v>
      </c>
      <c r="D307" s="110"/>
      <c r="E307" s="110"/>
      <c r="F307" s="110"/>
      <c r="G307" s="110"/>
      <c r="H307" s="110"/>
      <c r="I307" s="50"/>
      <c r="J307" s="51">
        <f>J313+J328+J329+J309+J310</f>
        <v>0</v>
      </c>
      <c r="K307" s="51"/>
      <c r="L307" s="51">
        <f>L313+L328+L329+L309+L310</f>
        <v>0</v>
      </c>
    </row>
    <row r="308" spans="1:12" ht="14.25" hidden="1" x14ac:dyDescent="0.2">
      <c r="A308" s="44"/>
      <c r="B308" s="47"/>
      <c r="C308" s="109" t="s">
        <v>596</v>
      </c>
      <c r="D308" s="108"/>
      <c r="E308" s="108"/>
      <c r="F308" s="108"/>
      <c r="G308" s="108"/>
      <c r="H308" s="108"/>
      <c r="I308" s="2"/>
      <c r="J308" s="38"/>
      <c r="K308" s="38"/>
      <c r="L308" s="38"/>
    </row>
    <row r="309" spans="1:12" ht="14.25" hidden="1" x14ac:dyDescent="0.2">
      <c r="A309" s="44"/>
      <c r="B309" s="47"/>
      <c r="C309" s="108" t="s">
        <v>632</v>
      </c>
      <c r="D309" s="108"/>
      <c r="E309" s="108"/>
      <c r="F309" s="108"/>
      <c r="G309" s="108"/>
      <c r="H309" s="108"/>
      <c r="I309" s="2"/>
      <c r="J309" s="38">
        <f>SUM(BL58:BL305)</f>
        <v>0</v>
      </c>
      <c r="K309" s="38"/>
      <c r="L309" s="38"/>
    </row>
    <row r="310" spans="1:12" ht="14.25" hidden="1" x14ac:dyDescent="0.2">
      <c r="A310" s="44"/>
      <c r="B310" s="47"/>
      <c r="C310" s="108" t="s">
        <v>633</v>
      </c>
      <c r="D310" s="108"/>
      <c r="E310" s="108"/>
      <c r="F310" s="108"/>
      <c r="G310" s="108"/>
      <c r="H310" s="108"/>
      <c r="I310" s="2"/>
      <c r="J310" s="38">
        <f>SUM(BN58:BN305)</f>
        <v>0</v>
      </c>
      <c r="K310" s="38"/>
      <c r="L310" s="38">
        <f>SUM(BO58:BO305)</f>
        <v>0</v>
      </c>
    </row>
    <row r="311" spans="1:12" ht="14.25" hidden="1" x14ac:dyDescent="0.2">
      <c r="A311" s="44"/>
      <c r="B311" s="47"/>
      <c r="C311" s="108" t="s">
        <v>634</v>
      </c>
      <c r="D311" s="108"/>
      <c r="E311" s="108"/>
      <c r="F311" s="108"/>
      <c r="G311" s="108"/>
      <c r="H311" s="108"/>
      <c r="I311" s="2"/>
      <c r="J311" s="38">
        <f>J313+J328+J329</f>
        <v>0</v>
      </c>
      <c r="K311" s="38"/>
      <c r="L311" s="38">
        <f>L313+L328+L329</f>
        <v>0</v>
      </c>
    </row>
    <row r="312" spans="1:12" ht="14.25" hidden="1" x14ac:dyDescent="0.2">
      <c r="A312" s="44"/>
      <c r="B312" s="47"/>
      <c r="C312" s="109" t="s">
        <v>596</v>
      </c>
      <c r="D312" s="108"/>
      <c r="E312" s="108"/>
      <c r="F312" s="108"/>
      <c r="G312" s="108"/>
      <c r="H312" s="108"/>
      <c r="I312" s="2"/>
      <c r="J312" s="38"/>
      <c r="K312" s="38"/>
      <c r="L312" s="38"/>
    </row>
    <row r="313" spans="1:12" ht="14.25" hidden="1" x14ac:dyDescent="0.2">
      <c r="A313" s="44"/>
      <c r="B313" s="47"/>
      <c r="C313" s="108" t="s">
        <v>624</v>
      </c>
      <c r="D313" s="108"/>
      <c r="E313" s="108"/>
      <c r="F313" s="108"/>
      <c r="G313" s="108"/>
      <c r="H313" s="108"/>
      <c r="I313" s="2"/>
      <c r="J313" s="38">
        <f>J315+J316+J322+J326</f>
        <v>0</v>
      </c>
      <c r="K313" s="38"/>
      <c r="L313" s="38">
        <f>L315+L316+L322+L326</f>
        <v>0</v>
      </c>
    </row>
    <row r="314" spans="1:12" ht="14.25" hidden="1" x14ac:dyDescent="0.2">
      <c r="A314" s="44"/>
      <c r="B314" s="47"/>
      <c r="C314" s="109" t="s">
        <v>596</v>
      </c>
      <c r="D314" s="108"/>
      <c r="E314" s="108"/>
      <c r="F314" s="108"/>
      <c r="G314" s="108"/>
      <c r="H314" s="108"/>
      <c r="I314" s="2"/>
      <c r="J314" s="38"/>
      <c r="K314" s="38"/>
      <c r="L314" s="38"/>
    </row>
    <row r="315" spans="1:12" ht="14.25" hidden="1" x14ac:dyDescent="0.2">
      <c r="A315" s="44"/>
      <c r="B315" s="47"/>
      <c r="C315" s="108" t="s">
        <v>625</v>
      </c>
      <c r="D315" s="108"/>
      <c r="E315" s="108"/>
      <c r="F315" s="108"/>
      <c r="G315" s="108"/>
      <c r="H315" s="108"/>
      <c r="I315" s="2"/>
      <c r="J315" s="38">
        <f>SUMIF(CD58:CD305, 4, S58:S305)</f>
        <v>0</v>
      </c>
      <c r="K315" s="38"/>
      <c r="L315" s="38">
        <f>SUMIF(CD58:CD305, 4, AR58:AR305)</f>
        <v>0</v>
      </c>
    </row>
    <row r="316" spans="1:12" ht="14.25" hidden="1" x14ac:dyDescent="0.2">
      <c r="A316" s="44"/>
      <c r="B316" s="47"/>
      <c r="C316" s="108" t="s">
        <v>598</v>
      </c>
      <c r="D316" s="108"/>
      <c r="E316" s="108"/>
      <c r="F316" s="108"/>
      <c r="G316" s="108"/>
      <c r="H316" s="108"/>
      <c r="I316" s="2"/>
      <c r="J316" s="38">
        <f>J318+J321</f>
        <v>0</v>
      </c>
      <c r="K316" s="38"/>
      <c r="L316" s="38">
        <f>L318+L321</f>
        <v>0</v>
      </c>
    </row>
    <row r="317" spans="1:12" ht="14.25" hidden="1" x14ac:dyDescent="0.2">
      <c r="A317" s="44"/>
      <c r="B317" s="47"/>
      <c r="C317" s="109" t="s">
        <v>599</v>
      </c>
      <c r="D317" s="108"/>
      <c r="E317" s="108"/>
      <c r="F317" s="108"/>
      <c r="G317" s="108"/>
      <c r="H317" s="108"/>
      <c r="I317" s="2"/>
      <c r="J317" s="38"/>
      <c r="K317" s="38"/>
      <c r="L317" s="38"/>
    </row>
    <row r="318" spans="1:12" ht="14.25" hidden="1" x14ac:dyDescent="0.2">
      <c r="A318" s="44"/>
      <c r="B318" s="47"/>
      <c r="C318" s="108" t="s">
        <v>600</v>
      </c>
      <c r="D318" s="108"/>
      <c r="E318" s="108"/>
      <c r="F318" s="108"/>
      <c r="G318" s="108"/>
      <c r="H318" s="108"/>
      <c r="I318" s="2"/>
      <c r="J318" s="38">
        <f>SUMIF(CD58:CD305, 4, P58:P305)</f>
        <v>0</v>
      </c>
      <c r="K318" s="38"/>
      <c r="L318" s="38">
        <f>SUMIF(CD58:CD305, 4, AO58:AO305)</f>
        <v>0</v>
      </c>
    </row>
    <row r="319" spans="1:12" ht="14.25" hidden="1" x14ac:dyDescent="0.2">
      <c r="A319" s="44"/>
      <c r="B319" s="47"/>
      <c r="C319" s="109" t="s">
        <v>601</v>
      </c>
      <c r="D319" s="108"/>
      <c r="E319" s="108"/>
      <c r="F319" s="108"/>
      <c r="G319" s="108"/>
      <c r="H319" s="108"/>
      <c r="I319" s="2"/>
      <c r="J319" s="38"/>
      <c r="K319" s="38"/>
      <c r="L319" s="38"/>
    </row>
    <row r="320" spans="1:12" ht="14.25" hidden="1" x14ac:dyDescent="0.2">
      <c r="A320" s="44"/>
      <c r="B320" s="47"/>
      <c r="C320" s="108" t="s">
        <v>602</v>
      </c>
      <c r="D320" s="108"/>
      <c r="E320" s="108"/>
      <c r="F320" s="108"/>
      <c r="G320" s="108"/>
      <c r="H320" s="108"/>
      <c r="I320" s="2"/>
      <c r="J320" s="38">
        <f>SUMIF(CD58:CD305, 4, X58:X305)</f>
        <v>0</v>
      </c>
      <c r="K320" s="38"/>
      <c r="L320" s="38">
        <f>SUMIF(CD58:CD305, 4, AT58:AT305)</f>
        <v>0</v>
      </c>
    </row>
    <row r="321" spans="1:12" ht="14.25" hidden="1" x14ac:dyDescent="0.2">
      <c r="A321" s="44"/>
      <c r="B321" s="47"/>
      <c r="C321" s="108" t="s">
        <v>603</v>
      </c>
      <c r="D321" s="108"/>
      <c r="E321" s="108"/>
      <c r="F321" s="108"/>
      <c r="G321" s="108"/>
      <c r="H321" s="108"/>
      <c r="I321" s="2"/>
      <c r="J321" s="38">
        <f>SUMIF(CD58:CD305, 4, Z58:Z305)</f>
        <v>0</v>
      </c>
      <c r="K321" s="38"/>
      <c r="L321" s="38">
        <f>SUMIF(CD58:CD305, 4, AV58:AV305)</f>
        <v>0</v>
      </c>
    </row>
    <row r="322" spans="1:12" ht="14.25" hidden="1" x14ac:dyDescent="0.2">
      <c r="A322" s="44"/>
      <c r="B322" s="47"/>
      <c r="C322" s="108" t="s">
        <v>604</v>
      </c>
      <c r="D322" s="108"/>
      <c r="E322" s="108"/>
      <c r="F322" s="108"/>
      <c r="G322" s="108"/>
      <c r="H322" s="108"/>
      <c r="I322" s="2"/>
      <c r="J322" s="38">
        <f>J324+J325</f>
        <v>0</v>
      </c>
      <c r="K322" s="38"/>
      <c r="L322" s="38">
        <f>L324+L325</f>
        <v>0</v>
      </c>
    </row>
    <row r="323" spans="1:12" ht="14.25" hidden="1" x14ac:dyDescent="0.2">
      <c r="A323" s="44"/>
      <c r="B323" s="47"/>
      <c r="C323" s="109" t="s">
        <v>599</v>
      </c>
      <c r="D323" s="108"/>
      <c r="E323" s="108"/>
      <c r="F323" s="108"/>
      <c r="G323" s="108"/>
      <c r="H323" s="108"/>
      <c r="I323" s="2"/>
      <c r="J323" s="38"/>
      <c r="K323" s="38"/>
      <c r="L323" s="38"/>
    </row>
    <row r="324" spans="1:12" ht="14.25" hidden="1" x14ac:dyDescent="0.2">
      <c r="A324" s="44"/>
      <c r="B324" s="47"/>
      <c r="C324" s="108" t="s">
        <v>605</v>
      </c>
      <c r="D324" s="108"/>
      <c r="E324" s="108"/>
      <c r="F324" s="108"/>
      <c r="G324" s="108"/>
      <c r="H324" s="108"/>
      <c r="I324" s="2"/>
      <c r="J324" s="38">
        <f>SUMIF(CD58:CD305, 4, AA58:AA305)-SUMIF(CD58:CD305, 4, BJ58:BJ305)</f>
        <v>0</v>
      </c>
      <c r="K324" s="38"/>
      <c r="L324" s="38">
        <f>SUMIF(CD58:CD305, 4, AW58:AW305)-SUMIF(CD58:CD305, 4, BK58:BK305)</f>
        <v>0</v>
      </c>
    </row>
    <row r="325" spans="1:12" ht="14.25" hidden="1" x14ac:dyDescent="0.2">
      <c r="A325" s="44"/>
      <c r="B325" s="47"/>
      <c r="C325" s="108" t="s">
        <v>606</v>
      </c>
      <c r="D325" s="108"/>
      <c r="E325" s="108"/>
      <c r="F325" s="108"/>
      <c r="G325" s="108"/>
      <c r="H325" s="108"/>
      <c r="I325" s="2"/>
      <c r="J325" s="38">
        <f>SUMIF(CD58:CD305, 4, AG58:AG305)</f>
        <v>0</v>
      </c>
      <c r="K325" s="38"/>
      <c r="L325" s="38">
        <f>SUMIF(CD58:CD305, 4, BC58:BC305)</f>
        <v>0</v>
      </c>
    </row>
    <row r="326" spans="1:12" ht="14.25" hidden="1" x14ac:dyDescent="0.2">
      <c r="A326" s="44"/>
      <c r="B326" s="47"/>
      <c r="C326" s="108" t="s">
        <v>607</v>
      </c>
      <c r="D326" s="108"/>
      <c r="E326" s="108"/>
      <c r="F326" s="108"/>
      <c r="G326" s="108"/>
      <c r="H326" s="108"/>
      <c r="I326" s="2"/>
      <c r="J326" s="38">
        <f>SUMIF(CD58:CD305, 4, AF58:AF305)</f>
        <v>0</v>
      </c>
      <c r="K326" s="38"/>
      <c r="L326" s="38">
        <f>SUMIF(CD58:CD305, 4, BB58:BB305)</f>
        <v>0</v>
      </c>
    </row>
    <row r="327" spans="1:12" ht="14.25" hidden="1" x14ac:dyDescent="0.2">
      <c r="A327" s="44"/>
      <c r="B327" s="47"/>
      <c r="C327" s="108" t="s">
        <v>626</v>
      </c>
      <c r="D327" s="108"/>
      <c r="E327" s="108"/>
      <c r="F327" s="108"/>
      <c r="G327" s="108"/>
      <c r="H327" s="108"/>
      <c r="I327" s="2"/>
      <c r="J327" s="38">
        <f>SUMIF(CD58:CD305, 4, S58:S305)+SUMIF(CD58:CD305, 4, X58:X305)+SUMIF(CD58:CD305, 4, Z58:Z305)</f>
        <v>0</v>
      </c>
      <c r="K327" s="38"/>
      <c r="L327" s="38">
        <f>SUMIF(CD58:CD305, 4, AR58:AR305)+SUMIF(CD58:CD305, 4, AT58:AT305)+SUMIF(CD58:CD305, 4, AV58:AV305)</f>
        <v>0</v>
      </c>
    </row>
    <row r="328" spans="1:12" ht="14.25" hidden="1" x14ac:dyDescent="0.2">
      <c r="A328" s="44"/>
      <c r="B328" s="47"/>
      <c r="C328" s="108" t="s">
        <v>627</v>
      </c>
      <c r="D328" s="108"/>
      <c r="E328" s="108"/>
      <c r="F328" s="108"/>
      <c r="G328" s="108"/>
      <c r="H328" s="108"/>
      <c r="I328" s="2"/>
      <c r="J328" s="38">
        <f>SUMIF(CD58:CD305, 4, AD58:AD305)</f>
        <v>0</v>
      </c>
      <c r="K328" s="38"/>
      <c r="L328" s="38">
        <f>SUMIF(CD58:CD305, 4, AZ58:AZ305)</f>
        <v>0</v>
      </c>
    </row>
    <row r="329" spans="1:12" ht="14.25" hidden="1" x14ac:dyDescent="0.2">
      <c r="A329" s="44"/>
      <c r="B329" s="47"/>
      <c r="C329" s="108" t="s">
        <v>628</v>
      </c>
      <c r="D329" s="108"/>
      <c r="E329" s="108"/>
      <c r="F329" s="108"/>
      <c r="G329" s="108"/>
      <c r="H329" s="108"/>
      <c r="I329" s="2"/>
      <c r="J329" s="38">
        <f>SUMIF(CD58:CD305, 4, AE58:AE305)</f>
        <v>0</v>
      </c>
      <c r="K329" s="38"/>
      <c r="L329" s="38">
        <f>SUMIF(CD58:CD305, 4, BA58:BA305)</f>
        <v>0</v>
      </c>
    </row>
    <row r="331" spans="1:12" ht="15" x14ac:dyDescent="0.2">
      <c r="A331" s="48"/>
      <c r="B331" s="49"/>
      <c r="C331" s="110" t="s">
        <v>635</v>
      </c>
      <c r="D331" s="110"/>
      <c r="E331" s="110"/>
      <c r="F331" s="110"/>
      <c r="G331" s="110"/>
      <c r="H331" s="110"/>
      <c r="I331" s="50"/>
      <c r="J331" s="51">
        <f>J262+J282+J302+J307</f>
        <v>6150.21</v>
      </c>
      <c r="K331" s="51"/>
      <c r="L331" s="51">
        <f>L262+L282+L302+L307</f>
        <v>161920.81</v>
      </c>
    </row>
    <row r="332" spans="1:12" ht="14.25" x14ac:dyDescent="0.2">
      <c r="A332" s="44"/>
      <c r="B332" s="47"/>
      <c r="C332" s="109" t="s">
        <v>596</v>
      </c>
      <c r="D332" s="108"/>
      <c r="E332" s="108"/>
      <c r="F332" s="108"/>
      <c r="G332" s="108"/>
      <c r="H332" s="108"/>
      <c r="I332" s="2"/>
      <c r="J332" s="38"/>
      <c r="K332" s="38"/>
      <c r="L332" s="38"/>
    </row>
    <row r="333" spans="1:12" ht="14.25" x14ac:dyDescent="0.2">
      <c r="A333" s="44"/>
      <c r="B333" s="47"/>
      <c r="C333" s="108" t="s">
        <v>624</v>
      </c>
      <c r="D333" s="108"/>
      <c r="E333" s="108"/>
      <c r="F333" s="108"/>
      <c r="G333" s="108"/>
      <c r="H333" s="108"/>
      <c r="I333" s="2"/>
      <c r="J333" s="38">
        <f>J335+J336+J342+J346</f>
        <v>4064</v>
      </c>
      <c r="K333" s="38"/>
      <c r="L333" s="38">
        <f>L335+L336+L342+L346</f>
        <v>79869.900000000009</v>
      </c>
    </row>
    <row r="334" spans="1:12" ht="14.25" x14ac:dyDescent="0.2">
      <c r="A334" s="44"/>
      <c r="B334" s="47"/>
      <c r="C334" s="109" t="s">
        <v>596</v>
      </c>
      <c r="D334" s="108"/>
      <c r="E334" s="108"/>
      <c r="F334" s="108"/>
      <c r="G334" s="108"/>
      <c r="H334" s="108"/>
      <c r="I334" s="2"/>
      <c r="J334" s="38"/>
      <c r="K334" s="38"/>
      <c r="L334" s="38"/>
    </row>
    <row r="335" spans="1:12" ht="14.25" x14ac:dyDescent="0.2">
      <c r="A335" s="44"/>
      <c r="B335" s="47"/>
      <c r="C335" s="108" t="s">
        <v>625</v>
      </c>
      <c r="D335" s="108"/>
      <c r="E335" s="108"/>
      <c r="F335" s="108"/>
      <c r="G335" s="108"/>
      <c r="H335" s="108"/>
      <c r="I335" s="2"/>
      <c r="J335" s="38">
        <f>SUM(S58:S329)</f>
        <v>1437.7700000000002</v>
      </c>
      <c r="K335" s="38"/>
      <c r="L335" s="38">
        <f>SUM(AR58:AR329)</f>
        <v>56547.520000000004</v>
      </c>
    </row>
    <row r="336" spans="1:12" ht="14.25" x14ac:dyDescent="0.2">
      <c r="A336" s="44"/>
      <c r="B336" s="47"/>
      <c r="C336" s="108" t="s">
        <v>598</v>
      </c>
      <c r="D336" s="108"/>
      <c r="E336" s="108"/>
      <c r="F336" s="108"/>
      <c r="G336" s="108"/>
      <c r="H336" s="108"/>
      <c r="I336" s="2"/>
      <c r="J336" s="38">
        <f>J338+J341</f>
        <v>48.65</v>
      </c>
      <c r="K336" s="38"/>
      <c r="L336" s="38">
        <f>L338+L341</f>
        <v>701.52999999999986</v>
      </c>
    </row>
    <row r="337" spans="1:12" ht="14.25" x14ac:dyDescent="0.2">
      <c r="A337" s="44"/>
      <c r="B337" s="47"/>
      <c r="C337" s="109" t="s">
        <v>599</v>
      </c>
      <c r="D337" s="108"/>
      <c r="E337" s="108"/>
      <c r="F337" s="108"/>
      <c r="G337" s="108"/>
      <c r="H337" s="108"/>
      <c r="I337" s="2"/>
      <c r="J337" s="38"/>
      <c r="K337" s="38"/>
      <c r="L337" s="38"/>
    </row>
    <row r="338" spans="1:12" ht="14.25" x14ac:dyDescent="0.2">
      <c r="A338" s="44"/>
      <c r="B338" s="47"/>
      <c r="C338" s="108" t="s">
        <v>600</v>
      </c>
      <c r="D338" s="108"/>
      <c r="E338" s="108"/>
      <c r="F338" s="108"/>
      <c r="G338" s="108"/>
      <c r="H338" s="108"/>
      <c r="I338" s="2"/>
      <c r="J338" s="38">
        <f>SUM(P58:P329)</f>
        <v>48.65</v>
      </c>
      <c r="K338" s="38"/>
      <c r="L338" s="38">
        <f>SUM(AO58:AO329)</f>
        <v>701.52999999999986</v>
      </c>
    </row>
    <row r="339" spans="1:12" ht="14.25" x14ac:dyDescent="0.2">
      <c r="A339" s="44"/>
      <c r="B339" s="47"/>
      <c r="C339" s="109" t="s">
        <v>601</v>
      </c>
      <c r="D339" s="108"/>
      <c r="E339" s="108"/>
      <c r="F339" s="108"/>
      <c r="G339" s="108"/>
      <c r="H339" s="108"/>
      <c r="I339" s="2"/>
      <c r="J339" s="38"/>
      <c r="K339" s="38"/>
      <c r="L339" s="38"/>
    </row>
    <row r="340" spans="1:12" ht="14.25" x14ac:dyDescent="0.2">
      <c r="A340" s="44"/>
      <c r="B340" s="47"/>
      <c r="C340" s="108" t="s">
        <v>602</v>
      </c>
      <c r="D340" s="108"/>
      <c r="E340" s="108"/>
      <c r="F340" s="108"/>
      <c r="G340" s="108"/>
      <c r="H340" s="108"/>
      <c r="I340" s="2"/>
      <c r="J340" s="38">
        <f>SUM(X58:X329)</f>
        <v>13.559999999999999</v>
      </c>
      <c r="K340" s="38"/>
      <c r="L340" s="38">
        <f>SUM(AT58:AT329)</f>
        <v>533.31999999999994</v>
      </c>
    </row>
    <row r="341" spans="1:12" ht="14.25" hidden="1" x14ac:dyDescent="0.2">
      <c r="A341" s="44"/>
      <c r="B341" s="47"/>
      <c r="C341" s="108" t="s">
        <v>603</v>
      </c>
      <c r="D341" s="108"/>
      <c r="E341" s="108"/>
      <c r="F341" s="108"/>
      <c r="G341" s="108"/>
      <c r="H341" s="108"/>
      <c r="I341" s="2"/>
      <c r="J341" s="38">
        <f>SUM(Z58:Z329)</f>
        <v>0</v>
      </c>
      <c r="K341" s="38"/>
      <c r="L341" s="38">
        <f>SUM(AV58:AV329)</f>
        <v>0</v>
      </c>
    </row>
    <row r="342" spans="1:12" ht="14.25" x14ac:dyDescent="0.2">
      <c r="A342" s="44"/>
      <c r="B342" s="47"/>
      <c r="C342" s="108" t="s">
        <v>604</v>
      </c>
      <c r="D342" s="108"/>
      <c r="E342" s="108"/>
      <c r="F342" s="108"/>
      <c r="G342" s="108"/>
      <c r="H342" s="108"/>
      <c r="I342" s="2"/>
      <c r="J342" s="38">
        <f>J344+J345</f>
        <v>2555.08</v>
      </c>
      <c r="K342" s="38"/>
      <c r="L342" s="38">
        <f>L344+L345</f>
        <v>22459.310000000005</v>
      </c>
    </row>
    <row r="343" spans="1:12" ht="14.25" x14ac:dyDescent="0.2">
      <c r="A343" s="44"/>
      <c r="B343" s="47"/>
      <c r="C343" s="109" t="s">
        <v>599</v>
      </c>
      <c r="D343" s="108"/>
      <c r="E343" s="108"/>
      <c r="F343" s="108"/>
      <c r="G343" s="108"/>
      <c r="H343" s="108"/>
      <c r="I343" s="2"/>
      <c r="J343" s="38"/>
      <c r="K343" s="38"/>
      <c r="L343" s="38"/>
    </row>
    <row r="344" spans="1:12" ht="14.25" x14ac:dyDescent="0.2">
      <c r="A344" s="44"/>
      <c r="B344" s="47"/>
      <c r="C344" s="108" t="s">
        <v>605</v>
      </c>
      <c r="D344" s="108"/>
      <c r="E344" s="108"/>
      <c r="F344" s="108"/>
      <c r="G344" s="108"/>
      <c r="H344" s="108"/>
      <c r="I344" s="2"/>
      <c r="J344" s="38">
        <f>SUM(AA58:AA329)-SUM(BJ58:BJ329)</f>
        <v>2555.08</v>
      </c>
      <c r="K344" s="38"/>
      <c r="L344" s="38">
        <f>SUM(AW58:AW329)-SUM(BK58:BK329)</f>
        <v>22459.310000000005</v>
      </c>
    </row>
    <row r="345" spans="1:12" ht="14.25" hidden="1" x14ac:dyDescent="0.2">
      <c r="A345" s="44"/>
      <c r="B345" s="47"/>
      <c r="C345" s="108" t="s">
        <v>606</v>
      </c>
      <c r="D345" s="108"/>
      <c r="E345" s="108"/>
      <c r="F345" s="108"/>
      <c r="G345" s="108"/>
      <c r="H345" s="108"/>
      <c r="I345" s="2"/>
      <c r="J345" s="38">
        <f>SUM(AG58:AG329)</f>
        <v>0</v>
      </c>
      <c r="K345" s="38"/>
      <c r="L345" s="38">
        <f>SUM(BC58:BC329)</f>
        <v>0</v>
      </c>
    </row>
    <row r="346" spans="1:12" ht="14.25" x14ac:dyDescent="0.2">
      <c r="A346" s="44"/>
      <c r="B346" s="47"/>
      <c r="C346" s="108" t="s">
        <v>607</v>
      </c>
      <c r="D346" s="108"/>
      <c r="E346" s="108"/>
      <c r="F346" s="108"/>
      <c r="G346" s="108"/>
      <c r="H346" s="108"/>
      <c r="I346" s="2"/>
      <c r="J346" s="38">
        <f>SUM(AF58:AF329)</f>
        <v>22.5</v>
      </c>
      <c r="K346" s="38"/>
      <c r="L346" s="38">
        <f>SUM(BB58:BB329)</f>
        <v>161.54</v>
      </c>
    </row>
    <row r="347" spans="1:12" ht="14.25" x14ac:dyDescent="0.2">
      <c r="A347" s="44"/>
      <c r="B347" s="47"/>
      <c r="C347" s="108" t="s">
        <v>608</v>
      </c>
      <c r="D347" s="108"/>
      <c r="E347" s="108"/>
      <c r="F347" s="108"/>
      <c r="G347" s="108"/>
      <c r="H347" s="108"/>
      <c r="I347" s="2"/>
      <c r="J347" s="38">
        <f>SUM(S58:S329)+SUM(X58:X329)+SUM(Z58:Z329)</f>
        <v>1451.3300000000002</v>
      </c>
      <c r="K347" s="38"/>
      <c r="L347" s="38">
        <f>SUM(AR58:AR329)+SUM(AT58:AT329)+SUM(AV58:AV329)</f>
        <v>57080.840000000004</v>
      </c>
    </row>
    <row r="348" spans="1:12" ht="14.25" x14ac:dyDescent="0.2">
      <c r="A348" s="44"/>
      <c r="B348" s="47"/>
      <c r="C348" s="108" t="s">
        <v>609</v>
      </c>
      <c r="D348" s="108"/>
      <c r="E348" s="108"/>
      <c r="F348" s="108"/>
      <c r="G348" s="108"/>
      <c r="H348" s="108"/>
      <c r="I348" s="2"/>
      <c r="J348" s="38">
        <f>SUM(AD58:AD329)</f>
        <v>1394.5100000000002</v>
      </c>
      <c r="K348" s="38"/>
      <c r="L348" s="38">
        <f>SUM(AZ58:AZ329)</f>
        <v>54845.93</v>
      </c>
    </row>
    <row r="349" spans="1:12" ht="14.25" x14ac:dyDescent="0.2">
      <c r="A349" s="44"/>
      <c r="B349" s="47"/>
      <c r="C349" s="108" t="s">
        <v>610</v>
      </c>
      <c r="D349" s="108"/>
      <c r="E349" s="108"/>
      <c r="F349" s="108"/>
      <c r="G349" s="108"/>
      <c r="H349" s="108"/>
      <c r="I349" s="2"/>
      <c r="J349" s="38">
        <f>SUM(AE58:AE329)</f>
        <v>691.69999999999982</v>
      </c>
      <c r="K349" s="38"/>
      <c r="L349" s="38">
        <f>SUM(BA58:BA329)</f>
        <v>27204.979999999992</v>
      </c>
    </row>
    <row r="350" spans="1:12" ht="14.25" hidden="1" x14ac:dyDescent="0.2">
      <c r="A350" s="44"/>
      <c r="B350" s="47"/>
      <c r="C350" s="108" t="s">
        <v>636</v>
      </c>
      <c r="D350" s="108"/>
      <c r="E350" s="108"/>
      <c r="F350" s="108"/>
      <c r="G350" s="108"/>
      <c r="H350" s="108"/>
      <c r="I350" s="2"/>
      <c r="J350" s="38">
        <f>J352+J353</f>
        <v>0</v>
      </c>
      <c r="K350" s="38"/>
      <c r="L350" s="38">
        <f>L352+L353</f>
        <v>0</v>
      </c>
    </row>
    <row r="351" spans="1:12" ht="14.25" hidden="1" x14ac:dyDescent="0.2">
      <c r="A351" s="44"/>
      <c r="B351" s="47"/>
      <c r="C351" s="109" t="s">
        <v>596</v>
      </c>
      <c r="D351" s="108"/>
      <c r="E351" s="108"/>
      <c r="F351" s="108"/>
      <c r="G351" s="108"/>
      <c r="H351" s="108"/>
      <c r="I351" s="2"/>
      <c r="J351" s="38"/>
      <c r="K351" s="38"/>
      <c r="L351" s="38"/>
    </row>
    <row r="352" spans="1:12" ht="14.25" hidden="1" x14ac:dyDescent="0.2">
      <c r="A352" s="44"/>
      <c r="B352" s="47"/>
      <c r="C352" s="108" t="s">
        <v>612</v>
      </c>
      <c r="D352" s="108"/>
      <c r="E352" s="108"/>
      <c r="F352" s="108"/>
      <c r="G352" s="108"/>
      <c r="H352" s="108"/>
      <c r="I352" s="2"/>
      <c r="J352" s="38">
        <f>SUM(BJ58:BJ329)</f>
        <v>0</v>
      </c>
      <c r="K352" s="38"/>
      <c r="L352" s="38">
        <f>SUM(BK58:BK329)</f>
        <v>0</v>
      </c>
    </row>
    <row r="353" spans="1:12" ht="14.25" hidden="1" x14ac:dyDescent="0.2">
      <c r="A353" s="44"/>
      <c r="B353" s="47"/>
      <c r="C353" s="108" t="s">
        <v>613</v>
      </c>
      <c r="D353" s="108"/>
      <c r="E353" s="108"/>
      <c r="F353" s="108"/>
      <c r="G353" s="108"/>
      <c r="H353" s="108"/>
      <c r="I353" s="2"/>
      <c r="J353" s="38">
        <f>SUM(AH58:AH329)</f>
        <v>0</v>
      </c>
      <c r="K353" s="38"/>
      <c r="L353" s="38">
        <f>SUM(BD58:BD329)</f>
        <v>0</v>
      </c>
    </row>
    <row r="354" spans="1:12" ht="14.25" hidden="1" x14ac:dyDescent="0.2">
      <c r="A354" s="44"/>
      <c r="B354" s="47"/>
      <c r="C354" s="108" t="s">
        <v>637</v>
      </c>
      <c r="D354" s="108"/>
      <c r="E354" s="108"/>
      <c r="F354" s="108"/>
      <c r="G354" s="108"/>
      <c r="H354" s="108"/>
      <c r="I354" s="2"/>
      <c r="J354" s="38">
        <f>J307</f>
        <v>0</v>
      </c>
      <c r="K354" s="38"/>
      <c r="L354" s="38">
        <f>L307</f>
        <v>0</v>
      </c>
    </row>
    <row r="355" spans="1:12" ht="14.25" x14ac:dyDescent="0.2">
      <c r="A355" s="44"/>
      <c r="B355" s="47"/>
      <c r="C355" s="110" t="s">
        <v>617</v>
      </c>
      <c r="D355" s="108"/>
      <c r="E355" s="108"/>
      <c r="F355" s="108"/>
      <c r="G355" s="108"/>
      <c r="H355" s="108"/>
      <c r="I355" s="2"/>
      <c r="J355" s="38"/>
      <c r="K355" s="38"/>
      <c r="L355" s="38"/>
    </row>
    <row r="356" spans="1:12" ht="14.25" hidden="1" x14ac:dyDescent="0.2">
      <c r="A356" s="44"/>
      <c r="B356" s="47"/>
      <c r="C356" s="108" t="s">
        <v>618</v>
      </c>
      <c r="D356" s="108"/>
      <c r="E356" s="108"/>
      <c r="F356" s="108"/>
      <c r="G356" s="108"/>
      <c r="H356" s="108"/>
      <c r="I356" s="2"/>
      <c r="J356" s="38">
        <f>SUM(AB58:AB329)</f>
        <v>0</v>
      </c>
      <c r="K356" s="38"/>
      <c r="L356" s="38">
        <f>SUM(AX58:AX329)</f>
        <v>0</v>
      </c>
    </row>
    <row r="357" spans="1:12" ht="14.25" hidden="1" x14ac:dyDescent="0.2">
      <c r="A357" s="44"/>
      <c r="B357" s="47"/>
      <c r="C357" s="108" t="s">
        <v>619</v>
      </c>
      <c r="D357" s="108"/>
      <c r="E357" s="108"/>
      <c r="F357" s="108"/>
      <c r="G357" s="108"/>
      <c r="H357" s="108"/>
      <c r="I357" s="2"/>
      <c r="J357" s="38">
        <f>SUM(AC58:AC329)</f>
        <v>0</v>
      </c>
      <c r="K357" s="38"/>
      <c r="L357" s="38">
        <f>SUM(AY58:AY329)</f>
        <v>0</v>
      </c>
    </row>
    <row r="358" spans="1:12" ht="14.25" x14ac:dyDescent="0.2">
      <c r="A358" s="44"/>
      <c r="B358" s="47"/>
      <c r="C358" s="108" t="s">
        <v>620</v>
      </c>
      <c r="D358" s="108"/>
      <c r="E358" s="108"/>
      <c r="F358" s="111"/>
      <c r="G358" s="61">
        <f>Source!F116</f>
        <v>144.328846</v>
      </c>
      <c r="H358" s="44"/>
      <c r="I358" s="44"/>
      <c r="J358" s="44"/>
      <c r="K358" s="44"/>
      <c r="L358" s="44"/>
    </row>
    <row r="359" spans="1:12" ht="14.25" x14ac:dyDescent="0.2">
      <c r="A359" s="44"/>
      <c r="B359" s="47"/>
      <c r="C359" s="108" t="s">
        <v>621</v>
      </c>
      <c r="D359" s="108"/>
      <c r="E359" s="108"/>
      <c r="F359" s="111"/>
      <c r="G359" s="61">
        <f>Source!F117</f>
        <v>1.03834</v>
      </c>
      <c r="H359" s="44"/>
      <c r="I359" s="44"/>
      <c r="J359" s="44"/>
      <c r="K359" s="44"/>
      <c r="L359" s="44"/>
    </row>
    <row r="361" spans="1:12" s="68" customFormat="1" ht="15" x14ac:dyDescent="0.25">
      <c r="C361" s="69" t="str">
        <f>Source!H123</f>
        <v>НДС22%</v>
      </c>
      <c r="D361" s="69"/>
      <c r="E361" s="69"/>
      <c r="F361" s="69"/>
      <c r="G361" s="69"/>
      <c r="H361" s="69"/>
      <c r="I361" s="69"/>
      <c r="J361" s="69"/>
      <c r="K361" s="69"/>
      <c r="L361" s="7">
        <f>IF(Source!Y123=0, "", Source!Y123)</f>
        <v>35622.58</v>
      </c>
    </row>
    <row r="362" spans="1:12" s="68" customFormat="1" ht="15" x14ac:dyDescent="0.25">
      <c r="C362" s="69" t="str">
        <f>Source!H124</f>
        <v>Итого с НДС22%</v>
      </c>
      <c r="D362" s="69"/>
      <c r="E362" s="69"/>
      <c r="F362" s="69"/>
      <c r="G362" s="69"/>
      <c r="H362" s="69"/>
      <c r="I362" s="69"/>
      <c r="J362" s="69"/>
      <c r="K362" s="69"/>
      <c r="L362" s="7">
        <f>IF(Source!Y124=0, "", Source!Y124)</f>
        <v>197543.39</v>
      </c>
    </row>
    <row r="365" spans="1:12" ht="14.25" customHeight="1" x14ac:dyDescent="0.2">
      <c r="A365" s="113" t="s">
        <v>638</v>
      </c>
      <c r="B365" s="113"/>
      <c r="C365" s="59" t="str">
        <f>IF(Source!AC12&lt;&gt;"", Source!AC12," ")</f>
        <v xml:space="preserve"> </v>
      </c>
      <c r="D365" s="29"/>
      <c r="E365" s="29"/>
      <c r="F365" s="29"/>
      <c r="G365" s="29"/>
      <c r="H365" s="11" t="str">
        <f>IF(Source!AB12&lt;&gt;"", Source!AB12," ")</f>
        <v xml:space="preserve"> </v>
      </c>
      <c r="I365" s="10"/>
      <c r="J365" s="10"/>
      <c r="K365" s="10"/>
      <c r="L365" s="8"/>
    </row>
    <row r="366" spans="1:12" ht="14.25" customHeight="1" x14ac:dyDescent="0.2">
      <c r="A366" s="10"/>
      <c r="B366" s="10"/>
      <c r="C366" s="114" t="s">
        <v>469</v>
      </c>
      <c r="D366" s="114"/>
      <c r="E366" s="114"/>
      <c r="F366" s="114"/>
      <c r="G366" s="114"/>
      <c r="H366" s="10"/>
      <c r="I366" s="10"/>
      <c r="J366" s="10"/>
      <c r="K366" s="10"/>
      <c r="L366" s="8"/>
    </row>
    <row r="367" spans="1:12" ht="14.2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8"/>
    </row>
    <row r="368" spans="1:12" ht="14.25" customHeight="1" x14ac:dyDescent="0.2">
      <c r="A368" s="113" t="s">
        <v>639</v>
      </c>
      <c r="B368" s="113"/>
      <c r="C368" s="59" t="str">
        <f>IF(Source!AE12&lt;&gt;"", Source!AE12," ")</f>
        <v xml:space="preserve"> </v>
      </c>
      <c r="D368" s="29"/>
      <c r="E368" s="29"/>
      <c r="F368" s="29"/>
      <c r="G368" s="29"/>
      <c r="H368" s="11" t="str">
        <f>IF(Source!AD12&lt;&gt;"", Source!AD12," ")</f>
        <v xml:space="preserve"> </v>
      </c>
      <c r="I368" s="10"/>
      <c r="J368" s="10"/>
      <c r="K368" s="10"/>
      <c r="L368" s="8"/>
    </row>
    <row r="369" spans="1:12" ht="14.25" customHeight="1" x14ac:dyDescent="0.2">
      <c r="A369" s="10"/>
      <c r="B369" s="10"/>
      <c r="C369" s="114" t="s">
        <v>469</v>
      </c>
      <c r="D369" s="114"/>
      <c r="E369" s="114"/>
      <c r="F369" s="114"/>
      <c r="G369" s="114"/>
      <c r="H369" s="10"/>
      <c r="I369" s="10"/>
      <c r="J369" s="10"/>
      <c r="K369" s="10"/>
      <c r="L369" s="8"/>
    </row>
  </sheetData>
  <mergeCells count="225">
    <mergeCell ref="A368:B368"/>
    <mergeCell ref="C369:G369"/>
    <mergeCell ref="C358:F358"/>
    <mergeCell ref="C359:F359"/>
    <mergeCell ref="C361:K361"/>
    <mergeCell ref="C362:K362"/>
    <mergeCell ref="A365:B365"/>
    <mergeCell ref="C366:G366"/>
    <mergeCell ref="C352:H352"/>
    <mergeCell ref="C353:H353"/>
    <mergeCell ref="C354:H354"/>
    <mergeCell ref="C355:H355"/>
    <mergeCell ref="C356:H356"/>
    <mergeCell ref="C357:H357"/>
    <mergeCell ref="C346:H346"/>
    <mergeCell ref="C347:H347"/>
    <mergeCell ref="C348:H348"/>
    <mergeCell ref="C349:H349"/>
    <mergeCell ref="C350:H350"/>
    <mergeCell ref="C351:H351"/>
    <mergeCell ref="C340:H340"/>
    <mergeCell ref="C341:H341"/>
    <mergeCell ref="C342:H342"/>
    <mergeCell ref="C343:H343"/>
    <mergeCell ref="C344:H344"/>
    <mergeCell ref="C345:H345"/>
    <mergeCell ref="C334:H334"/>
    <mergeCell ref="C335:H335"/>
    <mergeCell ref="C336:H336"/>
    <mergeCell ref="C337:H337"/>
    <mergeCell ref="C338:H338"/>
    <mergeCell ref="C339:H339"/>
    <mergeCell ref="C327:H327"/>
    <mergeCell ref="C328:H328"/>
    <mergeCell ref="C329:H329"/>
    <mergeCell ref="C331:H331"/>
    <mergeCell ref="C332:H332"/>
    <mergeCell ref="C333:H333"/>
    <mergeCell ref="C321:H321"/>
    <mergeCell ref="C322:H322"/>
    <mergeCell ref="C323:H323"/>
    <mergeCell ref="C324:H324"/>
    <mergeCell ref="C325:H325"/>
    <mergeCell ref="C326:H326"/>
    <mergeCell ref="C315:H315"/>
    <mergeCell ref="C316:H316"/>
    <mergeCell ref="C317:H317"/>
    <mergeCell ref="C318:H318"/>
    <mergeCell ref="C319:H319"/>
    <mergeCell ref="C320:H320"/>
    <mergeCell ref="C309:H309"/>
    <mergeCell ref="C310:H310"/>
    <mergeCell ref="C311:H311"/>
    <mergeCell ref="C312:H312"/>
    <mergeCell ref="C313:H313"/>
    <mergeCell ref="C314:H314"/>
    <mergeCell ref="C302:H302"/>
    <mergeCell ref="C303:H303"/>
    <mergeCell ref="C304:H304"/>
    <mergeCell ref="C305:H305"/>
    <mergeCell ref="C307:H307"/>
    <mergeCell ref="C308:H308"/>
    <mergeCell ref="C295:H295"/>
    <mergeCell ref="C296:H296"/>
    <mergeCell ref="C297:H297"/>
    <mergeCell ref="C298:H298"/>
    <mergeCell ref="C299:H299"/>
    <mergeCell ref="C300:H300"/>
    <mergeCell ref="C289:H289"/>
    <mergeCell ref="C290:H290"/>
    <mergeCell ref="C291:H291"/>
    <mergeCell ref="C292:H292"/>
    <mergeCell ref="C293:H293"/>
    <mergeCell ref="C294:H294"/>
    <mergeCell ref="C283:H283"/>
    <mergeCell ref="C284:H284"/>
    <mergeCell ref="C285:H285"/>
    <mergeCell ref="C286:H286"/>
    <mergeCell ref="C287:H287"/>
    <mergeCell ref="C288:H288"/>
    <mergeCell ref="C276:H276"/>
    <mergeCell ref="C277:H277"/>
    <mergeCell ref="C278:H278"/>
    <mergeCell ref="C279:H279"/>
    <mergeCell ref="C280:H280"/>
    <mergeCell ref="C282:H282"/>
    <mergeCell ref="C270:H270"/>
    <mergeCell ref="C271:H271"/>
    <mergeCell ref="C272:H272"/>
    <mergeCell ref="C273:H273"/>
    <mergeCell ref="C274:H274"/>
    <mergeCell ref="C275:H275"/>
    <mergeCell ref="C264:H264"/>
    <mergeCell ref="C265:H265"/>
    <mergeCell ref="C266:H266"/>
    <mergeCell ref="C267:H267"/>
    <mergeCell ref="C268:H268"/>
    <mergeCell ref="C269:H269"/>
    <mergeCell ref="C255:H255"/>
    <mergeCell ref="C256:F256"/>
    <mergeCell ref="C257:F257"/>
    <mergeCell ref="C260:H260"/>
    <mergeCell ref="C262:H262"/>
    <mergeCell ref="C263:H263"/>
    <mergeCell ref="C249:H249"/>
    <mergeCell ref="C250:H250"/>
    <mergeCell ref="C251:H251"/>
    <mergeCell ref="C252:H252"/>
    <mergeCell ref="C253:H253"/>
    <mergeCell ref="C254:H254"/>
    <mergeCell ref="C243:H243"/>
    <mergeCell ref="C244:H244"/>
    <mergeCell ref="C245:H245"/>
    <mergeCell ref="C246:H246"/>
    <mergeCell ref="C247:H247"/>
    <mergeCell ref="C248:H248"/>
    <mergeCell ref="C237:H237"/>
    <mergeCell ref="C238:H238"/>
    <mergeCell ref="C239:H239"/>
    <mergeCell ref="C240:H240"/>
    <mergeCell ref="C241:H241"/>
    <mergeCell ref="C242:H242"/>
    <mergeCell ref="C231:H231"/>
    <mergeCell ref="C232:H232"/>
    <mergeCell ref="C233:H233"/>
    <mergeCell ref="C234:H234"/>
    <mergeCell ref="C235:H235"/>
    <mergeCell ref="C236:H236"/>
    <mergeCell ref="C215:L215"/>
    <mergeCell ref="C227:H227"/>
    <mergeCell ref="I227:J227"/>
    <mergeCell ref="K227:L227"/>
    <mergeCell ref="C229:H229"/>
    <mergeCell ref="C230:H230"/>
    <mergeCell ref="C192:L192"/>
    <mergeCell ref="C199:H199"/>
    <mergeCell ref="I199:J199"/>
    <mergeCell ref="K199:L199"/>
    <mergeCell ref="C201:L201"/>
    <mergeCell ref="C213:H213"/>
    <mergeCell ref="I213:J213"/>
    <mergeCell ref="K213:L213"/>
    <mergeCell ref="C162:L162"/>
    <mergeCell ref="C175:H175"/>
    <mergeCell ref="I175:J175"/>
    <mergeCell ref="K175:L175"/>
    <mergeCell ref="C177:L177"/>
    <mergeCell ref="C190:H190"/>
    <mergeCell ref="I190:J190"/>
    <mergeCell ref="K190:L190"/>
    <mergeCell ref="C129:L129"/>
    <mergeCell ref="C145:H145"/>
    <mergeCell ref="I145:J145"/>
    <mergeCell ref="K145:L145"/>
    <mergeCell ref="C160:H160"/>
    <mergeCell ref="I160:J160"/>
    <mergeCell ref="K160:L160"/>
    <mergeCell ref="C100:L100"/>
    <mergeCell ref="C112:H112"/>
    <mergeCell ref="I112:J112"/>
    <mergeCell ref="K112:L112"/>
    <mergeCell ref="C114:L114"/>
    <mergeCell ref="C127:H127"/>
    <mergeCell ref="I127:J127"/>
    <mergeCell ref="K127:L127"/>
    <mergeCell ref="C96:H96"/>
    <mergeCell ref="I96:J96"/>
    <mergeCell ref="K96:L96"/>
    <mergeCell ref="C98:H98"/>
    <mergeCell ref="I98:J98"/>
    <mergeCell ref="K98:L98"/>
    <mergeCell ref="C81:H81"/>
    <mergeCell ref="I81:J81"/>
    <mergeCell ref="K81:L81"/>
    <mergeCell ref="C94:H94"/>
    <mergeCell ref="I94:J94"/>
    <mergeCell ref="K94:L94"/>
    <mergeCell ref="K52:K56"/>
    <mergeCell ref="L52:L56"/>
    <mergeCell ref="A59:L59"/>
    <mergeCell ref="C72:H72"/>
    <mergeCell ref="I72:J72"/>
    <mergeCell ref="K72:L72"/>
    <mergeCell ref="A52:A56"/>
    <mergeCell ref="B52:B56"/>
    <mergeCell ref="C52:C56"/>
    <mergeCell ref="D52:D56"/>
    <mergeCell ref="E52:G55"/>
    <mergeCell ref="H52:J55"/>
    <mergeCell ref="C40:L40"/>
    <mergeCell ref="D44:E44"/>
    <mergeCell ref="D47:E47"/>
    <mergeCell ref="D48:E48"/>
    <mergeCell ref="D49:E49"/>
    <mergeCell ref="D50:E50"/>
    <mergeCell ref="A28:L28"/>
    <mergeCell ref="A29:L29"/>
    <mergeCell ref="A31:L31"/>
    <mergeCell ref="A33:L33"/>
    <mergeCell ref="A34:L34"/>
    <mergeCell ref="C39:L39"/>
    <mergeCell ref="A20:E20"/>
    <mergeCell ref="F20:L20"/>
    <mergeCell ref="A22:E22"/>
    <mergeCell ref="F22:L22"/>
    <mergeCell ref="A25:L25"/>
    <mergeCell ref="A26:L26"/>
    <mergeCell ref="A14:E14"/>
    <mergeCell ref="F14:L14"/>
    <mergeCell ref="A16:E16"/>
    <mergeCell ref="F16:L16"/>
    <mergeCell ref="A18:E18"/>
    <mergeCell ref="F18:L18"/>
    <mergeCell ref="B7:E7"/>
    <mergeCell ref="H7:L7"/>
    <mergeCell ref="A10:E10"/>
    <mergeCell ref="F10:L10"/>
    <mergeCell ref="A12:E12"/>
    <mergeCell ref="F12:L12"/>
    <mergeCell ref="B3:E3"/>
    <mergeCell ref="H3:L3"/>
    <mergeCell ref="B4:E4"/>
    <mergeCell ref="H4:L4"/>
    <mergeCell ref="B6:E6"/>
    <mergeCell ref="H6:L6"/>
  </mergeCells>
  <pageMargins left="0.4" right="0.2" top="0.2" bottom="0.4" header="0.2" footer="0.2"/>
  <pageSetup paperSize="9" scale="58" fitToHeight="0" orientation="portrait" verticalDpi="0" r:id="rId1"/>
  <headerFooter>
    <oddHeader>&amp;L&amp;8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187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37979</v>
      </c>
      <c r="M1">
        <v>10</v>
      </c>
      <c r="N1">
        <v>11</v>
      </c>
      <c r="O1">
        <v>11</v>
      </c>
      <c r="P1">
        <v>0</v>
      </c>
      <c r="Q1">
        <v>3</v>
      </c>
    </row>
    <row r="12" spans="1:133" x14ac:dyDescent="0.2">
      <c r="A12">
        <v>1</v>
      </c>
      <c r="B12">
        <v>182</v>
      </c>
      <c r="C12">
        <v>0</v>
      </c>
      <c r="D12">
        <f>ROW(A126)</f>
        <v>126</v>
      </c>
      <c r="E12">
        <v>0</v>
      </c>
      <c r="F12" t="s">
        <v>4</v>
      </c>
      <c r="G12" t="s">
        <v>5</v>
      </c>
      <c r="H12" t="s">
        <v>3</v>
      </c>
      <c r="I12">
        <v>0</v>
      </c>
      <c r="J12" t="s">
        <v>3</v>
      </c>
      <c r="K12">
        <v>0</v>
      </c>
      <c r="L12">
        <v>0</v>
      </c>
      <c r="M12">
        <v>131595</v>
      </c>
      <c r="O12">
        <v>0</v>
      </c>
      <c r="P12">
        <v>0</v>
      </c>
      <c r="Q12">
        <v>0</v>
      </c>
      <c r="R12">
        <v>0</v>
      </c>
      <c r="T12">
        <v>4</v>
      </c>
      <c r="U12" t="s">
        <v>3</v>
      </c>
      <c r="V12">
        <v>0</v>
      </c>
      <c r="W12" t="s">
        <v>3</v>
      </c>
      <c r="X12" t="s">
        <v>3</v>
      </c>
      <c r="Y12" t="s">
        <v>3</v>
      </c>
      <c r="Z12" t="s">
        <v>3</v>
      </c>
      <c r="AA12" t="s">
        <v>3</v>
      </c>
      <c r="AB12" t="s">
        <v>3</v>
      </c>
      <c r="AC12" t="s">
        <v>3</v>
      </c>
      <c r="AD12" t="s">
        <v>3</v>
      </c>
      <c r="AE12" t="s">
        <v>3</v>
      </c>
      <c r="AF12" t="s">
        <v>3</v>
      </c>
      <c r="AG12" t="s">
        <v>3</v>
      </c>
      <c r="AH12" t="s">
        <v>6</v>
      </c>
      <c r="AI12" t="s">
        <v>7</v>
      </c>
      <c r="AJ12" t="s">
        <v>8</v>
      </c>
      <c r="AL12" t="s">
        <v>3</v>
      </c>
      <c r="AM12" t="s">
        <v>3</v>
      </c>
      <c r="AN12" t="s">
        <v>9</v>
      </c>
      <c r="AP12" t="s">
        <v>3</v>
      </c>
      <c r="AQ12" t="s">
        <v>3</v>
      </c>
      <c r="AR12" t="s">
        <v>3</v>
      </c>
      <c r="AX12" t="s">
        <v>3</v>
      </c>
      <c r="AY12" t="s">
        <v>3</v>
      </c>
      <c r="AZ12" t="s">
        <v>3</v>
      </c>
      <c r="BB12">
        <v>2</v>
      </c>
      <c r="BH12" t="s">
        <v>10</v>
      </c>
      <c r="BI12" t="s">
        <v>11</v>
      </c>
      <c r="BJ12">
        <v>1</v>
      </c>
      <c r="BK12">
        <v>1</v>
      </c>
      <c r="BL12">
        <v>0</v>
      </c>
      <c r="BM12">
        <v>0</v>
      </c>
      <c r="BN12">
        <v>1</v>
      </c>
      <c r="BO12">
        <v>0</v>
      </c>
      <c r="BP12">
        <v>6</v>
      </c>
      <c r="BQ12">
        <v>2</v>
      </c>
      <c r="BR12">
        <v>1</v>
      </c>
      <c r="BS12">
        <v>1</v>
      </c>
      <c r="BT12">
        <v>0</v>
      </c>
      <c r="BU12">
        <v>0</v>
      </c>
      <c r="BV12">
        <v>0</v>
      </c>
      <c r="BW12">
        <v>0</v>
      </c>
      <c r="BX12">
        <v>0</v>
      </c>
      <c r="BY12" t="s">
        <v>3</v>
      </c>
      <c r="BZ12" t="s">
        <v>12</v>
      </c>
      <c r="CA12" t="s">
        <v>3</v>
      </c>
      <c r="CB12" t="s">
        <v>3</v>
      </c>
      <c r="CC12" t="s">
        <v>3</v>
      </c>
      <c r="CD12" t="s">
        <v>3</v>
      </c>
      <c r="CE12" t="s">
        <v>13</v>
      </c>
      <c r="CF12">
        <v>0</v>
      </c>
      <c r="CG12">
        <v>0</v>
      </c>
      <c r="CH12">
        <v>403177472</v>
      </c>
      <c r="CI12" t="s">
        <v>3</v>
      </c>
      <c r="CJ12" t="s">
        <v>3</v>
      </c>
      <c r="CK12">
        <v>0</v>
      </c>
      <c r="CY12">
        <v>0</v>
      </c>
      <c r="CZ12" t="s">
        <v>14</v>
      </c>
      <c r="DA12" t="s">
        <v>3</v>
      </c>
      <c r="EC12">
        <v>0</v>
      </c>
    </row>
    <row r="15" spans="1:133" x14ac:dyDescent="0.2">
      <c r="A15">
        <v>15</v>
      </c>
      <c r="B15">
        <v>1</v>
      </c>
    </row>
    <row r="18" spans="1:245" x14ac:dyDescent="0.2">
      <c r="A18">
        <v>52</v>
      </c>
      <c r="B18">
        <f t="shared" ref="B18:G18" si="0">B126</f>
        <v>182</v>
      </c>
      <c r="C18">
        <f t="shared" si="0"/>
        <v>1</v>
      </c>
      <c r="D18">
        <f t="shared" si="0"/>
        <v>12</v>
      </c>
      <c r="E18">
        <f t="shared" si="0"/>
        <v>0</v>
      </c>
      <c r="F18" t="str">
        <f t="shared" si="0"/>
        <v>Новый объект</v>
      </c>
      <c r="G18" t="str">
        <f t="shared" si="0"/>
        <v>Ремонт крыльца у здания Костромской межрайонной природоохранной прокуратуры</v>
      </c>
      <c r="O18">
        <f t="shared" ref="O18:AT18" si="1">O126</f>
        <v>79708.36</v>
      </c>
      <c r="P18">
        <f t="shared" si="1"/>
        <v>22459.31</v>
      </c>
      <c r="Q18">
        <f t="shared" si="1"/>
        <v>701.53</v>
      </c>
      <c r="R18">
        <f t="shared" si="1"/>
        <v>533.32000000000005</v>
      </c>
      <c r="S18">
        <f t="shared" si="1"/>
        <v>56547.519999999997</v>
      </c>
      <c r="T18">
        <f t="shared" si="1"/>
        <v>0</v>
      </c>
      <c r="U18">
        <f t="shared" si="1"/>
        <v>144.328846</v>
      </c>
      <c r="V18">
        <f t="shared" si="1"/>
        <v>1.0383399999999998</v>
      </c>
      <c r="W18">
        <f t="shared" si="1"/>
        <v>0</v>
      </c>
      <c r="X18">
        <f t="shared" si="1"/>
        <v>54845.93</v>
      </c>
      <c r="Y18">
        <f t="shared" si="1"/>
        <v>27204.98</v>
      </c>
      <c r="Z18">
        <f t="shared" si="1"/>
        <v>0</v>
      </c>
      <c r="AA18">
        <f t="shared" si="1"/>
        <v>0</v>
      </c>
      <c r="AB18">
        <f t="shared" si="1"/>
        <v>0</v>
      </c>
      <c r="AC18">
        <f t="shared" si="1"/>
        <v>0</v>
      </c>
      <c r="AD18">
        <f t="shared" si="1"/>
        <v>0</v>
      </c>
      <c r="AE18">
        <f t="shared" si="1"/>
        <v>0</v>
      </c>
      <c r="AF18">
        <f t="shared" si="1"/>
        <v>0</v>
      </c>
      <c r="AG18">
        <f t="shared" si="1"/>
        <v>0</v>
      </c>
      <c r="AH18">
        <f t="shared" si="1"/>
        <v>0</v>
      </c>
      <c r="AI18">
        <f t="shared" si="1"/>
        <v>0</v>
      </c>
      <c r="AJ18">
        <f t="shared" si="1"/>
        <v>0</v>
      </c>
      <c r="AK18">
        <f t="shared" si="1"/>
        <v>0</v>
      </c>
      <c r="AL18">
        <f t="shared" si="1"/>
        <v>0</v>
      </c>
      <c r="AM18">
        <f t="shared" si="1"/>
        <v>0</v>
      </c>
      <c r="AN18">
        <f t="shared" si="1"/>
        <v>0</v>
      </c>
      <c r="AO18">
        <f t="shared" si="1"/>
        <v>0</v>
      </c>
      <c r="AP18">
        <f t="shared" si="1"/>
        <v>0</v>
      </c>
      <c r="AQ18">
        <f t="shared" si="1"/>
        <v>0</v>
      </c>
      <c r="AR18">
        <f t="shared" si="1"/>
        <v>161920.81</v>
      </c>
      <c r="AS18">
        <f t="shared" si="1"/>
        <v>161920.81</v>
      </c>
      <c r="AT18">
        <f t="shared" si="1"/>
        <v>0</v>
      </c>
      <c r="AU18">
        <f t="shared" ref="AU18:BZ18" si="2">AU126</f>
        <v>0</v>
      </c>
      <c r="AV18">
        <f t="shared" si="2"/>
        <v>22459.31</v>
      </c>
      <c r="AW18">
        <f t="shared" si="2"/>
        <v>22459.31</v>
      </c>
      <c r="AX18">
        <f t="shared" si="2"/>
        <v>0</v>
      </c>
      <c r="AY18">
        <f t="shared" si="2"/>
        <v>22459.31</v>
      </c>
      <c r="AZ18">
        <f t="shared" si="2"/>
        <v>0</v>
      </c>
      <c r="BA18">
        <f t="shared" si="2"/>
        <v>0</v>
      </c>
      <c r="BB18">
        <f t="shared" si="2"/>
        <v>0</v>
      </c>
      <c r="BC18">
        <f t="shared" si="2"/>
        <v>0</v>
      </c>
      <c r="BD18">
        <f t="shared" si="2"/>
        <v>161.54</v>
      </c>
      <c r="BE18">
        <f t="shared" si="2"/>
        <v>0</v>
      </c>
      <c r="BF18">
        <f t="shared" si="2"/>
        <v>0</v>
      </c>
      <c r="BG18">
        <f t="shared" si="2"/>
        <v>0</v>
      </c>
      <c r="BH18">
        <f t="shared" si="2"/>
        <v>0</v>
      </c>
      <c r="BI18">
        <f t="shared" si="2"/>
        <v>0</v>
      </c>
      <c r="BJ18">
        <f t="shared" si="2"/>
        <v>0</v>
      </c>
      <c r="BK18">
        <f t="shared" si="2"/>
        <v>0</v>
      </c>
      <c r="BL18">
        <f t="shared" si="2"/>
        <v>0</v>
      </c>
      <c r="BM18">
        <f t="shared" si="2"/>
        <v>0</v>
      </c>
      <c r="BN18">
        <f t="shared" si="2"/>
        <v>0</v>
      </c>
      <c r="BO18">
        <f t="shared" si="2"/>
        <v>0</v>
      </c>
      <c r="BP18">
        <f t="shared" si="2"/>
        <v>0</v>
      </c>
      <c r="BQ18">
        <f t="shared" si="2"/>
        <v>0</v>
      </c>
      <c r="BR18">
        <f t="shared" si="2"/>
        <v>0</v>
      </c>
      <c r="BS18">
        <f t="shared" si="2"/>
        <v>0</v>
      </c>
      <c r="BT18">
        <f t="shared" si="2"/>
        <v>0</v>
      </c>
      <c r="BU18">
        <f t="shared" si="2"/>
        <v>0</v>
      </c>
      <c r="BV18">
        <f t="shared" si="2"/>
        <v>0</v>
      </c>
      <c r="BW18">
        <f t="shared" si="2"/>
        <v>0</v>
      </c>
      <c r="BX18">
        <f t="shared" si="2"/>
        <v>0</v>
      </c>
      <c r="BY18">
        <f t="shared" si="2"/>
        <v>0</v>
      </c>
      <c r="BZ18">
        <f t="shared" si="2"/>
        <v>0</v>
      </c>
      <c r="CA18">
        <f t="shared" ref="CA18:DF18" si="3">CA126</f>
        <v>0</v>
      </c>
      <c r="CB18">
        <f t="shared" si="3"/>
        <v>0</v>
      </c>
      <c r="CC18">
        <f t="shared" si="3"/>
        <v>0</v>
      </c>
      <c r="CD18">
        <f t="shared" si="3"/>
        <v>0</v>
      </c>
      <c r="CE18">
        <f t="shared" si="3"/>
        <v>0</v>
      </c>
      <c r="CF18">
        <f t="shared" si="3"/>
        <v>0</v>
      </c>
      <c r="CG18">
        <f t="shared" si="3"/>
        <v>0</v>
      </c>
      <c r="CH18">
        <f t="shared" si="3"/>
        <v>0</v>
      </c>
      <c r="CI18">
        <f t="shared" si="3"/>
        <v>0</v>
      </c>
      <c r="CJ18">
        <f t="shared" si="3"/>
        <v>0</v>
      </c>
      <c r="CK18">
        <f t="shared" si="3"/>
        <v>0</v>
      </c>
      <c r="CL18">
        <f t="shared" si="3"/>
        <v>0</v>
      </c>
      <c r="CM18">
        <f t="shared" si="3"/>
        <v>0</v>
      </c>
      <c r="CN18">
        <f t="shared" si="3"/>
        <v>0</v>
      </c>
      <c r="CO18">
        <f t="shared" si="3"/>
        <v>0</v>
      </c>
      <c r="CP18">
        <f t="shared" si="3"/>
        <v>0</v>
      </c>
      <c r="CQ18">
        <f t="shared" si="3"/>
        <v>0</v>
      </c>
      <c r="CR18">
        <f t="shared" si="3"/>
        <v>0</v>
      </c>
      <c r="CS18">
        <f t="shared" si="3"/>
        <v>0</v>
      </c>
      <c r="CT18">
        <f t="shared" si="3"/>
        <v>0</v>
      </c>
      <c r="CU18">
        <f t="shared" si="3"/>
        <v>0</v>
      </c>
      <c r="CV18">
        <f t="shared" si="3"/>
        <v>0</v>
      </c>
      <c r="CW18">
        <f t="shared" si="3"/>
        <v>0</v>
      </c>
      <c r="CX18">
        <f t="shared" si="3"/>
        <v>0</v>
      </c>
      <c r="CY18">
        <f t="shared" si="3"/>
        <v>0</v>
      </c>
      <c r="CZ18">
        <f t="shared" si="3"/>
        <v>0</v>
      </c>
      <c r="DA18">
        <f t="shared" si="3"/>
        <v>0</v>
      </c>
      <c r="DB18">
        <f t="shared" si="3"/>
        <v>0</v>
      </c>
      <c r="DC18">
        <f t="shared" si="3"/>
        <v>0</v>
      </c>
      <c r="DD18">
        <f t="shared" si="3"/>
        <v>0</v>
      </c>
      <c r="DE18">
        <f t="shared" si="3"/>
        <v>0</v>
      </c>
      <c r="DF18">
        <f t="shared" si="3"/>
        <v>0</v>
      </c>
      <c r="DG18">
        <f t="shared" ref="DG18:EL18" si="4">DG126</f>
        <v>0</v>
      </c>
      <c r="DH18">
        <f t="shared" si="4"/>
        <v>0</v>
      </c>
      <c r="DI18">
        <f t="shared" si="4"/>
        <v>0</v>
      </c>
      <c r="DJ18">
        <f t="shared" si="4"/>
        <v>0</v>
      </c>
      <c r="DK18">
        <f t="shared" si="4"/>
        <v>0</v>
      </c>
      <c r="DL18">
        <f t="shared" si="4"/>
        <v>0</v>
      </c>
      <c r="DM18">
        <f t="shared" si="4"/>
        <v>0</v>
      </c>
      <c r="DN18">
        <f t="shared" si="4"/>
        <v>0</v>
      </c>
      <c r="DO18">
        <f t="shared" si="4"/>
        <v>0</v>
      </c>
      <c r="DP18">
        <f t="shared" si="4"/>
        <v>0</v>
      </c>
      <c r="DQ18">
        <f t="shared" si="4"/>
        <v>0</v>
      </c>
      <c r="DR18">
        <f t="shared" si="4"/>
        <v>0</v>
      </c>
      <c r="DS18">
        <f t="shared" si="4"/>
        <v>0</v>
      </c>
      <c r="DT18">
        <f t="shared" si="4"/>
        <v>0</v>
      </c>
      <c r="DU18">
        <f t="shared" si="4"/>
        <v>0</v>
      </c>
      <c r="DV18">
        <f t="shared" si="4"/>
        <v>0</v>
      </c>
      <c r="DW18">
        <f t="shared" si="4"/>
        <v>0</v>
      </c>
      <c r="DX18">
        <f t="shared" si="4"/>
        <v>0</v>
      </c>
      <c r="DY18">
        <f t="shared" si="4"/>
        <v>0</v>
      </c>
      <c r="DZ18">
        <f t="shared" si="4"/>
        <v>0</v>
      </c>
      <c r="EA18">
        <f t="shared" si="4"/>
        <v>0</v>
      </c>
      <c r="EB18">
        <f t="shared" si="4"/>
        <v>0</v>
      </c>
      <c r="EC18">
        <f t="shared" si="4"/>
        <v>0</v>
      </c>
      <c r="ED18">
        <f t="shared" si="4"/>
        <v>0</v>
      </c>
      <c r="EE18">
        <f t="shared" si="4"/>
        <v>0</v>
      </c>
      <c r="EF18">
        <f t="shared" si="4"/>
        <v>0</v>
      </c>
      <c r="EG18">
        <f t="shared" si="4"/>
        <v>0</v>
      </c>
      <c r="EH18">
        <f t="shared" si="4"/>
        <v>0</v>
      </c>
      <c r="EI18">
        <f t="shared" si="4"/>
        <v>0</v>
      </c>
      <c r="EJ18">
        <f t="shared" si="4"/>
        <v>0</v>
      </c>
      <c r="EK18">
        <f t="shared" si="4"/>
        <v>0</v>
      </c>
      <c r="EL18">
        <f t="shared" si="4"/>
        <v>0</v>
      </c>
      <c r="EM18">
        <f t="shared" ref="EM18:FR18" si="5">EM126</f>
        <v>0</v>
      </c>
      <c r="EN18">
        <f t="shared" si="5"/>
        <v>0</v>
      </c>
      <c r="EO18">
        <f t="shared" si="5"/>
        <v>0</v>
      </c>
      <c r="EP18">
        <f t="shared" si="5"/>
        <v>0</v>
      </c>
      <c r="EQ18">
        <f t="shared" si="5"/>
        <v>0</v>
      </c>
      <c r="ER18">
        <f t="shared" si="5"/>
        <v>0</v>
      </c>
      <c r="ES18">
        <f t="shared" si="5"/>
        <v>0</v>
      </c>
      <c r="ET18">
        <f t="shared" si="5"/>
        <v>0</v>
      </c>
      <c r="EU18">
        <f t="shared" si="5"/>
        <v>0</v>
      </c>
      <c r="EV18">
        <f t="shared" si="5"/>
        <v>0</v>
      </c>
      <c r="EW18">
        <f t="shared" si="5"/>
        <v>0</v>
      </c>
      <c r="EX18">
        <f t="shared" si="5"/>
        <v>0</v>
      </c>
      <c r="EY18">
        <f t="shared" si="5"/>
        <v>0</v>
      </c>
      <c r="EZ18">
        <f t="shared" si="5"/>
        <v>0</v>
      </c>
      <c r="FA18">
        <f t="shared" si="5"/>
        <v>0</v>
      </c>
      <c r="FB18">
        <f t="shared" si="5"/>
        <v>0</v>
      </c>
      <c r="FC18">
        <f t="shared" si="5"/>
        <v>0</v>
      </c>
      <c r="FD18">
        <f t="shared" si="5"/>
        <v>0</v>
      </c>
      <c r="FE18">
        <f t="shared" si="5"/>
        <v>0</v>
      </c>
      <c r="FF18">
        <f t="shared" si="5"/>
        <v>0</v>
      </c>
      <c r="FG18">
        <f t="shared" si="5"/>
        <v>0</v>
      </c>
      <c r="FH18">
        <f t="shared" si="5"/>
        <v>0</v>
      </c>
      <c r="FI18">
        <f t="shared" si="5"/>
        <v>0</v>
      </c>
      <c r="FJ18">
        <f t="shared" si="5"/>
        <v>0</v>
      </c>
      <c r="FK18">
        <f t="shared" si="5"/>
        <v>0</v>
      </c>
      <c r="FL18">
        <f t="shared" si="5"/>
        <v>0</v>
      </c>
      <c r="FM18">
        <f t="shared" si="5"/>
        <v>0</v>
      </c>
      <c r="FN18">
        <f t="shared" si="5"/>
        <v>0</v>
      </c>
      <c r="FO18">
        <f t="shared" si="5"/>
        <v>0</v>
      </c>
      <c r="FP18">
        <f t="shared" si="5"/>
        <v>0</v>
      </c>
      <c r="FQ18">
        <f t="shared" si="5"/>
        <v>0</v>
      </c>
      <c r="FR18">
        <f t="shared" si="5"/>
        <v>0</v>
      </c>
      <c r="FS18">
        <f t="shared" ref="FS18:GX18" si="6">FS126</f>
        <v>0</v>
      </c>
      <c r="FT18">
        <f t="shared" si="6"/>
        <v>0</v>
      </c>
      <c r="FU18">
        <f t="shared" si="6"/>
        <v>0</v>
      </c>
      <c r="FV18">
        <f t="shared" si="6"/>
        <v>0</v>
      </c>
      <c r="FW18">
        <f t="shared" si="6"/>
        <v>0</v>
      </c>
      <c r="FX18">
        <f t="shared" si="6"/>
        <v>0</v>
      </c>
      <c r="FY18">
        <f t="shared" si="6"/>
        <v>0</v>
      </c>
      <c r="FZ18">
        <f t="shared" si="6"/>
        <v>0</v>
      </c>
      <c r="GA18">
        <f t="shared" si="6"/>
        <v>0</v>
      </c>
      <c r="GB18">
        <f t="shared" si="6"/>
        <v>0</v>
      </c>
      <c r="GC18">
        <f t="shared" si="6"/>
        <v>0</v>
      </c>
      <c r="GD18">
        <f t="shared" si="6"/>
        <v>0</v>
      </c>
      <c r="GE18">
        <f t="shared" si="6"/>
        <v>0</v>
      </c>
      <c r="GF18">
        <f t="shared" si="6"/>
        <v>0</v>
      </c>
      <c r="GG18">
        <f t="shared" si="6"/>
        <v>0</v>
      </c>
      <c r="GH18">
        <f t="shared" si="6"/>
        <v>0</v>
      </c>
      <c r="GI18">
        <f t="shared" si="6"/>
        <v>0</v>
      </c>
      <c r="GJ18">
        <f t="shared" si="6"/>
        <v>0</v>
      </c>
      <c r="GK18">
        <f t="shared" si="6"/>
        <v>0</v>
      </c>
      <c r="GL18">
        <f t="shared" si="6"/>
        <v>0</v>
      </c>
      <c r="GM18">
        <f t="shared" si="6"/>
        <v>0</v>
      </c>
      <c r="GN18">
        <f t="shared" si="6"/>
        <v>0</v>
      </c>
      <c r="GO18">
        <f t="shared" si="6"/>
        <v>0</v>
      </c>
      <c r="GP18">
        <f t="shared" si="6"/>
        <v>0</v>
      </c>
      <c r="GQ18">
        <f t="shared" si="6"/>
        <v>0</v>
      </c>
      <c r="GR18">
        <f t="shared" si="6"/>
        <v>0</v>
      </c>
      <c r="GS18">
        <f t="shared" si="6"/>
        <v>0</v>
      </c>
      <c r="GT18">
        <f t="shared" si="6"/>
        <v>0</v>
      </c>
      <c r="GU18">
        <f t="shared" si="6"/>
        <v>0</v>
      </c>
      <c r="GV18">
        <f t="shared" si="6"/>
        <v>0</v>
      </c>
      <c r="GW18">
        <f t="shared" si="6"/>
        <v>0</v>
      </c>
      <c r="GX18">
        <f t="shared" si="6"/>
        <v>0</v>
      </c>
    </row>
    <row r="20" spans="1:245" x14ac:dyDescent="0.2">
      <c r="A20">
        <v>3</v>
      </c>
      <c r="B20">
        <v>1</v>
      </c>
      <c r="D20">
        <f>ROW(A94)</f>
        <v>94</v>
      </c>
      <c r="F20" t="s">
        <v>3</v>
      </c>
      <c r="G20" t="s">
        <v>15</v>
      </c>
      <c r="H20" t="s">
        <v>3</v>
      </c>
      <c r="I20">
        <v>0</v>
      </c>
      <c r="J20" t="s">
        <v>3</v>
      </c>
      <c r="K20">
        <v>-1</v>
      </c>
      <c r="L20" t="s">
        <v>16</v>
      </c>
      <c r="M20" t="s">
        <v>3</v>
      </c>
      <c r="S20">
        <v>0</v>
      </c>
      <c r="U20" t="s">
        <v>3</v>
      </c>
      <c r="V20">
        <v>0</v>
      </c>
      <c r="AB20" t="s">
        <v>3</v>
      </c>
      <c r="AC20" t="s">
        <v>3</v>
      </c>
      <c r="AD20" t="s">
        <v>3</v>
      </c>
      <c r="AE20" t="s">
        <v>3</v>
      </c>
      <c r="AF20" t="s">
        <v>3</v>
      </c>
      <c r="AG20" t="s">
        <v>3</v>
      </c>
      <c r="AP20" t="s">
        <v>3</v>
      </c>
      <c r="AQ20" t="s">
        <v>3</v>
      </c>
      <c r="AR20" t="s">
        <v>3</v>
      </c>
      <c r="AZ20" t="s">
        <v>3</v>
      </c>
      <c r="BB20" t="s">
        <v>3</v>
      </c>
      <c r="BC20" t="s">
        <v>3</v>
      </c>
      <c r="BD20" t="s">
        <v>3</v>
      </c>
      <c r="BE20" t="s">
        <v>3</v>
      </c>
      <c r="BF20" t="s">
        <v>3</v>
      </c>
      <c r="BG20" t="s">
        <v>3</v>
      </c>
      <c r="BH20" t="s">
        <v>3</v>
      </c>
      <c r="BI20" t="s">
        <v>3</v>
      </c>
      <c r="BJ20" t="s">
        <v>3</v>
      </c>
      <c r="BK20" t="s">
        <v>3</v>
      </c>
      <c r="BL20" t="s">
        <v>3</v>
      </c>
      <c r="BM20" t="s">
        <v>3</v>
      </c>
      <c r="BN20" t="s">
        <v>3</v>
      </c>
      <c r="BO20" t="s">
        <v>3</v>
      </c>
      <c r="BP20" t="s">
        <v>3</v>
      </c>
      <c r="BX20">
        <v>0</v>
      </c>
      <c r="CF20">
        <v>0</v>
      </c>
      <c r="CG20">
        <v>0</v>
      </c>
      <c r="CI20" t="s">
        <v>3</v>
      </c>
      <c r="CJ20" t="s">
        <v>3</v>
      </c>
      <c r="CK20" t="s">
        <v>3</v>
      </c>
      <c r="CL20" t="s">
        <v>3</v>
      </c>
      <c r="CM20" t="s">
        <v>3</v>
      </c>
      <c r="CN20" t="s">
        <v>3</v>
      </c>
      <c r="CO20" t="s">
        <v>3</v>
      </c>
      <c r="CP20" t="s">
        <v>3</v>
      </c>
      <c r="CQ20" t="s">
        <v>3</v>
      </c>
    </row>
    <row r="22" spans="1:245" x14ac:dyDescent="0.2">
      <c r="A22">
        <v>52</v>
      </c>
      <c r="B22">
        <f t="shared" ref="B22:G22" si="7">B94</f>
        <v>1</v>
      </c>
      <c r="C22">
        <f t="shared" si="7"/>
        <v>3</v>
      </c>
      <c r="D22">
        <f t="shared" si="7"/>
        <v>20</v>
      </c>
      <c r="E22">
        <f t="shared" si="7"/>
        <v>0</v>
      </c>
      <c r="F22" t="str">
        <f t="shared" si="7"/>
        <v/>
      </c>
      <c r="G22" t="str">
        <f t="shared" si="7"/>
        <v>Ремонт крыльца</v>
      </c>
      <c r="O22">
        <f t="shared" ref="O22:AT22" si="8">O94</f>
        <v>79708.36</v>
      </c>
      <c r="P22">
        <f t="shared" si="8"/>
        <v>22459.31</v>
      </c>
      <c r="Q22">
        <f t="shared" si="8"/>
        <v>701.53</v>
      </c>
      <c r="R22">
        <f t="shared" si="8"/>
        <v>533.32000000000005</v>
      </c>
      <c r="S22">
        <f t="shared" si="8"/>
        <v>56547.519999999997</v>
      </c>
      <c r="T22">
        <f t="shared" si="8"/>
        <v>0</v>
      </c>
      <c r="U22">
        <f t="shared" si="8"/>
        <v>144.328846</v>
      </c>
      <c r="V22">
        <f t="shared" si="8"/>
        <v>1.0383399999999998</v>
      </c>
      <c r="W22">
        <f t="shared" si="8"/>
        <v>0</v>
      </c>
      <c r="X22">
        <f t="shared" si="8"/>
        <v>54845.93</v>
      </c>
      <c r="Y22">
        <f t="shared" si="8"/>
        <v>27204.98</v>
      </c>
      <c r="Z22">
        <f t="shared" si="8"/>
        <v>0</v>
      </c>
      <c r="AA22">
        <f t="shared" si="8"/>
        <v>0</v>
      </c>
      <c r="AB22">
        <f t="shared" si="8"/>
        <v>0</v>
      </c>
      <c r="AC22">
        <f t="shared" si="8"/>
        <v>0</v>
      </c>
      <c r="AD22">
        <f t="shared" si="8"/>
        <v>0</v>
      </c>
      <c r="AE22">
        <f t="shared" si="8"/>
        <v>0</v>
      </c>
      <c r="AF22">
        <f t="shared" si="8"/>
        <v>0</v>
      </c>
      <c r="AG22">
        <f t="shared" si="8"/>
        <v>0</v>
      </c>
      <c r="AH22">
        <f t="shared" si="8"/>
        <v>0</v>
      </c>
      <c r="AI22">
        <f t="shared" si="8"/>
        <v>0</v>
      </c>
      <c r="AJ22">
        <f t="shared" si="8"/>
        <v>0</v>
      </c>
      <c r="AK22">
        <f t="shared" si="8"/>
        <v>0</v>
      </c>
      <c r="AL22">
        <f t="shared" si="8"/>
        <v>0</v>
      </c>
      <c r="AM22">
        <f t="shared" si="8"/>
        <v>0</v>
      </c>
      <c r="AN22">
        <f t="shared" si="8"/>
        <v>0</v>
      </c>
      <c r="AO22">
        <f t="shared" si="8"/>
        <v>0</v>
      </c>
      <c r="AP22">
        <f t="shared" si="8"/>
        <v>0</v>
      </c>
      <c r="AQ22">
        <f t="shared" si="8"/>
        <v>0</v>
      </c>
      <c r="AR22">
        <f t="shared" si="8"/>
        <v>161920.81</v>
      </c>
      <c r="AS22">
        <f t="shared" si="8"/>
        <v>161920.81</v>
      </c>
      <c r="AT22">
        <f t="shared" si="8"/>
        <v>0</v>
      </c>
      <c r="AU22">
        <f t="shared" ref="AU22:BZ22" si="9">AU94</f>
        <v>0</v>
      </c>
      <c r="AV22">
        <f t="shared" si="9"/>
        <v>22459.31</v>
      </c>
      <c r="AW22">
        <f t="shared" si="9"/>
        <v>22459.31</v>
      </c>
      <c r="AX22">
        <f t="shared" si="9"/>
        <v>0</v>
      </c>
      <c r="AY22">
        <f t="shared" si="9"/>
        <v>22459.31</v>
      </c>
      <c r="AZ22">
        <f t="shared" si="9"/>
        <v>0</v>
      </c>
      <c r="BA22">
        <f t="shared" si="9"/>
        <v>0</v>
      </c>
      <c r="BB22">
        <f t="shared" si="9"/>
        <v>0</v>
      </c>
      <c r="BC22">
        <f t="shared" si="9"/>
        <v>0</v>
      </c>
      <c r="BD22">
        <f t="shared" si="9"/>
        <v>161.54</v>
      </c>
      <c r="BE22">
        <f t="shared" si="9"/>
        <v>0</v>
      </c>
      <c r="BF22">
        <f t="shared" si="9"/>
        <v>0</v>
      </c>
      <c r="BG22">
        <f t="shared" si="9"/>
        <v>0</v>
      </c>
      <c r="BH22">
        <f t="shared" si="9"/>
        <v>0</v>
      </c>
      <c r="BI22">
        <f t="shared" si="9"/>
        <v>0</v>
      </c>
      <c r="BJ22">
        <f t="shared" si="9"/>
        <v>0</v>
      </c>
      <c r="BK22">
        <f t="shared" si="9"/>
        <v>0</v>
      </c>
      <c r="BL22">
        <f t="shared" si="9"/>
        <v>0</v>
      </c>
      <c r="BM22">
        <f t="shared" si="9"/>
        <v>0</v>
      </c>
      <c r="BN22">
        <f t="shared" si="9"/>
        <v>0</v>
      </c>
      <c r="BO22">
        <f t="shared" si="9"/>
        <v>0</v>
      </c>
      <c r="BP22">
        <f t="shared" si="9"/>
        <v>0</v>
      </c>
      <c r="BQ22">
        <f t="shared" si="9"/>
        <v>0</v>
      </c>
      <c r="BR22">
        <f t="shared" si="9"/>
        <v>0</v>
      </c>
      <c r="BS22">
        <f t="shared" si="9"/>
        <v>0</v>
      </c>
      <c r="BT22">
        <f t="shared" si="9"/>
        <v>0</v>
      </c>
      <c r="BU22">
        <f t="shared" si="9"/>
        <v>0</v>
      </c>
      <c r="BV22">
        <f t="shared" si="9"/>
        <v>0</v>
      </c>
      <c r="BW22">
        <f t="shared" si="9"/>
        <v>0</v>
      </c>
      <c r="BX22">
        <f t="shared" si="9"/>
        <v>0</v>
      </c>
      <c r="BY22">
        <f t="shared" si="9"/>
        <v>0</v>
      </c>
      <c r="BZ22">
        <f t="shared" si="9"/>
        <v>0</v>
      </c>
      <c r="CA22">
        <f t="shared" ref="CA22:DF22" si="10">CA94</f>
        <v>0</v>
      </c>
      <c r="CB22">
        <f t="shared" si="10"/>
        <v>0</v>
      </c>
      <c r="CC22">
        <f t="shared" si="10"/>
        <v>0</v>
      </c>
      <c r="CD22">
        <f t="shared" si="10"/>
        <v>0</v>
      </c>
      <c r="CE22">
        <f t="shared" si="10"/>
        <v>0</v>
      </c>
      <c r="CF22">
        <f t="shared" si="10"/>
        <v>0</v>
      </c>
      <c r="CG22">
        <f t="shared" si="10"/>
        <v>0</v>
      </c>
      <c r="CH22">
        <f t="shared" si="10"/>
        <v>0</v>
      </c>
      <c r="CI22">
        <f t="shared" si="10"/>
        <v>0</v>
      </c>
      <c r="CJ22">
        <f t="shared" si="10"/>
        <v>0</v>
      </c>
      <c r="CK22">
        <f t="shared" si="10"/>
        <v>0</v>
      </c>
      <c r="CL22">
        <f t="shared" si="10"/>
        <v>0</v>
      </c>
      <c r="CM22">
        <f t="shared" si="10"/>
        <v>0</v>
      </c>
      <c r="CN22">
        <f t="shared" si="10"/>
        <v>0</v>
      </c>
      <c r="CO22">
        <f t="shared" si="10"/>
        <v>0</v>
      </c>
      <c r="CP22">
        <f t="shared" si="10"/>
        <v>0</v>
      </c>
      <c r="CQ22">
        <f t="shared" si="10"/>
        <v>0</v>
      </c>
      <c r="CR22">
        <f t="shared" si="10"/>
        <v>0</v>
      </c>
      <c r="CS22">
        <f t="shared" si="10"/>
        <v>0</v>
      </c>
      <c r="CT22">
        <f t="shared" si="10"/>
        <v>0</v>
      </c>
      <c r="CU22">
        <f t="shared" si="10"/>
        <v>0</v>
      </c>
      <c r="CV22">
        <f t="shared" si="10"/>
        <v>0</v>
      </c>
      <c r="CW22">
        <f t="shared" si="10"/>
        <v>0</v>
      </c>
      <c r="CX22">
        <f t="shared" si="10"/>
        <v>0</v>
      </c>
      <c r="CY22">
        <f t="shared" si="10"/>
        <v>0</v>
      </c>
      <c r="CZ22">
        <f t="shared" si="10"/>
        <v>0</v>
      </c>
      <c r="DA22">
        <f t="shared" si="10"/>
        <v>0</v>
      </c>
      <c r="DB22">
        <f t="shared" si="10"/>
        <v>0</v>
      </c>
      <c r="DC22">
        <f t="shared" si="10"/>
        <v>0</v>
      </c>
      <c r="DD22">
        <f t="shared" si="10"/>
        <v>0</v>
      </c>
      <c r="DE22">
        <f t="shared" si="10"/>
        <v>0</v>
      </c>
      <c r="DF22">
        <f t="shared" si="10"/>
        <v>0</v>
      </c>
      <c r="DG22">
        <f t="shared" ref="DG22:EL22" si="11">DG94</f>
        <v>0</v>
      </c>
      <c r="DH22">
        <f t="shared" si="11"/>
        <v>0</v>
      </c>
      <c r="DI22">
        <f t="shared" si="11"/>
        <v>0</v>
      </c>
      <c r="DJ22">
        <f t="shared" si="11"/>
        <v>0</v>
      </c>
      <c r="DK22">
        <f t="shared" si="11"/>
        <v>0</v>
      </c>
      <c r="DL22">
        <f t="shared" si="11"/>
        <v>0</v>
      </c>
      <c r="DM22">
        <f t="shared" si="11"/>
        <v>0</v>
      </c>
      <c r="DN22">
        <f t="shared" si="11"/>
        <v>0</v>
      </c>
      <c r="DO22">
        <f t="shared" si="11"/>
        <v>0</v>
      </c>
      <c r="DP22">
        <f t="shared" si="11"/>
        <v>0</v>
      </c>
      <c r="DQ22">
        <f t="shared" si="11"/>
        <v>0</v>
      </c>
      <c r="DR22">
        <f t="shared" si="11"/>
        <v>0</v>
      </c>
      <c r="DS22">
        <f t="shared" si="11"/>
        <v>0</v>
      </c>
      <c r="DT22">
        <f t="shared" si="11"/>
        <v>0</v>
      </c>
      <c r="DU22">
        <f t="shared" si="11"/>
        <v>0</v>
      </c>
      <c r="DV22">
        <f t="shared" si="11"/>
        <v>0</v>
      </c>
      <c r="DW22">
        <f t="shared" si="11"/>
        <v>0</v>
      </c>
      <c r="DX22">
        <f t="shared" si="11"/>
        <v>0</v>
      </c>
      <c r="DY22">
        <f t="shared" si="11"/>
        <v>0</v>
      </c>
      <c r="DZ22">
        <f t="shared" si="11"/>
        <v>0</v>
      </c>
      <c r="EA22">
        <f t="shared" si="11"/>
        <v>0</v>
      </c>
      <c r="EB22">
        <f t="shared" si="11"/>
        <v>0</v>
      </c>
      <c r="EC22">
        <f t="shared" si="11"/>
        <v>0</v>
      </c>
      <c r="ED22">
        <f t="shared" si="11"/>
        <v>0</v>
      </c>
      <c r="EE22">
        <f t="shared" si="11"/>
        <v>0</v>
      </c>
      <c r="EF22">
        <f t="shared" si="11"/>
        <v>0</v>
      </c>
      <c r="EG22">
        <f t="shared" si="11"/>
        <v>0</v>
      </c>
      <c r="EH22">
        <f t="shared" si="11"/>
        <v>0</v>
      </c>
      <c r="EI22">
        <f t="shared" si="11"/>
        <v>0</v>
      </c>
      <c r="EJ22">
        <f t="shared" si="11"/>
        <v>0</v>
      </c>
      <c r="EK22">
        <f t="shared" si="11"/>
        <v>0</v>
      </c>
      <c r="EL22">
        <f t="shared" si="11"/>
        <v>0</v>
      </c>
      <c r="EM22">
        <f t="shared" ref="EM22:FR22" si="12">EM94</f>
        <v>0</v>
      </c>
      <c r="EN22">
        <f t="shared" si="12"/>
        <v>0</v>
      </c>
      <c r="EO22">
        <f t="shared" si="12"/>
        <v>0</v>
      </c>
      <c r="EP22">
        <f t="shared" si="12"/>
        <v>0</v>
      </c>
      <c r="EQ22">
        <f t="shared" si="12"/>
        <v>0</v>
      </c>
      <c r="ER22">
        <f t="shared" si="12"/>
        <v>0</v>
      </c>
      <c r="ES22">
        <f t="shared" si="12"/>
        <v>0</v>
      </c>
      <c r="ET22">
        <f t="shared" si="12"/>
        <v>0</v>
      </c>
      <c r="EU22">
        <f t="shared" si="12"/>
        <v>0</v>
      </c>
      <c r="EV22">
        <f t="shared" si="12"/>
        <v>0</v>
      </c>
      <c r="EW22">
        <f t="shared" si="12"/>
        <v>0</v>
      </c>
      <c r="EX22">
        <f t="shared" si="12"/>
        <v>0</v>
      </c>
      <c r="EY22">
        <f t="shared" si="12"/>
        <v>0</v>
      </c>
      <c r="EZ22">
        <f t="shared" si="12"/>
        <v>0</v>
      </c>
      <c r="FA22">
        <f t="shared" si="12"/>
        <v>0</v>
      </c>
      <c r="FB22">
        <f t="shared" si="12"/>
        <v>0</v>
      </c>
      <c r="FC22">
        <f t="shared" si="12"/>
        <v>0</v>
      </c>
      <c r="FD22">
        <f t="shared" si="12"/>
        <v>0</v>
      </c>
      <c r="FE22">
        <f t="shared" si="12"/>
        <v>0</v>
      </c>
      <c r="FF22">
        <f t="shared" si="12"/>
        <v>0</v>
      </c>
      <c r="FG22">
        <f t="shared" si="12"/>
        <v>0</v>
      </c>
      <c r="FH22">
        <f t="shared" si="12"/>
        <v>0</v>
      </c>
      <c r="FI22">
        <f t="shared" si="12"/>
        <v>0</v>
      </c>
      <c r="FJ22">
        <f t="shared" si="12"/>
        <v>0</v>
      </c>
      <c r="FK22">
        <f t="shared" si="12"/>
        <v>0</v>
      </c>
      <c r="FL22">
        <f t="shared" si="12"/>
        <v>0</v>
      </c>
      <c r="FM22">
        <f t="shared" si="12"/>
        <v>0</v>
      </c>
      <c r="FN22">
        <f t="shared" si="12"/>
        <v>0</v>
      </c>
      <c r="FO22">
        <f t="shared" si="12"/>
        <v>0</v>
      </c>
      <c r="FP22">
        <f t="shared" si="12"/>
        <v>0</v>
      </c>
      <c r="FQ22">
        <f t="shared" si="12"/>
        <v>0</v>
      </c>
      <c r="FR22">
        <f t="shared" si="12"/>
        <v>0</v>
      </c>
      <c r="FS22">
        <f t="shared" ref="FS22:GX22" si="13">FS94</f>
        <v>0</v>
      </c>
      <c r="FT22">
        <f t="shared" si="13"/>
        <v>0</v>
      </c>
      <c r="FU22">
        <f t="shared" si="13"/>
        <v>0</v>
      </c>
      <c r="FV22">
        <f t="shared" si="13"/>
        <v>0</v>
      </c>
      <c r="FW22">
        <f t="shared" si="13"/>
        <v>0</v>
      </c>
      <c r="FX22">
        <f t="shared" si="13"/>
        <v>0</v>
      </c>
      <c r="FY22">
        <f t="shared" si="13"/>
        <v>0</v>
      </c>
      <c r="FZ22">
        <f t="shared" si="13"/>
        <v>0</v>
      </c>
      <c r="GA22">
        <f t="shared" si="13"/>
        <v>0</v>
      </c>
      <c r="GB22">
        <f t="shared" si="13"/>
        <v>0</v>
      </c>
      <c r="GC22">
        <f t="shared" si="13"/>
        <v>0</v>
      </c>
      <c r="GD22">
        <f t="shared" si="13"/>
        <v>0</v>
      </c>
      <c r="GE22">
        <f t="shared" si="13"/>
        <v>0</v>
      </c>
      <c r="GF22">
        <f t="shared" si="13"/>
        <v>0</v>
      </c>
      <c r="GG22">
        <f t="shared" si="13"/>
        <v>0</v>
      </c>
      <c r="GH22">
        <f t="shared" si="13"/>
        <v>0</v>
      </c>
      <c r="GI22">
        <f t="shared" si="13"/>
        <v>0</v>
      </c>
      <c r="GJ22">
        <f t="shared" si="13"/>
        <v>0</v>
      </c>
      <c r="GK22">
        <f t="shared" si="13"/>
        <v>0</v>
      </c>
      <c r="GL22">
        <f t="shared" si="13"/>
        <v>0</v>
      </c>
      <c r="GM22">
        <f t="shared" si="13"/>
        <v>0</v>
      </c>
      <c r="GN22">
        <f t="shared" si="13"/>
        <v>0</v>
      </c>
      <c r="GO22">
        <f t="shared" si="13"/>
        <v>0</v>
      </c>
      <c r="GP22">
        <f t="shared" si="13"/>
        <v>0</v>
      </c>
      <c r="GQ22">
        <f t="shared" si="13"/>
        <v>0</v>
      </c>
      <c r="GR22">
        <f t="shared" si="13"/>
        <v>0</v>
      </c>
      <c r="GS22">
        <f t="shared" si="13"/>
        <v>0</v>
      </c>
      <c r="GT22">
        <f t="shared" si="13"/>
        <v>0</v>
      </c>
      <c r="GU22">
        <f t="shared" si="13"/>
        <v>0</v>
      </c>
      <c r="GV22">
        <f t="shared" si="13"/>
        <v>0</v>
      </c>
      <c r="GW22">
        <f t="shared" si="13"/>
        <v>0</v>
      </c>
      <c r="GX22">
        <f t="shared" si="13"/>
        <v>0</v>
      </c>
    </row>
    <row r="24" spans="1:245" x14ac:dyDescent="0.2">
      <c r="A24">
        <v>4</v>
      </c>
      <c r="B24">
        <v>1</v>
      </c>
      <c r="D24">
        <f>ROW(A64)</f>
        <v>64</v>
      </c>
      <c r="F24" t="s">
        <v>17</v>
      </c>
      <c r="G24" t="s">
        <v>18</v>
      </c>
      <c r="H24" t="s">
        <v>3</v>
      </c>
      <c r="I24">
        <v>0</v>
      </c>
      <c r="K24">
        <v>0</v>
      </c>
      <c r="M24" t="s">
        <v>3</v>
      </c>
      <c r="S24">
        <v>0</v>
      </c>
      <c r="U24" t="s">
        <v>3</v>
      </c>
      <c r="V24">
        <v>0</v>
      </c>
      <c r="AB24" t="s">
        <v>3</v>
      </c>
      <c r="AC24" t="s">
        <v>3</v>
      </c>
      <c r="AD24" t="s">
        <v>3</v>
      </c>
      <c r="AE24" t="s">
        <v>3</v>
      </c>
      <c r="AF24" t="s">
        <v>3</v>
      </c>
      <c r="AG24" t="s">
        <v>3</v>
      </c>
      <c r="AP24" t="s">
        <v>3</v>
      </c>
      <c r="AQ24" t="s">
        <v>3</v>
      </c>
      <c r="AR24" t="s">
        <v>3</v>
      </c>
      <c r="AZ24" t="s">
        <v>3</v>
      </c>
      <c r="BB24" t="s">
        <v>3</v>
      </c>
      <c r="BC24" t="s">
        <v>3</v>
      </c>
      <c r="BD24" t="s">
        <v>3</v>
      </c>
      <c r="BE24" t="s">
        <v>3</v>
      </c>
      <c r="BF24" t="s">
        <v>3</v>
      </c>
      <c r="BG24" t="s">
        <v>3</v>
      </c>
      <c r="BH24" t="s">
        <v>3</v>
      </c>
      <c r="BI24" t="s">
        <v>3</v>
      </c>
      <c r="BJ24" t="s">
        <v>3</v>
      </c>
      <c r="BK24" t="s">
        <v>3</v>
      </c>
      <c r="BL24" t="s">
        <v>3</v>
      </c>
      <c r="BM24" t="s">
        <v>3</v>
      </c>
      <c r="BN24" t="s">
        <v>3</v>
      </c>
      <c r="BO24" t="s">
        <v>3</v>
      </c>
      <c r="BP24" t="s">
        <v>3</v>
      </c>
      <c r="BX24">
        <v>0</v>
      </c>
      <c r="CJ24">
        <v>0</v>
      </c>
    </row>
    <row r="26" spans="1:245" x14ac:dyDescent="0.2">
      <c r="A26">
        <v>52</v>
      </c>
      <c r="B26">
        <f t="shared" ref="B26:G26" si="14">B64</f>
        <v>1</v>
      </c>
      <c r="C26">
        <f t="shared" si="14"/>
        <v>4</v>
      </c>
      <c r="D26">
        <f t="shared" si="14"/>
        <v>24</v>
      </c>
      <c r="E26">
        <f t="shared" si="14"/>
        <v>0</v>
      </c>
      <c r="F26" t="str">
        <f t="shared" si="14"/>
        <v>Новый раздел</v>
      </c>
      <c r="G26" t="str">
        <f t="shared" si="14"/>
        <v>1. Крыльцо</v>
      </c>
      <c r="O26">
        <f t="shared" ref="O26:AT26" si="15">O64</f>
        <v>79708.36</v>
      </c>
      <c r="P26">
        <f t="shared" si="15"/>
        <v>22459.31</v>
      </c>
      <c r="Q26">
        <f t="shared" si="15"/>
        <v>701.53</v>
      </c>
      <c r="R26">
        <f t="shared" si="15"/>
        <v>533.32000000000005</v>
      </c>
      <c r="S26">
        <f t="shared" si="15"/>
        <v>56547.519999999997</v>
      </c>
      <c r="T26">
        <f t="shared" si="15"/>
        <v>0</v>
      </c>
      <c r="U26">
        <f t="shared" si="15"/>
        <v>144.328846</v>
      </c>
      <c r="V26">
        <f t="shared" si="15"/>
        <v>1.0383399999999998</v>
      </c>
      <c r="W26">
        <f t="shared" si="15"/>
        <v>0</v>
      </c>
      <c r="X26">
        <f t="shared" si="15"/>
        <v>54845.93</v>
      </c>
      <c r="Y26">
        <f t="shared" si="15"/>
        <v>27204.98</v>
      </c>
      <c r="Z26">
        <f t="shared" si="15"/>
        <v>0</v>
      </c>
      <c r="AA26">
        <f t="shared" si="15"/>
        <v>0</v>
      </c>
      <c r="AB26">
        <f t="shared" si="15"/>
        <v>79708.36</v>
      </c>
      <c r="AC26">
        <f t="shared" si="15"/>
        <v>22459.31</v>
      </c>
      <c r="AD26">
        <f t="shared" si="15"/>
        <v>701.53</v>
      </c>
      <c r="AE26">
        <f t="shared" si="15"/>
        <v>533.32000000000005</v>
      </c>
      <c r="AF26">
        <f t="shared" si="15"/>
        <v>56547.519999999997</v>
      </c>
      <c r="AG26">
        <f t="shared" si="15"/>
        <v>0</v>
      </c>
      <c r="AH26">
        <f t="shared" si="15"/>
        <v>144.328846</v>
      </c>
      <c r="AI26">
        <f t="shared" si="15"/>
        <v>1.0383399999999998</v>
      </c>
      <c r="AJ26">
        <f t="shared" si="15"/>
        <v>0</v>
      </c>
      <c r="AK26">
        <f t="shared" si="15"/>
        <v>54845.93</v>
      </c>
      <c r="AL26">
        <f t="shared" si="15"/>
        <v>27204.98</v>
      </c>
      <c r="AM26">
        <f t="shared" si="15"/>
        <v>0</v>
      </c>
      <c r="AN26">
        <f t="shared" si="15"/>
        <v>0</v>
      </c>
      <c r="AO26">
        <f t="shared" si="15"/>
        <v>0</v>
      </c>
      <c r="AP26">
        <f t="shared" si="15"/>
        <v>0</v>
      </c>
      <c r="AQ26">
        <f t="shared" si="15"/>
        <v>0</v>
      </c>
      <c r="AR26">
        <f t="shared" si="15"/>
        <v>161920.81</v>
      </c>
      <c r="AS26">
        <f t="shared" si="15"/>
        <v>161920.81</v>
      </c>
      <c r="AT26">
        <f t="shared" si="15"/>
        <v>0</v>
      </c>
      <c r="AU26">
        <f t="shared" ref="AU26:BZ26" si="16">AU64</f>
        <v>0</v>
      </c>
      <c r="AV26">
        <f t="shared" si="16"/>
        <v>22459.31</v>
      </c>
      <c r="AW26">
        <f t="shared" si="16"/>
        <v>22459.31</v>
      </c>
      <c r="AX26">
        <f t="shared" si="16"/>
        <v>0</v>
      </c>
      <c r="AY26">
        <f t="shared" si="16"/>
        <v>22459.31</v>
      </c>
      <c r="AZ26">
        <f t="shared" si="16"/>
        <v>0</v>
      </c>
      <c r="BA26">
        <f t="shared" si="16"/>
        <v>0</v>
      </c>
      <c r="BB26">
        <f t="shared" si="16"/>
        <v>0</v>
      </c>
      <c r="BC26">
        <f t="shared" si="16"/>
        <v>0</v>
      </c>
      <c r="BD26">
        <f t="shared" si="16"/>
        <v>161.54</v>
      </c>
      <c r="BE26">
        <f t="shared" si="16"/>
        <v>0</v>
      </c>
      <c r="BF26">
        <f t="shared" si="16"/>
        <v>0</v>
      </c>
      <c r="BG26">
        <f t="shared" si="16"/>
        <v>0</v>
      </c>
      <c r="BH26">
        <f t="shared" si="16"/>
        <v>0</v>
      </c>
      <c r="BI26">
        <f t="shared" si="16"/>
        <v>0</v>
      </c>
      <c r="BJ26">
        <f t="shared" si="16"/>
        <v>0</v>
      </c>
      <c r="BK26">
        <f t="shared" si="16"/>
        <v>0</v>
      </c>
      <c r="BL26">
        <f t="shared" si="16"/>
        <v>0</v>
      </c>
      <c r="BM26">
        <f t="shared" si="16"/>
        <v>0</v>
      </c>
      <c r="BN26">
        <f t="shared" si="16"/>
        <v>0</v>
      </c>
      <c r="BO26">
        <f t="shared" si="16"/>
        <v>0</v>
      </c>
      <c r="BP26">
        <f t="shared" si="16"/>
        <v>0</v>
      </c>
      <c r="BQ26">
        <f t="shared" si="16"/>
        <v>0</v>
      </c>
      <c r="BR26">
        <f t="shared" si="16"/>
        <v>0</v>
      </c>
      <c r="BS26">
        <f t="shared" si="16"/>
        <v>0</v>
      </c>
      <c r="BT26">
        <f t="shared" si="16"/>
        <v>0</v>
      </c>
      <c r="BU26">
        <f t="shared" si="16"/>
        <v>0</v>
      </c>
      <c r="BV26">
        <f t="shared" si="16"/>
        <v>0</v>
      </c>
      <c r="BW26">
        <f t="shared" si="16"/>
        <v>0</v>
      </c>
      <c r="BX26">
        <f t="shared" si="16"/>
        <v>0</v>
      </c>
      <c r="BY26">
        <f t="shared" si="16"/>
        <v>0</v>
      </c>
      <c r="BZ26">
        <f t="shared" si="16"/>
        <v>0</v>
      </c>
      <c r="CA26">
        <f t="shared" ref="CA26:DF26" si="17">CA64</f>
        <v>161920.81</v>
      </c>
      <c r="CB26">
        <f t="shared" si="17"/>
        <v>161920.81</v>
      </c>
      <c r="CC26">
        <f t="shared" si="17"/>
        <v>0</v>
      </c>
      <c r="CD26">
        <f t="shared" si="17"/>
        <v>0</v>
      </c>
      <c r="CE26">
        <f t="shared" si="17"/>
        <v>22459.31</v>
      </c>
      <c r="CF26">
        <f t="shared" si="17"/>
        <v>22459.31</v>
      </c>
      <c r="CG26">
        <f t="shared" si="17"/>
        <v>0</v>
      </c>
      <c r="CH26">
        <f t="shared" si="17"/>
        <v>22459.31</v>
      </c>
      <c r="CI26">
        <f t="shared" si="17"/>
        <v>0</v>
      </c>
      <c r="CJ26">
        <f t="shared" si="17"/>
        <v>0</v>
      </c>
      <c r="CK26">
        <f t="shared" si="17"/>
        <v>0</v>
      </c>
      <c r="CL26">
        <f t="shared" si="17"/>
        <v>0</v>
      </c>
      <c r="CM26">
        <f t="shared" si="17"/>
        <v>161.54</v>
      </c>
      <c r="CN26">
        <f t="shared" si="17"/>
        <v>0</v>
      </c>
      <c r="CO26">
        <f t="shared" si="17"/>
        <v>0</v>
      </c>
      <c r="CP26">
        <f t="shared" si="17"/>
        <v>0</v>
      </c>
      <c r="CQ26">
        <f t="shared" si="17"/>
        <v>0</v>
      </c>
      <c r="CR26">
        <f t="shared" si="17"/>
        <v>0</v>
      </c>
      <c r="CS26">
        <f t="shared" si="17"/>
        <v>0</v>
      </c>
      <c r="CT26">
        <f t="shared" si="17"/>
        <v>0</v>
      </c>
      <c r="CU26">
        <f t="shared" si="17"/>
        <v>0</v>
      </c>
      <c r="CV26">
        <f t="shared" si="17"/>
        <v>0</v>
      </c>
      <c r="CW26">
        <f t="shared" si="17"/>
        <v>0</v>
      </c>
      <c r="CX26">
        <f t="shared" si="17"/>
        <v>0</v>
      </c>
      <c r="CY26">
        <f t="shared" si="17"/>
        <v>0</v>
      </c>
      <c r="CZ26">
        <f t="shared" si="17"/>
        <v>0</v>
      </c>
      <c r="DA26">
        <f t="shared" si="17"/>
        <v>0</v>
      </c>
      <c r="DB26">
        <f t="shared" si="17"/>
        <v>0</v>
      </c>
      <c r="DC26">
        <f t="shared" si="17"/>
        <v>0</v>
      </c>
      <c r="DD26">
        <f t="shared" si="17"/>
        <v>0</v>
      </c>
      <c r="DE26">
        <f t="shared" si="17"/>
        <v>0</v>
      </c>
      <c r="DF26">
        <f t="shared" si="17"/>
        <v>0</v>
      </c>
      <c r="DG26">
        <f t="shared" ref="DG26:EL26" si="18">DG64</f>
        <v>0</v>
      </c>
      <c r="DH26">
        <f t="shared" si="18"/>
        <v>0</v>
      </c>
      <c r="DI26">
        <f t="shared" si="18"/>
        <v>0</v>
      </c>
      <c r="DJ26">
        <f t="shared" si="18"/>
        <v>0</v>
      </c>
      <c r="DK26">
        <f t="shared" si="18"/>
        <v>0</v>
      </c>
      <c r="DL26">
        <f t="shared" si="18"/>
        <v>0</v>
      </c>
      <c r="DM26">
        <f t="shared" si="18"/>
        <v>0</v>
      </c>
      <c r="DN26">
        <f t="shared" si="18"/>
        <v>0</v>
      </c>
      <c r="DO26">
        <f t="shared" si="18"/>
        <v>0</v>
      </c>
      <c r="DP26">
        <f t="shared" si="18"/>
        <v>0</v>
      </c>
      <c r="DQ26">
        <f t="shared" si="18"/>
        <v>0</v>
      </c>
      <c r="DR26">
        <f t="shared" si="18"/>
        <v>0</v>
      </c>
      <c r="DS26">
        <f t="shared" si="18"/>
        <v>0</v>
      </c>
      <c r="DT26">
        <f t="shared" si="18"/>
        <v>0</v>
      </c>
      <c r="DU26">
        <f t="shared" si="18"/>
        <v>0</v>
      </c>
      <c r="DV26">
        <f t="shared" si="18"/>
        <v>0</v>
      </c>
      <c r="DW26">
        <f t="shared" si="18"/>
        <v>0</v>
      </c>
      <c r="DX26">
        <f t="shared" si="18"/>
        <v>0</v>
      </c>
      <c r="DY26">
        <f t="shared" si="18"/>
        <v>0</v>
      </c>
      <c r="DZ26">
        <f t="shared" si="18"/>
        <v>0</v>
      </c>
      <c r="EA26">
        <f t="shared" si="18"/>
        <v>0</v>
      </c>
      <c r="EB26">
        <f t="shared" si="18"/>
        <v>0</v>
      </c>
      <c r="EC26">
        <f t="shared" si="18"/>
        <v>0</v>
      </c>
      <c r="ED26">
        <f t="shared" si="18"/>
        <v>0</v>
      </c>
      <c r="EE26">
        <f t="shared" si="18"/>
        <v>0</v>
      </c>
      <c r="EF26">
        <f t="shared" si="18"/>
        <v>0</v>
      </c>
      <c r="EG26">
        <f t="shared" si="18"/>
        <v>0</v>
      </c>
      <c r="EH26">
        <f t="shared" si="18"/>
        <v>0</v>
      </c>
      <c r="EI26">
        <f t="shared" si="18"/>
        <v>0</v>
      </c>
      <c r="EJ26">
        <f t="shared" si="18"/>
        <v>0</v>
      </c>
      <c r="EK26">
        <f t="shared" si="18"/>
        <v>0</v>
      </c>
      <c r="EL26">
        <f t="shared" si="18"/>
        <v>0</v>
      </c>
      <c r="EM26">
        <f t="shared" ref="EM26:FR26" si="19">EM64</f>
        <v>0</v>
      </c>
      <c r="EN26">
        <f t="shared" si="19"/>
        <v>0</v>
      </c>
      <c r="EO26">
        <f t="shared" si="19"/>
        <v>0</v>
      </c>
      <c r="EP26">
        <f t="shared" si="19"/>
        <v>0</v>
      </c>
      <c r="EQ26">
        <f t="shared" si="19"/>
        <v>0</v>
      </c>
      <c r="ER26">
        <f t="shared" si="19"/>
        <v>0</v>
      </c>
      <c r="ES26">
        <f t="shared" si="19"/>
        <v>0</v>
      </c>
      <c r="ET26">
        <f t="shared" si="19"/>
        <v>0</v>
      </c>
      <c r="EU26">
        <f t="shared" si="19"/>
        <v>0</v>
      </c>
      <c r="EV26">
        <f t="shared" si="19"/>
        <v>0</v>
      </c>
      <c r="EW26">
        <f t="shared" si="19"/>
        <v>0</v>
      </c>
      <c r="EX26">
        <f t="shared" si="19"/>
        <v>0</v>
      </c>
      <c r="EY26">
        <f t="shared" si="19"/>
        <v>0</v>
      </c>
      <c r="EZ26">
        <f t="shared" si="19"/>
        <v>0</v>
      </c>
      <c r="FA26">
        <f t="shared" si="19"/>
        <v>0</v>
      </c>
      <c r="FB26">
        <f t="shared" si="19"/>
        <v>0</v>
      </c>
      <c r="FC26">
        <f t="shared" si="19"/>
        <v>0</v>
      </c>
      <c r="FD26">
        <f t="shared" si="19"/>
        <v>0</v>
      </c>
      <c r="FE26">
        <f t="shared" si="19"/>
        <v>0</v>
      </c>
      <c r="FF26">
        <f t="shared" si="19"/>
        <v>0</v>
      </c>
      <c r="FG26">
        <f t="shared" si="19"/>
        <v>0</v>
      </c>
      <c r="FH26">
        <f t="shared" si="19"/>
        <v>0</v>
      </c>
      <c r="FI26">
        <f t="shared" si="19"/>
        <v>0</v>
      </c>
      <c r="FJ26">
        <f t="shared" si="19"/>
        <v>0</v>
      </c>
      <c r="FK26">
        <f t="shared" si="19"/>
        <v>0</v>
      </c>
      <c r="FL26">
        <f t="shared" si="19"/>
        <v>0</v>
      </c>
      <c r="FM26">
        <f t="shared" si="19"/>
        <v>0</v>
      </c>
      <c r="FN26">
        <f t="shared" si="19"/>
        <v>0</v>
      </c>
      <c r="FO26">
        <f t="shared" si="19"/>
        <v>0</v>
      </c>
      <c r="FP26">
        <f t="shared" si="19"/>
        <v>0</v>
      </c>
      <c r="FQ26">
        <f t="shared" si="19"/>
        <v>0</v>
      </c>
      <c r="FR26">
        <f t="shared" si="19"/>
        <v>0</v>
      </c>
      <c r="FS26">
        <f t="shared" ref="FS26:GX26" si="20">FS64</f>
        <v>0</v>
      </c>
      <c r="FT26">
        <f t="shared" si="20"/>
        <v>0</v>
      </c>
      <c r="FU26">
        <f t="shared" si="20"/>
        <v>0</v>
      </c>
      <c r="FV26">
        <f t="shared" si="20"/>
        <v>0</v>
      </c>
      <c r="FW26">
        <f t="shared" si="20"/>
        <v>0</v>
      </c>
      <c r="FX26">
        <f t="shared" si="20"/>
        <v>0</v>
      </c>
      <c r="FY26">
        <f t="shared" si="20"/>
        <v>0</v>
      </c>
      <c r="FZ26">
        <f t="shared" si="20"/>
        <v>0</v>
      </c>
      <c r="GA26">
        <f t="shared" si="20"/>
        <v>0</v>
      </c>
      <c r="GB26">
        <f t="shared" si="20"/>
        <v>0</v>
      </c>
      <c r="GC26">
        <f t="shared" si="20"/>
        <v>0</v>
      </c>
      <c r="GD26">
        <f t="shared" si="20"/>
        <v>0</v>
      </c>
      <c r="GE26">
        <f t="shared" si="20"/>
        <v>0</v>
      </c>
      <c r="GF26">
        <f t="shared" si="20"/>
        <v>0</v>
      </c>
      <c r="GG26">
        <f t="shared" si="20"/>
        <v>0</v>
      </c>
      <c r="GH26">
        <f t="shared" si="20"/>
        <v>0</v>
      </c>
      <c r="GI26">
        <f t="shared" si="20"/>
        <v>0</v>
      </c>
      <c r="GJ26">
        <f t="shared" si="20"/>
        <v>0</v>
      </c>
      <c r="GK26">
        <f t="shared" si="20"/>
        <v>0</v>
      </c>
      <c r="GL26">
        <f t="shared" si="20"/>
        <v>0</v>
      </c>
      <c r="GM26">
        <f t="shared" si="20"/>
        <v>0</v>
      </c>
      <c r="GN26">
        <f t="shared" si="20"/>
        <v>0</v>
      </c>
      <c r="GO26">
        <f t="shared" si="20"/>
        <v>0</v>
      </c>
      <c r="GP26">
        <f t="shared" si="20"/>
        <v>0</v>
      </c>
      <c r="GQ26">
        <f t="shared" si="20"/>
        <v>0</v>
      </c>
      <c r="GR26">
        <f t="shared" si="20"/>
        <v>0</v>
      </c>
      <c r="GS26">
        <f t="shared" si="20"/>
        <v>0</v>
      </c>
      <c r="GT26">
        <f t="shared" si="20"/>
        <v>0</v>
      </c>
      <c r="GU26">
        <f t="shared" si="20"/>
        <v>0</v>
      </c>
      <c r="GV26">
        <f t="shared" si="20"/>
        <v>0</v>
      </c>
      <c r="GW26">
        <f t="shared" si="20"/>
        <v>0</v>
      </c>
      <c r="GX26">
        <f t="shared" si="20"/>
        <v>0</v>
      </c>
    </row>
    <row r="28" spans="1:245" x14ac:dyDescent="0.2">
      <c r="A28">
        <v>17</v>
      </c>
      <c r="B28">
        <v>1</v>
      </c>
      <c r="C28">
        <f>ROW(SmtRes!A4)</f>
        <v>4</v>
      </c>
      <c r="D28">
        <f>ROW(EtalonRes!A4)</f>
        <v>4</v>
      </c>
      <c r="E28" t="s">
        <v>19</v>
      </c>
      <c r="F28" t="s">
        <v>20</v>
      </c>
      <c r="G28" t="s">
        <v>21</v>
      </c>
      <c r="H28" t="s">
        <v>22</v>
      </c>
      <c r="I28">
        <f>ROUND(12.25/100,7)</f>
        <v>0.1225</v>
      </c>
      <c r="J28">
        <v>0</v>
      </c>
      <c r="K28">
        <f>ROUND(12.25/100,7)</f>
        <v>0.1225</v>
      </c>
      <c r="O28">
        <f>ROUND(CP28,2)</f>
        <v>2950.89</v>
      </c>
      <c r="P28">
        <f>ROUND(CQ28*I28,2)</f>
        <v>0</v>
      </c>
      <c r="Q28">
        <f>(ROUND((ROUND(((ET28)*I28),2)*BB28),2)+ROUND((ROUND(((AE28-(EU28))*I28),2)*BS28),2))</f>
        <v>79.45</v>
      </c>
      <c r="R28">
        <f>(ROUND((ROUND(((EU28)*I28),2)*BS28),2)+ROUND((ROUND(((AE28-(EU28))*I28),2)*BS28),2))</f>
        <v>93.61</v>
      </c>
      <c r="S28">
        <f>ROUND(CT28*I28,2)</f>
        <v>2871.44</v>
      </c>
      <c r="T28">
        <f>ROUND(CU28*I28,2)</f>
        <v>0</v>
      </c>
      <c r="U28">
        <f>ROUND(CV28*I28,7)</f>
        <v>8.559075</v>
      </c>
      <c r="V28">
        <f>ROUND(CW28*I28,7)</f>
        <v>0.1764</v>
      </c>
      <c r="W28">
        <f>ROUND(CX28*I28,2)</f>
        <v>0</v>
      </c>
      <c r="X28">
        <f t="shared" ref="X28:Y32" si="21">ROUND(CY28,2)</f>
        <v>2638.89</v>
      </c>
      <c r="Y28">
        <f t="shared" si="21"/>
        <v>1452.87</v>
      </c>
      <c r="AA28">
        <v>53360025</v>
      </c>
      <c r="AB28">
        <f>ROUND((AC28+AD28+AF28),6)</f>
        <v>641</v>
      </c>
      <c r="AC28">
        <f>ROUND((ES28),6)</f>
        <v>0</v>
      </c>
      <c r="AD28">
        <f>ROUND((((ET28)-(EU28))+AE28),6)</f>
        <v>45.01</v>
      </c>
      <c r="AE28">
        <f t="shared" ref="AE28:AF32" si="22">ROUND((EU28),6)</f>
        <v>19.440000000000001</v>
      </c>
      <c r="AF28">
        <f t="shared" si="22"/>
        <v>595.99</v>
      </c>
      <c r="AG28">
        <f>ROUND((AP28),6)</f>
        <v>0</v>
      </c>
      <c r="AH28">
        <f t="shared" ref="AH28:AI32" si="23">(EW28)</f>
        <v>69.87</v>
      </c>
      <c r="AI28">
        <f t="shared" si="23"/>
        <v>1.44</v>
      </c>
      <c r="AJ28">
        <f>(AS28)</f>
        <v>0</v>
      </c>
      <c r="AK28">
        <v>641</v>
      </c>
      <c r="AL28">
        <v>0</v>
      </c>
      <c r="AM28">
        <v>45.01</v>
      </c>
      <c r="AN28">
        <v>19.440000000000001</v>
      </c>
      <c r="AO28">
        <v>595.99</v>
      </c>
      <c r="AP28">
        <v>0</v>
      </c>
      <c r="AQ28">
        <v>69.87</v>
      </c>
      <c r="AR28">
        <v>1.44</v>
      </c>
      <c r="AS28">
        <v>0</v>
      </c>
      <c r="AT28">
        <v>89</v>
      </c>
      <c r="AU28">
        <v>49</v>
      </c>
      <c r="AV28">
        <v>1</v>
      </c>
      <c r="AW28">
        <v>1</v>
      </c>
      <c r="AZ28">
        <v>1</v>
      </c>
      <c r="BA28">
        <v>39.33</v>
      </c>
      <c r="BB28">
        <v>14.42</v>
      </c>
      <c r="BC28">
        <v>8.7899999999999991</v>
      </c>
      <c r="BD28" t="s">
        <v>3</v>
      </c>
      <c r="BE28" t="s">
        <v>3</v>
      </c>
      <c r="BF28" t="s">
        <v>3</v>
      </c>
      <c r="BG28" t="s">
        <v>3</v>
      </c>
      <c r="BH28">
        <v>0</v>
      </c>
      <c r="BI28">
        <v>1</v>
      </c>
      <c r="BJ28" t="s">
        <v>23</v>
      </c>
      <c r="BM28">
        <v>57001</v>
      </c>
      <c r="BN28">
        <v>0</v>
      </c>
      <c r="BO28" t="s">
        <v>457</v>
      </c>
      <c r="BP28">
        <v>1</v>
      </c>
      <c r="BQ28">
        <v>6</v>
      </c>
      <c r="BR28">
        <v>0</v>
      </c>
      <c r="BS28">
        <v>39.33</v>
      </c>
      <c r="BT28">
        <v>1</v>
      </c>
      <c r="BU28">
        <v>1</v>
      </c>
      <c r="BV28">
        <v>1</v>
      </c>
      <c r="BW28">
        <v>1</v>
      </c>
      <c r="BX28">
        <v>1</v>
      </c>
      <c r="BY28" t="s">
        <v>3</v>
      </c>
      <c r="BZ28">
        <v>89</v>
      </c>
      <c r="CA28">
        <v>49</v>
      </c>
      <c r="CB28" t="s">
        <v>3</v>
      </c>
      <c r="CE28">
        <v>12</v>
      </c>
      <c r="CF28">
        <v>0</v>
      </c>
      <c r="CG28">
        <v>0</v>
      </c>
      <c r="CM28">
        <v>0</v>
      </c>
      <c r="CN28" t="s">
        <v>3</v>
      </c>
      <c r="CO28">
        <v>0</v>
      </c>
      <c r="CP28">
        <f>(P28+Q28+S28)</f>
        <v>2950.89</v>
      </c>
      <c r="CQ28">
        <f>AC28*BC28</f>
        <v>0</v>
      </c>
      <c r="CR28">
        <f>(ROUND((ROUND(((ET28)*1),2)*BB28),2)+ROUND((ROUND(((AE28-(EU28))*1),2)*BS28),2))</f>
        <v>649.04</v>
      </c>
      <c r="CS28">
        <f>(ROUND((ROUND(((EU28)*1),2)*BS28),2)+ROUND((ROUND(((AE28-(EU28))*1),2)*BS28),2))</f>
        <v>764.58</v>
      </c>
      <c r="CT28">
        <f>AF28*BA28</f>
        <v>23440.286700000001</v>
      </c>
      <c r="CU28">
        <f t="shared" ref="CU28:CX32" si="24">AG28</f>
        <v>0</v>
      </c>
      <c r="CV28">
        <f t="shared" si="24"/>
        <v>69.87</v>
      </c>
      <c r="CW28">
        <f t="shared" si="24"/>
        <v>1.44</v>
      </c>
      <c r="CX28">
        <f t="shared" si="24"/>
        <v>0</v>
      </c>
      <c r="CY28">
        <f>(((S28+R28)*AT28)/100)</f>
        <v>2638.8945000000003</v>
      </c>
      <c r="CZ28">
        <f>(((S28+R28)*AU28)/100)</f>
        <v>1452.8745000000001</v>
      </c>
      <c r="DC28" t="s">
        <v>3</v>
      </c>
      <c r="DD28" t="s">
        <v>3</v>
      </c>
      <c r="DE28" t="s">
        <v>3</v>
      </c>
      <c r="DF28" t="s">
        <v>3</v>
      </c>
      <c r="DG28" t="s">
        <v>3</v>
      </c>
      <c r="DH28" t="s">
        <v>3</v>
      </c>
      <c r="DI28" t="s">
        <v>3</v>
      </c>
      <c r="DJ28" t="s">
        <v>3</v>
      </c>
      <c r="DK28" t="s">
        <v>3</v>
      </c>
      <c r="DL28" t="s">
        <v>3</v>
      </c>
      <c r="DM28" t="s">
        <v>3</v>
      </c>
      <c r="DN28">
        <v>0</v>
      </c>
      <c r="DO28">
        <v>0</v>
      </c>
      <c r="DP28">
        <v>1</v>
      </c>
      <c r="DQ28">
        <v>1</v>
      </c>
      <c r="DU28">
        <v>1005</v>
      </c>
      <c r="DV28" t="s">
        <v>22</v>
      </c>
      <c r="DW28" t="s">
        <v>22</v>
      </c>
      <c r="DX28">
        <v>100</v>
      </c>
      <c r="DZ28" t="s">
        <v>3</v>
      </c>
      <c r="EA28" t="s">
        <v>3</v>
      </c>
      <c r="EB28" t="s">
        <v>3</v>
      </c>
      <c r="EC28" t="s">
        <v>3</v>
      </c>
      <c r="EE28">
        <v>53151429</v>
      </c>
      <c r="EF28">
        <v>6</v>
      </c>
      <c r="EG28" t="s">
        <v>24</v>
      </c>
      <c r="EH28">
        <v>11</v>
      </c>
      <c r="EI28" t="s">
        <v>25</v>
      </c>
      <c r="EJ28">
        <v>1</v>
      </c>
      <c r="EK28">
        <v>57001</v>
      </c>
      <c r="EL28" t="s">
        <v>25</v>
      </c>
      <c r="EM28" t="s">
        <v>26</v>
      </c>
      <c r="EO28" t="s">
        <v>3</v>
      </c>
      <c r="EQ28">
        <v>1310720</v>
      </c>
      <c r="ER28">
        <v>641</v>
      </c>
      <c r="ES28">
        <v>0</v>
      </c>
      <c r="ET28">
        <v>45.01</v>
      </c>
      <c r="EU28">
        <v>19.440000000000001</v>
      </c>
      <c r="EV28">
        <v>595.99</v>
      </c>
      <c r="EW28">
        <v>69.87</v>
      </c>
      <c r="EX28">
        <v>1.44</v>
      </c>
      <c r="EY28">
        <v>0</v>
      </c>
      <c r="FQ28">
        <v>0</v>
      </c>
      <c r="FR28">
        <f t="shared" ref="FR28:FR62" si="25">ROUND(IF(BI28=3,GM28,0),2)</f>
        <v>0</v>
      </c>
      <c r="FS28">
        <v>0</v>
      </c>
      <c r="FX28">
        <v>89</v>
      </c>
      <c r="FY28">
        <v>49</v>
      </c>
      <c r="GA28" t="s">
        <v>3</v>
      </c>
      <c r="GD28">
        <v>1</v>
      </c>
      <c r="GF28">
        <v>913237570</v>
      </c>
      <c r="GG28">
        <v>2</v>
      </c>
      <c r="GH28">
        <v>1</v>
      </c>
      <c r="GI28">
        <v>4</v>
      </c>
      <c r="GJ28">
        <v>0</v>
      </c>
      <c r="GK28">
        <v>0</v>
      </c>
      <c r="GL28">
        <f t="shared" ref="GL28:GL62" si="26">ROUND(IF(AND(BH28=3,BI28=3,FS28&lt;&gt;0),P28,0),2)</f>
        <v>0</v>
      </c>
      <c r="GM28">
        <f>ROUND(O28+X28+Y28,2)+GX28</f>
        <v>7042.65</v>
      </c>
      <c r="GN28">
        <f t="shared" ref="GN28:GN62" si="27">IF(OR(BI28=0,BI28=1),GM28-GX28,0)</f>
        <v>7042.65</v>
      </c>
      <c r="GO28">
        <f t="shared" ref="GO28:GO62" si="28">IF(BI28=2,GM28-GX28,0)</f>
        <v>0</v>
      </c>
      <c r="GP28">
        <f t="shared" ref="GP28:GP62" si="29">IF(BI28=4,GM28-GX28,0)</f>
        <v>0</v>
      </c>
      <c r="GR28">
        <v>0</v>
      </c>
      <c r="GS28">
        <v>3</v>
      </c>
      <c r="GT28">
        <v>0</v>
      </c>
      <c r="GU28" t="s">
        <v>3</v>
      </c>
      <c r="GV28">
        <f>ROUND((GT28),6)</f>
        <v>0</v>
      </c>
      <c r="GW28">
        <v>1</v>
      </c>
      <c r="GX28">
        <f>ROUND(HC28*I28,2)</f>
        <v>0</v>
      </c>
      <c r="HA28">
        <v>0</v>
      </c>
      <c r="HB28">
        <v>0</v>
      </c>
      <c r="HC28">
        <f>GV28*GW28</f>
        <v>0</v>
      </c>
      <c r="HE28" t="s">
        <v>3</v>
      </c>
      <c r="HF28" t="s">
        <v>3</v>
      </c>
      <c r="HM28" t="s">
        <v>3</v>
      </c>
      <c r="HN28" t="s">
        <v>27</v>
      </c>
      <c r="HO28" t="s">
        <v>28</v>
      </c>
      <c r="HP28" t="s">
        <v>25</v>
      </c>
      <c r="HQ28" t="s">
        <v>25</v>
      </c>
      <c r="IK28">
        <v>0</v>
      </c>
    </row>
    <row r="29" spans="1:245" x14ac:dyDescent="0.2">
      <c r="A29">
        <v>18</v>
      </c>
      <c r="B29">
        <v>1</v>
      </c>
      <c r="C29">
        <v>4</v>
      </c>
      <c r="E29" t="s">
        <v>29</v>
      </c>
      <c r="F29" t="s">
        <v>30</v>
      </c>
      <c r="G29" t="s">
        <v>31</v>
      </c>
      <c r="H29" t="s">
        <v>32</v>
      </c>
      <c r="I29">
        <f>I28*J29</f>
        <v>0.63700000000000001</v>
      </c>
      <c r="J29">
        <v>5.2</v>
      </c>
      <c r="K29">
        <v>5.2</v>
      </c>
      <c r="O29">
        <f>ROUND(CP29,2)</f>
        <v>0</v>
      </c>
      <c r="P29">
        <f>ROUND(CQ29*I29,2)</f>
        <v>0</v>
      </c>
      <c r="Q29">
        <f>(ROUND((ROUND(((ET29)*I29),2)*BB29),2)+ROUND((ROUND(((AE29-(EU29))*I29),2)*BS29),2))</f>
        <v>0</v>
      </c>
      <c r="R29">
        <f>(ROUND((ROUND(((EU29)*I29),2)*BS29),2)+ROUND((ROUND(((AE29-(EU29))*I29),2)*BS29),2))</f>
        <v>0</v>
      </c>
      <c r="S29">
        <f>ROUND(CT29*I29,2)</f>
        <v>0</v>
      </c>
      <c r="T29">
        <f>ROUND(CU29*I29,2)</f>
        <v>0</v>
      </c>
      <c r="U29">
        <f>ROUND(CV29*I29,7)</f>
        <v>0</v>
      </c>
      <c r="V29">
        <f>ROUND(CW29*I29,7)</f>
        <v>0</v>
      </c>
      <c r="W29">
        <f>ROUND(CX29*I29,2)</f>
        <v>0</v>
      </c>
      <c r="X29">
        <f t="shared" si="21"/>
        <v>0</v>
      </c>
      <c r="Y29">
        <f t="shared" si="21"/>
        <v>0</v>
      </c>
      <c r="AA29">
        <v>53360025</v>
      </c>
      <c r="AB29">
        <f>ROUND((AC29+AD29+AF29),6)</f>
        <v>0</v>
      </c>
      <c r="AC29">
        <f>ROUND((ES29),6)</f>
        <v>0</v>
      </c>
      <c r="AD29">
        <f>ROUND((((ET29)-(EU29))+AE29),6)</f>
        <v>0</v>
      </c>
      <c r="AE29">
        <f t="shared" si="22"/>
        <v>0</v>
      </c>
      <c r="AF29">
        <f t="shared" si="22"/>
        <v>0</v>
      </c>
      <c r="AG29">
        <f>ROUND((AP29),6)</f>
        <v>0</v>
      </c>
      <c r="AH29">
        <f t="shared" si="23"/>
        <v>0</v>
      </c>
      <c r="AI29">
        <f t="shared" si="23"/>
        <v>0</v>
      </c>
      <c r="AJ29">
        <f>(AS29)</f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89</v>
      </c>
      <c r="AU29">
        <v>49</v>
      </c>
      <c r="AV29">
        <v>1</v>
      </c>
      <c r="AW29">
        <v>1</v>
      </c>
      <c r="AZ29">
        <v>1</v>
      </c>
      <c r="BA29">
        <v>1</v>
      </c>
      <c r="BB29">
        <v>1</v>
      </c>
      <c r="BC29">
        <v>8.7899999999999991</v>
      </c>
      <c r="BD29" t="s">
        <v>3</v>
      </c>
      <c r="BE29" t="s">
        <v>3</v>
      </c>
      <c r="BF29" t="s">
        <v>3</v>
      </c>
      <c r="BG29" t="s">
        <v>3</v>
      </c>
      <c r="BH29">
        <v>3</v>
      </c>
      <c r="BI29">
        <v>1</v>
      </c>
      <c r="BJ29" t="s">
        <v>3</v>
      </c>
      <c r="BM29">
        <v>57001</v>
      </c>
      <c r="BN29">
        <v>0</v>
      </c>
      <c r="BO29" t="s">
        <v>33</v>
      </c>
      <c r="BP29">
        <v>1</v>
      </c>
      <c r="BQ29">
        <v>6</v>
      </c>
      <c r="BR29">
        <v>0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 t="s">
        <v>3</v>
      </c>
      <c r="BZ29">
        <v>89</v>
      </c>
      <c r="CA29">
        <v>49</v>
      </c>
      <c r="CB29" t="s">
        <v>3</v>
      </c>
      <c r="CE29">
        <v>12</v>
      </c>
      <c r="CF29">
        <v>0</v>
      </c>
      <c r="CG29">
        <v>0</v>
      </c>
      <c r="CM29">
        <v>0</v>
      </c>
      <c r="CN29" t="s">
        <v>3</v>
      </c>
      <c r="CO29">
        <v>0</v>
      </c>
      <c r="CP29">
        <f>(P29+Q29+S29)</f>
        <v>0</v>
      </c>
      <c r="CQ29">
        <f>AC29*BC29</f>
        <v>0</v>
      </c>
      <c r="CR29">
        <f>(ROUND((ROUND(((ET29)*1),2)*BB29),2)+ROUND((ROUND(((AE29-(EU29))*1),2)*BS29),2))</f>
        <v>0</v>
      </c>
      <c r="CS29">
        <f>(ROUND((ROUND(((EU29)*1),2)*BS29),2)+ROUND((ROUND(((AE29-(EU29))*1),2)*BS29),2))</f>
        <v>0</v>
      </c>
      <c r="CT29">
        <f>AF29*BA29</f>
        <v>0</v>
      </c>
      <c r="CU29">
        <f t="shared" si="24"/>
        <v>0</v>
      </c>
      <c r="CV29">
        <f t="shared" si="24"/>
        <v>0</v>
      </c>
      <c r="CW29">
        <f t="shared" si="24"/>
        <v>0</v>
      </c>
      <c r="CX29">
        <f t="shared" si="24"/>
        <v>0</v>
      </c>
      <c r="CY29">
        <f>(((S29+R29)*AT29)/100)</f>
        <v>0</v>
      </c>
      <c r="CZ29">
        <f>(((S29+R29)*AU29)/100)</f>
        <v>0</v>
      </c>
      <c r="DC29" t="s">
        <v>3</v>
      </c>
      <c r="DD29" t="s">
        <v>3</v>
      </c>
      <c r="DE29" t="s">
        <v>3</v>
      </c>
      <c r="DF29" t="s">
        <v>3</v>
      </c>
      <c r="DG29" t="s">
        <v>3</v>
      </c>
      <c r="DH29" t="s">
        <v>3</v>
      </c>
      <c r="DI29" t="s">
        <v>3</v>
      </c>
      <c r="DJ29" t="s">
        <v>3</v>
      </c>
      <c r="DK29" t="s">
        <v>3</v>
      </c>
      <c r="DL29" t="s">
        <v>3</v>
      </c>
      <c r="DM29" t="s">
        <v>3</v>
      </c>
      <c r="DN29">
        <v>0</v>
      </c>
      <c r="DO29">
        <v>0</v>
      </c>
      <c r="DP29">
        <v>1</v>
      </c>
      <c r="DQ29">
        <v>1</v>
      </c>
      <c r="DU29">
        <v>1009</v>
      </c>
      <c r="DV29" t="s">
        <v>32</v>
      </c>
      <c r="DW29" t="s">
        <v>32</v>
      </c>
      <c r="DX29">
        <v>1000</v>
      </c>
      <c r="DZ29" t="s">
        <v>3</v>
      </c>
      <c r="EA29" t="s">
        <v>3</v>
      </c>
      <c r="EB29" t="s">
        <v>3</v>
      </c>
      <c r="EC29" t="s">
        <v>3</v>
      </c>
      <c r="EE29">
        <v>53151429</v>
      </c>
      <c r="EF29">
        <v>6</v>
      </c>
      <c r="EG29" t="s">
        <v>24</v>
      </c>
      <c r="EH29">
        <v>11</v>
      </c>
      <c r="EI29" t="s">
        <v>25</v>
      </c>
      <c r="EJ29">
        <v>1</v>
      </c>
      <c r="EK29">
        <v>57001</v>
      </c>
      <c r="EL29" t="s">
        <v>25</v>
      </c>
      <c r="EM29" t="s">
        <v>26</v>
      </c>
      <c r="EO29" t="s">
        <v>3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FQ29">
        <v>0</v>
      </c>
      <c r="FR29">
        <f t="shared" si="25"/>
        <v>0</v>
      </c>
      <c r="FS29">
        <v>0</v>
      </c>
      <c r="FX29">
        <v>89</v>
      </c>
      <c r="FY29">
        <v>49</v>
      </c>
      <c r="GA29" t="s">
        <v>3</v>
      </c>
      <c r="GD29">
        <v>1</v>
      </c>
      <c r="GF29">
        <v>2102561428</v>
      </c>
      <c r="GG29">
        <v>2</v>
      </c>
      <c r="GH29">
        <v>1</v>
      </c>
      <c r="GI29">
        <v>4</v>
      </c>
      <c r="GJ29">
        <v>0</v>
      </c>
      <c r="GK29">
        <v>0</v>
      </c>
      <c r="GL29">
        <f t="shared" si="26"/>
        <v>0</v>
      </c>
      <c r="GM29">
        <f>ROUND(O29+X29+Y29,2)+GX29</f>
        <v>0</v>
      </c>
      <c r="GN29">
        <f t="shared" si="27"/>
        <v>0</v>
      </c>
      <c r="GO29">
        <f t="shared" si="28"/>
        <v>0</v>
      </c>
      <c r="GP29">
        <f t="shared" si="29"/>
        <v>0</v>
      </c>
      <c r="GR29">
        <v>0</v>
      </c>
      <c r="GS29">
        <v>3</v>
      </c>
      <c r="GT29">
        <v>0</v>
      </c>
      <c r="GU29" t="s">
        <v>3</v>
      </c>
      <c r="GV29">
        <f>ROUND((GT29),6)</f>
        <v>0</v>
      </c>
      <c r="GW29">
        <v>1</v>
      </c>
      <c r="GX29">
        <f>ROUND(HC29*I29,2)</f>
        <v>0</v>
      </c>
      <c r="HA29">
        <v>0</v>
      </c>
      <c r="HB29">
        <v>0</v>
      </c>
      <c r="HC29">
        <f>GV29*GW29</f>
        <v>0</v>
      </c>
      <c r="HE29" t="s">
        <v>3</v>
      </c>
      <c r="HF29" t="s">
        <v>3</v>
      </c>
      <c r="HM29" t="s">
        <v>3</v>
      </c>
      <c r="HN29" t="s">
        <v>27</v>
      </c>
      <c r="HO29" t="s">
        <v>28</v>
      </c>
      <c r="HP29" t="s">
        <v>25</v>
      </c>
      <c r="HQ29" t="s">
        <v>25</v>
      </c>
      <c r="IK29">
        <v>0</v>
      </c>
    </row>
    <row r="30" spans="1:245" x14ac:dyDescent="0.2">
      <c r="A30">
        <v>17</v>
      </c>
      <c r="B30">
        <v>1</v>
      </c>
      <c r="C30">
        <f>ROW(SmtRes!A6)</f>
        <v>6</v>
      </c>
      <c r="D30">
        <f>ROW(EtalonRes!A6)</f>
        <v>6</v>
      </c>
      <c r="E30" t="s">
        <v>34</v>
      </c>
      <c r="F30" t="s">
        <v>35</v>
      </c>
      <c r="G30" t="s">
        <v>36</v>
      </c>
      <c r="H30" t="s">
        <v>32</v>
      </c>
      <c r="I30">
        <v>0.33079999999999998</v>
      </c>
      <c r="J30">
        <v>0</v>
      </c>
      <c r="K30">
        <v>0.33079999999999998</v>
      </c>
      <c r="O30">
        <f>ROUND(CP30,2)</f>
        <v>144.1</v>
      </c>
      <c r="P30">
        <f>ROUND(CQ30*I30,2)</f>
        <v>47.69</v>
      </c>
      <c r="Q30">
        <f>(ROUND((ROUND(((ET30)*I30),2)*BB30),2)+ROUND((ROUND(((AE30-(EU30))*I30),2)*BS30),2))</f>
        <v>0</v>
      </c>
      <c r="R30">
        <f>(ROUND((ROUND(((EU30)*I30),2)*BS30),2)+ROUND((ROUND(((AE30-(EU30))*I30),2)*BS30),2))</f>
        <v>0</v>
      </c>
      <c r="S30">
        <f>ROUND(CT30*I30,2)</f>
        <v>96.41</v>
      </c>
      <c r="T30">
        <f>ROUND(CU30*I30,2)</f>
        <v>0</v>
      </c>
      <c r="U30">
        <f>ROUND(CV30*I30,7)</f>
        <v>0.34072400000000003</v>
      </c>
      <c r="V30">
        <f>ROUND(CW30*I30,7)</f>
        <v>0</v>
      </c>
      <c r="W30">
        <f>ROUND(CX30*I30,2)</f>
        <v>0</v>
      </c>
      <c r="X30">
        <f t="shared" si="21"/>
        <v>88.7</v>
      </c>
      <c r="Y30">
        <f t="shared" si="21"/>
        <v>42.42</v>
      </c>
      <c r="AA30">
        <v>53360025</v>
      </c>
      <c r="AB30">
        <f>ROUND((AC30+AD30+AF30),6)</f>
        <v>23.81</v>
      </c>
      <c r="AC30">
        <f>ROUND((ES30),6)</f>
        <v>16.399999999999999</v>
      </c>
      <c r="AD30">
        <f>ROUND((((ET30)-(EU30))+AE30),6)</f>
        <v>0</v>
      </c>
      <c r="AE30">
        <f t="shared" si="22"/>
        <v>0</v>
      </c>
      <c r="AF30">
        <f t="shared" si="22"/>
        <v>7.41</v>
      </c>
      <c r="AG30">
        <f>ROUND((AP30),6)</f>
        <v>0</v>
      </c>
      <c r="AH30">
        <f t="shared" si="23"/>
        <v>1.03</v>
      </c>
      <c r="AI30">
        <f t="shared" si="23"/>
        <v>0</v>
      </c>
      <c r="AJ30">
        <f>(AS30)</f>
        <v>0</v>
      </c>
      <c r="AK30">
        <v>23.81</v>
      </c>
      <c r="AL30">
        <v>16.399999999999999</v>
      </c>
      <c r="AM30">
        <v>0</v>
      </c>
      <c r="AN30">
        <v>0</v>
      </c>
      <c r="AO30">
        <v>7.41</v>
      </c>
      <c r="AP30">
        <v>0</v>
      </c>
      <c r="AQ30">
        <v>1.03</v>
      </c>
      <c r="AR30">
        <v>0</v>
      </c>
      <c r="AS30">
        <v>0</v>
      </c>
      <c r="AT30">
        <v>92</v>
      </c>
      <c r="AU30">
        <v>44</v>
      </c>
      <c r="AV30">
        <v>1</v>
      </c>
      <c r="AW30">
        <v>1</v>
      </c>
      <c r="AZ30">
        <v>1</v>
      </c>
      <c r="BA30">
        <v>39.33</v>
      </c>
      <c r="BB30">
        <v>14.42</v>
      </c>
      <c r="BC30">
        <v>8.7899999999999991</v>
      </c>
      <c r="BD30" t="s">
        <v>3</v>
      </c>
      <c r="BE30" t="s">
        <v>3</v>
      </c>
      <c r="BF30" t="s">
        <v>3</v>
      </c>
      <c r="BG30" t="s">
        <v>3</v>
      </c>
      <c r="BH30">
        <v>0</v>
      </c>
      <c r="BI30">
        <v>1</v>
      </c>
      <c r="BJ30" t="s">
        <v>37</v>
      </c>
      <c r="BM30">
        <v>69001</v>
      </c>
      <c r="BN30">
        <v>0</v>
      </c>
      <c r="BO30" t="s">
        <v>457</v>
      </c>
      <c r="BP30">
        <v>1</v>
      </c>
      <c r="BQ30">
        <v>6</v>
      </c>
      <c r="BR30">
        <v>0</v>
      </c>
      <c r="BS30">
        <v>39.33</v>
      </c>
      <c r="BT30">
        <v>1</v>
      </c>
      <c r="BU30">
        <v>1</v>
      </c>
      <c r="BV30">
        <v>1</v>
      </c>
      <c r="BW30">
        <v>1</v>
      </c>
      <c r="BX30">
        <v>1</v>
      </c>
      <c r="BY30" t="s">
        <v>3</v>
      </c>
      <c r="BZ30">
        <v>92</v>
      </c>
      <c r="CA30">
        <v>44</v>
      </c>
      <c r="CB30" t="s">
        <v>3</v>
      </c>
      <c r="CE30">
        <v>12</v>
      </c>
      <c r="CF30">
        <v>0</v>
      </c>
      <c r="CG30">
        <v>0</v>
      </c>
      <c r="CM30">
        <v>0</v>
      </c>
      <c r="CN30" t="s">
        <v>3</v>
      </c>
      <c r="CO30">
        <v>0</v>
      </c>
      <c r="CP30">
        <f>(P30+Q30+S30)</f>
        <v>144.1</v>
      </c>
      <c r="CQ30">
        <f>AC30*BC30</f>
        <v>144.15599999999998</v>
      </c>
      <c r="CR30">
        <f>(ROUND((ROUND(((ET30)*1),2)*BB30),2)+ROUND((ROUND(((AE30-(EU30))*1),2)*BS30),2))</f>
        <v>0</v>
      </c>
      <c r="CS30">
        <f>(ROUND((ROUND(((EU30)*1),2)*BS30),2)+ROUND((ROUND(((AE30-(EU30))*1),2)*BS30),2))</f>
        <v>0</v>
      </c>
      <c r="CT30">
        <f>AF30*BA30</f>
        <v>291.43529999999998</v>
      </c>
      <c r="CU30">
        <f t="shared" si="24"/>
        <v>0</v>
      </c>
      <c r="CV30">
        <f t="shared" si="24"/>
        <v>1.03</v>
      </c>
      <c r="CW30">
        <f t="shared" si="24"/>
        <v>0</v>
      </c>
      <c r="CX30">
        <f t="shared" si="24"/>
        <v>0</v>
      </c>
      <c r="CY30">
        <f>(((S30+R30)*AT30)/100)</f>
        <v>88.697199999999995</v>
      </c>
      <c r="CZ30">
        <f>(((S30+R30)*AU30)/100)</f>
        <v>42.420400000000001</v>
      </c>
      <c r="DC30" t="s">
        <v>3</v>
      </c>
      <c r="DD30" t="s">
        <v>3</v>
      </c>
      <c r="DE30" t="s">
        <v>3</v>
      </c>
      <c r="DF30" t="s">
        <v>3</v>
      </c>
      <c r="DG30" t="s">
        <v>3</v>
      </c>
      <c r="DH30" t="s">
        <v>3</v>
      </c>
      <c r="DI30" t="s">
        <v>3</v>
      </c>
      <c r="DJ30" t="s">
        <v>3</v>
      </c>
      <c r="DK30" t="s">
        <v>3</v>
      </c>
      <c r="DL30" t="s">
        <v>3</v>
      </c>
      <c r="DM30" t="s">
        <v>3</v>
      </c>
      <c r="DN30">
        <v>0</v>
      </c>
      <c r="DO30">
        <v>0</v>
      </c>
      <c r="DP30">
        <v>1</v>
      </c>
      <c r="DQ30">
        <v>1</v>
      </c>
      <c r="DU30">
        <v>1009</v>
      </c>
      <c r="DV30" t="s">
        <v>32</v>
      </c>
      <c r="DW30" t="s">
        <v>32</v>
      </c>
      <c r="DX30">
        <v>1000</v>
      </c>
      <c r="DZ30" t="s">
        <v>3</v>
      </c>
      <c r="EA30" t="s">
        <v>3</v>
      </c>
      <c r="EB30" t="s">
        <v>3</v>
      </c>
      <c r="EC30" t="s">
        <v>3</v>
      </c>
      <c r="EE30">
        <v>53151461</v>
      </c>
      <c r="EF30">
        <v>6</v>
      </c>
      <c r="EG30" t="s">
        <v>24</v>
      </c>
      <c r="EH30">
        <v>103</v>
      </c>
      <c r="EI30" t="s">
        <v>38</v>
      </c>
      <c r="EJ30">
        <v>1</v>
      </c>
      <c r="EK30">
        <v>69001</v>
      </c>
      <c r="EL30" t="s">
        <v>38</v>
      </c>
      <c r="EM30" t="s">
        <v>39</v>
      </c>
      <c r="EO30" t="s">
        <v>3</v>
      </c>
      <c r="EQ30">
        <v>1310720</v>
      </c>
      <c r="ER30">
        <v>23.81</v>
      </c>
      <c r="ES30">
        <v>16.399999999999999</v>
      </c>
      <c r="ET30">
        <v>0</v>
      </c>
      <c r="EU30">
        <v>0</v>
      </c>
      <c r="EV30">
        <v>7.41</v>
      </c>
      <c r="EW30">
        <v>1.03</v>
      </c>
      <c r="EX30">
        <v>0</v>
      </c>
      <c r="EY30">
        <v>0</v>
      </c>
      <c r="FQ30">
        <v>0</v>
      </c>
      <c r="FR30">
        <f t="shared" si="25"/>
        <v>0</v>
      </c>
      <c r="FS30">
        <v>0</v>
      </c>
      <c r="FX30">
        <v>92</v>
      </c>
      <c r="FY30">
        <v>44</v>
      </c>
      <c r="GA30" t="s">
        <v>3</v>
      </c>
      <c r="GD30">
        <v>1</v>
      </c>
      <c r="GF30">
        <v>459127888</v>
      </c>
      <c r="GG30">
        <v>2</v>
      </c>
      <c r="GH30">
        <v>1</v>
      </c>
      <c r="GI30">
        <v>4</v>
      </c>
      <c r="GJ30">
        <v>0</v>
      </c>
      <c r="GK30">
        <v>0</v>
      </c>
      <c r="GL30">
        <f t="shared" si="26"/>
        <v>0</v>
      </c>
      <c r="GM30">
        <f>ROUND(O30+X30+Y30,2)+GX30</f>
        <v>275.22000000000003</v>
      </c>
      <c r="GN30">
        <f t="shared" si="27"/>
        <v>275.22000000000003</v>
      </c>
      <c r="GO30">
        <f t="shared" si="28"/>
        <v>0</v>
      </c>
      <c r="GP30">
        <f t="shared" si="29"/>
        <v>0</v>
      </c>
      <c r="GR30">
        <v>0</v>
      </c>
      <c r="GS30">
        <v>3</v>
      </c>
      <c r="GT30">
        <v>0</v>
      </c>
      <c r="GU30" t="s">
        <v>3</v>
      </c>
      <c r="GV30">
        <f>ROUND((GT30),6)</f>
        <v>0</v>
      </c>
      <c r="GW30">
        <v>1</v>
      </c>
      <c r="GX30">
        <f>ROUND(HC30*I30,2)</f>
        <v>0</v>
      </c>
      <c r="HA30">
        <v>0</v>
      </c>
      <c r="HB30">
        <v>0</v>
      </c>
      <c r="HC30">
        <f>GV30*GW30</f>
        <v>0</v>
      </c>
      <c r="HE30" t="s">
        <v>3</v>
      </c>
      <c r="HF30" t="s">
        <v>3</v>
      </c>
      <c r="HM30" t="s">
        <v>3</v>
      </c>
      <c r="HN30" t="s">
        <v>40</v>
      </c>
      <c r="HO30" t="s">
        <v>41</v>
      </c>
      <c r="HP30" t="s">
        <v>38</v>
      </c>
      <c r="HQ30" t="s">
        <v>38</v>
      </c>
      <c r="IK30">
        <v>0</v>
      </c>
    </row>
    <row r="31" spans="1:245" x14ac:dyDescent="0.2">
      <c r="A31">
        <v>17</v>
      </c>
      <c r="B31">
        <v>1</v>
      </c>
      <c r="C31">
        <f>ROW(SmtRes!A12)</f>
        <v>12</v>
      </c>
      <c r="D31">
        <f>ROW(EtalonRes!A11)</f>
        <v>11</v>
      </c>
      <c r="E31" t="s">
        <v>42</v>
      </c>
      <c r="F31" t="s">
        <v>43</v>
      </c>
      <c r="G31" t="s">
        <v>44</v>
      </c>
      <c r="H31" t="s">
        <v>45</v>
      </c>
      <c r="I31">
        <f>ROUND(0.25/100,7)</f>
        <v>2.5000000000000001E-3</v>
      </c>
      <c r="J31">
        <v>0</v>
      </c>
      <c r="K31">
        <f>ROUND(0.25/100,7)</f>
        <v>2.5000000000000001E-3</v>
      </c>
      <c r="O31">
        <f>ROUND(CP31,2)</f>
        <v>80.77</v>
      </c>
      <c r="P31">
        <f>ROUND(CQ31*I31,2)</f>
        <v>0</v>
      </c>
      <c r="Q31">
        <f>(ROUND((ROUND(((ET31)*I31),2)*BB31),2)+ROUND((ROUND(((AE31-(EU31))*I31),2)*BS31),2))</f>
        <v>41.39</v>
      </c>
      <c r="R31">
        <f>(ROUND((ROUND(((EU31)*I31),2)*BS31),2)+ROUND((ROUND(((AE31-(EU31))*I31),2)*BS31),2))</f>
        <v>14.16</v>
      </c>
      <c r="S31">
        <f>ROUND(CT31*I31,2)</f>
        <v>39.380000000000003</v>
      </c>
      <c r="T31">
        <f>ROUND(CU31*I31,2)</f>
        <v>0</v>
      </c>
      <c r="U31">
        <f>ROUND(CV31*I31,7)</f>
        <v>0.12375</v>
      </c>
      <c r="V31">
        <f>ROUND(CW31*I31,7)</f>
        <v>2.6825000000000002E-2</v>
      </c>
      <c r="W31">
        <f>ROUND(CX31*I31,2)</f>
        <v>0</v>
      </c>
      <c r="X31">
        <f t="shared" si="21"/>
        <v>54.61</v>
      </c>
      <c r="Y31">
        <f t="shared" si="21"/>
        <v>28.91</v>
      </c>
      <c r="AA31">
        <v>53360025</v>
      </c>
      <c r="AB31">
        <f>ROUND((AC31+AD31+AF31),6)</f>
        <v>1549.25</v>
      </c>
      <c r="AC31">
        <f>ROUND((ES31),6)</f>
        <v>0</v>
      </c>
      <c r="AD31">
        <f>ROUND((((ET31)-(EU31))+AE31),6)</f>
        <v>1148.79</v>
      </c>
      <c r="AE31">
        <f t="shared" si="22"/>
        <v>144.86000000000001</v>
      </c>
      <c r="AF31">
        <f t="shared" si="22"/>
        <v>400.46</v>
      </c>
      <c r="AG31">
        <f>ROUND((AP31),6)</f>
        <v>0</v>
      </c>
      <c r="AH31">
        <f t="shared" si="23"/>
        <v>49.5</v>
      </c>
      <c r="AI31">
        <f t="shared" si="23"/>
        <v>10.73</v>
      </c>
      <c r="AJ31">
        <f>(AS31)</f>
        <v>0</v>
      </c>
      <c r="AK31">
        <v>1549.25</v>
      </c>
      <c r="AL31">
        <v>0</v>
      </c>
      <c r="AM31">
        <v>1148.79</v>
      </c>
      <c r="AN31">
        <v>144.86000000000001</v>
      </c>
      <c r="AO31">
        <v>400.46</v>
      </c>
      <c r="AP31">
        <v>0</v>
      </c>
      <c r="AQ31">
        <v>49.5</v>
      </c>
      <c r="AR31">
        <v>10.73</v>
      </c>
      <c r="AS31">
        <v>0</v>
      </c>
      <c r="AT31">
        <v>102</v>
      </c>
      <c r="AU31">
        <v>54</v>
      </c>
      <c r="AV31">
        <v>1</v>
      </c>
      <c r="AW31">
        <v>1</v>
      </c>
      <c r="AZ31">
        <v>1</v>
      </c>
      <c r="BA31">
        <v>39.33</v>
      </c>
      <c r="BB31">
        <v>14.42</v>
      </c>
      <c r="BC31">
        <v>8.7899999999999991</v>
      </c>
      <c r="BD31" t="s">
        <v>3</v>
      </c>
      <c r="BE31" t="s">
        <v>3</v>
      </c>
      <c r="BF31" t="s">
        <v>3</v>
      </c>
      <c r="BG31" t="s">
        <v>3</v>
      </c>
      <c r="BH31">
        <v>0</v>
      </c>
      <c r="BI31">
        <v>1</v>
      </c>
      <c r="BJ31" t="s">
        <v>46</v>
      </c>
      <c r="BM31">
        <v>68001</v>
      </c>
      <c r="BN31">
        <v>0</v>
      </c>
      <c r="BO31" t="s">
        <v>457</v>
      </c>
      <c r="BP31">
        <v>1</v>
      </c>
      <c r="BQ31">
        <v>6</v>
      </c>
      <c r="BR31">
        <v>0</v>
      </c>
      <c r="BS31">
        <v>39.33</v>
      </c>
      <c r="BT31">
        <v>1</v>
      </c>
      <c r="BU31">
        <v>1</v>
      </c>
      <c r="BV31">
        <v>1</v>
      </c>
      <c r="BW31">
        <v>1</v>
      </c>
      <c r="BX31">
        <v>1</v>
      </c>
      <c r="BY31" t="s">
        <v>3</v>
      </c>
      <c r="BZ31">
        <v>102</v>
      </c>
      <c r="CA31">
        <v>54</v>
      </c>
      <c r="CB31" t="s">
        <v>3</v>
      </c>
      <c r="CE31">
        <v>12</v>
      </c>
      <c r="CF31">
        <v>0</v>
      </c>
      <c r="CG31">
        <v>0</v>
      </c>
      <c r="CM31">
        <v>0</v>
      </c>
      <c r="CN31" t="s">
        <v>3</v>
      </c>
      <c r="CO31">
        <v>0</v>
      </c>
      <c r="CP31">
        <f>(P31+Q31+S31)</f>
        <v>80.77000000000001</v>
      </c>
      <c r="CQ31">
        <f>AC31*BC31</f>
        <v>0</v>
      </c>
      <c r="CR31">
        <f>(ROUND((ROUND(((ET31)*1),2)*BB31),2)+ROUND((ROUND(((AE31-(EU31))*1),2)*BS31),2))</f>
        <v>16565.55</v>
      </c>
      <c r="CS31">
        <f>(ROUND((ROUND(((EU31)*1),2)*BS31),2)+ROUND((ROUND(((AE31-(EU31))*1),2)*BS31),2))</f>
        <v>5697.34</v>
      </c>
      <c r="CT31">
        <f>AF31*BA31</f>
        <v>15750.091799999998</v>
      </c>
      <c r="CU31">
        <f t="shared" si="24"/>
        <v>0</v>
      </c>
      <c r="CV31">
        <f t="shared" si="24"/>
        <v>49.5</v>
      </c>
      <c r="CW31">
        <f t="shared" si="24"/>
        <v>10.73</v>
      </c>
      <c r="CX31">
        <f t="shared" si="24"/>
        <v>0</v>
      </c>
      <c r="CY31">
        <f>(((S31+R31)*AT31)/100)</f>
        <v>54.610800000000012</v>
      </c>
      <c r="CZ31">
        <f>(((S31+R31)*AU31)/100)</f>
        <v>28.911600000000004</v>
      </c>
      <c r="DC31" t="s">
        <v>3</v>
      </c>
      <c r="DD31" t="s">
        <v>3</v>
      </c>
      <c r="DE31" t="s">
        <v>3</v>
      </c>
      <c r="DF31" t="s">
        <v>3</v>
      </c>
      <c r="DG31" t="s">
        <v>3</v>
      </c>
      <c r="DH31" t="s">
        <v>3</v>
      </c>
      <c r="DI31" t="s">
        <v>3</v>
      </c>
      <c r="DJ31" t="s">
        <v>3</v>
      </c>
      <c r="DK31" t="s">
        <v>3</v>
      </c>
      <c r="DL31" t="s">
        <v>3</v>
      </c>
      <c r="DM31" t="s">
        <v>3</v>
      </c>
      <c r="DN31">
        <v>0</v>
      </c>
      <c r="DO31">
        <v>0</v>
      </c>
      <c r="DP31">
        <v>1</v>
      </c>
      <c r="DQ31">
        <v>1</v>
      </c>
      <c r="DU31">
        <v>1007</v>
      </c>
      <c r="DV31" t="s">
        <v>45</v>
      </c>
      <c r="DW31" t="s">
        <v>45</v>
      </c>
      <c r="DX31">
        <v>100</v>
      </c>
      <c r="DZ31" t="s">
        <v>3</v>
      </c>
      <c r="EA31" t="s">
        <v>3</v>
      </c>
      <c r="EB31" t="s">
        <v>3</v>
      </c>
      <c r="EC31" t="s">
        <v>3</v>
      </c>
      <c r="EE31">
        <v>53151460</v>
      </c>
      <c r="EF31">
        <v>6</v>
      </c>
      <c r="EG31" t="s">
        <v>24</v>
      </c>
      <c r="EH31">
        <v>102</v>
      </c>
      <c r="EI31" t="s">
        <v>47</v>
      </c>
      <c r="EJ31">
        <v>1</v>
      </c>
      <c r="EK31">
        <v>68001</v>
      </c>
      <c r="EL31" t="s">
        <v>47</v>
      </c>
      <c r="EM31" t="s">
        <v>48</v>
      </c>
      <c r="EO31" t="s">
        <v>3</v>
      </c>
      <c r="EQ31">
        <v>1310720</v>
      </c>
      <c r="ER31">
        <v>1549.25</v>
      </c>
      <c r="ES31">
        <v>0</v>
      </c>
      <c r="ET31">
        <v>1148.79</v>
      </c>
      <c r="EU31">
        <v>144.86000000000001</v>
      </c>
      <c r="EV31">
        <v>400.46</v>
      </c>
      <c r="EW31">
        <v>49.5</v>
      </c>
      <c r="EX31">
        <v>10.73</v>
      </c>
      <c r="EY31">
        <v>0</v>
      </c>
      <c r="FQ31">
        <v>0</v>
      </c>
      <c r="FR31">
        <f t="shared" si="25"/>
        <v>0</v>
      </c>
      <c r="FS31">
        <v>0</v>
      </c>
      <c r="FX31">
        <v>102</v>
      </c>
      <c r="FY31">
        <v>54</v>
      </c>
      <c r="GA31" t="s">
        <v>3</v>
      </c>
      <c r="GD31">
        <v>1</v>
      </c>
      <c r="GF31">
        <v>1362116616</v>
      </c>
      <c r="GG31">
        <v>2</v>
      </c>
      <c r="GH31">
        <v>1</v>
      </c>
      <c r="GI31">
        <v>4</v>
      </c>
      <c r="GJ31">
        <v>0</v>
      </c>
      <c r="GK31">
        <v>0</v>
      </c>
      <c r="GL31">
        <f t="shared" si="26"/>
        <v>0</v>
      </c>
      <c r="GM31">
        <f>ROUND(O31+X31+Y31,2)+GX31</f>
        <v>164.29</v>
      </c>
      <c r="GN31">
        <f t="shared" si="27"/>
        <v>164.29</v>
      </c>
      <c r="GO31">
        <f t="shared" si="28"/>
        <v>0</v>
      </c>
      <c r="GP31">
        <f t="shared" si="29"/>
        <v>0</v>
      </c>
      <c r="GR31">
        <v>0</v>
      </c>
      <c r="GS31">
        <v>3</v>
      </c>
      <c r="GT31">
        <v>0</v>
      </c>
      <c r="GU31" t="s">
        <v>3</v>
      </c>
      <c r="GV31">
        <f>ROUND((GT31),6)</f>
        <v>0</v>
      </c>
      <c r="GW31">
        <v>1</v>
      </c>
      <c r="GX31">
        <f>ROUND(HC31*I31,2)</f>
        <v>0</v>
      </c>
      <c r="HA31">
        <v>0</v>
      </c>
      <c r="HB31">
        <v>0</v>
      </c>
      <c r="HC31">
        <f>GV31*GW31</f>
        <v>0</v>
      </c>
      <c r="HE31" t="s">
        <v>3</v>
      </c>
      <c r="HF31" t="s">
        <v>3</v>
      </c>
      <c r="HM31" t="s">
        <v>3</v>
      </c>
      <c r="HN31" t="s">
        <v>49</v>
      </c>
      <c r="HO31" t="s">
        <v>50</v>
      </c>
      <c r="HP31" t="s">
        <v>47</v>
      </c>
      <c r="HQ31" t="s">
        <v>47</v>
      </c>
      <c r="IK31">
        <v>0</v>
      </c>
    </row>
    <row r="32" spans="1:245" x14ac:dyDescent="0.2">
      <c r="A32">
        <v>18</v>
      </c>
      <c r="B32">
        <v>1</v>
      </c>
      <c r="C32">
        <v>12</v>
      </c>
      <c r="E32" t="s">
        <v>51</v>
      </c>
      <c r="F32" t="s">
        <v>30</v>
      </c>
      <c r="G32" t="s">
        <v>31</v>
      </c>
      <c r="H32" t="s">
        <v>32</v>
      </c>
      <c r="I32">
        <f>I31*J32</f>
        <v>0.6</v>
      </c>
      <c r="J32">
        <v>240</v>
      </c>
      <c r="K32">
        <v>240</v>
      </c>
      <c r="O32">
        <f>ROUND(CP32,2)</f>
        <v>0</v>
      </c>
      <c r="P32">
        <f>ROUND(CQ32*I32,2)</f>
        <v>0</v>
      </c>
      <c r="Q32">
        <f>(ROUND((ROUND(((ET32)*I32),2)*BB32),2)+ROUND((ROUND(((AE32-(EU32))*I32),2)*BS32),2))</f>
        <v>0</v>
      </c>
      <c r="R32">
        <f>(ROUND((ROUND(((EU32)*I32),2)*BS32),2)+ROUND((ROUND(((AE32-(EU32))*I32),2)*BS32),2))</f>
        <v>0</v>
      </c>
      <c r="S32">
        <f>ROUND(CT32*I32,2)</f>
        <v>0</v>
      </c>
      <c r="T32">
        <f>ROUND(CU32*I32,2)</f>
        <v>0</v>
      </c>
      <c r="U32">
        <f>ROUND(CV32*I32,7)</f>
        <v>0</v>
      </c>
      <c r="V32">
        <f>ROUND(CW32*I32,7)</f>
        <v>0</v>
      </c>
      <c r="W32">
        <f>ROUND(CX32*I32,2)</f>
        <v>0</v>
      </c>
      <c r="X32">
        <f t="shared" si="21"/>
        <v>0</v>
      </c>
      <c r="Y32">
        <f t="shared" si="21"/>
        <v>0</v>
      </c>
      <c r="AA32">
        <v>53360025</v>
      </c>
      <c r="AB32">
        <f>ROUND((AC32+AD32+AF32),6)</f>
        <v>0</v>
      </c>
      <c r="AC32">
        <f>ROUND((ES32),6)</f>
        <v>0</v>
      </c>
      <c r="AD32">
        <f>ROUND((((ET32)-(EU32))+AE32),6)</f>
        <v>0</v>
      </c>
      <c r="AE32">
        <f t="shared" si="22"/>
        <v>0</v>
      </c>
      <c r="AF32">
        <f t="shared" si="22"/>
        <v>0</v>
      </c>
      <c r="AG32">
        <f>ROUND((AP32),6)</f>
        <v>0</v>
      </c>
      <c r="AH32">
        <f t="shared" si="23"/>
        <v>0</v>
      </c>
      <c r="AI32">
        <f t="shared" si="23"/>
        <v>0</v>
      </c>
      <c r="AJ32">
        <f>(AS32)</f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89</v>
      </c>
      <c r="AU32">
        <v>49</v>
      </c>
      <c r="AV32">
        <v>1</v>
      </c>
      <c r="AW32">
        <v>1</v>
      </c>
      <c r="AZ32">
        <v>1</v>
      </c>
      <c r="BA32">
        <v>1</v>
      </c>
      <c r="BB32">
        <v>1</v>
      </c>
      <c r="BC32">
        <v>8.7899999999999991</v>
      </c>
      <c r="BD32" t="s">
        <v>3</v>
      </c>
      <c r="BE32" t="s">
        <v>3</v>
      </c>
      <c r="BF32" t="s">
        <v>3</v>
      </c>
      <c r="BG32" t="s">
        <v>3</v>
      </c>
      <c r="BH32">
        <v>3</v>
      </c>
      <c r="BI32">
        <v>1</v>
      </c>
      <c r="BJ32" t="s">
        <v>3</v>
      </c>
      <c r="BM32">
        <v>57001</v>
      </c>
      <c r="BN32">
        <v>0</v>
      </c>
      <c r="BO32" t="s">
        <v>33</v>
      </c>
      <c r="BP32">
        <v>1</v>
      </c>
      <c r="BQ32">
        <v>6</v>
      </c>
      <c r="BR32">
        <v>0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 t="s">
        <v>3</v>
      </c>
      <c r="BZ32">
        <v>89</v>
      </c>
      <c r="CA32">
        <v>49</v>
      </c>
      <c r="CB32" t="s">
        <v>3</v>
      </c>
      <c r="CE32">
        <v>12</v>
      </c>
      <c r="CF32">
        <v>0</v>
      </c>
      <c r="CG32">
        <v>0</v>
      </c>
      <c r="CM32">
        <v>0</v>
      </c>
      <c r="CN32" t="s">
        <v>3</v>
      </c>
      <c r="CO32">
        <v>0</v>
      </c>
      <c r="CP32">
        <f>(P32+Q32+S32)</f>
        <v>0</v>
      </c>
      <c r="CQ32">
        <f>AC32*BC32</f>
        <v>0</v>
      </c>
      <c r="CR32">
        <f>(ROUND((ROUND(((ET32)*1),2)*BB32),2)+ROUND((ROUND(((AE32-(EU32))*1),2)*BS32),2))</f>
        <v>0</v>
      </c>
      <c r="CS32">
        <f>(ROUND((ROUND(((EU32)*1),2)*BS32),2)+ROUND((ROUND(((AE32-(EU32))*1),2)*BS32),2))</f>
        <v>0</v>
      </c>
      <c r="CT32">
        <f>AF32*BA32</f>
        <v>0</v>
      </c>
      <c r="CU32">
        <f t="shared" si="24"/>
        <v>0</v>
      </c>
      <c r="CV32">
        <f t="shared" si="24"/>
        <v>0</v>
      </c>
      <c r="CW32">
        <f t="shared" si="24"/>
        <v>0</v>
      </c>
      <c r="CX32">
        <f t="shared" si="24"/>
        <v>0</v>
      </c>
      <c r="CY32">
        <f>(((S32+R32)*AT32)/100)</f>
        <v>0</v>
      </c>
      <c r="CZ32">
        <f>(((S32+R32)*AU32)/100)</f>
        <v>0</v>
      </c>
      <c r="DC32" t="s">
        <v>3</v>
      </c>
      <c r="DD32" t="s">
        <v>3</v>
      </c>
      <c r="DE32" t="s">
        <v>3</v>
      </c>
      <c r="DF32" t="s">
        <v>3</v>
      </c>
      <c r="DG32" t="s">
        <v>3</v>
      </c>
      <c r="DH32" t="s">
        <v>3</v>
      </c>
      <c r="DI32" t="s">
        <v>3</v>
      </c>
      <c r="DJ32" t="s">
        <v>3</v>
      </c>
      <c r="DK32" t="s">
        <v>3</v>
      </c>
      <c r="DL32" t="s">
        <v>3</v>
      </c>
      <c r="DM32" t="s">
        <v>3</v>
      </c>
      <c r="DN32">
        <v>0</v>
      </c>
      <c r="DO32">
        <v>0</v>
      </c>
      <c r="DP32">
        <v>1</v>
      </c>
      <c r="DQ32">
        <v>1</v>
      </c>
      <c r="DU32">
        <v>1009</v>
      </c>
      <c r="DV32" t="s">
        <v>32</v>
      </c>
      <c r="DW32" t="s">
        <v>32</v>
      </c>
      <c r="DX32">
        <v>1000</v>
      </c>
      <c r="DZ32" t="s">
        <v>3</v>
      </c>
      <c r="EA32" t="s">
        <v>3</v>
      </c>
      <c r="EB32" t="s">
        <v>3</v>
      </c>
      <c r="EC32" t="s">
        <v>3</v>
      </c>
      <c r="EE32">
        <v>53151429</v>
      </c>
      <c r="EF32">
        <v>6</v>
      </c>
      <c r="EG32" t="s">
        <v>24</v>
      </c>
      <c r="EH32">
        <v>11</v>
      </c>
      <c r="EI32" t="s">
        <v>25</v>
      </c>
      <c r="EJ32">
        <v>1</v>
      </c>
      <c r="EK32">
        <v>57001</v>
      </c>
      <c r="EL32" t="s">
        <v>25</v>
      </c>
      <c r="EM32" t="s">
        <v>26</v>
      </c>
      <c r="EO32" t="s">
        <v>3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FQ32">
        <v>0</v>
      </c>
      <c r="FR32">
        <f t="shared" si="25"/>
        <v>0</v>
      </c>
      <c r="FS32">
        <v>0</v>
      </c>
      <c r="FX32">
        <v>89</v>
      </c>
      <c r="FY32">
        <v>49</v>
      </c>
      <c r="GA32" t="s">
        <v>3</v>
      </c>
      <c r="GD32">
        <v>1</v>
      </c>
      <c r="GF32">
        <v>2102561428</v>
      </c>
      <c r="GG32">
        <v>2</v>
      </c>
      <c r="GH32">
        <v>1</v>
      </c>
      <c r="GI32">
        <v>4</v>
      </c>
      <c r="GJ32">
        <v>0</v>
      </c>
      <c r="GK32">
        <v>0</v>
      </c>
      <c r="GL32">
        <f t="shared" si="26"/>
        <v>0</v>
      </c>
      <c r="GM32">
        <f>ROUND(O32+X32+Y32,2)+GX32</f>
        <v>0</v>
      </c>
      <c r="GN32">
        <f t="shared" si="27"/>
        <v>0</v>
      </c>
      <c r="GO32">
        <f t="shared" si="28"/>
        <v>0</v>
      </c>
      <c r="GP32">
        <f t="shared" si="29"/>
        <v>0</v>
      </c>
      <c r="GR32">
        <v>0</v>
      </c>
      <c r="GS32">
        <v>3</v>
      </c>
      <c r="GT32">
        <v>0</v>
      </c>
      <c r="GU32" t="s">
        <v>3</v>
      </c>
      <c r="GV32">
        <f>ROUND((GT32),6)</f>
        <v>0</v>
      </c>
      <c r="GW32">
        <v>1</v>
      </c>
      <c r="GX32">
        <f>ROUND(HC32*I32,2)</f>
        <v>0</v>
      </c>
      <c r="HA32">
        <v>0</v>
      </c>
      <c r="HB32">
        <v>0</v>
      </c>
      <c r="HC32">
        <f>GV32*GW32</f>
        <v>0</v>
      </c>
      <c r="HE32" t="s">
        <v>3</v>
      </c>
      <c r="HF32" t="s">
        <v>3</v>
      </c>
      <c r="HM32" t="s">
        <v>3</v>
      </c>
      <c r="HN32" t="s">
        <v>27</v>
      </c>
      <c r="HO32" t="s">
        <v>28</v>
      </c>
      <c r="HP32" t="s">
        <v>25</v>
      </c>
      <c r="HQ32" t="s">
        <v>25</v>
      </c>
      <c r="IK32">
        <v>0</v>
      </c>
    </row>
    <row r="33" spans="1:245" x14ac:dyDescent="0.2">
      <c r="A33">
        <v>17</v>
      </c>
      <c r="B33">
        <v>1</v>
      </c>
      <c r="E33" t="s">
        <v>52</v>
      </c>
      <c r="F33" t="s">
        <v>53</v>
      </c>
      <c r="G33" t="s">
        <v>54</v>
      </c>
      <c r="H33" t="s">
        <v>55</v>
      </c>
      <c r="I33">
        <v>0.33079999999999998</v>
      </c>
      <c r="J33">
        <v>0</v>
      </c>
      <c r="K33">
        <v>0.33079999999999998</v>
      </c>
      <c r="O33">
        <f>0</f>
        <v>0</v>
      </c>
      <c r="P33">
        <f>0</f>
        <v>0</v>
      </c>
      <c r="Q33">
        <f>0</f>
        <v>0</v>
      </c>
      <c r="R33">
        <f>0</f>
        <v>0</v>
      </c>
      <c r="S33">
        <f>0</f>
        <v>0</v>
      </c>
      <c r="T33">
        <f>0</f>
        <v>0</v>
      </c>
      <c r="U33">
        <f>0</f>
        <v>0</v>
      </c>
      <c r="V33">
        <f>0</f>
        <v>0</v>
      </c>
      <c r="W33">
        <f>0</f>
        <v>0</v>
      </c>
      <c r="X33">
        <f>0</f>
        <v>0</v>
      </c>
      <c r="Y33">
        <f>0</f>
        <v>0</v>
      </c>
      <c r="AA33">
        <v>53360025</v>
      </c>
      <c r="AB33">
        <f>ROUND((AK33),6)</f>
        <v>42.98</v>
      </c>
      <c r="AC33">
        <f>0</f>
        <v>0</v>
      </c>
      <c r="AD33">
        <f>0</f>
        <v>0</v>
      </c>
      <c r="AE33">
        <f>0</f>
        <v>0</v>
      </c>
      <c r="AF33">
        <f>0</f>
        <v>0</v>
      </c>
      <c r="AG33">
        <f>0</f>
        <v>0</v>
      </c>
      <c r="AH33">
        <f>0</f>
        <v>0</v>
      </c>
      <c r="AI33">
        <f>0</f>
        <v>0</v>
      </c>
      <c r="AJ33">
        <f>0</f>
        <v>0</v>
      </c>
      <c r="AK33">
        <v>42.98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</v>
      </c>
      <c r="AW33">
        <v>1</v>
      </c>
      <c r="AZ33">
        <v>1</v>
      </c>
      <c r="BA33">
        <v>1</v>
      </c>
      <c r="BB33">
        <v>1</v>
      </c>
      <c r="BC33">
        <v>1</v>
      </c>
      <c r="BD33" t="s">
        <v>3</v>
      </c>
      <c r="BE33" t="s">
        <v>3</v>
      </c>
      <c r="BF33" t="s">
        <v>3</v>
      </c>
      <c r="BG33" t="s">
        <v>3</v>
      </c>
      <c r="BH33">
        <v>0</v>
      </c>
      <c r="BI33">
        <v>1</v>
      </c>
      <c r="BJ33" t="s">
        <v>56</v>
      </c>
      <c r="BM33">
        <v>700030</v>
      </c>
      <c r="BN33">
        <v>0</v>
      </c>
      <c r="BO33" t="s">
        <v>3</v>
      </c>
      <c r="BP33">
        <v>0</v>
      </c>
      <c r="BQ33">
        <v>20</v>
      </c>
      <c r="BR33">
        <v>0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 t="s">
        <v>3</v>
      </c>
      <c r="BZ33">
        <v>0</v>
      </c>
      <c r="CA33">
        <v>0</v>
      </c>
      <c r="CB33" t="s">
        <v>3</v>
      </c>
      <c r="CE33">
        <v>12</v>
      </c>
      <c r="CF33">
        <v>0</v>
      </c>
      <c r="CG33">
        <v>0</v>
      </c>
      <c r="CM33">
        <v>0</v>
      </c>
      <c r="CN33" t="s">
        <v>3</v>
      </c>
      <c r="CO33">
        <v>0</v>
      </c>
      <c r="CP33">
        <f>AB33*AZ33</f>
        <v>42.98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C33" t="s">
        <v>3</v>
      </c>
      <c r="DD33" t="s">
        <v>3</v>
      </c>
      <c r="DE33" t="s">
        <v>3</v>
      </c>
      <c r="DF33" t="s">
        <v>3</v>
      </c>
      <c r="DG33" t="s">
        <v>3</v>
      </c>
      <c r="DH33" t="s">
        <v>3</v>
      </c>
      <c r="DI33" t="s">
        <v>3</v>
      </c>
      <c r="DJ33" t="s">
        <v>3</v>
      </c>
      <c r="DK33" t="s">
        <v>3</v>
      </c>
      <c r="DL33" t="s">
        <v>3</v>
      </c>
      <c r="DM33" t="s">
        <v>3</v>
      </c>
      <c r="DN33">
        <v>0</v>
      </c>
      <c r="DO33">
        <v>0</v>
      </c>
      <c r="DP33">
        <v>1</v>
      </c>
      <c r="DQ33">
        <v>1</v>
      </c>
      <c r="DU33">
        <v>1013</v>
      </c>
      <c r="DV33" t="s">
        <v>55</v>
      </c>
      <c r="DW33" t="s">
        <v>55</v>
      </c>
      <c r="DX33">
        <v>1</v>
      </c>
      <c r="DZ33" t="s">
        <v>3</v>
      </c>
      <c r="EA33" t="s">
        <v>3</v>
      </c>
      <c r="EB33" t="s">
        <v>3</v>
      </c>
      <c r="EC33" t="s">
        <v>3</v>
      </c>
      <c r="EE33">
        <v>53151604</v>
      </c>
      <c r="EF33">
        <v>20</v>
      </c>
      <c r="EG33" t="s">
        <v>57</v>
      </c>
      <c r="EH33">
        <v>106</v>
      </c>
      <c r="EI33" t="s">
        <v>58</v>
      </c>
      <c r="EJ33">
        <v>1</v>
      </c>
      <c r="EK33">
        <v>700030</v>
      </c>
      <c r="EL33" t="s">
        <v>59</v>
      </c>
      <c r="EM33" t="s">
        <v>60</v>
      </c>
      <c r="EO33" t="s">
        <v>3</v>
      </c>
      <c r="EQ33">
        <v>1310720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FQ33">
        <v>0</v>
      </c>
      <c r="FR33">
        <f t="shared" si="25"/>
        <v>0</v>
      </c>
      <c r="FS33">
        <v>0</v>
      </c>
      <c r="FX33">
        <v>0</v>
      </c>
      <c r="FY33">
        <v>0</v>
      </c>
      <c r="GA33" t="s">
        <v>3</v>
      </c>
      <c r="GD33">
        <v>1</v>
      </c>
      <c r="GF33">
        <v>1276011705</v>
      </c>
      <c r="GG33">
        <v>2</v>
      </c>
      <c r="GH33">
        <v>1</v>
      </c>
      <c r="GI33">
        <v>4</v>
      </c>
      <c r="GJ33">
        <v>2</v>
      </c>
      <c r="GK33">
        <v>0</v>
      </c>
      <c r="GL33">
        <f t="shared" si="26"/>
        <v>0</v>
      </c>
      <c r="GM33">
        <f>ROUND(CP33*I33,2)</f>
        <v>14.22</v>
      </c>
      <c r="GN33">
        <f t="shared" si="27"/>
        <v>14.22</v>
      </c>
      <c r="GO33">
        <f t="shared" si="28"/>
        <v>0</v>
      </c>
      <c r="GP33">
        <f t="shared" si="29"/>
        <v>0</v>
      </c>
      <c r="GR33">
        <v>0</v>
      </c>
      <c r="GS33">
        <v>3</v>
      </c>
      <c r="GT33">
        <v>0</v>
      </c>
      <c r="GU33" t="s">
        <v>3</v>
      </c>
      <c r="GV33">
        <f>0</f>
        <v>0</v>
      </c>
      <c r="GW33">
        <v>1</v>
      </c>
      <c r="GX33">
        <f>0</f>
        <v>0</v>
      </c>
      <c r="HA33">
        <v>0</v>
      </c>
      <c r="HB33">
        <v>0</v>
      </c>
      <c r="HC33">
        <v>0</v>
      </c>
      <c r="HD33">
        <f>GM33</f>
        <v>14.22</v>
      </c>
      <c r="HE33" t="s">
        <v>3</v>
      </c>
      <c r="HF33" t="s">
        <v>3</v>
      </c>
      <c r="HM33" t="s">
        <v>3</v>
      </c>
      <c r="HN33" t="s">
        <v>3</v>
      </c>
      <c r="HO33" t="s">
        <v>3</v>
      </c>
      <c r="HP33" t="s">
        <v>3</v>
      </c>
      <c r="HQ33" t="s">
        <v>3</v>
      </c>
      <c r="IK33">
        <v>0</v>
      </c>
    </row>
    <row r="34" spans="1:245" x14ac:dyDescent="0.2">
      <c r="A34">
        <v>17</v>
      </c>
      <c r="B34">
        <v>1</v>
      </c>
      <c r="E34" t="s">
        <v>61</v>
      </c>
      <c r="F34" t="s">
        <v>62</v>
      </c>
      <c r="G34" t="s">
        <v>63</v>
      </c>
      <c r="H34" t="s">
        <v>55</v>
      </c>
      <c r="I34">
        <v>0.33079999999999998</v>
      </c>
      <c r="J34">
        <v>0</v>
      </c>
      <c r="K34">
        <v>0.33079999999999998</v>
      </c>
      <c r="O34">
        <f>0</f>
        <v>0</v>
      </c>
      <c r="P34">
        <f>0</f>
        <v>0</v>
      </c>
      <c r="Q34">
        <f>0</f>
        <v>0</v>
      </c>
      <c r="R34">
        <f>0</f>
        <v>0</v>
      </c>
      <c r="S34">
        <f>0</f>
        <v>0</v>
      </c>
      <c r="T34">
        <f>0</f>
        <v>0</v>
      </c>
      <c r="U34">
        <f>0</f>
        <v>0</v>
      </c>
      <c r="V34">
        <f>0</f>
        <v>0</v>
      </c>
      <c r="W34">
        <f>0</f>
        <v>0</v>
      </c>
      <c r="X34">
        <f>0</f>
        <v>0</v>
      </c>
      <c r="Y34">
        <f>0</f>
        <v>0</v>
      </c>
      <c r="AA34">
        <v>53360025</v>
      </c>
      <c r="AB34">
        <f>ROUND((AK34),6)</f>
        <v>25.02</v>
      </c>
      <c r="AC34">
        <f>0</f>
        <v>0</v>
      </c>
      <c r="AD34">
        <f>0</f>
        <v>0</v>
      </c>
      <c r="AE34">
        <f>0</f>
        <v>0</v>
      </c>
      <c r="AF34">
        <f>0</f>
        <v>0</v>
      </c>
      <c r="AG34">
        <f>0</f>
        <v>0</v>
      </c>
      <c r="AH34">
        <f>0</f>
        <v>0</v>
      </c>
      <c r="AI34">
        <f>0</f>
        <v>0</v>
      </c>
      <c r="AJ34">
        <f>0</f>
        <v>0</v>
      </c>
      <c r="AK34">
        <v>25.02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1</v>
      </c>
      <c r="AW34">
        <v>1</v>
      </c>
      <c r="AZ34">
        <v>17.8</v>
      </c>
      <c r="BA34">
        <v>1</v>
      </c>
      <c r="BB34">
        <v>1</v>
      </c>
      <c r="BC34">
        <v>1</v>
      </c>
      <c r="BD34" t="s">
        <v>3</v>
      </c>
      <c r="BE34" t="s">
        <v>3</v>
      </c>
      <c r="BF34" t="s">
        <v>3</v>
      </c>
      <c r="BG34" t="s">
        <v>3</v>
      </c>
      <c r="BH34">
        <v>0</v>
      </c>
      <c r="BI34">
        <v>1</v>
      </c>
      <c r="BJ34" t="s">
        <v>64</v>
      </c>
      <c r="BM34">
        <v>700005</v>
      </c>
      <c r="BN34">
        <v>0</v>
      </c>
      <c r="BO34" t="s">
        <v>33</v>
      </c>
      <c r="BP34">
        <v>1</v>
      </c>
      <c r="BQ34">
        <v>10</v>
      </c>
      <c r="BR34">
        <v>0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 t="s">
        <v>3</v>
      </c>
      <c r="BZ34">
        <v>0</v>
      </c>
      <c r="CA34">
        <v>0</v>
      </c>
      <c r="CB34" t="s">
        <v>3</v>
      </c>
      <c r="CE34">
        <v>12</v>
      </c>
      <c r="CF34">
        <v>0</v>
      </c>
      <c r="CG34">
        <v>0</v>
      </c>
      <c r="CM34">
        <v>0</v>
      </c>
      <c r="CN34" t="s">
        <v>3</v>
      </c>
      <c r="CO34">
        <v>0</v>
      </c>
      <c r="CP34">
        <f>AB34*AZ34</f>
        <v>445.35599999999999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C34" t="s">
        <v>3</v>
      </c>
      <c r="DD34" t="s">
        <v>3</v>
      </c>
      <c r="DE34" t="s">
        <v>3</v>
      </c>
      <c r="DF34" t="s">
        <v>3</v>
      </c>
      <c r="DG34" t="s">
        <v>3</v>
      </c>
      <c r="DH34" t="s">
        <v>3</v>
      </c>
      <c r="DI34" t="s">
        <v>3</v>
      </c>
      <c r="DJ34" t="s">
        <v>3</v>
      </c>
      <c r="DK34" t="s">
        <v>3</v>
      </c>
      <c r="DL34" t="s">
        <v>3</v>
      </c>
      <c r="DM34" t="s">
        <v>3</v>
      </c>
      <c r="DN34">
        <v>0</v>
      </c>
      <c r="DO34">
        <v>0</v>
      </c>
      <c r="DP34">
        <v>1</v>
      </c>
      <c r="DQ34">
        <v>1</v>
      </c>
      <c r="DU34">
        <v>1013</v>
      </c>
      <c r="DV34" t="s">
        <v>55</v>
      </c>
      <c r="DW34" t="s">
        <v>55</v>
      </c>
      <c r="DX34">
        <v>1</v>
      </c>
      <c r="DZ34" t="s">
        <v>3</v>
      </c>
      <c r="EA34" t="s">
        <v>3</v>
      </c>
      <c r="EB34" t="s">
        <v>3</v>
      </c>
      <c r="EC34" t="s">
        <v>3</v>
      </c>
      <c r="EE34">
        <v>53151594</v>
      </c>
      <c r="EF34">
        <v>10</v>
      </c>
      <c r="EG34" t="s">
        <v>65</v>
      </c>
      <c r="EH34">
        <v>107</v>
      </c>
      <c r="EI34" t="s">
        <v>66</v>
      </c>
      <c r="EJ34">
        <v>1</v>
      </c>
      <c r="EK34">
        <v>700005</v>
      </c>
      <c r="EL34" t="s">
        <v>66</v>
      </c>
      <c r="EM34" t="s">
        <v>67</v>
      </c>
      <c r="EO34" t="s">
        <v>3</v>
      </c>
      <c r="EQ34">
        <v>1310720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FQ34">
        <v>0</v>
      </c>
      <c r="FR34">
        <f t="shared" si="25"/>
        <v>0</v>
      </c>
      <c r="FS34">
        <v>0</v>
      </c>
      <c r="FX34">
        <v>0</v>
      </c>
      <c r="FY34">
        <v>0</v>
      </c>
      <c r="GA34" t="s">
        <v>3</v>
      </c>
      <c r="GD34">
        <v>1</v>
      </c>
      <c r="GF34">
        <v>-292668168</v>
      </c>
      <c r="GG34">
        <v>2</v>
      </c>
      <c r="GH34">
        <v>1</v>
      </c>
      <c r="GI34">
        <v>4</v>
      </c>
      <c r="GJ34">
        <v>2</v>
      </c>
      <c r="GK34">
        <v>0</v>
      </c>
      <c r="GL34">
        <f t="shared" si="26"/>
        <v>0</v>
      </c>
      <c r="GM34">
        <f>ROUND(CP34*I34,2)</f>
        <v>147.32</v>
      </c>
      <c r="GN34">
        <f t="shared" si="27"/>
        <v>147.32</v>
      </c>
      <c r="GO34">
        <f t="shared" si="28"/>
        <v>0</v>
      </c>
      <c r="GP34">
        <f t="shared" si="29"/>
        <v>0</v>
      </c>
      <c r="GR34">
        <v>0</v>
      </c>
      <c r="GS34">
        <v>3</v>
      </c>
      <c r="GT34">
        <v>0</v>
      </c>
      <c r="GU34" t="s">
        <v>3</v>
      </c>
      <c r="GV34">
        <f>0</f>
        <v>0</v>
      </c>
      <c r="GW34">
        <v>1</v>
      </c>
      <c r="GX34">
        <f>0</f>
        <v>0</v>
      </c>
      <c r="HA34">
        <v>0</v>
      </c>
      <c r="HB34">
        <v>0</v>
      </c>
      <c r="HC34">
        <v>0</v>
      </c>
      <c r="HD34">
        <f>GM34</f>
        <v>147.32</v>
      </c>
      <c r="HE34" t="s">
        <v>3</v>
      </c>
      <c r="HF34" t="s">
        <v>3</v>
      </c>
      <c r="HM34" t="s">
        <v>3</v>
      </c>
      <c r="HN34" t="s">
        <v>3</v>
      </c>
      <c r="HO34" t="s">
        <v>3</v>
      </c>
      <c r="HP34" t="s">
        <v>3</v>
      </c>
      <c r="HQ34" t="s">
        <v>3</v>
      </c>
      <c r="IK34">
        <v>0</v>
      </c>
    </row>
    <row r="35" spans="1:245" x14ac:dyDescent="0.2">
      <c r="A35">
        <v>17</v>
      </c>
      <c r="B35">
        <v>1</v>
      </c>
      <c r="C35">
        <f>ROW(SmtRes!A23)</f>
        <v>23</v>
      </c>
      <c r="D35">
        <f>ROW(EtalonRes!A22)</f>
        <v>22</v>
      </c>
      <c r="E35" t="s">
        <v>68</v>
      </c>
      <c r="F35" t="s">
        <v>69</v>
      </c>
      <c r="G35" t="s">
        <v>70</v>
      </c>
      <c r="H35" t="s">
        <v>22</v>
      </c>
      <c r="I35">
        <f>ROUND(1.88/100,7)</f>
        <v>1.8800000000000001E-2</v>
      </c>
      <c r="J35">
        <v>0</v>
      </c>
      <c r="K35">
        <f>ROUND(1.88/100,7)</f>
        <v>1.8800000000000001E-2</v>
      </c>
      <c r="O35">
        <f t="shared" ref="O35:O62" si="30">ROUND(CP35,2)</f>
        <v>861.25</v>
      </c>
      <c r="P35">
        <f t="shared" ref="P35:P62" si="31">ROUND(CQ35*I35,2)</f>
        <v>214.94</v>
      </c>
      <c r="Q35">
        <f>(ROUND((ROUND((((ET35*ROUND(1.25,7)))*I35),2)*BB35),2)+ROUND((ROUND(((AE35-((EU35*ROUND(1.25,7))))*I35),2)*BS35),2))</f>
        <v>13.27</v>
      </c>
      <c r="R35">
        <f>(ROUND((ROUND((((EU35*ROUND(1.25,7)))*I35),2)*BS35),2)+ROUND((ROUND(((AE35-((EU35*ROUND(1.25,7))))*I35),2)*BS35),2))</f>
        <v>4.33</v>
      </c>
      <c r="S35">
        <f t="shared" ref="S35:S62" si="32">ROUND(CT35*I35,2)</f>
        <v>633.04</v>
      </c>
      <c r="T35">
        <f t="shared" ref="T35:T62" si="33">ROUND(CU35*I35,2)</f>
        <v>0</v>
      </c>
      <c r="U35">
        <f t="shared" ref="U35:U62" si="34">ROUND(CV35*I35,7)</f>
        <v>1.90256</v>
      </c>
      <c r="V35">
        <f t="shared" ref="V35:V62" si="35">ROUND(CW35*I35,7)</f>
        <v>1.034E-2</v>
      </c>
      <c r="W35">
        <f t="shared" ref="W35:W62" si="36">ROUND(CX35*I35,2)</f>
        <v>0</v>
      </c>
      <c r="X35">
        <f t="shared" ref="X35:X62" si="37">ROUND(CY35,2)</f>
        <v>585.11</v>
      </c>
      <c r="Y35">
        <f t="shared" ref="Y35:Y62" si="38">ROUND(CZ35,2)</f>
        <v>314.22000000000003</v>
      </c>
      <c r="AA35">
        <v>53360025</v>
      </c>
      <c r="AB35">
        <f t="shared" ref="AB35:AB62" si="39">ROUND((AC35+AD35+AF35),6)</f>
        <v>2205.5194999999999</v>
      </c>
      <c r="AC35">
        <f t="shared" ref="AC35:AC62" si="40">ROUND((ES35),6)</f>
        <v>1300.68</v>
      </c>
      <c r="AD35">
        <f>ROUND(((((ET35*ROUND(1.25,7)))-((EU35*ROUND(1.25,7))))+AE35),6)</f>
        <v>48.6875</v>
      </c>
      <c r="AE35">
        <f>ROUND(((EU35*ROUND(1.25,7))),6)</f>
        <v>6.0374999999999996</v>
      </c>
      <c r="AF35">
        <f>ROUND(((EV35*ROUND(1.15,7))),6)</f>
        <v>856.15200000000004</v>
      </c>
      <c r="AG35">
        <f t="shared" ref="AG35:AG62" si="41">ROUND((AP35),6)</f>
        <v>0</v>
      </c>
      <c r="AH35">
        <f>((EW35*ROUND(1.15,7)))</f>
        <v>101.19999999999999</v>
      </c>
      <c r="AI35">
        <f>((EX35*ROUND(1.25,7)))</f>
        <v>0.55000000000000004</v>
      </c>
      <c r="AJ35">
        <f t="shared" ref="AJ35:AJ62" si="42">(AS35)</f>
        <v>0</v>
      </c>
      <c r="AK35">
        <v>2084.11</v>
      </c>
      <c r="AL35">
        <v>1300.68</v>
      </c>
      <c r="AM35">
        <v>38.950000000000003</v>
      </c>
      <c r="AN35">
        <v>4.83</v>
      </c>
      <c r="AO35">
        <v>744.48</v>
      </c>
      <c r="AP35">
        <v>0</v>
      </c>
      <c r="AQ35">
        <v>88</v>
      </c>
      <c r="AR35">
        <v>0.44</v>
      </c>
      <c r="AS35">
        <v>0</v>
      </c>
      <c r="AT35">
        <v>91.8</v>
      </c>
      <c r="AU35">
        <v>49.3</v>
      </c>
      <c r="AV35">
        <v>1</v>
      </c>
      <c r="AW35">
        <v>1</v>
      </c>
      <c r="AZ35">
        <v>1</v>
      </c>
      <c r="BA35">
        <v>39.33</v>
      </c>
      <c r="BB35">
        <v>14.42</v>
      </c>
      <c r="BC35">
        <v>8.7899999999999991</v>
      </c>
      <c r="BD35" t="s">
        <v>3</v>
      </c>
      <c r="BE35" t="s">
        <v>3</v>
      </c>
      <c r="BF35" t="s">
        <v>3</v>
      </c>
      <c r="BG35" t="s">
        <v>3</v>
      </c>
      <c r="BH35">
        <v>0</v>
      </c>
      <c r="BI35">
        <v>1</v>
      </c>
      <c r="BJ35" t="s">
        <v>71</v>
      </c>
      <c r="BM35">
        <v>6001</v>
      </c>
      <c r="BN35">
        <v>0</v>
      </c>
      <c r="BO35" t="s">
        <v>457</v>
      </c>
      <c r="BP35">
        <v>1</v>
      </c>
      <c r="BQ35">
        <v>2</v>
      </c>
      <c r="BR35">
        <v>0</v>
      </c>
      <c r="BS35">
        <v>39.33</v>
      </c>
      <c r="BT35">
        <v>1</v>
      </c>
      <c r="BU35">
        <v>1</v>
      </c>
      <c r="BV35">
        <v>1</v>
      </c>
      <c r="BW35">
        <v>1</v>
      </c>
      <c r="BX35">
        <v>1</v>
      </c>
      <c r="BY35" t="s">
        <v>3</v>
      </c>
      <c r="BZ35">
        <v>102</v>
      </c>
      <c r="CA35">
        <v>58</v>
      </c>
      <c r="CB35" t="s">
        <v>3</v>
      </c>
      <c r="CE35">
        <v>12</v>
      </c>
      <c r="CF35">
        <v>0</v>
      </c>
      <c r="CG35">
        <v>0</v>
      </c>
      <c r="CM35">
        <v>0</v>
      </c>
      <c r="CN35" t="s">
        <v>459</v>
      </c>
      <c r="CO35">
        <v>0</v>
      </c>
      <c r="CP35">
        <f t="shared" ref="CP35:CP62" si="43">(P35+Q35+S35)</f>
        <v>861.25</v>
      </c>
      <c r="CQ35">
        <f t="shared" ref="CQ35:CQ62" si="44">AC35*BC35</f>
        <v>11432.977199999999</v>
      </c>
      <c r="CR35">
        <f>(ROUND((ROUND((((ET35*ROUND(1.25,7)))*1),2)*BB35),2)+ROUND((ROUND(((AE35-((EU35*ROUND(1.25,7))))*1),2)*BS35),2))</f>
        <v>702.11</v>
      </c>
      <c r="CS35">
        <f>(ROUND((ROUND((((EU35*ROUND(1.25,7)))*1),2)*BS35),2)+ROUND((ROUND(((AE35-((EU35*ROUND(1.25,7))))*1),2)*BS35),2))</f>
        <v>237.55</v>
      </c>
      <c r="CT35">
        <f t="shared" ref="CT35:CT62" si="45">AF35*BA35</f>
        <v>33672.458160000002</v>
      </c>
      <c r="CU35">
        <f t="shared" ref="CU35:CU62" si="46">AG35</f>
        <v>0</v>
      </c>
      <c r="CV35">
        <f t="shared" ref="CV35:CV62" si="47">AH35</f>
        <v>101.19999999999999</v>
      </c>
      <c r="CW35">
        <f t="shared" ref="CW35:CW62" si="48">AI35</f>
        <v>0.55000000000000004</v>
      </c>
      <c r="CX35">
        <f t="shared" ref="CX35:CX62" si="49">AJ35</f>
        <v>0</v>
      </c>
      <c r="CY35">
        <f t="shared" ref="CY35:CY62" si="50">(((S35+R35)*AT35)/100)</f>
        <v>585.10565999999994</v>
      </c>
      <c r="CZ35">
        <f t="shared" ref="CZ35:CZ62" si="51">(((S35+R35)*AU35)/100)</f>
        <v>314.22340999999994</v>
      </c>
      <c r="DB35">
        <v>1</v>
      </c>
      <c r="DC35" t="s">
        <v>3</v>
      </c>
      <c r="DD35" t="s">
        <v>3</v>
      </c>
      <c r="DE35" t="s">
        <v>72</v>
      </c>
      <c r="DF35" t="s">
        <v>72</v>
      </c>
      <c r="DG35" t="s">
        <v>73</v>
      </c>
      <c r="DH35" t="s">
        <v>3</v>
      </c>
      <c r="DI35" t="s">
        <v>73</v>
      </c>
      <c r="DJ35" t="s">
        <v>72</v>
      </c>
      <c r="DK35" t="s">
        <v>3</v>
      </c>
      <c r="DL35" t="s">
        <v>74</v>
      </c>
      <c r="DM35" t="s">
        <v>75</v>
      </c>
      <c r="DN35">
        <v>0</v>
      </c>
      <c r="DO35">
        <v>0</v>
      </c>
      <c r="DP35">
        <v>1</v>
      </c>
      <c r="DQ35">
        <v>1</v>
      </c>
      <c r="DU35">
        <v>1005</v>
      </c>
      <c r="DV35" t="s">
        <v>22</v>
      </c>
      <c r="DW35" t="s">
        <v>22</v>
      </c>
      <c r="DX35">
        <v>100</v>
      </c>
      <c r="DZ35" t="s">
        <v>3</v>
      </c>
      <c r="EA35" t="s">
        <v>3</v>
      </c>
      <c r="EB35" t="s">
        <v>3</v>
      </c>
      <c r="EC35" t="s">
        <v>3</v>
      </c>
      <c r="EE35">
        <v>53151275</v>
      </c>
      <c r="EF35">
        <v>2</v>
      </c>
      <c r="EG35" t="s">
        <v>76</v>
      </c>
      <c r="EH35">
        <v>6</v>
      </c>
      <c r="EI35" t="s">
        <v>77</v>
      </c>
      <c r="EJ35">
        <v>1</v>
      </c>
      <c r="EK35">
        <v>6001</v>
      </c>
      <c r="EL35" t="s">
        <v>77</v>
      </c>
      <c r="EM35" t="s">
        <v>78</v>
      </c>
      <c r="EO35" t="s">
        <v>79</v>
      </c>
      <c r="EQ35">
        <v>1311232</v>
      </c>
      <c r="ER35">
        <v>2084.11</v>
      </c>
      <c r="ES35">
        <v>1300.68</v>
      </c>
      <c r="ET35">
        <v>38.950000000000003</v>
      </c>
      <c r="EU35">
        <v>4.83</v>
      </c>
      <c r="EV35">
        <v>744.48</v>
      </c>
      <c r="EW35">
        <v>88</v>
      </c>
      <c r="EX35">
        <v>0.44</v>
      </c>
      <c r="EY35">
        <v>0</v>
      </c>
      <c r="FQ35">
        <v>0</v>
      </c>
      <c r="FR35">
        <f t="shared" si="25"/>
        <v>0</v>
      </c>
      <c r="FS35">
        <v>0</v>
      </c>
      <c r="FX35">
        <v>91.8</v>
      </c>
      <c r="FY35">
        <v>49.3</v>
      </c>
      <c r="GA35" t="s">
        <v>3</v>
      </c>
      <c r="GD35">
        <v>1</v>
      </c>
      <c r="GF35">
        <v>47938511</v>
      </c>
      <c r="GG35">
        <v>2</v>
      </c>
      <c r="GH35">
        <v>1</v>
      </c>
      <c r="GI35">
        <v>4</v>
      </c>
      <c r="GJ35">
        <v>0</v>
      </c>
      <c r="GK35">
        <v>0</v>
      </c>
      <c r="GL35">
        <f t="shared" si="26"/>
        <v>0</v>
      </c>
      <c r="GM35">
        <f t="shared" ref="GM35:GM62" si="52">ROUND(O35+X35+Y35,2)+GX35</f>
        <v>1760.58</v>
      </c>
      <c r="GN35">
        <f t="shared" si="27"/>
        <v>1760.58</v>
      </c>
      <c r="GO35">
        <f t="shared" si="28"/>
        <v>0</v>
      </c>
      <c r="GP35">
        <f t="shared" si="29"/>
        <v>0</v>
      </c>
      <c r="GR35">
        <v>0</v>
      </c>
      <c r="GS35">
        <v>3</v>
      </c>
      <c r="GT35">
        <v>0</v>
      </c>
      <c r="GU35" t="s">
        <v>3</v>
      </c>
      <c r="GV35">
        <f t="shared" ref="GV35:GV62" si="53">ROUND((GT35),6)</f>
        <v>0</v>
      </c>
      <c r="GW35">
        <v>1</v>
      </c>
      <c r="GX35">
        <f t="shared" ref="GX35:GX62" si="54">ROUND(HC35*I35,2)</f>
        <v>0</v>
      </c>
      <c r="HA35">
        <v>0</v>
      </c>
      <c r="HB35">
        <v>0</v>
      </c>
      <c r="HC35">
        <f t="shared" ref="HC35:HC62" si="55">GV35*GW35</f>
        <v>0</v>
      </c>
      <c r="HE35" t="s">
        <v>3</v>
      </c>
      <c r="HF35" t="s">
        <v>3</v>
      </c>
      <c r="HM35" t="s">
        <v>3</v>
      </c>
      <c r="HN35" t="s">
        <v>80</v>
      </c>
      <c r="HO35" t="s">
        <v>81</v>
      </c>
      <c r="HP35" t="s">
        <v>77</v>
      </c>
      <c r="HQ35" t="s">
        <v>77</v>
      </c>
      <c r="IK35">
        <v>0</v>
      </c>
    </row>
    <row r="36" spans="1:245" x14ac:dyDescent="0.2">
      <c r="A36">
        <v>17</v>
      </c>
      <c r="B36">
        <v>1</v>
      </c>
      <c r="C36">
        <f>ROW(SmtRes!A31)</f>
        <v>31</v>
      </c>
      <c r="D36">
        <f>ROW(EtalonRes!A30)</f>
        <v>30</v>
      </c>
      <c r="E36" t="s">
        <v>82</v>
      </c>
      <c r="F36" t="s">
        <v>83</v>
      </c>
      <c r="G36" t="s">
        <v>84</v>
      </c>
      <c r="H36" t="s">
        <v>45</v>
      </c>
      <c r="I36">
        <f>ROUND(0.25/100,7)</f>
        <v>2.5000000000000001E-3</v>
      </c>
      <c r="J36">
        <v>0</v>
      </c>
      <c r="K36">
        <f>ROUND(0.25/100,7)</f>
        <v>2.5000000000000001E-3</v>
      </c>
      <c r="O36">
        <f t="shared" si="30"/>
        <v>209.56</v>
      </c>
      <c r="P36">
        <f t="shared" si="31"/>
        <v>19.98</v>
      </c>
      <c r="Q36">
        <f>(ROUND((ROUND((((ET36*ROUND(1.25,7)))*I36),2)*BB36),2)+ROUND((ROUND(((AE36-((EU36*ROUND(1.25,7))))*I36),2)*BS36),2))</f>
        <v>70.510000000000005</v>
      </c>
      <c r="R36">
        <f>(ROUND((ROUND((((EU36*ROUND(1.25,7)))*I36),2)*BS36),2)+ROUND((ROUND(((AE36-((EU36*ROUND(1.25,7))))*I36),2)*BS36),2))</f>
        <v>29.89</v>
      </c>
      <c r="S36">
        <f t="shared" si="32"/>
        <v>119.07</v>
      </c>
      <c r="T36">
        <f t="shared" si="33"/>
        <v>0</v>
      </c>
      <c r="U36">
        <f t="shared" si="34"/>
        <v>0.388125</v>
      </c>
      <c r="V36">
        <f t="shared" si="35"/>
        <v>5.6625000000000002E-2</v>
      </c>
      <c r="W36">
        <f t="shared" si="36"/>
        <v>0</v>
      </c>
      <c r="X36">
        <f t="shared" si="37"/>
        <v>136.75</v>
      </c>
      <c r="Y36">
        <f t="shared" si="38"/>
        <v>73.44</v>
      </c>
      <c r="AA36">
        <v>53360025</v>
      </c>
      <c r="AB36">
        <f t="shared" si="39"/>
        <v>4077.7950000000001</v>
      </c>
      <c r="AC36">
        <f t="shared" si="40"/>
        <v>909.27</v>
      </c>
      <c r="AD36">
        <f>ROUND(((((ET36*ROUND(1.25,7)))-((EU36*ROUND(1.25,7))))+AE36),6)</f>
        <v>1957.575</v>
      </c>
      <c r="AE36">
        <f>ROUND(((EU36*ROUND(1.25,7))),6)</f>
        <v>305.48750000000001</v>
      </c>
      <c r="AF36">
        <f>ROUND(((EV36*ROUND(1.15,7))),6)</f>
        <v>1210.95</v>
      </c>
      <c r="AG36">
        <f t="shared" si="41"/>
        <v>0</v>
      </c>
      <c r="AH36">
        <f>((EW36*ROUND(1.15,7)))</f>
        <v>155.25</v>
      </c>
      <c r="AI36">
        <f>((EX36*ROUND(1.25,7)))</f>
        <v>22.650000000000002</v>
      </c>
      <c r="AJ36">
        <f t="shared" si="42"/>
        <v>0</v>
      </c>
      <c r="AK36">
        <v>3528.33</v>
      </c>
      <c r="AL36">
        <v>909.27</v>
      </c>
      <c r="AM36">
        <v>1566.06</v>
      </c>
      <c r="AN36">
        <v>244.39</v>
      </c>
      <c r="AO36">
        <v>1053</v>
      </c>
      <c r="AP36">
        <v>0</v>
      </c>
      <c r="AQ36">
        <v>135</v>
      </c>
      <c r="AR36">
        <v>18.12</v>
      </c>
      <c r="AS36">
        <v>0</v>
      </c>
      <c r="AT36">
        <v>91.8</v>
      </c>
      <c r="AU36">
        <v>49.3</v>
      </c>
      <c r="AV36">
        <v>1</v>
      </c>
      <c r="AW36">
        <v>1</v>
      </c>
      <c r="AZ36">
        <v>1</v>
      </c>
      <c r="BA36">
        <v>39.33</v>
      </c>
      <c r="BB36">
        <v>14.42</v>
      </c>
      <c r="BC36">
        <v>8.7899999999999991</v>
      </c>
      <c r="BD36" t="s">
        <v>3</v>
      </c>
      <c r="BE36" t="s">
        <v>3</v>
      </c>
      <c r="BF36" t="s">
        <v>3</v>
      </c>
      <c r="BG36" t="s">
        <v>3</v>
      </c>
      <c r="BH36">
        <v>0</v>
      </c>
      <c r="BI36">
        <v>1</v>
      </c>
      <c r="BJ36" t="s">
        <v>85</v>
      </c>
      <c r="BM36">
        <v>6001</v>
      </c>
      <c r="BN36">
        <v>0</v>
      </c>
      <c r="BO36" t="s">
        <v>457</v>
      </c>
      <c r="BP36">
        <v>1</v>
      </c>
      <c r="BQ36">
        <v>2</v>
      </c>
      <c r="BR36">
        <v>0</v>
      </c>
      <c r="BS36">
        <v>39.33</v>
      </c>
      <c r="BT36">
        <v>1</v>
      </c>
      <c r="BU36">
        <v>1</v>
      </c>
      <c r="BV36">
        <v>1</v>
      </c>
      <c r="BW36">
        <v>1</v>
      </c>
      <c r="BX36">
        <v>1</v>
      </c>
      <c r="BY36" t="s">
        <v>3</v>
      </c>
      <c r="BZ36">
        <v>102</v>
      </c>
      <c r="CA36">
        <v>58</v>
      </c>
      <c r="CB36" t="s">
        <v>3</v>
      </c>
      <c r="CE36">
        <v>12</v>
      </c>
      <c r="CF36">
        <v>0</v>
      </c>
      <c r="CG36">
        <v>0</v>
      </c>
      <c r="CM36">
        <v>0</v>
      </c>
      <c r="CN36" t="s">
        <v>459</v>
      </c>
      <c r="CO36">
        <v>0</v>
      </c>
      <c r="CP36">
        <f t="shared" si="43"/>
        <v>209.56</v>
      </c>
      <c r="CQ36">
        <f t="shared" si="44"/>
        <v>7992.483299999999</v>
      </c>
      <c r="CR36">
        <f>(ROUND((ROUND((((ET36*ROUND(1.25,7)))*1),2)*BB36),2)+ROUND((ROUND(((AE36-((EU36*ROUND(1.25,7))))*1),2)*BS36),2))</f>
        <v>28228.3</v>
      </c>
      <c r="CS36">
        <f>(ROUND((ROUND((((EU36*ROUND(1.25,7)))*1),2)*BS36),2)+ROUND((ROUND(((AE36-((EU36*ROUND(1.25,7))))*1),2)*BS36),2))</f>
        <v>12014.92</v>
      </c>
      <c r="CT36">
        <f t="shared" si="45"/>
        <v>47626.663500000002</v>
      </c>
      <c r="CU36">
        <f t="shared" si="46"/>
        <v>0</v>
      </c>
      <c r="CV36">
        <f t="shared" si="47"/>
        <v>155.25</v>
      </c>
      <c r="CW36">
        <f t="shared" si="48"/>
        <v>22.650000000000002</v>
      </c>
      <c r="CX36">
        <f t="shared" si="49"/>
        <v>0</v>
      </c>
      <c r="CY36">
        <f t="shared" si="50"/>
        <v>136.74527999999998</v>
      </c>
      <c r="CZ36">
        <f t="shared" si="51"/>
        <v>73.437279999999987</v>
      </c>
      <c r="DB36">
        <v>2</v>
      </c>
      <c r="DC36" t="s">
        <v>3</v>
      </c>
      <c r="DD36" t="s">
        <v>3</v>
      </c>
      <c r="DE36" t="s">
        <v>72</v>
      </c>
      <c r="DF36" t="s">
        <v>72</v>
      </c>
      <c r="DG36" t="s">
        <v>73</v>
      </c>
      <c r="DH36" t="s">
        <v>3</v>
      </c>
      <c r="DI36" t="s">
        <v>73</v>
      </c>
      <c r="DJ36" t="s">
        <v>72</v>
      </c>
      <c r="DK36" t="s">
        <v>3</v>
      </c>
      <c r="DL36" t="s">
        <v>74</v>
      </c>
      <c r="DM36" t="s">
        <v>75</v>
      </c>
      <c r="DN36">
        <v>0</v>
      </c>
      <c r="DO36">
        <v>0</v>
      </c>
      <c r="DP36">
        <v>1</v>
      </c>
      <c r="DQ36">
        <v>1</v>
      </c>
      <c r="DU36">
        <v>1007</v>
      </c>
      <c r="DV36" t="s">
        <v>45</v>
      </c>
      <c r="DW36" t="s">
        <v>45</v>
      </c>
      <c r="DX36">
        <v>100</v>
      </c>
      <c r="DZ36" t="s">
        <v>3</v>
      </c>
      <c r="EA36" t="s">
        <v>3</v>
      </c>
      <c r="EB36" t="s">
        <v>3</v>
      </c>
      <c r="EC36" t="s">
        <v>3</v>
      </c>
      <c r="EE36">
        <v>53151275</v>
      </c>
      <c r="EF36">
        <v>2</v>
      </c>
      <c r="EG36" t="s">
        <v>76</v>
      </c>
      <c r="EH36">
        <v>6</v>
      </c>
      <c r="EI36" t="s">
        <v>77</v>
      </c>
      <c r="EJ36">
        <v>1</v>
      </c>
      <c r="EK36">
        <v>6001</v>
      </c>
      <c r="EL36" t="s">
        <v>77</v>
      </c>
      <c r="EM36" t="s">
        <v>78</v>
      </c>
      <c r="EO36" t="s">
        <v>79</v>
      </c>
      <c r="EQ36">
        <v>1311232</v>
      </c>
      <c r="ER36">
        <v>3528.33</v>
      </c>
      <c r="ES36">
        <v>909.27</v>
      </c>
      <c r="ET36">
        <v>1566.06</v>
      </c>
      <c r="EU36">
        <v>244.39</v>
      </c>
      <c r="EV36">
        <v>1053</v>
      </c>
      <c r="EW36">
        <v>135</v>
      </c>
      <c r="EX36">
        <v>18.12</v>
      </c>
      <c r="EY36">
        <v>0</v>
      </c>
      <c r="FQ36">
        <v>0</v>
      </c>
      <c r="FR36">
        <f t="shared" si="25"/>
        <v>0</v>
      </c>
      <c r="FS36">
        <v>0</v>
      </c>
      <c r="FX36">
        <v>91.8</v>
      </c>
      <c r="FY36">
        <v>49.3</v>
      </c>
      <c r="GA36" t="s">
        <v>3</v>
      </c>
      <c r="GD36">
        <v>1</v>
      </c>
      <c r="GF36">
        <v>2073913559</v>
      </c>
      <c r="GG36">
        <v>2</v>
      </c>
      <c r="GH36">
        <v>1</v>
      </c>
      <c r="GI36">
        <v>4</v>
      </c>
      <c r="GJ36">
        <v>0</v>
      </c>
      <c r="GK36">
        <v>0</v>
      </c>
      <c r="GL36">
        <f t="shared" si="26"/>
        <v>0</v>
      </c>
      <c r="GM36">
        <f t="shared" si="52"/>
        <v>419.75</v>
      </c>
      <c r="GN36">
        <f t="shared" si="27"/>
        <v>419.75</v>
      </c>
      <c r="GO36">
        <f t="shared" si="28"/>
        <v>0</v>
      </c>
      <c r="GP36">
        <f t="shared" si="29"/>
        <v>0</v>
      </c>
      <c r="GR36">
        <v>0</v>
      </c>
      <c r="GS36">
        <v>3</v>
      </c>
      <c r="GT36">
        <v>0</v>
      </c>
      <c r="GU36" t="s">
        <v>3</v>
      </c>
      <c r="GV36">
        <f t="shared" si="53"/>
        <v>0</v>
      </c>
      <c r="GW36">
        <v>1</v>
      </c>
      <c r="GX36">
        <f t="shared" si="54"/>
        <v>0</v>
      </c>
      <c r="HA36">
        <v>0</v>
      </c>
      <c r="HB36">
        <v>0</v>
      </c>
      <c r="HC36">
        <f t="shared" si="55"/>
        <v>0</v>
      </c>
      <c r="HE36" t="s">
        <v>3</v>
      </c>
      <c r="HF36" t="s">
        <v>3</v>
      </c>
      <c r="HM36" t="s">
        <v>3</v>
      </c>
      <c r="HN36" t="s">
        <v>80</v>
      </c>
      <c r="HO36" t="s">
        <v>81</v>
      </c>
      <c r="HP36" t="s">
        <v>77</v>
      </c>
      <c r="HQ36" t="s">
        <v>77</v>
      </c>
      <c r="IK36">
        <v>0</v>
      </c>
    </row>
    <row r="37" spans="1:245" x14ac:dyDescent="0.2">
      <c r="A37">
        <v>18</v>
      </c>
      <c r="B37">
        <v>1</v>
      </c>
      <c r="C37">
        <v>31</v>
      </c>
      <c r="E37" t="s">
        <v>86</v>
      </c>
      <c r="F37" t="s">
        <v>87</v>
      </c>
      <c r="G37" t="s">
        <v>88</v>
      </c>
      <c r="H37" t="s">
        <v>89</v>
      </c>
      <c r="I37">
        <f>I36*J37</f>
        <v>0.255</v>
      </c>
      <c r="J37">
        <v>102</v>
      </c>
      <c r="K37">
        <v>102</v>
      </c>
      <c r="O37">
        <f t="shared" si="30"/>
        <v>1490.56</v>
      </c>
      <c r="P37">
        <f t="shared" si="31"/>
        <v>1490.56</v>
      </c>
      <c r="Q37">
        <f>(ROUND((ROUND(((ET37)*I37),2)*BB37),2)+ROUND((ROUND(((AE37-(EU37))*I37),2)*BS37),2))</f>
        <v>0</v>
      </c>
      <c r="R37">
        <f>(ROUND((ROUND(((EU37)*I37),2)*BS37),2)+ROUND((ROUND(((AE37-(EU37))*I37),2)*BS37),2))</f>
        <v>0</v>
      </c>
      <c r="S37">
        <f t="shared" si="32"/>
        <v>0</v>
      </c>
      <c r="T37">
        <f t="shared" si="33"/>
        <v>0</v>
      </c>
      <c r="U37">
        <f t="shared" si="34"/>
        <v>0</v>
      </c>
      <c r="V37">
        <f t="shared" si="35"/>
        <v>0</v>
      </c>
      <c r="W37">
        <f t="shared" si="36"/>
        <v>0</v>
      </c>
      <c r="X37">
        <f t="shared" si="37"/>
        <v>0</v>
      </c>
      <c r="Y37">
        <f t="shared" si="38"/>
        <v>0</v>
      </c>
      <c r="AA37">
        <v>53360025</v>
      </c>
      <c r="AB37">
        <f t="shared" si="39"/>
        <v>665</v>
      </c>
      <c r="AC37">
        <f t="shared" si="40"/>
        <v>665</v>
      </c>
      <c r="AD37">
        <f>ROUND((((ET37)-(EU37))+AE37),6)</f>
        <v>0</v>
      </c>
      <c r="AE37">
        <f>ROUND((EU37),6)</f>
        <v>0</v>
      </c>
      <c r="AF37">
        <f>ROUND((EV37),6)</f>
        <v>0</v>
      </c>
      <c r="AG37">
        <f t="shared" si="41"/>
        <v>0</v>
      </c>
      <c r="AH37">
        <f>(EW37)</f>
        <v>0</v>
      </c>
      <c r="AI37">
        <f>(EX37)</f>
        <v>0</v>
      </c>
      <c r="AJ37">
        <f t="shared" si="42"/>
        <v>0</v>
      </c>
      <c r="AK37">
        <v>665</v>
      </c>
      <c r="AL37">
        <v>665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102</v>
      </c>
      <c r="AU37">
        <v>58</v>
      </c>
      <c r="AV37">
        <v>1</v>
      </c>
      <c r="AW37">
        <v>1</v>
      </c>
      <c r="AZ37">
        <v>1</v>
      </c>
      <c r="BA37">
        <v>1</v>
      </c>
      <c r="BB37">
        <v>1</v>
      </c>
      <c r="BC37">
        <v>8.7899999999999991</v>
      </c>
      <c r="BD37" t="s">
        <v>3</v>
      </c>
      <c r="BE37" t="s">
        <v>3</v>
      </c>
      <c r="BF37" t="s">
        <v>3</v>
      </c>
      <c r="BG37" t="s">
        <v>3</v>
      </c>
      <c r="BH37">
        <v>3</v>
      </c>
      <c r="BI37">
        <v>1</v>
      </c>
      <c r="BJ37" t="s">
        <v>90</v>
      </c>
      <c r="BM37">
        <v>6001</v>
      </c>
      <c r="BN37">
        <v>0</v>
      </c>
      <c r="BO37" t="s">
        <v>33</v>
      </c>
      <c r="BP37">
        <v>1</v>
      </c>
      <c r="BQ37">
        <v>2</v>
      </c>
      <c r="BR37">
        <v>0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 t="s">
        <v>3</v>
      </c>
      <c r="BZ37">
        <v>102</v>
      </c>
      <c r="CA37">
        <v>58</v>
      </c>
      <c r="CB37" t="s">
        <v>3</v>
      </c>
      <c r="CE37">
        <v>12</v>
      </c>
      <c r="CF37">
        <v>0</v>
      </c>
      <c r="CG37">
        <v>0</v>
      </c>
      <c r="CM37">
        <v>0</v>
      </c>
      <c r="CN37" t="s">
        <v>3</v>
      </c>
      <c r="CO37">
        <v>0</v>
      </c>
      <c r="CP37">
        <f t="shared" si="43"/>
        <v>1490.56</v>
      </c>
      <c r="CQ37">
        <f t="shared" si="44"/>
        <v>5845.3499999999995</v>
      </c>
      <c r="CR37">
        <f>(ROUND((ROUND(((ET37)*1),2)*BB37),2)+ROUND((ROUND(((AE37-(EU37))*1),2)*BS37),2))</f>
        <v>0</v>
      </c>
      <c r="CS37">
        <f>(ROUND((ROUND(((EU37)*1),2)*BS37),2)+ROUND((ROUND(((AE37-(EU37))*1),2)*BS37),2))</f>
        <v>0</v>
      </c>
      <c r="CT37">
        <f t="shared" si="45"/>
        <v>0</v>
      </c>
      <c r="CU37">
        <f t="shared" si="46"/>
        <v>0</v>
      </c>
      <c r="CV37">
        <f t="shared" si="47"/>
        <v>0</v>
      </c>
      <c r="CW37">
        <f t="shared" si="48"/>
        <v>0</v>
      </c>
      <c r="CX37">
        <f t="shared" si="49"/>
        <v>0</v>
      </c>
      <c r="CY37">
        <f t="shared" si="50"/>
        <v>0</v>
      </c>
      <c r="CZ37">
        <f t="shared" si="51"/>
        <v>0</v>
      </c>
      <c r="DC37" t="s">
        <v>3</v>
      </c>
      <c r="DD37" t="s">
        <v>3</v>
      </c>
      <c r="DE37" t="s">
        <v>3</v>
      </c>
      <c r="DF37" t="s">
        <v>3</v>
      </c>
      <c r="DG37" t="s">
        <v>3</v>
      </c>
      <c r="DH37" t="s">
        <v>3</v>
      </c>
      <c r="DI37" t="s">
        <v>3</v>
      </c>
      <c r="DJ37" t="s">
        <v>3</v>
      </c>
      <c r="DK37" t="s">
        <v>3</v>
      </c>
      <c r="DL37" t="s">
        <v>3</v>
      </c>
      <c r="DM37" t="s">
        <v>3</v>
      </c>
      <c r="DN37">
        <v>0</v>
      </c>
      <c r="DO37">
        <v>0</v>
      </c>
      <c r="DP37">
        <v>1</v>
      </c>
      <c r="DQ37">
        <v>1</v>
      </c>
      <c r="DU37">
        <v>1007</v>
      </c>
      <c r="DV37" t="s">
        <v>89</v>
      </c>
      <c r="DW37" t="s">
        <v>89</v>
      </c>
      <c r="DX37">
        <v>1</v>
      </c>
      <c r="DZ37" t="s">
        <v>3</v>
      </c>
      <c r="EA37" t="s">
        <v>3</v>
      </c>
      <c r="EB37" t="s">
        <v>3</v>
      </c>
      <c r="EC37" t="s">
        <v>3</v>
      </c>
      <c r="EE37">
        <v>53151275</v>
      </c>
      <c r="EF37">
        <v>2</v>
      </c>
      <c r="EG37" t="s">
        <v>76</v>
      </c>
      <c r="EH37">
        <v>6</v>
      </c>
      <c r="EI37" t="s">
        <v>77</v>
      </c>
      <c r="EJ37">
        <v>1</v>
      </c>
      <c r="EK37">
        <v>6001</v>
      </c>
      <c r="EL37" t="s">
        <v>77</v>
      </c>
      <c r="EM37" t="s">
        <v>78</v>
      </c>
      <c r="EO37" t="s">
        <v>3</v>
      </c>
      <c r="EQ37">
        <v>0</v>
      </c>
      <c r="ER37">
        <v>665</v>
      </c>
      <c r="ES37">
        <v>665</v>
      </c>
      <c r="ET37">
        <v>0</v>
      </c>
      <c r="EU37">
        <v>0</v>
      </c>
      <c r="EV37">
        <v>0</v>
      </c>
      <c r="EW37">
        <v>0</v>
      </c>
      <c r="EX37">
        <v>0</v>
      </c>
      <c r="FQ37">
        <v>0</v>
      </c>
      <c r="FR37">
        <f t="shared" si="25"/>
        <v>0</v>
      </c>
      <c r="FS37">
        <v>0</v>
      </c>
      <c r="FX37">
        <v>102</v>
      </c>
      <c r="FY37">
        <v>58</v>
      </c>
      <c r="GA37" t="s">
        <v>3</v>
      </c>
      <c r="GD37">
        <v>1</v>
      </c>
      <c r="GF37">
        <v>-1590786868</v>
      </c>
      <c r="GG37">
        <v>2</v>
      </c>
      <c r="GH37">
        <v>1</v>
      </c>
      <c r="GI37">
        <v>4</v>
      </c>
      <c r="GJ37">
        <v>0</v>
      </c>
      <c r="GK37">
        <v>0</v>
      </c>
      <c r="GL37">
        <f t="shared" si="26"/>
        <v>0</v>
      </c>
      <c r="GM37">
        <f t="shared" si="52"/>
        <v>1490.56</v>
      </c>
      <c r="GN37">
        <f t="shared" si="27"/>
        <v>1490.56</v>
      </c>
      <c r="GO37">
        <f t="shared" si="28"/>
        <v>0</v>
      </c>
      <c r="GP37">
        <f t="shared" si="29"/>
        <v>0</v>
      </c>
      <c r="GR37">
        <v>0</v>
      </c>
      <c r="GS37">
        <v>3</v>
      </c>
      <c r="GT37">
        <v>0</v>
      </c>
      <c r="GU37" t="s">
        <v>3</v>
      </c>
      <c r="GV37">
        <f t="shared" si="53"/>
        <v>0</v>
      </c>
      <c r="GW37">
        <v>1</v>
      </c>
      <c r="GX37">
        <f t="shared" si="54"/>
        <v>0</v>
      </c>
      <c r="HA37">
        <v>0</v>
      </c>
      <c r="HB37">
        <v>0</v>
      </c>
      <c r="HC37">
        <f t="shared" si="55"/>
        <v>0</v>
      </c>
      <c r="HE37" t="s">
        <v>3</v>
      </c>
      <c r="HF37" t="s">
        <v>3</v>
      </c>
      <c r="HM37" t="s">
        <v>3</v>
      </c>
      <c r="HN37" t="s">
        <v>80</v>
      </c>
      <c r="HO37" t="s">
        <v>81</v>
      </c>
      <c r="HP37" t="s">
        <v>77</v>
      </c>
      <c r="HQ37" t="s">
        <v>77</v>
      </c>
      <c r="IK37">
        <v>0</v>
      </c>
    </row>
    <row r="38" spans="1:245" x14ac:dyDescent="0.2">
      <c r="A38">
        <v>17</v>
      </c>
      <c r="B38">
        <v>1</v>
      </c>
      <c r="C38">
        <f>ROW(SmtRes!A42)</f>
        <v>42</v>
      </c>
      <c r="D38">
        <f>ROW(EtalonRes!A39)</f>
        <v>39</v>
      </c>
      <c r="E38" t="s">
        <v>91</v>
      </c>
      <c r="F38" t="s">
        <v>92</v>
      </c>
      <c r="G38" t="s">
        <v>93</v>
      </c>
      <c r="H38" t="s">
        <v>22</v>
      </c>
      <c r="I38">
        <f>ROUND(4.92/100,7)</f>
        <v>4.9200000000000001E-2</v>
      </c>
      <c r="J38">
        <v>0</v>
      </c>
      <c r="K38">
        <f>ROUND(4.92/100,7)</f>
        <v>4.9200000000000001E-2</v>
      </c>
      <c r="O38">
        <f t="shared" si="30"/>
        <v>5548.85</v>
      </c>
      <c r="P38">
        <f t="shared" si="31"/>
        <v>3378.38</v>
      </c>
      <c r="Q38">
        <f>(ROUND((ROUND((((ET38*ROUND(1.25,7)))*I38),2)*BB38),2)+ROUND((ROUND(((AE38-((EU38*ROUND(1.25,7))))*I38),2)*BS38),2))</f>
        <v>108.87</v>
      </c>
      <c r="R38">
        <f>(ROUND((ROUND((((EU38*ROUND(1.25,7)))*I38),2)*BS38),2)+ROUND((ROUND(((AE38-((EU38*ROUND(1.25,7))))*I38),2)*BS38),2))</f>
        <v>91.64</v>
      </c>
      <c r="S38">
        <f t="shared" si="32"/>
        <v>2061.6</v>
      </c>
      <c r="T38">
        <f t="shared" si="33"/>
        <v>0</v>
      </c>
      <c r="U38">
        <f t="shared" si="34"/>
        <v>5.9974800000000004</v>
      </c>
      <c r="V38">
        <f t="shared" si="35"/>
        <v>0.18081</v>
      </c>
      <c r="W38">
        <f t="shared" si="36"/>
        <v>0</v>
      </c>
      <c r="X38">
        <f t="shared" si="37"/>
        <v>2170.4699999999998</v>
      </c>
      <c r="Y38">
        <f t="shared" si="38"/>
        <v>1189.67</v>
      </c>
      <c r="AA38">
        <v>53360025</v>
      </c>
      <c r="AB38">
        <f t="shared" si="39"/>
        <v>9030.6309999999994</v>
      </c>
      <c r="AC38">
        <f t="shared" si="40"/>
        <v>7811.85</v>
      </c>
      <c r="AD38">
        <f>ROUND(((((ET38*ROUND(1.25,7)))-((EU38*ROUND(1.25,7))))+AE38),6)</f>
        <v>153.375</v>
      </c>
      <c r="AE38">
        <f>ROUND(((EU38*ROUND(1.25,7))),6)</f>
        <v>47.4</v>
      </c>
      <c r="AF38">
        <f>ROUND(((EV38*ROUND(1.15,7))),6)</f>
        <v>1065.4059999999999</v>
      </c>
      <c r="AG38">
        <f t="shared" si="41"/>
        <v>0</v>
      </c>
      <c r="AH38">
        <f>((EW38*ROUND(1.15,7)))</f>
        <v>121.89999999999999</v>
      </c>
      <c r="AI38">
        <f>((EX38*ROUND(1.25,7)))</f>
        <v>3.6749999999999998</v>
      </c>
      <c r="AJ38">
        <f t="shared" si="42"/>
        <v>0</v>
      </c>
      <c r="AK38">
        <v>8860.99</v>
      </c>
      <c r="AL38">
        <v>7811.85</v>
      </c>
      <c r="AM38">
        <v>122.7</v>
      </c>
      <c r="AN38">
        <v>37.92</v>
      </c>
      <c r="AO38">
        <v>926.44</v>
      </c>
      <c r="AP38">
        <v>0</v>
      </c>
      <c r="AQ38">
        <v>106</v>
      </c>
      <c r="AR38">
        <v>2.94</v>
      </c>
      <c r="AS38">
        <v>0</v>
      </c>
      <c r="AT38">
        <v>100.8</v>
      </c>
      <c r="AU38">
        <v>55.25</v>
      </c>
      <c r="AV38">
        <v>1</v>
      </c>
      <c r="AW38">
        <v>1</v>
      </c>
      <c r="AZ38">
        <v>1</v>
      </c>
      <c r="BA38">
        <v>39.33</v>
      </c>
      <c r="BB38">
        <v>14.42</v>
      </c>
      <c r="BC38">
        <v>8.7899999999999991</v>
      </c>
      <c r="BD38" t="s">
        <v>3</v>
      </c>
      <c r="BE38" t="s">
        <v>3</v>
      </c>
      <c r="BF38" t="s">
        <v>3</v>
      </c>
      <c r="BG38" t="s">
        <v>3</v>
      </c>
      <c r="BH38">
        <v>0</v>
      </c>
      <c r="BI38">
        <v>1</v>
      </c>
      <c r="BJ38" t="s">
        <v>94</v>
      </c>
      <c r="BM38">
        <v>11001</v>
      </c>
      <c r="BN38">
        <v>0</v>
      </c>
      <c r="BO38" t="s">
        <v>457</v>
      </c>
      <c r="BP38">
        <v>1</v>
      </c>
      <c r="BQ38">
        <v>2</v>
      </c>
      <c r="BR38">
        <v>0</v>
      </c>
      <c r="BS38">
        <v>39.33</v>
      </c>
      <c r="BT38">
        <v>1</v>
      </c>
      <c r="BU38">
        <v>1</v>
      </c>
      <c r="BV38">
        <v>1</v>
      </c>
      <c r="BW38">
        <v>1</v>
      </c>
      <c r="BX38">
        <v>1</v>
      </c>
      <c r="BY38" t="s">
        <v>3</v>
      </c>
      <c r="BZ38">
        <v>112</v>
      </c>
      <c r="CA38">
        <v>65</v>
      </c>
      <c r="CB38" t="s">
        <v>3</v>
      </c>
      <c r="CE38">
        <v>12</v>
      </c>
      <c r="CF38">
        <v>0</v>
      </c>
      <c r="CG38">
        <v>0</v>
      </c>
      <c r="CM38">
        <v>0</v>
      </c>
      <c r="CN38" t="s">
        <v>459</v>
      </c>
      <c r="CO38">
        <v>0</v>
      </c>
      <c r="CP38">
        <f t="shared" si="43"/>
        <v>5548.85</v>
      </c>
      <c r="CQ38">
        <f t="shared" si="44"/>
        <v>68666.161500000002</v>
      </c>
      <c r="CR38">
        <f>(ROUND((ROUND((((ET38*ROUND(1.25,7)))*1),2)*BB38),2)+ROUND((ROUND(((AE38-((EU38*ROUND(1.25,7))))*1),2)*BS38),2))</f>
        <v>2211.7399999999998</v>
      </c>
      <c r="CS38">
        <f>(ROUND((ROUND((((EU38*ROUND(1.25,7)))*1),2)*BS38),2)+ROUND((ROUND(((AE38-((EU38*ROUND(1.25,7))))*1),2)*BS38),2))</f>
        <v>1864.24</v>
      </c>
      <c r="CT38">
        <f t="shared" si="45"/>
        <v>41902.417979999998</v>
      </c>
      <c r="CU38">
        <f t="shared" si="46"/>
        <v>0</v>
      </c>
      <c r="CV38">
        <f t="shared" si="47"/>
        <v>121.89999999999999</v>
      </c>
      <c r="CW38">
        <f t="shared" si="48"/>
        <v>3.6749999999999998</v>
      </c>
      <c r="CX38">
        <f t="shared" si="49"/>
        <v>0</v>
      </c>
      <c r="CY38">
        <f t="shared" si="50"/>
        <v>2170.4659199999996</v>
      </c>
      <c r="CZ38">
        <f t="shared" si="51"/>
        <v>1189.6650999999999</v>
      </c>
      <c r="DB38">
        <v>3</v>
      </c>
      <c r="DC38" t="s">
        <v>3</v>
      </c>
      <c r="DD38" t="s">
        <v>3</v>
      </c>
      <c r="DE38" t="s">
        <v>72</v>
      </c>
      <c r="DF38" t="s">
        <v>72</v>
      </c>
      <c r="DG38" t="s">
        <v>73</v>
      </c>
      <c r="DH38" t="s">
        <v>3</v>
      </c>
      <c r="DI38" t="s">
        <v>73</v>
      </c>
      <c r="DJ38" t="s">
        <v>72</v>
      </c>
      <c r="DK38" t="s">
        <v>3</v>
      </c>
      <c r="DL38" t="s">
        <v>74</v>
      </c>
      <c r="DM38" t="s">
        <v>75</v>
      </c>
      <c r="DN38">
        <v>0</v>
      </c>
      <c r="DO38">
        <v>0</v>
      </c>
      <c r="DP38">
        <v>1</v>
      </c>
      <c r="DQ38">
        <v>1</v>
      </c>
      <c r="DU38">
        <v>1005</v>
      </c>
      <c r="DV38" t="s">
        <v>22</v>
      </c>
      <c r="DW38" t="s">
        <v>22</v>
      </c>
      <c r="DX38">
        <v>100</v>
      </c>
      <c r="DZ38" t="s">
        <v>3</v>
      </c>
      <c r="EA38" t="s">
        <v>3</v>
      </c>
      <c r="EB38" t="s">
        <v>3</v>
      </c>
      <c r="EC38" t="s">
        <v>3</v>
      </c>
      <c r="EE38">
        <v>53151326</v>
      </c>
      <c r="EF38">
        <v>2</v>
      </c>
      <c r="EG38" t="s">
        <v>76</v>
      </c>
      <c r="EH38">
        <v>11</v>
      </c>
      <c r="EI38" t="s">
        <v>25</v>
      </c>
      <c r="EJ38">
        <v>1</v>
      </c>
      <c r="EK38">
        <v>11001</v>
      </c>
      <c r="EL38" t="s">
        <v>25</v>
      </c>
      <c r="EM38" t="s">
        <v>95</v>
      </c>
      <c r="EO38" t="s">
        <v>79</v>
      </c>
      <c r="EQ38">
        <v>1311232</v>
      </c>
      <c r="ER38">
        <v>8860.99</v>
      </c>
      <c r="ES38">
        <v>7811.85</v>
      </c>
      <c r="ET38">
        <v>122.7</v>
      </c>
      <c r="EU38">
        <v>37.92</v>
      </c>
      <c r="EV38">
        <v>926.44</v>
      </c>
      <c r="EW38">
        <v>106</v>
      </c>
      <c r="EX38">
        <v>2.94</v>
      </c>
      <c r="EY38">
        <v>0</v>
      </c>
      <c r="FQ38">
        <v>0</v>
      </c>
      <c r="FR38">
        <f t="shared" si="25"/>
        <v>0</v>
      </c>
      <c r="FS38">
        <v>0</v>
      </c>
      <c r="FX38">
        <v>100.8</v>
      </c>
      <c r="FY38">
        <v>55.25</v>
      </c>
      <c r="GA38" t="s">
        <v>3</v>
      </c>
      <c r="GD38">
        <v>1</v>
      </c>
      <c r="GF38">
        <v>818160250</v>
      </c>
      <c r="GG38">
        <v>2</v>
      </c>
      <c r="GH38">
        <v>1</v>
      </c>
      <c r="GI38">
        <v>4</v>
      </c>
      <c r="GJ38">
        <v>0</v>
      </c>
      <c r="GK38">
        <v>0</v>
      </c>
      <c r="GL38">
        <f t="shared" si="26"/>
        <v>0</v>
      </c>
      <c r="GM38">
        <f t="shared" si="52"/>
        <v>8908.99</v>
      </c>
      <c r="GN38">
        <f t="shared" si="27"/>
        <v>8908.99</v>
      </c>
      <c r="GO38">
        <f t="shared" si="28"/>
        <v>0</v>
      </c>
      <c r="GP38">
        <f t="shared" si="29"/>
        <v>0</v>
      </c>
      <c r="GR38">
        <v>0</v>
      </c>
      <c r="GS38">
        <v>3</v>
      </c>
      <c r="GT38">
        <v>0</v>
      </c>
      <c r="GU38" t="s">
        <v>3</v>
      </c>
      <c r="GV38">
        <f t="shared" si="53"/>
        <v>0</v>
      </c>
      <c r="GW38">
        <v>1</v>
      </c>
      <c r="GX38">
        <f t="shared" si="54"/>
        <v>0</v>
      </c>
      <c r="HA38">
        <v>0</v>
      </c>
      <c r="HB38">
        <v>0</v>
      </c>
      <c r="HC38">
        <f t="shared" si="55"/>
        <v>0</v>
      </c>
      <c r="HE38" t="s">
        <v>3</v>
      </c>
      <c r="HF38" t="s">
        <v>3</v>
      </c>
      <c r="HM38" t="s">
        <v>3</v>
      </c>
      <c r="HN38" t="s">
        <v>96</v>
      </c>
      <c r="HO38" t="s">
        <v>97</v>
      </c>
      <c r="HP38" t="s">
        <v>25</v>
      </c>
      <c r="HQ38" t="s">
        <v>25</v>
      </c>
      <c r="IK38">
        <v>0</v>
      </c>
    </row>
    <row r="39" spans="1:245" x14ac:dyDescent="0.2">
      <c r="A39">
        <v>18</v>
      </c>
      <c r="B39">
        <v>1</v>
      </c>
      <c r="C39">
        <v>40</v>
      </c>
      <c r="E39" t="s">
        <v>98</v>
      </c>
      <c r="F39" t="s">
        <v>99</v>
      </c>
      <c r="G39" t="s">
        <v>100</v>
      </c>
      <c r="H39" t="s">
        <v>101</v>
      </c>
      <c r="I39">
        <f>I38*J39</f>
        <v>-5.0183999999999997</v>
      </c>
      <c r="J39">
        <v>-102</v>
      </c>
      <c r="K39">
        <v>-102</v>
      </c>
      <c r="O39">
        <f t="shared" si="30"/>
        <v>-2990.78</v>
      </c>
      <c r="P39">
        <f t="shared" si="31"/>
        <v>-2990.78</v>
      </c>
      <c r="Q39">
        <f>(ROUND((ROUND(((ET39)*I39),2)*BB39),2)+ROUND((ROUND(((AE39-(EU39))*I39),2)*BS39),2))</f>
        <v>0</v>
      </c>
      <c r="R39">
        <f>(ROUND((ROUND(((EU39)*I39),2)*BS39),2)+ROUND((ROUND(((AE39-(EU39))*I39),2)*BS39),2))</f>
        <v>0</v>
      </c>
      <c r="S39">
        <f t="shared" si="32"/>
        <v>0</v>
      </c>
      <c r="T39">
        <f t="shared" si="33"/>
        <v>0</v>
      </c>
      <c r="U39">
        <f t="shared" si="34"/>
        <v>0</v>
      </c>
      <c r="V39">
        <f t="shared" si="35"/>
        <v>0</v>
      </c>
      <c r="W39">
        <f t="shared" si="36"/>
        <v>0</v>
      </c>
      <c r="X39">
        <f t="shared" si="37"/>
        <v>0</v>
      </c>
      <c r="Y39">
        <f t="shared" si="38"/>
        <v>0</v>
      </c>
      <c r="AA39">
        <v>53360025</v>
      </c>
      <c r="AB39">
        <f t="shared" si="39"/>
        <v>67.8</v>
      </c>
      <c r="AC39">
        <f t="shared" si="40"/>
        <v>67.8</v>
      </c>
      <c r="AD39">
        <f>ROUND((((ET39)-(EU39))+AE39),6)</f>
        <v>0</v>
      </c>
      <c r="AE39">
        <f t="shared" ref="AE39:AF42" si="56">ROUND((EU39),6)</f>
        <v>0</v>
      </c>
      <c r="AF39">
        <f t="shared" si="56"/>
        <v>0</v>
      </c>
      <c r="AG39">
        <f t="shared" si="41"/>
        <v>0</v>
      </c>
      <c r="AH39">
        <f t="shared" ref="AH39:AI42" si="57">(EW39)</f>
        <v>0</v>
      </c>
      <c r="AI39">
        <f t="shared" si="57"/>
        <v>0</v>
      </c>
      <c r="AJ39">
        <f t="shared" si="42"/>
        <v>0</v>
      </c>
      <c r="AK39">
        <v>67.8</v>
      </c>
      <c r="AL39">
        <v>67.8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112</v>
      </c>
      <c r="AU39">
        <v>65</v>
      </c>
      <c r="AV39">
        <v>1</v>
      </c>
      <c r="AW39">
        <v>1</v>
      </c>
      <c r="AZ39">
        <v>1</v>
      </c>
      <c r="BA39">
        <v>1</v>
      </c>
      <c r="BB39">
        <v>1</v>
      </c>
      <c r="BC39">
        <v>8.7899999999999991</v>
      </c>
      <c r="BD39" t="s">
        <v>3</v>
      </c>
      <c r="BE39" t="s">
        <v>3</v>
      </c>
      <c r="BF39" t="s">
        <v>3</v>
      </c>
      <c r="BG39" t="s">
        <v>3</v>
      </c>
      <c r="BH39">
        <v>3</v>
      </c>
      <c r="BI39">
        <v>1</v>
      </c>
      <c r="BJ39" t="s">
        <v>102</v>
      </c>
      <c r="BM39">
        <v>11001</v>
      </c>
      <c r="BN39">
        <v>0</v>
      </c>
      <c r="BO39" t="s">
        <v>33</v>
      </c>
      <c r="BP39">
        <v>1</v>
      </c>
      <c r="BQ39">
        <v>2</v>
      </c>
      <c r="BR39">
        <v>1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 t="s">
        <v>3</v>
      </c>
      <c r="BZ39">
        <v>112</v>
      </c>
      <c r="CA39">
        <v>65</v>
      </c>
      <c r="CB39" t="s">
        <v>3</v>
      </c>
      <c r="CE39">
        <v>12</v>
      </c>
      <c r="CF39">
        <v>0</v>
      </c>
      <c r="CG39">
        <v>0</v>
      </c>
      <c r="CM39">
        <v>0</v>
      </c>
      <c r="CN39" t="s">
        <v>3</v>
      </c>
      <c r="CO39">
        <v>0</v>
      </c>
      <c r="CP39">
        <f t="shared" si="43"/>
        <v>-2990.78</v>
      </c>
      <c r="CQ39">
        <f t="shared" si="44"/>
        <v>595.96199999999988</v>
      </c>
      <c r="CR39">
        <f>(ROUND((ROUND(((ET39)*1),2)*BB39),2)+ROUND((ROUND(((AE39-(EU39))*1),2)*BS39),2))</f>
        <v>0</v>
      </c>
      <c r="CS39">
        <f>(ROUND((ROUND(((EU39)*1),2)*BS39),2)+ROUND((ROUND(((AE39-(EU39))*1),2)*BS39),2))</f>
        <v>0</v>
      </c>
      <c r="CT39">
        <f t="shared" si="45"/>
        <v>0</v>
      </c>
      <c r="CU39">
        <f t="shared" si="46"/>
        <v>0</v>
      </c>
      <c r="CV39">
        <f t="shared" si="47"/>
        <v>0</v>
      </c>
      <c r="CW39">
        <f t="shared" si="48"/>
        <v>0</v>
      </c>
      <c r="CX39">
        <f t="shared" si="49"/>
        <v>0</v>
      </c>
      <c r="CY39">
        <f t="shared" si="50"/>
        <v>0</v>
      </c>
      <c r="CZ39">
        <f t="shared" si="51"/>
        <v>0</v>
      </c>
      <c r="DC39" t="s">
        <v>3</v>
      </c>
      <c r="DD39" t="s">
        <v>3</v>
      </c>
      <c r="DE39" t="s">
        <v>3</v>
      </c>
      <c r="DF39" t="s">
        <v>3</v>
      </c>
      <c r="DG39" t="s">
        <v>3</v>
      </c>
      <c r="DH39" t="s">
        <v>3</v>
      </c>
      <c r="DI39" t="s">
        <v>3</v>
      </c>
      <c r="DJ39" t="s">
        <v>3</v>
      </c>
      <c r="DK39" t="s">
        <v>3</v>
      </c>
      <c r="DL39" t="s">
        <v>3</v>
      </c>
      <c r="DM39" t="s">
        <v>3</v>
      </c>
      <c r="DN39">
        <v>0</v>
      </c>
      <c r="DO39">
        <v>0</v>
      </c>
      <c r="DP39">
        <v>1</v>
      </c>
      <c r="DQ39">
        <v>1</v>
      </c>
      <c r="DU39">
        <v>1005</v>
      </c>
      <c r="DV39" t="s">
        <v>101</v>
      </c>
      <c r="DW39" t="s">
        <v>101</v>
      </c>
      <c r="DX39">
        <v>1</v>
      </c>
      <c r="DZ39" t="s">
        <v>3</v>
      </c>
      <c r="EA39" t="s">
        <v>3</v>
      </c>
      <c r="EB39" t="s">
        <v>3</v>
      </c>
      <c r="EC39" t="s">
        <v>3</v>
      </c>
      <c r="EE39">
        <v>53151326</v>
      </c>
      <c r="EF39">
        <v>2</v>
      </c>
      <c r="EG39" t="s">
        <v>76</v>
      </c>
      <c r="EH39">
        <v>11</v>
      </c>
      <c r="EI39" t="s">
        <v>25</v>
      </c>
      <c r="EJ39">
        <v>1</v>
      </c>
      <c r="EK39">
        <v>11001</v>
      </c>
      <c r="EL39" t="s">
        <v>25</v>
      </c>
      <c r="EM39" t="s">
        <v>95</v>
      </c>
      <c r="EO39" t="s">
        <v>3</v>
      </c>
      <c r="EQ39">
        <v>33280</v>
      </c>
      <c r="ER39">
        <v>67.8</v>
      </c>
      <c r="ES39">
        <v>67.8</v>
      </c>
      <c r="ET39">
        <v>0</v>
      </c>
      <c r="EU39">
        <v>0</v>
      </c>
      <c r="EV39">
        <v>0</v>
      </c>
      <c r="EW39">
        <v>0</v>
      </c>
      <c r="EX39">
        <v>0</v>
      </c>
      <c r="FQ39">
        <v>0</v>
      </c>
      <c r="FR39">
        <f t="shared" si="25"/>
        <v>0</v>
      </c>
      <c r="FS39">
        <v>0</v>
      </c>
      <c r="FX39">
        <v>112</v>
      </c>
      <c r="FY39">
        <v>65</v>
      </c>
      <c r="GA39" t="s">
        <v>3</v>
      </c>
      <c r="GD39">
        <v>1</v>
      </c>
      <c r="GF39">
        <v>-581727036</v>
      </c>
      <c r="GG39">
        <v>2</v>
      </c>
      <c r="GH39">
        <v>1</v>
      </c>
      <c r="GI39">
        <v>4</v>
      </c>
      <c r="GJ39">
        <v>0</v>
      </c>
      <c r="GK39">
        <v>0</v>
      </c>
      <c r="GL39">
        <f t="shared" si="26"/>
        <v>0</v>
      </c>
      <c r="GM39">
        <f t="shared" si="52"/>
        <v>-2990.78</v>
      </c>
      <c r="GN39">
        <f t="shared" si="27"/>
        <v>-2990.78</v>
      </c>
      <c r="GO39">
        <f t="shared" si="28"/>
        <v>0</v>
      </c>
      <c r="GP39">
        <f t="shared" si="29"/>
        <v>0</v>
      </c>
      <c r="GR39">
        <v>0</v>
      </c>
      <c r="GS39">
        <v>3</v>
      </c>
      <c r="GT39">
        <v>0</v>
      </c>
      <c r="GU39" t="s">
        <v>3</v>
      </c>
      <c r="GV39">
        <f t="shared" si="53"/>
        <v>0</v>
      </c>
      <c r="GW39">
        <v>1</v>
      </c>
      <c r="GX39">
        <f t="shared" si="54"/>
        <v>0</v>
      </c>
      <c r="HA39">
        <v>0</v>
      </c>
      <c r="HB39">
        <v>0</v>
      </c>
      <c r="HC39">
        <f t="shared" si="55"/>
        <v>0</v>
      </c>
      <c r="HE39" t="s">
        <v>3</v>
      </c>
      <c r="HF39" t="s">
        <v>3</v>
      </c>
      <c r="HM39" t="s">
        <v>3</v>
      </c>
      <c r="HN39" t="s">
        <v>96</v>
      </c>
      <c r="HO39" t="s">
        <v>97</v>
      </c>
      <c r="HP39" t="s">
        <v>25</v>
      </c>
      <c r="HQ39" t="s">
        <v>25</v>
      </c>
      <c r="IK39">
        <v>0</v>
      </c>
    </row>
    <row r="40" spans="1:245" x14ac:dyDescent="0.2">
      <c r="A40">
        <v>18</v>
      </c>
      <c r="B40">
        <v>1</v>
      </c>
      <c r="C40">
        <v>39</v>
      </c>
      <c r="E40" t="s">
        <v>103</v>
      </c>
      <c r="F40" t="s">
        <v>104</v>
      </c>
      <c r="G40" t="s">
        <v>105</v>
      </c>
      <c r="H40" t="s">
        <v>89</v>
      </c>
      <c r="I40">
        <f>I38*J40</f>
        <v>-6.3960000000000003E-2</v>
      </c>
      <c r="J40">
        <v>-1.3</v>
      </c>
      <c r="K40">
        <v>-1.3</v>
      </c>
      <c r="O40">
        <f t="shared" si="30"/>
        <v>-337.33</v>
      </c>
      <c r="P40">
        <f t="shared" si="31"/>
        <v>-337.33</v>
      </c>
      <c r="Q40">
        <f>(ROUND((ROUND(((ET40)*I40),2)*BB40),2)+ROUND((ROUND(((AE40-(EU40))*I40),2)*BS40),2))</f>
        <v>0</v>
      </c>
      <c r="R40">
        <f>(ROUND((ROUND(((EU40)*I40),2)*BS40),2)+ROUND((ROUND(((AE40-(EU40))*I40),2)*BS40),2))</f>
        <v>0</v>
      </c>
      <c r="S40">
        <f t="shared" si="32"/>
        <v>0</v>
      </c>
      <c r="T40">
        <f t="shared" si="33"/>
        <v>0</v>
      </c>
      <c r="U40">
        <f t="shared" si="34"/>
        <v>0</v>
      </c>
      <c r="V40">
        <f t="shared" si="35"/>
        <v>0</v>
      </c>
      <c r="W40">
        <f t="shared" si="36"/>
        <v>0</v>
      </c>
      <c r="X40">
        <f t="shared" si="37"/>
        <v>0</v>
      </c>
      <c r="Y40">
        <f t="shared" si="38"/>
        <v>0</v>
      </c>
      <c r="AA40">
        <v>53360025</v>
      </c>
      <c r="AB40">
        <f t="shared" si="39"/>
        <v>600</v>
      </c>
      <c r="AC40">
        <f t="shared" si="40"/>
        <v>600</v>
      </c>
      <c r="AD40">
        <f>ROUND((((ET40)-(EU40))+AE40),6)</f>
        <v>0</v>
      </c>
      <c r="AE40">
        <f t="shared" si="56"/>
        <v>0</v>
      </c>
      <c r="AF40">
        <f t="shared" si="56"/>
        <v>0</v>
      </c>
      <c r="AG40">
        <f t="shared" si="41"/>
        <v>0</v>
      </c>
      <c r="AH40">
        <f t="shared" si="57"/>
        <v>0</v>
      </c>
      <c r="AI40">
        <f t="shared" si="57"/>
        <v>0</v>
      </c>
      <c r="AJ40">
        <f t="shared" si="42"/>
        <v>0</v>
      </c>
      <c r="AK40">
        <v>600</v>
      </c>
      <c r="AL40">
        <v>600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112</v>
      </c>
      <c r="AU40">
        <v>65</v>
      </c>
      <c r="AV40">
        <v>1</v>
      </c>
      <c r="AW40">
        <v>1</v>
      </c>
      <c r="AZ40">
        <v>1</v>
      </c>
      <c r="BA40">
        <v>1</v>
      </c>
      <c r="BB40">
        <v>1</v>
      </c>
      <c r="BC40">
        <v>8.7899999999999991</v>
      </c>
      <c r="BD40" t="s">
        <v>3</v>
      </c>
      <c r="BE40" t="s">
        <v>3</v>
      </c>
      <c r="BF40" t="s">
        <v>3</v>
      </c>
      <c r="BG40" t="s">
        <v>3</v>
      </c>
      <c r="BH40">
        <v>3</v>
      </c>
      <c r="BI40">
        <v>1</v>
      </c>
      <c r="BJ40" t="s">
        <v>106</v>
      </c>
      <c r="BM40">
        <v>11001</v>
      </c>
      <c r="BN40">
        <v>0</v>
      </c>
      <c r="BO40" t="s">
        <v>33</v>
      </c>
      <c r="BP40">
        <v>1</v>
      </c>
      <c r="BQ40">
        <v>2</v>
      </c>
      <c r="BR40">
        <v>1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 t="s">
        <v>3</v>
      </c>
      <c r="BZ40">
        <v>112</v>
      </c>
      <c r="CA40">
        <v>65</v>
      </c>
      <c r="CB40" t="s">
        <v>3</v>
      </c>
      <c r="CE40">
        <v>12</v>
      </c>
      <c r="CF40">
        <v>0</v>
      </c>
      <c r="CG40">
        <v>0</v>
      </c>
      <c r="CM40">
        <v>0</v>
      </c>
      <c r="CN40" t="s">
        <v>3</v>
      </c>
      <c r="CO40">
        <v>0</v>
      </c>
      <c r="CP40">
        <f t="shared" si="43"/>
        <v>-337.33</v>
      </c>
      <c r="CQ40">
        <f t="shared" si="44"/>
        <v>5273.9999999999991</v>
      </c>
      <c r="CR40">
        <f>(ROUND((ROUND(((ET40)*1),2)*BB40),2)+ROUND((ROUND(((AE40-(EU40))*1),2)*BS40),2))</f>
        <v>0</v>
      </c>
      <c r="CS40">
        <f>(ROUND((ROUND(((EU40)*1),2)*BS40),2)+ROUND((ROUND(((AE40-(EU40))*1),2)*BS40),2))</f>
        <v>0</v>
      </c>
      <c r="CT40">
        <f t="shared" si="45"/>
        <v>0</v>
      </c>
      <c r="CU40">
        <f t="shared" si="46"/>
        <v>0</v>
      </c>
      <c r="CV40">
        <f t="shared" si="47"/>
        <v>0</v>
      </c>
      <c r="CW40">
        <f t="shared" si="48"/>
        <v>0</v>
      </c>
      <c r="CX40">
        <f t="shared" si="49"/>
        <v>0</v>
      </c>
      <c r="CY40">
        <f t="shared" si="50"/>
        <v>0</v>
      </c>
      <c r="CZ40">
        <f t="shared" si="51"/>
        <v>0</v>
      </c>
      <c r="DC40" t="s">
        <v>3</v>
      </c>
      <c r="DD40" t="s">
        <v>3</v>
      </c>
      <c r="DE40" t="s">
        <v>3</v>
      </c>
      <c r="DF40" t="s">
        <v>3</v>
      </c>
      <c r="DG40" t="s">
        <v>3</v>
      </c>
      <c r="DH40" t="s">
        <v>3</v>
      </c>
      <c r="DI40" t="s">
        <v>3</v>
      </c>
      <c r="DJ40" t="s">
        <v>3</v>
      </c>
      <c r="DK40" t="s">
        <v>3</v>
      </c>
      <c r="DL40" t="s">
        <v>3</v>
      </c>
      <c r="DM40" t="s">
        <v>3</v>
      </c>
      <c r="DN40">
        <v>0</v>
      </c>
      <c r="DO40">
        <v>0</v>
      </c>
      <c r="DP40">
        <v>1</v>
      </c>
      <c r="DQ40">
        <v>1</v>
      </c>
      <c r="DU40">
        <v>1007</v>
      </c>
      <c r="DV40" t="s">
        <v>89</v>
      </c>
      <c r="DW40" t="s">
        <v>89</v>
      </c>
      <c r="DX40">
        <v>1</v>
      </c>
      <c r="DZ40" t="s">
        <v>3</v>
      </c>
      <c r="EA40" t="s">
        <v>3</v>
      </c>
      <c r="EB40" t="s">
        <v>3</v>
      </c>
      <c r="EC40" t="s">
        <v>3</v>
      </c>
      <c r="EE40">
        <v>53151326</v>
      </c>
      <c r="EF40">
        <v>2</v>
      </c>
      <c r="EG40" t="s">
        <v>76</v>
      </c>
      <c r="EH40">
        <v>11</v>
      </c>
      <c r="EI40" t="s">
        <v>25</v>
      </c>
      <c r="EJ40">
        <v>1</v>
      </c>
      <c r="EK40">
        <v>11001</v>
      </c>
      <c r="EL40" t="s">
        <v>25</v>
      </c>
      <c r="EM40" t="s">
        <v>95</v>
      </c>
      <c r="EO40" t="s">
        <v>3</v>
      </c>
      <c r="EQ40">
        <v>33280</v>
      </c>
      <c r="ER40">
        <v>600</v>
      </c>
      <c r="ES40">
        <v>600</v>
      </c>
      <c r="ET40">
        <v>0</v>
      </c>
      <c r="EU40">
        <v>0</v>
      </c>
      <c r="EV40">
        <v>0</v>
      </c>
      <c r="EW40">
        <v>0</v>
      </c>
      <c r="EX40">
        <v>0</v>
      </c>
      <c r="FQ40">
        <v>0</v>
      </c>
      <c r="FR40">
        <f t="shared" si="25"/>
        <v>0</v>
      </c>
      <c r="FS40">
        <v>0</v>
      </c>
      <c r="FX40">
        <v>112</v>
      </c>
      <c r="FY40">
        <v>65</v>
      </c>
      <c r="GA40" t="s">
        <v>3</v>
      </c>
      <c r="GD40">
        <v>1</v>
      </c>
      <c r="GF40">
        <v>1129920326</v>
      </c>
      <c r="GG40">
        <v>2</v>
      </c>
      <c r="GH40">
        <v>1</v>
      </c>
      <c r="GI40">
        <v>4</v>
      </c>
      <c r="GJ40">
        <v>0</v>
      </c>
      <c r="GK40">
        <v>0</v>
      </c>
      <c r="GL40">
        <f t="shared" si="26"/>
        <v>0</v>
      </c>
      <c r="GM40">
        <f t="shared" si="52"/>
        <v>-337.33</v>
      </c>
      <c r="GN40">
        <f t="shared" si="27"/>
        <v>-337.33</v>
      </c>
      <c r="GO40">
        <f t="shared" si="28"/>
        <v>0</v>
      </c>
      <c r="GP40">
        <f t="shared" si="29"/>
        <v>0</v>
      </c>
      <c r="GR40">
        <v>0</v>
      </c>
      <c r="GS40">
        <v>3</v>
      </c>
      <c r="GT40">
        <v>0</v>
      </c>
      <c r="GU40" t="s">
        <v>3</v>
      </c>
      <c r="GV40">
        <f t="shared" si="53"/>
        <v>0</v>
      </c>
      <c r="GW40">
        <v>1</v>
      </c>
      <c r="GX40">
        <f t="shared" si="54"/>
        <v>0</v>
      </c>
      <c r="HA40">
        <v>0</v>
      </c>
      <c r="HB40">
        <v>0</v>
      </c>
      <c r="HC40">
        <f t="shared" si="55"/>
        <v>0</v>
      </c>
      <c r="HE40" t="s">
        <v>3</v>
      </c>
      <c r="HF40" t="s">
        <v>3</v>
      </c>
      <c r="HM40" t="s">
        <v>3</v>
      </c>
      <c r="HN40" t="s">
        <v>96</v>
      </c>
      <c r="HO40" t="s">
        <v>97</v>
      </c>
      <c r="HP40" t="s">
        <v>25</v>
      </c>
      <c r="HQ40" t="s">
        <v>25</v>
      </c>
      <c r="IK40">
        <v>0</v>
      </c>
    </row>
    <row r="41" spans="1:245" x14ac:dyDescent="0.2">
      <c r="A41">
        <v>18</v>
      </c>
      <c r="B41">
        <v>1</v>
      </c>
      <c r="C41">
        <v>42</v>
      </c>
      <c r="E41" t="s">
        <v>107</v>
      </c>
      <c r="F41" t="s">
        <v>108</v>
      </c>
      <c r="G41" t="s">
        <v>109</v>
      </c>
      <c r="H41" t="s">
        <v>110</v>
      </c>
      <c r="I41">
        <f>I38*J41</f>
        <v>75</v>
      </c>
      <c r="J41">
        <v>1524.3902439024389</v>
      </c>
      <c r="K41">
        <v>1524.3902439000001</v>
      </c>
      <c r="O41">
        <f t="shared" si="30"/>
        <v>3250.1</v>
      </c>
      <c r="P41">
        <f t="shared" si="31"/>
        <v>3250.1</v>
      </c>
      <c r="Q41">
        <f>(ROUND((ROUND(((ET41)*I41),2)*BB41),2)+ROUND((ROUND(((AE41-(EU41))*I41),2)*BS41),2))</f>
        <v>0</v>
      </c>
      <c r="R41">
        <f>(ROUND((ROUND(((EU41)*I41),2)*BS41),2)+ROUND((ROUND(((AE41-(EU41))*I41),2)*BS41),2))</f>
        <v>0</v>
      </c>
      <c r="S41">
        <f t="shared" si="32"/>
        <v>0</v>
      </c>
      <c r="T41">
        <f t="shared" si="33"/>
        <v>0</v>
      </c>
      <c r="U41">
        <f t="shared" si="34"/>
        <v>0</v>
      </c>
      <c r="V41">
        <f t="shared" si="35"/>
        <v>0</v>
      </c>
      <c r="W41">
        <f t="shared" si="36"/>
        <v>0</v>
      </c>
      <c r="X41">
        <f t="shared" si="37"/>
        <v>0</v>
      </c>
      <c r="Y41">
        <f t="shared" si="38"/>
        <v>0</v>
      </c>
      <c r="AA41">
        <v>53360025</v>
      </c>
      <c r="AB41">
        <f t="shared" si="39"/>
        <v>4.93</v>
      </c>
      <c r="AC41">
        <f t="shared" si="40"/>
        <v>4.93</v>
      </c>
      <c r="AD41">
        <f>ROUND((((ET41)-(EU41))+AE41),6)</f>
        <v>0</v>
      </c>
      <c r="AE41">
        <f t="shared" si="56"/>
        <v>0</v>
      </c>
      <c r="AF41">
        <f t="shared" si="56"/>
        <v>0</v>
      </c>
      <c r="AG41">
        <f t="shared" si="41"/>
        <v>0</v>
      </c>
      <c r="AH41">
        <f t="shared" si="57"/>
        <v>0</v>
      </c>
      <c r="AI41">
        <f t="shared" si="57"/>
        <v>0</v>
      </c>
      <c r="AJ41">
        <f t="shared" si="42"/>
        <v>0</v>
      </c>
      <c r="AK41">
        <v>4.93</v>
      </c>
      <c r="AL41">
        <v>4.93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112</v>
      </c>
      <c r="AU41">
        <v>65</v>
      </c>
      <c r="AV41">
        <v>1</v>
      </c>
      <c r="AW41">
        <v>1</v>
      </c>
      <c r="AZ41">
        <v>1</v>
      </c>
      <c r="BA41">
        <v>1</v>
      </c>
      <c r="BB41">
        <v>1</v>
      </c>
      <c r="BC41">
        <v>8.7899999999999991</v>
      </c>
      <c r="BD41" t="s">
        <v>3</v>
      </c>
      <c r="BE41" t="s">
        <v>3</v>
      </c>
      <c r="BF41" t="s">
        <v>3</v>
      </c>
      <c r="BG41" t="s">
        <v>3</v>
      </c>
      <c r="BH41">
        <v>3</v>
      </c>
      <c r="BI41">
        <v>1</v>
      </c>
      <c r="BJ41" t="s">
        <v>111</v>
      </c>
      <c r="BM41">
        <v>11001</v>
      </c>
      <c r="BN41">
        <v>0</v>
      </c>
      <c r="BO41" t="s">
        <v>33</v>
      </c>
      <c r="BP41">
        <v>1</v>
      </c>
      <c r="BQ41">
        <v>2</v>
      </c>
      <c r="BR41">
        <v>0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 t="s">
        <v>3</v>
      </c>
      <c r="BZ41">
        <v>112</v>
      </c>
      <c r="CA41">
        <v>65</v>
      </c>
      <c r="CB41" t="s">
        <v>3</v>
      </c>
      <c r="CE41">
        <v>12</v>
      </c>
      <c r="CF41">
        <v>0</v>
      </c>
      <c r="CG41">
        <v>0</v>
      </c>
      <c r="CM41">
        <v>0</v>
      </c>
      <c r="CN41" t="s">
        <v>3</v>
      </c>
      <c r="CO41">
        <v>0</v>
      </c>
      <c r="CP41">
        <f t="shared" si="43"/>
        <v>3250.1</v>
      </c>
      <c r="CQ41">
        <f t="shared" si="44"/>
        <v>43.334699999999991</v>
      </c>
      <c r="CR41">
        <f>(ROUND((ROUND(((ET41)*1),2)*BB41),2)+ROUND((ROUND(((AE41-(EU41))*1),2)*BS41),2))</f>
        <v>0</v>
      </c>
      <c r="CS41">
        <f>(ROUND((ROUND(((EU41)*1),2)*BS41),2)+ROUND((ROUND(((AE41-(EU41))*1),2)*BS41),2))</f>
        <v>0</v>
      </c>
      <c r="CT41">
        <f t="shared" si="45"/>
        <v>0</v>
      </c>
      <c r="CU41">
        <f t="shared" si="46"/>
        <v>0</v>
      </c>
      <c r="CV41">
        <f t="shared" si="47"/>
        <v>0</v>
      </c>
      <c r="CW41">
        <f t="shared" si="48"/>
        <v>0</v>
      </c>
      <c r="CX41">
        <f t="shared" si="49"/>
        <v>0</v>
      </c>
      <c r="CY41">
        <f t="shared" si="50"/>
        <v>0</v>
      </c>
      <c r="CZ41">
        <f t="shared" si="51"/>
        <v>0</v>
      </c>
      <c r="DC41" t="s">
        <v>3</v>
      </c>
      <c r="DD41" t="s">
        <v>3</v>
      </c>
      <c r="DE41" t="s">
        <v>3</v>
      </c>
      <c r="DF41" t="s">
        <v>3</v>
      </c>
      <c r="DG41" t="s">
        <v>3</v>
      </c>
      <c r="DH41" t="s">
        <v>3</v>
      </c>
      <c r="DI41" t="s">
        <v>3</v>
      </c>
      <c r="DJ41" t="s">
        <v>3</v>
      </c>
      <c r="DK41" t="s">
        <v>3</v>
      </c>
      <c r="DL41" t="s">
        <v>3</v>
      </c>
      <c r="DM41" t="s">
        <v>3</v>
      </c>
      <c r="DN41">
        <v>0</v>
      </c>
      <c r="DO41">
        <v>0</v>
      </c>
      <c r="DP41">
        <v>1</v>
      </c>
      <c r="DQ41">
        <v>1</v>
      </c>
      <c r="DU41">
        <v>1009</v>
      </c>
      <c r="DV41" t="s">
        <v>110</v>
      </c>
      <c r="DW41" t="s">
        <v>110</v>
      </c>
      <c r="DX41">
        <v>1</v>
      </c>
      <c r="DZ41" t="s">
        <v>3</v>
      </c>
      <c r="EA41" t="s">
        <v>3</v>
      </c>
      <c r="EB41" t="s">
        <v>3</v>
      </c>
      <c r="EC41" t="s">
        <v>3</v>
      </c>
      <c r="EE41">
        <v>53151326</v>
      </c>
      <c r="EF41">
        <v>2</v>
      </c>
      <c r="EG41" t="s">
        <v>76</v>
      </c>
      <c r="EH41">
        <v>11</v>
      </c>
      <c r="EI41" t="s">
        <v>25</v>
      </c>
      <c r="EJ41">
        <v>1</v>
      </c>
      <c r="EK41">
        <v>11001</v>
      </c>
      <c r="EL41" t="s">
        <v>25</v>
      </c>
      <c r="EM41" t="s">
        <v>95</v>
      </c>
      <c r="EO41" t="s">
        <v>3</v>
      </c>
      <c r="EQ41">
        <v>0</v>
      </c>
      <c r="ER41">
        <v>4.93</v>
      </c>
      <c r="ES41">
        <v>4.93</v>
      </c>
      <c r="ET41">
        <v>0</v>
      </c>
      <c r="EU41">
        <v>0</v>
      </c>
      <c r="EV41">
        <v>0</v>
      </c>
      <c r="EW41">
        <v>0</v>
      </c>
      <c r="EX41">
        <v>0</v>
      </c>
      <c r="FQ41">
        <v>0</v>
      </c>
      <c r="FR41">
        <f t="shared" si="25"/>
        <v>0</v>
      </c>
      <c r="FS41">
        <v>0</v>
      </c>
      <c r="FX41">
        <v>112</v>
      </c>
      <c r="FY41">
        <v>65</v>
      </c>
      <c r="GA41" t="s">
        <v>3</v>
      </c>
      <c r="GD41">
        <v>1</v>
      </c>
      <c r="GF41">
        <v>272805291</v>
      </c>
      <c r="GG41">
        <v>2</v>
      </c>
      <c r="GH41">
        <v>1</v>
      </c>
      <c r="GI41">
        <v>4</v>
      </c>
      <c r="GJ41">
        <v>0</v>
      </c>
      <c r="GK41">
        <v>0</v>
      </c>
      <c r="GL41">
        <f t="shared" si="26"/>
        <v>0</v>
      </c>
      <c r="GM41">
        <f t="shared" si="52"/>
        <v>3250.1</v>
      </c>
      <c r="GN41">
        <f t="shared" si="27"/>
        <v>3250.1</v>
      </c>
      <c r="GO41">
        <f t="shared" si="28"/>
        <v>0</v>
      </c>
      <c r="GP41">
        <f t="shared" si="29"/>
        <v>0</v>
      </c>
      <c r="GR41">
        <v>0</v>
      </c>
      <c r="GS41">
        <v>3</v>
      </c>
      <c r="GT41">
        <v>0</v>
      </c>
      <c r="GU41" t="s">
        <v>3</v>
      </c>
      <c r="GV41">
        <f t="shared" si="53"/>
        <v>0</v>
      </c>
      <c r="GW41">
        <v>1</v>
      </c>
      <c r="GX41">
        <f t="shared" si="54"/>
        <v>0</v>
      </c>
      <c r="HA41">
        <v>0</v>
      </c>
      <c r="HB41">
        <v>0</v>
      </c>
      <c r="HC41">
        <f t="shared" si="55"/>
        <v>0</v>
      </c>
      <c r="HE41" t="s">
        <v>3</v>
      </c>
      <c r="HF41" t="s">
        <v>3</v>
      </c>
      <c r="HM41" t="s">
        <v>3</v>
      </c>
      <c r="HN41" t="s">
        <v>96</v>
      </c>
      <c r="HO41" t="s">
        <v>97</v>
      </c>
      <c r="HP41" t="s">
        <v>25</v>
      </c>
      <c r="HQ41" t="s">
        <v>25</v>
      </c>
      <c r="IK41">
        <v>0</v>
      </c>
    </row>
    <row r="42" spans="1:245" x14ac:dyDescent="0.2">
      <c r="A42">
        <v>18</v>
      </c>
      <c r="B42">
        <v>1</v>
      </c>
      <c r="C42">
        <v>41</v>
      </c>
      <c r="E42" t="s">
        <v>112</v>
      </c>
      <c r="F42" t="s">
        <v>113</v>
      </c>
      <c r="G42" t="s">
        <v>114</v>
      </c>
      <c r="H42" t="s">
        <v>101</v>
      </c>
      <c r="I42">
        <f>I38*J42</f>
        <v>5.0183999999999997</v>
      </c>
      <c r="J42">
        <v>102</v>
      </c>
      <c r="K42">
        <v>102</v>
      </c>
      <c r="O42">
        <f t="shared" si="30"/>
        <v>2109.86</v>
      </c>
      <c r="P42">
        <f t="shared" si="31"/>
        <v>2109.86</v>
      </c>
      <c r="Q42">
        <f>(ROUND((ROUND(((ET42)*I42),2)*BB42),2)+ROUND((ROUND(((AE42-(EU42))*I42),2)*BS42),2))</f>
        <v>0</v>
      </c>
      <c r="R42">
        <f>(ROUND((ROUND(((EU42)*I42),2)*BS42),2)+ROUND((ROUND(((AE42-(EU42))*I42),2)*BS42),2))</f>
        <v>0</v>
      </c>
      <c r="S42">
        <f t="shared" si="32"/>
        <v>0</v>
      </c>
      <c r="T42">
        <f t="shared" si="33"/>
        <v>0</v>
      </c>
      <c r="U42">
        <f t="shared" si="34"/>
        <v>0</v>
      </c>
      <c r="V42">
        <f t="shared" si="35"/>
        <v>0</v>
      </c>
      <c r="W42">
        <f t="shared" si="36"/>
        <v>0</v>
      </c>
      <c r="X42">
        <f t="shared" si="37"/>
        <v>0</v>
      </c>
      <c r="Y42">
        <f t="shared" si="38"/>
        <v>0</v>
      </c>
      <c r="AA42">
        <v>53360025</v>
      </c>
      <c r="AB42">
        <f t="shared" si="39"/>
        <v>47.83</v>
      </c>
      <c r="AC42">
        <f t="shared" si="40"/>
        <v>47.83</v>
      </c>
      <c r="AD42">
        <f>ROUND((((ET42)-(EU42))+AE42),6)</f>
        <v>0</v>
      </c>
      <c r="AE42">
        <f t="shared" si="56"/>
        <v>0</v>
      </c>
      <c r="AF42">
        <f t="shared" si="56"/>
        <v>0</v>
      </c>
      <c r="AG42">
        <f t="shared" si="41"/>
        <v>0</v>
      </c>
      <c r="AH42">
        <f t="shared" si="57"/>
        <v>0</v>
      </c>
      <c r="AI42">
        <f t="shared" si="57"/>
        <v>0</v>
      </c>
      <c r="AJ42">
        <f t="shared" si="42"/>
        <v>0</v>
      </c>
      <c r="AK42">
        <v>47.83</v>
      </c>
      <c r="AL42">
        <v>47.83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112</v>
      </c>
      <c r="AU42">
        <v>65</v>
      </c>
      <c r="AV42">
        <v>1</v>
      </c>
      <c r="AW42">
        <v>1</v>
      </c>
      <c r="AZ42">
        <v>1</v>
      </c>
      <c r="BA42">
        <v>1</v>
      </c>
      <c r="BB42">
        <v>1</v>
      </c>
      <c r="BC42">
        <v>8.7899999999999991</v>
      </c>
      <c r="BD42" t="s">
        <v>3</v>
      </c>
      <c r="BE42" t="s">
        <v>3</v>
      </c>
      <c r="BF42" t="s">
        <v>3</v>
      </c>
      <c r="BG42" t="s">
        <v>3</v>
      </c>
      <c r="BH42">
        <v>3</v>
      </c>
      <c r="BI42">
        <v>1</v>
      </c>
      <c r="BJ42" t="s">
        <v>115</v>
      </c>
      <c r="BM42">
        <v>11001</v>
      </c>
      <c r="BN42">
        <v>0</v>
      </c>
      <c r="BO42" t="s">
        <v>33</v>
      </c>
      <c r="BP42">
        <v>1</v>
      </c>
      <c r="BQ42">
        <v>2</v>
      </c>
      <c r="BR42">
        <v>0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 t="s">
        <v>3</v>
      </c>
      <c r="BZ42">
        <v>112</v>
      </c>
      <c r="CA42">
        <v>65</v>
      </c>
      <c r="CB42" t="s">
        <v>3</v>
      </c>
      <c r="CE42">
        <v>12</v>
      </c>
      <c r="CF42">
        <v>0</v>
      </c>
      <c r="CG42">
        <v>0</v>
      </c>
      <c r="CM42">
        <v>0</v>
      </c>
      <c r="CN42" t="s">
        <v>3</v>
      </c>
      <c r="CO42">
        <v>0</v>
      </c>
      <c r="CP42">
        <f t="shared" si="43"/>
        <v>2109.86</v>
      </c>
      <c r="CQ42">
        <f t="shared" si="44"/>
        <v>420.42569999999995</v>
      </c>
      <c r="CR42">
        <f>(ROUND((ROUND(((ET42)*1),2)*BB42),2)+ROUND((ROUND(((AE42-(EU42))*1),2)*BS42),2))</f>
        <v>0</v>
      </c>
      <c r="CS42">
        <f>(ROUND((ROUND(((EU42)*1),2)*BS42),2)+ROUND((ROUND(((AE42-(EU42))*1),2)*BS42),2))</f>
        <v>0</v>
      </c>
      <c r="CT42">
        <f t="shared" si="45"/>
        <v>0</v>
      </c>
      <c r="CU42">
        <f t="shared" si="46"/>
        <v>0</v>
      </c>
      <c r="CV42">
        <f t="shared" si="47"/>
        <v>0</v>
      </c>
      <c r="CW42">
        <f t="shared" si="48"/>
        <v>0</v>
      </c>
      <c r="CX42">
        <f t="shared" si="49"/>
        <v>0</v>
      </c>
      <c r="CY42">
        <f t="shared" si="50"/>
        <v>0</v>
      </c>
      <c r="CZ42">
        <f t="shared" si="51"/>
        <v>0</v>
      </c>
      <c r="DC42" t="s">
        <v>3</v>
      </c>
      <c r="DD42" t="s">
        <v>3</v>
      </c>
      <c r="DE42" t="s">
        <v>3</v>
      </c>
      <c r="DF42" t="s">
        <v>3</v>
      </c>
      <c r="DG42" t="s">
        <v>3</v>
      </c>
      <c r="DH42" t="s">
        <v>3</v>
      </c>
      <c r="DI42" t="s">
        <v>3</v>
      </c>
      <c r="DJ42" t="s">
        <v>3</v>
      </c>
      <c r="DK42" t="s">
        <v>3</v>
      </c>
      <c r="DL42" t="s">
        <v>3</v>
      </c>
      <c r="DM42" t="s">
        <v>3</v>
      </c>
      <c r="DN42">
        <v>0</v>
      </c>
      <c r="DO42">
        <v>0</v>
      </c>
      <c r="DP42">
        <v>1</v>
      </c>
      <c r="DQ42">
        <v>1</v>
      </c>
      <c r="DU42">
        <v>1005</v>
      </c>
      <c r="DV42" t="s">
        <v>101</v>
      </c>
      <c r="DW42" t="s">
        <v>101</v>
      </c>
      <c r="DX42">
        <v>1</v>
      </c>
      <c r="DZ42" t="s">
        <v>3</v>
      </c>
      <c r="EA42" t="s">
        <v>3</v>
      </c>
      <c r="EB42" t="s">
        <v>3</v>
      </c>
      <c r="EC42" t="s">
        <v>3</v>
      </c>
      <c r="EE42">
        <v>53151326</v>
      </c>
      <c r="EF42">
        <v>2</v>
      </c>
      <c r="EG42" t="s">
        <v>76</v>
      </c>
      <c r="EH42">
        <v>11</v>
      </c>
      <c r="EI42" t="s">
        <v>25</v>
      </c>
      <c r="EJ42">
        <v>1</v>
      </c>
      <c r="EK42">
        <v>11001</v>
      </c>
      <c r="EL42" t="s">
        <v>25</v>
      </c>
      <c r="EM42" t="s">
        <v>95</v>
      </c>
      <c r="EO42" t="s">
        <v>3</v>
      </c>
      <c r="EQ42">
        <v>0</v>
      </c>
      <c r="ER42">
        <v>47.83</v>
      </c>
      <c r="ES42">
        <v>47.83</v>
      </c>
      <c r="ET42">
        <v>0</v>
      </c>
      <c r="EU42">
        <v>0</v>
      </c>
      <c r="EV42">
        <v>0</v>
      </c>
      <c r="EW42">
        <v>0</v>
      </c>
      <c r="EX42">
        <v>0</v>
      </c>
      <c r="FQ42">
        <v>0</v>
      </c>
      <c r="FR42">
        <f t="shared" si="25"/>
        <v>0</v>
      </c>
      <c r="FS42">
        <v>0</v>
      </c>
      <c r="FX42">
        <v>112</v>
      </c>
      <c r="FY42">
        <v>65</v>
      </c>
      <c r="GA42" t="s">
        <v>3</v>
      </c>
      <c r="GD42">
        <v>1</v>
      </c>
      <c r="GF42">
        <v>-773684841</v>
      </c>
      <c r="GG42">
        <v>2</v>
      </c>
      <c r="GH42">
        <v>1</v>
      </c>
      <c r="GI42">
        <v>4</v>
      </c>
      <c r="GJ42">
        <v>0</v>
      </c>
      <c r="GK42">
        <v>0</v>
      </c>
      <c r="GL42">
        <f t="shared" si="26"/>
        <v>0</v>
      </c>
      <c r="GM42">
        <f t="shared" si="52"/>
        <v>2109.86</v>
      </c>
      <c r="GN42">
        <f t="shared" si="27"/>
        <v>2109.86</v>
      </c>
      <c r="GO42">
        <f t="shared" si="28"/>
        <v>0</v>
      </c>
      <c r="GP42">
        <f t="shared" si="29"/>
        <v>0</v>
      </c>
      <c r="GR42">
        <v>0</v>
      </c>
      <c r="GS42">
        <v>3</v>
      </c>
      <c r="GT42">
        <v>0</v>
      </c>
      <c r="GU42" t="s">
        <v>3</v>
      </c>
      <c r="GV42">
        <f t="shared" si="53"/>
        <v>0</v>
      </c>
      <c r="GW42">
        <v>1</v>
      </c>
      <c r="GX42">
        <f t="shared" si="54"/>
        <v>0</v>
      </c>
      <c r="HA42">
        <v>0</v>
      </c>
      <c r="HB42">
        <v>0</v>
      </c>
      <c r="HC42">
        <f t="shared" si="55"/>
        <v>0</v>
      </c>
      <c r="HE42" t="s">
        <v>3</v>
      </c>
      <c r="HF42" t="s">
        <v>3</v>
      </c>
      <c r="HM42" t="s">
        <v>3</v>
      </c>
      <c r="HN42" t="s">
        <v>96</v>
      </c>
      <c r="HO42" t="s">
        <v>97</v>
      </c>
      <c r="HP42" t="s">
        <v>25</v>
      </c>
      <c r="HQ42" t="s">
        <v>25</v>
      </c>
      <c r="IK42">
        <v>0</v>
      </c>
    </row>
    <row r="43" spans="1:245" x14ac:dyDescent="0.2">
      <c r="A43">
        <v>17</v>
      </c>
      <c r="B43">
        <v>1</v>
      </c>
      <c r="C43">
        <f>ROW(SmtRes!A57)</f>
        <v>57</v>
      </c>
      <c r="D43">
        <f>ROW(EtalonRes!A53)</f>
        <v>53</v>
      </c>
      <c r="E43" t="s">
        <v>116</v>
      </c>
      <c r="F43" t="s">
        <v>117</v>
      </c>
      <c r="G43" t="s">
        <v>118</v>
      </c>
      <c r="H43" t="s">
        <v>22</v>
      </c>
      <c r="I43">
        <f>ROUND(13.42/100,7)</f>
        <v>0.13420000000000001</v>
      </c>
      <c r="J43">
        <v>0</v>
      </c>
      <c r="K43">
        <f>ROUND(13.42/100,7)</f>
        <v>0.13420000000000001</v>
      </c>
      <c r="O43">
        <f t="shared" si="30"/>
        <v>37429.97</v>
      </c>
      <c r="P43">
        <f t="shared" si="31"/>
        <v>1627.09</v>
      </c>
      <c r="Q43">
        <f>(ROUND((ROUND((((ET43*ROUND(1.25,7)))*I43),2)*BB43),2)+ROUND((ROUND(((AE43-((EU43*ROUND(1.25,7))))*I43),2)*BS43),2))</f>
        <v>249.03</v>
      </c>
      <c r="R43">
        <f>(ROUND((ROUND((((EU43*ROUND(1.25,7)))*I43),2)*BS43),2)+ROUND((ROUND(((AE43-((EU43*ROUND(1.25,7))))*I43),2)*BS43),2))</f>
        <v>219.07</v>
      </c>
      <c r="S43">
        <f t="shared" si="32"/>
        <v>35553.85</v>
      </c>
      <c r="T43">
        <f t="shared" si="33"/>
        <v>0</v>
      </c>
      <c r="U43">
        <f t="shared" si="34"/>
        <v>84.881500000000003</v>
      </c>
      <c r="V43">
        <f t="shared" si="35"/>
        <v>0.42943999999999999</v>
      </c>
      <c r="W43">
        <f t="shared" si="36"/>
        <v>0</v>
      </c>
      <c r="X43">
        <f t="shared" si="37"/>
        <v>35772.92</v>
      </c>
      <c r="Y43">
        <f t="shared" si="38"/>
        <v>17528.73</v>
      </c>
      <c r="AA43">
        <v>53360025</v>
      </c>
      <c r="AB43">
        <f t="shared" si="39"/>
        <v>8244.1275000000005</v>
      </c>
      <c r="AC43">
        <f t="shared" si="40"/>
        <v>1379.34</v>
      </c>
      <c r="AD43">
        <f>ROUND(((((ET43*ROUND(1.25,7)))-((EU43*ROUND(1.25,7))))+AE43),6)</f>
        <v>128.66249999999999</v>
      </c>
      <c r="AE43">
        <f>ROUND(((EU43*ROUND(1.25,7))),6)</f>
        <v>41.524999999999999</v>
      </c>
      <c r="AF43">
        <f>ROUND(((EV43*ROUND(1.15,7))),6)</f>
        <v>6736.125</v>
      </c>
      <c r="AG43">
        <f t="shared" si="41"/>
        <v>0</v>
      </c>
      <c r="AH43">
        <f>((EW43*ROUND(1.15,7)))</f>
        <v>632.5</v>
      </c>
      <c r="AI43">
        <f>((EX43*ROUND(1.25,7)))</f>
        <v>3.2</v>
      </c>
      <c r="AJ43">
        <f t="shared" si="42"/>
        <v>0</v>
      </c>
      <c r="AK43">
        <v>7339.77</v>
      </c>
      <c r="AL43">
        <v>1379.34</v>
      </c>
      <c r="AM43">
        <v>102.93</v>
      </c>
      <c r="AN43">
        <v>33.22</v>
      </c>
      <c r="AO43">
        <v>5857.5</v>
      </c>
      <c r="AP43">
        <v>0</v>
      </c>
      <c r="AQ43">
        <v>550</v>
      </c>
      <c r="AR43">
        <v>2.56</v>
      </c>
      <c r="AS43">
        <v>0</v>
      </c>
      <c r="AT43">
        <v>100</v>
      </c>
      <c r="AU43">
        <v>49</v>
      </c>
      <c r="AV43">
        <v>1</v>
      </c>
      <c r="AW43">
        <v>1</v>
      </c>
      <c r="AZ43">
        <v>1</v>
      </c>
      <c r="BA43">
        <v>39.33</v>
      </c>
      <c r="BB43">
        <v>14.42</v>
      </c>
      <c r="BC43">
        <v>8.7899999999999991</v>
      </c>
      <c r="BD43" t="s">
        <v>3</v>
      </c>
      <c r="BE43" t="s">
        <v>3</v>
      </c>
      <c r="BF43" t="s">
        <v>3</v>
      </c>
      <c r="BG43" t="s">
        <v>3</v>
      </c>
      <c r="BH43">
        <v>0</v>
      </c>
      <c r="BI43">
        <v>1</v>
      </c>
      <c r="BJ43" t="s">
        <v>119</v>
      </c>
      <c r="BM43">
        <v>15001</v>
      </c>
      <c r="BN43">
        <v>0</v>
      </c>
      <c r="BO43" t="s">
        <v>457</v>
      </c>
      <c r="BP43">
        <v>1</v>
      </c>
      <c r="BQ43">
        <v>2</v>
      </c>
      <c r="BR43">
        <v>0</v>
      </c>
      <c r="BS43">
        <v>39.33</v>
      </c>
      <c r="BT43">
        <v>1</v>
      </c>
      <c r="BU43">
        <v>1</v>
      </c>
      <c r="BV43">
        <v>1</v>
      </c>
      <c r="BW43">
        <v>1</v>
      </c>
      <c r="BX43">
        <v>1</v>
      </c>
      <c r="BY43" t="s">
        <v>3</v>
      </c>
      <c r="BZ43">
        <v>100</v>
      </c>
      <c r="CA43">
        <v>49</v>
      </c>
      <c r="CB43" t="s">
        <v>3</v>
      </c>
      <c r="CE43">
        <v>12</v>
      </c>
      <c r="CF43">
        <v>0</v>
      </c>
      <c r="CG43">
        <v>0</v>
      </c>
      <c r="CM43">
        <v>0</v>
      </c>
      <c r="CN43" t="s">
        <v>3</v>
      </c>
      <c r="CO43">
        <v>0</v>
      </c>
      <c r="CP43">
        <f t="shared" si="43"/>
        <v>37429.97</v>
      </c>
      <c r="CQ43">
        <f t="shared" si="44"/>
        <v>12124.398599999999</v>
      </c>
      <c r="CR43">
        <f>(ROUND((ROUND((((ET43*ROUND(1.25,7)))*1),2)*BB43),2)+ROUND((ROUND(((AE43-((EU43*ROUND(1.25,7))))*1),2)*BS43),2))</f>
        <v>1855.28</v>
      </c>
      <c r="CS43">
        <f>(ROUND((ROUND((((EU43*ROUND(1.25,7)))*1),2)*BS43),2)+ROUND((ROUND(((AE43-((EU43*ROUND(1.25,7))))*1),2)*BS43),2))</f>
        <v>1633.37</v>
      </c>
      <c r="CT43">
        <f t="shared" si="45"/>
        <v>264931.79625000001</v>
      </c>
      <c r="CU43">
        <f t="shared" si="46"/>
        <v>0</v>
      </c>
      <c r="CV43">
        <f t="shared" si="47"/>
        <v>632.5</v>
      </c>
      <c r="CW43">
        <f t="shared" si="48"/>
        <v>3.2</v>
      </c>
      <c r="CX43">
        <f t="shared" si="49"/>
        <v>0</v>
      </c>
      <c r="CY43">
        <f t="shared" si="50"/>
        <v>35772.92</v>
      </c>
      <c r="CZ43">
        <f t="shared" si="51"/>
        <v>17528.730799999998</v>
      </c>
      <c r="DC43" t="s">
        <v>3</v>
      </c>
      <c r="DD43" t="s">
        <v>3</v>
      </c>
      <c r="DE43" t="s">
        <v>72</v>
      </c>
      <c r="DF43" t="s">
        <v>72</v>
      </c>
      <c r="DG43" t="s">
        <v>73</v>
      </c>
      <c r="DH43" t="s">
        <v>3</v>
      </c>
      <c r="DI43" t="s">
        <v>73</v>
      </c>
      <c r="DJ43" t="s">
        <v>72</v>
      </c>
      <c r="DK43" t="s">
        <v>3</v>
      </c>
      <c r="DL43" t="s">
        <v>3</v>
      </c>
      <c r="DM43" t="s">
        <v>3</v>
      </c>
      <c r="DN43">
        <v>0</v>
      </c>
      <c r="DO43">
        <v>0</v>
      </c>
      <c r="DP43">
        <v>1</v>
      </c>
      <c r="DQ43">
        <v>1</v>
      </c>
      <c r="DU43">
        <v>1005</v>
      </c>
      <c r="DV43" t="s">
        <v>22</v>
      </c>
      <c r="DW43" t="s">
        <v>22</v>
      </c>
      <c r="DX43">
        <v>100</v>
      </c>
      <c r="DZ43" t="s">
        <v>3</v>
      </c>
      <c r="EA43" t="s">
        <v>3</v>
      </c>
      <c r="EB43" t="s">
        <v>3</v>
      </c>
      <c r="EC43" t="s">
        <v>3</v>
      </c>
      <c r="EE43">
        <v>53151352</v>
      </c>
      <c r="EF43">
        <v>2</v>
      </c>
      <c r="EG43" t="s">
        <v>76</v>
      </c>
      <c r="EH43">
        <v>15</v>
      </c>
      <c r="EI43" t="s">
        <v>120</v>
      </c>
      <c r="EJ43">
        <v>1</v>
      </c>
      <c r="EK43">
        <v>15001</v>
      </c>
      <c r="EL43" t="s">
        <v>120</v>
      </c>
      <c r="EM43" t="s">
        <v>121</v>
      </c>
      <c r="EO43" t="s">
        <v>79</v>
      </c>
      <c r="EQ43">
        <v>1311232</v>
      </c>
      <c r="ER43">
        <v>7339.77</v>
      </c>
      <c r="ES43">
        <v>1379.34</v>
      </c>
      <c r="ET43">
        <v>102.93</v>
      </c>
      <c r="EU43">
        <v>33.22</v>
      </c>
      <c r="EV43">
        <v>5857.5</v>
      </c>
      <c r="EW43">
        <v>550</v>
      </c>
      <c r="EX43">
        <v>2.56</v>
      </c>
      <c r="EY43">
        <v>0</v>
      </c>
      <c r="FQ43">
        <v>0</v>
      </c>
      <c r="FR43">
        <f t="shared" si="25"/>
        <v>0</v>
      </c>
      <c r="FS43">
        <v>0</v>
      </c>
      <c r="FX43">
        <v>100</v>
      </c>
      <c r="FY43">
        <v>49</v>
      </c>
      <c r="GA43" t="s">
        <v>3</v>
      </c>
      <c r="GD43">
        <v>1</v>
      </c>
      <c r="GF43">
        <v>-1392104054</v>
      </c>
      <c r="GG43">
        <v>2</v>
      </c>
      <c r="GH43">
        <v>1</v>
      </c>
      <c r="GI43">
        <v>4</v>
      </c>
      <c r="GJ43">
        <v>0</v>
      </c>
      <c r="GK43">
        <v>0</v>
      </c>
      <c r="GL43">
        <f t="shared" si="26"/>
        <v>0</v>
      </c>
      <c r="GM43">
        <f t="shared" si="52"/>
        <v>90731.62</v>
      </c>
      <c r="GN43">
        <f t="shared" si="27"/>
        <v>90731.62</v>
      </c>
      <c r="GO43">
        <f t="shared" si="28"/>
        <v>0</v>
      </c>
      <c r="GP43">
        <f t="shared" si="29"/>
        <v>0</v>
      </c>
      <c r="GR43">
        <v>0</v>
      </c>
      <c r="GS43">
        <v>3</v>
      </c>
      <c r="GT43">
        <v>0</v>
      </c>
      <c r="GU43" t="s">
        <v>3</v>
      </c>
      <c r="GV43">
        <f t="shared" si="53"/>
        <v>0</v>
      </c>
      <c r="GW43">
        <v>1</v>
      </c>
      <c r="GX43">
        <f t="shared" si="54"/>
        <v>0</v>
      </c>
      <c r="HA43">
        <v>0</v>
      </c>
      <c r="HB43">
        <v>0</v>
      </c>
      <c r="HC43">
        <f t="shared" si="55"/>
        <v>0</v>
      </c>
      <c r="HE43" t="s">
        <v>3</v>
      </c>
      <c r="HF43" t="s">
        <v>3</v>
      </c>
      <c r="HM43" t="s">
        <v>3</v>
      </c>
      <c r="HN43" t="s">
        <v>122</v>
      </c>
      <c r="HO43" t="s">
        <v>123</v>
      </c>
      <c r="HP43" t="s">
        <v>120</v>
      </c>
      <c r="HQ43" t="s">
        <v>120</v>
      </c>
      <c r="IK43">
        <v>0</v>
      </c>
    </row>
    <row r="44" spans="1:245" x14ac:dyDescent="0.2">
      <c r="A44">
        <v>18</v>
      </c>
      <c r="B44">
        <v>1</v>
      </c>
      <c r="C44">
        <v>56</v>
      </c>
      <c r="E44" t="s">
        <v>124</v>
      </c>
      <c r="F44" t="s">
        <v>125</v>
      </c>
      <c r="G44" t="s">
        <v>126</v>
      </c>
      <c r="H44" t="s">
        <v>101</v>
      </c>
      <c r="I44">
        <f>I43*J44</f>
        <v>2.6840000000000002</v>
      </c>
      <c r="J44">
        <v>20</v>
      </c>
      <c r="K44">
        <v>20</v>
      </c>
      <c r="O44">
        <f t="shared" si="30"/>
        <v>0</v>
      </c>
      <c r="P44">
        <f t="shared" si="31"/>
        <v>0</v>
      </c>
      <c r="Q44">
        <f>(ROUND((ROUND(((ET44)*I44),2)*BB44),2)+ROUND((ROUND(((AE44-(EU44))*I44),2)*BS44),2))</f>
        <v>0</v>
      </c>
      <c r="R44">
        <f>(ROUND((ROUND(((EU44)*I44),2)*BS44),2)+ROUND((ROUND(((AE44-(EU44))*I44),2)*BS44),2))</f>
        <v>0</v>
      </c>
      <c r="S44">
        <f t="shared" si="32"/>
        <v>0</v>
      </c>
      <c r="T44">
        <f t="shared" si="33"/>
        <v>0</v>
      </c>
      <c r="U44">
        <f t="shared" si="34"/>
        <v>0</v>
      </c>
      <c r="V44">
        <f t="shared" si="35"/>
        <v>0</v>
      </c>
      <c r="W44">
        <f t="shared" si="36"/>
        <v>0</v>
      </c>
      <c r="X44">
        <f t="shared" si="37"/>
        <v>0</v>
      </c>
      <c r="Y44">
        <f t="shared" si="38"/>
        <v>0</v>
      </c>
      <c r="AA44">
        <v>53360025</v>
      </c>
      <c r="AB44">
        <f t="shared" si="39"/>
        <v>0</v>
      </c>
      <c r="AC44">
        <f t="shared" si="40"/>
        <v>0</v>
      </c>
      <c r="AD44">
        <f>ROUND((((ET44)-(EU44))+AE44),6)</f>
        <v>0</v>
      </c>
      <c r="AE44">
        <f t="shared" ref="AE44:AF46" si="58">ROUND((EU44),6)</f>
        <v>0</v>
      </c>
      <c r="AF44">
        <f t="shared" si="58"/>
        <v>0</v>
      </c>
      <c r="AG44">
        <f t="shared" si="41"/>
        <v>0</v>
      </c>
      <c r="AH44">
        <f t="shared" ref="AH44:AI46" si="59">(EW44)</f>
        <v>0</v>
      </c>
      <c r="AI44">
        <f t="shared" si="59"/>
        <v>0</v>
      </c>
      <c r="AJ44">
        <f t="shared" si="42"/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100</v>
      </c>
      <c r="AU44">
        <v>49</v>
      </c>
      <c r="AV44">
        <v>1</v>
      </c>
      <c r="AW44">
        <v>1</v>
      </c>
      <c r="AZ44">
        <v>1</v>
      </c>
      <c r="BA44">
        <v>1</v>
      </c>
      <c r="BB44">
        <v>1</v>
      </c>
      <c r="BC44">
        <v>8.7899999999999991</v>
      </c>
      <c r="BD44" t="s">
        <v>3</v>
      </c>
      <c r="BE44" t="s">
        <v>3</v>
      </c>
      <c r="BF44" t="s">
        <v>3</v>
      </c>
      <c r="BG44" t="s">
        <v>3</v>
      </c>
      <c r="BH44">
        <v>3</v>
      </c>
      <c r="BI44">
        <v>1</v>
      </c>
      <c r="BJ44" t="s">
        <v>3</v>
      </c>
      <c r="BM44">
        <v>15001</v>
      </c>
      <c r="BN44">
        <v>0</v>
      </c>
      <c r="BO44" t="s">
        <v>33</v>
      </c>
      <c r="BP44">
        <v>1</v>
      </c>
      <c r="BQ44">
        <v>2</v>
      </c>
      <c r="BR44">
        <v>0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 t="s">
        <v>3</v>
      </c>
      <c r="BZ44">
        <v>100</v>
      </c>
      <c r="CA44">
        <v>49</v>
      </c>
      <c r="CB44" t="s">
        <v>3</v>
      </c>
      <c r="CE44">
        <v>12</v>
      </c>
      <c r="CF44">
        <v>0</v>
      </c>
      <c r="CG44">
        <v>0</v>
      </c>
      <c r="CM44">
        <v>0</v>
      </c>
      <c r="CN44" t="s">
        <v>3</v>
      </c>
      <c r="CO44">
        <v>0</v>
      </c>
      <c r="CP44">
        <f t="shared" si="43"/>
        <v>0</v>
      </c>
      <c r="CQ44">
        <f t="shared" si="44"/>
        <v>0</v>
      </c>
      <c r="CR44">
        <f>(ROUND((ROUND(((ET44)*1),2)*BB44),2)+ROUND((ROUND(((AE44-(EU44))*1),2)*BS44),2))</f>
        <v>0</v>
      </c>
      <c r="CS44">
        <f>(ROUND((ROUND(((EU44)*1),2)*BS44),2)+ROUND((ROUND(((AE44-(EU44))*1),2)*BS44),2))</f>
        <v>0</v>
      </c>
      <c r="CT44">
        <f t="shared" si="45"/>
        <v>0</v>
      </c>
      <c r="CU44">
        <f t="shared" si="46"/>
        <v>0</v>
      </c>
      <c r="CV44">
        <f t="shared" si="47"/>
        <v>0</v>
      </c>
      <c r="CW44">
        <f t="shared" si="48"/>
        <v>0</v>
      </c>
      <c r="CX44">
        <f t="shared" si="49"/>
        <v>0</v>
      </c>
      <c r="CY44">
        <f t="shared" si="50"/>
        <v>0</v>
      </c>
      <c r="CZ44">
        <f t="shared" si="51"/>
        <v>0</v>
      </c>
      <c r="DC44" t="s">
        <v>3</v>
      </c>
      <c r="DD44" t="s">
        <v>3</v>
      </c>
      <c r="DE44" t="s">
        <v>3</v>
      </c>
      <c r="DF44" t="s">
        <v>3</v>
      </c>
      <c r="DG44" t="s">
        <v>3</v>
      </c>
      <c r="DH44" t="s">
        <v>3</v>
      </c>
      <c r="DI44" t="s">
        <v>3</v>
      </c>
      <c r="DJ44" t="s">
        <v>3</v>
      </c>
      <c r="DK44" t="s">
        <v>3</v>
      </c>
      <c r="DL44" t="s">
        <v>3</v>
      </c>
      <c r="DM44" t="s">
        <v>3</v>
      </c>
      <c r="DN44">
        <v>0</v>
      </c>
      <c r="DO44">
        <v>0</v>
      </c>
      <c r="DP44">
        <v>1</v>
      </c>
      <c r="DQ44">
        <v>1</v>
      </c>
      <c r="DU44">
        <v>1005</v>
      </c>
      <c r="DV44" t="s">
        <v>101</v>
      </c>
      <c r="DW44" t="s">
        <v>101</v>
      </c>
      <c r="DX44">
        <v>1</v>
      </c>
      <c r="DZ44" t="s">
        <v>3</v>
      </c>
      <c r="EA44" t="s">
        <v>3</v>
      </c>
      <c r="EB44" t="s">
        <v>3</v>
      </c>
      <c r="EC44" t="s">
        <v>3</v>
      </c>
      <c r="EE44">
        <v>53151352</v>
      </c>
      <c r="EF44">
        <v>2</v>
      </c>
      <c r="EG44" t="s">
        <v>76</v>
      </c>
      <c r="EH44">
        <v>15</v>
      </c>
      <c r="EI44" t="s">
        <v>120</v>
      </c>
      <c r="EJ44">
        <v>1</v>
      </c>
      <c r="EK44">
        <v>15001</v>
      </c>
      <c r="EL44" t="s">
        <v>120</v>
      </c>
      <c r="EM44" t="s">
        <v>121</v>
      </c>
      <c r="EO44" t="s">
        <v>3</v>
      </c>
      <c r="EQ44">
        <v>512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FQ44">
        <v>0</v>
      </c>
      <c r="FR44">
        <f t="shared" si="25"/>
        <v>0</v>
      </c>
      <c r="FS44">
        <v>0</v>
      </c>
      <c r="FX44">
        <v>100</v>
      </c>
      <c r="FY44">
        <v>49</v>
      </c>
      <c r="GA44" t="s">
        <v>3</v>
      </c>
      <c r="GD44">
        <v>1</v>
      </c>
      <c r="GF44">
        <v>-924750407</v>
      </c>
      <c r="GG44">
        <v>2</v>
      </c>
      <c r="GH44">
        <v>1</v>
      </c>
      <c r="GI44">
        <v>4</v>
      </c>
      <c r="GJ44">
        <v>0</v>
      </c>
      <c r="GK44">
        <v>0</v>
      </c>
      <c r="GL44">
        <f t="shared" si="26"/>
        <v>0</v>
      </c>
      <c r="GM44">
        <f t="shared" si="52"/>
        <v>0</v>
      </c>
      <c r="GN44">
        <f t="shared" si="27"/>
        <v>0</v>
      </c>
      <c r="GO44">
        <f t="shared" si="28"/>
        <v>0</v>
      </c>
      <c r="GP44">
        <f t="shared" si="29"/>
        <v>0</v>
      </c>
      <c r="GR44">
        <v>0</v>
      </c>
      <c r="GS44">
        <v>3</v>
      </c>
      <c r="GT44">
        <v>0</v>
      </c>
      <c r="GU44" t="s">
        <v>3</v>
      </c>
      <c r="GV44">
        <f t="shared" si="53"/>
        <v>0</v>
      </c>
      <c r="GW44">
        <v>1</v>
      </c>
      <c r="GX44">
        <f t="shared" si="54"/>
        <v>0</v>
      </c>
      <c r="HA44">
        <v>0</v>
      </c>
      <c r="HB44">
        <v>0</v>
      </c>
      <c r="HC44">
        <f t="shared" si="55"/>
        <v>0</v>
      </c>
      <c r="HE44" t="s">
        <v>3</v>
      </c>
      <c r="HF44" t="s">
        <v>3</v>
      </c>
      <c r="HM44" t="s">
        <v>3</v>
      </c>
      <c r="HN44" t="s">
        <v>122</v>
      </c>
      <c r="HO44" t="s">
        <v>123</v>
      </c>
      <c r="HP44" t="s">
        <v>120</v>
      </c>
      <c r="HQ44" t="s">
        <v>120</v>
      </c>
      <c r="IK44">
        <v>0</v>
      </c>
    </row>
    <row r="45" spans="1:245" x14ac:dyDescent="0.2">
      <c r="A45">
        <v>18</v>
      </c>
      <c r="B45">
        <v>1</v>
      </c>
      <c r="C45">
        <v>57</v>
      </c>
      <c r="E45" t="s">
        <v>127</v>
      </c>
      <c r="F45" t="s">
        <v>125</v>
      </c>
      <c r="G45" t="s">
        <v>128</v>
      </c>
      <c r="H45" t="s">
        <v>101</v>
      </c>
      <c r="I45">
        <f>I43*J45</f>
        <v>10.870200000000001</v>
      </c>
      <c r="J45">
        <v>81</v>
      </c>
      <c r="K45">
        <v>81</v>
      </c>
      <c r="O45">
        <f t="shared" si="30"/>
        <v>0</v>
      </c>
      <c r="P45">
        <f t="shared" si="31"/>
        <v>0</v>
      </c>
      <c r="Q45">
        <f>(ROUND((ROUND(((ET45)*I45),2)*BB45),2)+ROUND((ROUND(((AE45-(EU45))*I45),2)*BS45),2))</f>
        <v>0</v>
      </c>
      <c r="R45">
        <f>(ROUND((ROUND(((EU45)*I45),2)*BS45),2)+ROUND((ROUND(((AE45-(EU45))*I45),2)*BS45),2))</f>
        <v>0</v>
      </c>
      <c r="S45">
        <f t="shared" si="32"/>
        <v>0</v>
      </c>
      <c r="T45">
        <f t="shared" si="33"/>
        <v>0</v>
      </c>
      <c r="U45">
        <f t="shared" si="34"/>
        <v>0</v>
      </c>
      <c r="V45">
        <f t="shared" si="35"/>
        <v>0</v>
      </c>
      <c r="W45">
        <f t="shared" si="36"/>
        <v>0</v>
      </c>
      <c r="X45">
        <f t="shared" si="37"/>
        <v>0</v>
      </c>
      <c r="Y45">
        <f t="shared" si="38"/>
        <v>0</v>
      </c>
      <c r="AA45">
        <v>53360025</v>
      </c>
      <c r="AB45">
        <f t="shared" si="39"/>
        <v>0</v>
      </c>
      <c r="AC45">
        <f t="shared" si="40"/>
        <v>0</v>
      </c>
      <c r="AD45">
        <f>ROUND((((ET45)-(EU45))+AE45),6)</f>
        <v>0</v>
      </c>
      <c r="AE45">
        <f t="shared" si="58"/>
        <v>0</v>
      </c>
      <c r="AF45">
        <f t="shared" si="58"/>
        <v>0</v>
      </c>
      <c r="AG45">
        <f t="shared" si="41"/>
        <v>0</v>
      </c>
      <c r="AH45">
        <f t="shared" si="59"/>
        <v>0</v>
      </c>
      <c r="AI45">
        <f t="shared" si="59"/>
        <v>0</v>
      </c>
      <c r="AJ45">
        <f t="shared" si="42"/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100</v>
      </c>
      <c r="AU45">
        <v>49</v>
      </c>
      <c r="AV45">
        <v>1</v>
      </c>
      <c r="AW45">
        <v>1</v>
      </c>
      <c r="AZ45">
        <v>1</v>
      </c>
      <c r="BA45">
        <v>1</v>
      </c>
      <c r="BB45">
        <v>1</v>
      </c>
      <c r="BC45">
        <v>8.7899999999999991</v>
      </c>
      <c r="BD45" t="s">
        <v>3</v>
      </c>
      <c r="BE45" t="s">
        <v>3</v>
      </c>
      <c r="BF45" t="s">
        <v>3</v>
      </c>
      <c r="BG45" t="s">
        <v>3</v>
      </c>
      <c r="BH45">
        <v>3</v>
      </c>
      <c r="BI45">
        <v>1</v>
      </c>
      <c r="BJ45" t="s">
        <v>3</v>
      </c>
      <c r="BM45">
        <v>15001</v>
      </c>
      <c r="BN45">
        <v>0</v>
      </c>
      <c r="BO45" t="s">
        <v>33</v>
      </c>
      <c r="BP45">
        <v>1</v>
      </c>
      <c r="BQ45">
        <v>2</v>
      </c>
      <c r="BR45">
        <v>0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 t="s">
        <v>3</v>
      </c>
      <c r="BZ45">
        <v>100</v>
      </c>
      <c r="CA45">
        <v>49</v>
      </c>
      <c r="CB45" t="s">
        <v>3</v>
      </c>
      <c r="CE45">
        <v>12</v>
      </c>
      <c r="CF45">
        <v>0</v>
      </c>
      <c r="CG45">
        <v>0</v>
      </c>
      <c r="CM45">
        <v>0</v>
      </c>
      <c r="CN45" t="s">
        <v>3</v>
      </c>
      <c r="CO45">
        <v>0</v>
      </c>
      <c r="CP45">
        <f t="shared" si="43"/>
        <v>0</v>
      </c>
      <c r="CQ45">
        <f t="shared" si="44"/>
        <v>0</v>
      </c>
      <c r="CR45">
        <f>(ROUND((ROUND(((ET45)*1),2)*BB45),2)+ROUND((ROUND(((AE45-(EU45))*1),2)*BS45),2))</f>
        <v>0</v>
      </c>
      <c r="CS45">
        <f>(ROUND((ROUND(((EU45)*1),2)*BS45),2)+ROUND((ROUND(((AE45-(EU45))*1),2)*BS45),2))</f>
        <v>0</v>
      </c>
      <c r="CT45">
        <f t="shared" si="45"/>
        <v>0</v>
      </c>
      <c r="CU45">
        <f t="shared" si="46"/>
        <v>0</v>
      </c>
      <c r="CV45">
        <f t="shared" si="47"/>
        <v>0</v>
      </c>
      <c r="CW45">
        <f t="shared" si="48"/>
        <v>0</v>
      </c>
      <c r="CX45">
        <f t="shared" si="49"/>
        <v>0</v>
      </c>
      <c r="CY45">
        <f t="shared" si="50"/>
        <v>0</v>
      </c>
      <c r="CZ45">
        <f t="shared" si="51"/>
        <v>0</v>
      </c>
      <c r="DC45" t="s">
        <v>3</v>
      </c>
      <c r="DD45" t="s">
        <v>3</v>
      </c>
      <c r="DE45" t="s">
        <v>3</v>
      </c>
      <c r="DF45" t="s">
        <v>3</v>
      </c>
      <c r="DG45" t="s">
        <v>3</v>
      </c>
      <c r="DH45" t="s">
        <v>3</v>
      </c>
      <c r="DI45" t="s">
        <v>3</v>
      </c>
      <c r="DJ45" t="s">
        <v>3</v>
      </c>
      <c r="DK45" t="s">
        <v>3</v>
      </c>
      <c r="DL45" t="s">
        <v>3</v>
      </c>
      <c r="DM45" t="s">
        <v>3</v>
      </c>
      <c r="DN45">
        <v>0</v>
      </c>
      <c r="DO45">
        <v>0</v>
      </c>
      <c r="DP45">
        <v>1</v>
      </c>
      <c r="DQ45">
        <v>1</v>
      </c>
      <c r="DU45">
        <v>1005</v>
      </c>
      <c r="DV45" t="s">
        <v>101</v>
      </c>
      <c r="DW45" t="s">
        <v>101</v>
      </c>
      <c r="DX45">
        <v>1</v>
      </c>
      <c r="DZ45" t="s">
        <v>3</v>
      </c>
      <c r="EA45" t="s">
        <v>3</v>
      </c>
      <c r="EB45" t="s">
        <v>3</v>
      </c>
      <c r="EC45" t="s">
        <v>3</v>
      </c>
      <c r="EE45">
        <v>53151352</v>
      </c>
      <c r="EF45">
        <v>2</v>
      </c>
      <c r="EG45" t="s">
        <v>76</v>
      </c>
      <c r="EH45">
        <v>15</v>
      </c>
      <c r="EI45" t="s">
        <v>120</v>
      </c>
      <c r="EJ45">
        <v>1</v>
      </c>
      <c r="EK45">
        <v>15001</v>
      </c>
      <c r="EL45" t="s">
        <v>120</v>
      </c>
      <c r="EM45" t="s">
        <v>121</v>
      </c>
      <c r="EO45" t="s">
        <v>3</v>
      </c>
      <c r="EQ45">
        <v>512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FQ45">
        <v>0</v>
      </c>
      <c r="FR45">
        <f t="shared" si="25"/>
        <v>0</v>
      </c>
      <c r="FS45">
        <v>0</v>
      </c>
      <c r="FX45">
        <v>100</v>
      </c>
      <c r="FY45">
        <v>49</v>
      </c>
      <c r="GA45" t="s">
        <v>3</v>
      </c>
      <c r="GD45">
        <v>1</v>
      </c>
      <c r="GF45">
        <v>1478736296</v>
      </c>
      <c r="GG45">
        <v>2</v>
      </c>
      <c r="GH45">
        <v>1</v>
      </c>
      <c r="GI45">
        <v>4</v>
      </c>
      <c r="GJ45">
        <v>0</v>
      </c>
      <c r="GK45">
        <v>0</v>
      </c>
      <c r="GL45">
        <f t="shared" si="26"/>
        <v>0</v>
      </c>
      <c r="GM45">
        <f t="shared" si="52"/>
        <v>0</v>
      </c>
      <c r="GN45">
        <f t="shared" si="27"/>
        <v>0</v>
      </c>
      <c r="GO45">
        <f t="shared" si="28"/>
        <v>0</v>
      </c>
      <c r="GP45">
        <f t="shared" si="29"/>
        <v>0</v>
      </c>
      <c r="GR45">
        <v>0</v>
      </c>
      <c r="GS45">
        <v>3</v>
      </c>
      <c r="GT45">
        <v>0</v>
      </c>
      <c r="GU45" t="s">
        <v>3</v>
      </c>
      <c r="GV45">
        <f t="shared" si="53"/>
        <v>0</v>
      </c>
      <c r="GW45">
        <v>1</v>
      </c>
      <c r="GX45">
        <f t="shared" si="54"/>
        <v>0</v>
      </c>
      <c r="HA45">
        <v>0</v>
      </c>
      <c r="HB45">
        <v>0</v>
      </c>
      <c r="HC45">
        <f t="shared" si="55"/>
        <v>0</v>
      </c>
      <c r="HE45" t="s">
        <v>3</v>
      </c>
      <c r="HF45" t="s">
        <v>3</v>
      </c>
      <c r="HM45" t="s">
        <v>3</v>
      </c>
      <c r="HN45" t="s">
        <v>122</v>
      </c>
      <c r="HO45" t="s">
        <v>123</v>
      </c>
      <c r="HP45" t="s">
        <v>120</v>
      </c>
      <c r="HQ45" t="s">
        <v>120</v>
      </c>
      <c r="IK45">
        <v>0</v>
      </c>
    </row>
    <row r="46" spans="1:245" x14ac:dyDescent="0.2">
      <c r="A46">
        <v>18</v>
      </c>
      <c r="B46">
        <v>1</v>
      </c>
      <c r="C46">
        <v>54</v>
      </c>
      <c r="E46" t="s">
        <v>129</v>
      </c>
      <c r="F46" t="s">
        <v>113</v>
      </c>
      <c r="G46" t="s">
        <v>114</v>
      </c>
      <c r="H46" t="s">
        <v>101</v>
      </c>
      <c r="I46">
        <f>I43*J46</f>
        <v>13.5542</v>
      </c>
      <c r="J46">
        <v>100.99999999999999</v>
      </c>
      <c r="K46">
        <v>101</v>
      </c>
      <c r="O46">
        <f t="shared" si="30"/>
        <v>5698.53</v>
      </c>
      <c r="P46">
        <f t="shared" si="31"/>
        <v>5698.53</v>
      </c>
      <c r="Q46">
        <f>(ROUND((ROUND(((ET46)*I46),2)*BB46),2)+ROUND((ROUND(((AE46-(EU46))*I46),2)*BS46),2))</f>
        <v>0</v>
      </c>
      <c r="R46">
        <f>(ROUND((ROUND(((EU46)*I46),2)*BS46),2)+ROUND((ROUND(((AE46-(EU46))*I46),2)*BS46),2))</f>
        <v>0</v>
      </c>
      <c r="S46">
        <f t="shared" si="32"/>
        <v>0</v>
      </c>
      <c r="T46">
        <f t="shared" si="33"/>
        <v>0</v>
      </c>
      <c r="U46">
        <f t="shared" si="34"/>
        <v>0</v>
      </c>
      <c r="V46">
        <f t="shared" si="35"/>
        <v>0</v>
      </c>
      <c r="W46">
        <f t="shared" si="36"/>
        <v>0</v>
      </c>
      <c r="X46">
        <f t="shared" si="37"/>
        <v>0</v>
      </c>
      <c r="Y46">
        <f t="shared" si="38"/>
        <v>0</v>
      </c>
      <c r="AA46">
        <v>53360025</v>
      </c>
      <c r="AB46">
        <f t="shared" si="39"/>
        <v>47.83</v>
      </c>
      <c r="AC46">
        <f t="shared" si="40"/>
        <v>47.83</v>
      </c>
      <c r="AD46">
        <f>ROUND((((ET46)-(EU46))+AE46),6)</f>
        <v>0</v>
      </c>
      <c r="AE46">
        <f t="shared" si="58"/>
        <v>0</v>
      </c>
      <c r="AF46">
        <f t="shared" si="58"/>
        <v>0</v>
      </c>
      <c r="AG46">
        <f t="shared" si="41"/>
        <v>0</v>
      </c>
      <c r="AH46">
        <f t="shared" si="59"/>
        <v>0</v>
      </c>
      <c r="AI46">
        <f t="shared" si="59"/>
        <v>0</v>
      </c>
      <c r="AJ46">
        <f t="shared" si="42"/>
        <v>0</v>
      </c>
      <c r="AK46">
        <v>47.83</v>
      </c>
      <c r="AL46">
        <v>47.83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112</v>
      </c>
      <c r="AU46">
        <v>65</v>
      </c>
      <c r="AV46">
        <v>1</v>
      </c>
      <c r="AW46">
        <v>1</v>
      </c>
      <c r="AZ46">
        <v>1</v>
      </c>
      <c r="BA46">
        <v>1</v>
      </c>
      <c r="BB46">
        <v>1</v>
      </c>
      <c r="BC46">
        <v>8.7899999999999991</v>
      </c>
      <c r="BD46" t="s">
        <v>3</v>
      </c>
      <c r="BE46" t="s">
        <v>3</v>
      </c>
      <c r="BF46" t="s">
        <v>3</v>
      </c>
      <c r="BG46" t="s">
        <v>3</v>
      </c>
      <c r="BH46">
        <v>3</v>
      </c>
      <c r="BI46">
        <v>1</v>
      </c>
      <c r="BJ46" t="s">
        <v>115</v>
      </c>
      <c r="BM46">
        <v>11001</v>
      </c>
      <c r="BN46">
        <v>0</v>
      </c>
      <c r="BO46" t="s">
        <v>33</v>
      </c>
      <c r="BP46">
        <v>1</v>
      </c>
      <c r="BQ46">
        <v>2</v>
      </c>
      <c r="BR46">
        <v>0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1</v>
      </c>
      <c r="BY46" t="s">
        <v>3</v>
      </c>
      <c r="BZ46">
        <v>112</v>
      </c>
      <c r="CA46">
        <v>65</v>
      </c>
      <c r="CB46" t="s">
        <v>3</v>
      </c>
      <c r="CE46">
        <v>12</v>
      </c>
      <c r="CF46">
        <v>0</v>
      </c>
      <c r="CG46">
        <v>0</v>
      </c>
      <c r="CM46">
        <v>0</v>
      </c>
      <c r="CN46" t="s">
        <v>3</v>
      </c>
      <c r="CO46">
        <v>0</v>
      </c>
      <c r="CP46">
        <f t="shared" si="43"/>
        <v>5698.53</v>
      </c>
      <c r="CQ46">
        <f t="shared" si="44"/>
        <v>420.42569999999995</v>
      </c>
      <c r="CR46">
        <f>(ROUND((ROUND(((ET46)*1),2)*BB46),2)+ROUND((ROUND(((AE46-(EU46))*1),2)*BS46),2))</f>
        <v>0</v>
      </c>
      <c r="CS46">
        <f>(ROUND((ROUND(((EU46)*1),2)*BS46),2)+ROUND((ROUND(((AE46-(EU46))*1),2)*BS46),2))</f>
        <v>0</v>
      </c>
      <c r="CT46">
        <f t="shared" si="45"/>
        <v>0</v>
      </c>
      <c r="CU46">
        <f t="shared" si="46"/>
        <v>0</v>
      </c>
      <c r="CV46">
        <f t="shared" si="47"/>
        <v>0</v>
      </c>
      <c r="CW46">
        <f t="shared" si="48"/>
        <v>0</v>
      </c>
      <c r="CX46">
        <f t="shared" si="49"/>
        <v>0</v>
      </c>
      <c r="CY46">
        <f t="shared" si="50"/>
        <v>0</v>
      </c>
      <c r="CZ46">
        <f t="shared" si="51"/>
        <v>0</v>
      </c>
      <c r="DC46" t="s">
        <v>3</v>
      </c>
      <c r="DD46" t="s">
        <v>3</v>
      </c>
      <c r="DE46" t="s">
        <v>3</v>
      </c>
      <c r="DF46" t="s">
        <v>3</v>
      </c>
      <c r="DG46" t="s">
        <v>3</v>
      </c>
      <c r="DH46" t="s">
        <v>3</v>
      </c>
      <c r="DI46" t="s">
        <v>3</v>
      </c>
      <c r="DJ46" t="s">
        <v>3</v>
      </c>
      <c r="DK46" t="s">
        <v>3</v>
      </c>
      <c r="DL46" t="s">
        <v>3</v>
      </c>
      <c r="DM46" t="s">
        <v>3</v>
      </c>
      <c r="DN46">
        <v>0</v>
      </c>
      <c r="DO46">
        <v>0</v>
      </c>
      <c r="DP46">
        <v>1</v>
      </c>
      <c r="DQ46">
        <v>1</v>
      </c>
      <c r="DU46">
        <v>1005</v>
      </c>
      <c r="DV46" t="s">
        <v>101</v>
      </c>
      <c r="DW46" t="s">
        <v>101</v>
      </c>
      <c r="DX46">
        <v>1</v>
      </c>
      <c r="DZ46" t="s">
        <v>3</v>
      </c>
      <c r="EA46" t="s">
        <v>3</v>
      </c>
      <c r="EB46" t="s">
        <v>3</v>
      </c>
      <c r="EC46" t="s">
        <v>3</v>
      </c>
      <c r="EE46">
        <v>53151326</v>
      </c>
      <c r="EF46">
        <v>2</v>
      </c>
      <c r="EG46" t="s">
        <v>76</v>
      </c>
      <c r="EH46">
        <v>11</v>
      </c>
      <c r="EI46" t="s">
        <v>25</v>
      </c>
      <c r="EJ46">
        <v>1</v>
      </c>
      <c r="EK46">
        <v>11001</v>
      </c>
      <c r="EL46" t="s">
        <v>25</v>
      </c>
      <c r="EM46" t="s">
        <v>95</v>
      </c>
      <c r="EO46" t="s">
        <v>3</v>
      </c>
      <c r="EQ46">
        <v>512</v>
      </c>
      <c r="ER46">
        <v>47.83</v>
      </c>
      <c r="ES46">
        <v>47.83</v>
      </c>
      <c r="ET46">
        <v>0</v>
      </c>
      <c r="EU46">
        <v>0</v>
      </c>
      <c r="EV46">
        <v>0</v>
      </c>
      <c r="EW46">
        <v>0</v>
      </c>
      <c r="EX46">
        <v>0</v>
      </c>
      <c r="FQ46">
        <v>0</v>
      </c>
      <c r="FR46">
        <f t="shared" si="25"/>
        <v>0</v>
      </c>
      <c r="FS46">
        <v>0</v>
      </c>
      <c r="FX46">
        <v>112</v>
      </c>
      <c r="FY46">
        <v>65</v>
      </c>
      <c r="GA46" t="s">
        <v>3</v>
      </c>
      <c r="GD46">
        <v>1</v>
      </c>
      <c r="GF46">
        <v>-773684841</v>
      </c>
      <c r="GG46">
        <v>2</v>
      </c>
      <c r="GH46">
        <v>1</v>
      </c>
      <c r="GI46">
        <v>4</v>
      </c>
      <c r="GJ46">
        <v>0</v>
      </c>
      <c r="GK46">
        <v>0</v>
      </c>
      <c r="GL46">
        <f t="shared" si="26"/>
        <v>0</v>
      </c>
      <c r="GM46">
        <f t="shared" si="52"/>
        <v>5698.53</v>
      </c>
      <c r="GN46">
        <f t="shared" si="27"/>
        <v>5698.53</v>
      </c>
      <c r="GO46">
        <f t="shared" si="28"/>
        <v>0</v>
      </c>
      <c r="GP46">
        <f t="shared" si="29"/>
        <v>0</v>
      </c>
      <c r="GR46">
        <v>0</v>
      </c>
      <c r="GS46">
        <v>3</v>
      </c>
      <c r="GT46">
        <v>0</v>
      </c>
      <c r="GU46" t="s">
        <v>3</v>
      </c>
      <c r="GV46">
        <f t="shared" si="53"/>
        <v>0</v>
      </c>
      <c r="GW46">
        <v>1</v>
      </c>
      <c r="GX46">
        <f t="shared" si="54"/>
        <v>0</v>
      </c>
      <c r="HA46">
        <v>0</v>
      </c>
      <c r="HB46">
        <v>0</v>
      </c>
      <c r="HC46">
        <f t="shared" si="55"/>
        <v>0</v>
      </c>
      <c r="HE46" t="s">
        <v>3</v>
      </c>
      <c r="HF46" t="s">
        <v>3</v>
      </c>
      <c r="HM46" t="s">
        <v>3</v>
      </c>
      <c r="HN46" t="s">
        <v>96</v>
      </c>
      <c r="HO46" t="s">
        <v>97</v>
      </c>
      <c r="HP46" t="s">
        <v>25</v>
      </c>
      <c r="HQ46" t="s">
        <v>25</v>
      </c>
      <c r="IK46">
        <v>0</v>
      </c>
    </row>
    <row r="47" spans="1:245" x14ac:dyDescent="0.2">
      <c r="A47">
        <v>17</v>
      </c>
      <c r="B47">
        <v>1</v>
      </c>
      <c r="C47">
        <f>ROW(SmtRes!A70)</f>
        <v>70</v>
      </c>
      <c r="D47">
        <f>ROW(EtalonRes!A62)</f>
        <v>62</v>
      </c>
      <c r="E47" t="s">
        <v>130</v>
      </c>
      <c r="F47" t="s">
        <v>131</v>
      </c>
      <c r="G47" t="s">
        <v>132</v>
      </c>
      <c r="H47" t="s">
        <v>22</v>
      </c>
      <c r="I47">
        <f>ROUND(8.1/100,7)</f>
        <v>8.1000000000000003E-2</v>
      </c>
      <c r="J47">
        <v>0</v>
      </c>
      <c r="K47">
        <f>ROUND(8.1/100,7)</f>
        <v>8.1000000000000003E-2</v>
      </c>
      <c r="O47">
        <f t="shared" si="30"/>
        <v>10088.81</v>
      </c>
      <c r="P47">
        <f t="shared" si="31"/>
        <v>720.97</v>
      </c>
      <c r="Q47">
        <f>(ROUND((ROUND((((ET47*ROUND(1.25,7)))*I47),2)*BB47),2)+ROUND((ROUND(((AE47-((EU47*ROUND(1.25,7))))*I47),2)*BS47),2))</f>
        <v>69.650000000000006</v>
      </c>
      <c r="R47">
        <f>(ROUND((ROUND((((EU47*ROUND(1.25,7)))*I47),2)*BS47),2)+ROUND((ROUND(((AE47-((EU47*ROUND(1.25,7))))*I47),2)*BS47),2))</f>
        <v>69.61</v>
      </c>
      <c r="S47">
        <f t="shared" si="32"/>
        <v>9298.19</v>
      </c>
      <c r="T47">
        <f t="shared" si="33"/>
        <v>0</v>
      </c>
      <c r="U47">
        <f t="shared" si="34"/>
        <v>25.150500000000001</v>
      </c>
      <c r="V47">
        <f t="shared" si="35"/>
        <v>0.13364999999999999</v>
      </c>
      <c r="W47">
        <f t="shared" si="36"/>
        <v>0</v>
      </c>
      <c r="X47">
        <f t="shared" si="37"/>
        <v>8431.02</v>
      </c>
      <c r="Y47">
        <f t="shared" si="38"/>
        <v>3901.69</v>
      </c>
      <c r="AA47">
        <v>53360025</v>
      </c>
      <c r="AB47">
        <f t="shared" si="39"/>
        <v>3990.96</v>
      </c>
      <c r="AC47">
        <f t="shared" si="40"/>
        <v>1012.61</v>
      </c>
      <c r="AD47">
        <f>ROUND(((((ET47*ROUND(1.25,7)))-((EU47*ROUND(1.25,7))))+AE47),6)</f>
        <v>59.65</v>
      </c>
      <c r="AE47">
        <f>ROUND(((EU47*ROUND(1.25,7))),6)</f>
        <v>21.8125</v>
      </c>
      <c r="AF47">
        <f>ROUND(((EV47*ROUND(1.15,7))),6)</f>
        <v>2918.7</v>
      </c>
      <c r="AG47">
        <f t="shared" si="41"/>
        <v>0</v>
      </c>
      <c r="AH47">
        <f>((EW47*ROUND(1.15,7)))</f>
        <v>310.5</v>
      </c>
      <c r="AI47">
        <f>((EX47*ROUND(1.25,7)))</f>
        <v>1.6500000000000001</v>
      </c>
      <c r="AJ47">
        <f t="shared" si="42"/>
        <v>0</v>
      </c>
      <c r="AK47">
        <v>3598.33</v>
      </c>
      <c r="AL47">
        <v>1012.61</v>
      </c>
      <c r="AM47">
        <v>47.72</v>
      </c>
      <c r="AN47">
        <v>17.45</v>
      </c>
      <c r="AO47">
        <v>2538</v>
      </c>
      <c r="AP47">
        <v>0</v>
      </c>
      <c r="AQ47">
        <v>270</v>
      </c>
      <c r="AR47">
        <v>1.32</v>
      </c>
      <c r="AS47">
        <v>0</v>
      </c>
      <c r="AT47">
        <v>90</v>
      </c>
      <c r="AU47">
        <v>41.65</v>
      </c>
      <c r="AV47">
        <v>1</v>
      </c>
      <c r="AW47">
        <v>1</v>
      </c>
      <c r="AZ47">
        <v>1</v>
      </c>
      <c r="BA47">
        <v>39.33</v>
      </c>
      <c r="BB47">
        <v>14.42</v>
      </c>
      <c r="BC47">
        <v>8.7899999999999991</v>
      </c>
      <c r="BD47" t="s">
        <v>3</v>
      </c>
      <c r="BE47" t="s">
        <v>3</v>
      </c>
      <c r="BF47" t="s">
        <v>3</v>
      </c>
      <c r="BG47" t="s">
        <v>3</v>
      </c>
      <c r="BH47">
        <v>0</v>
      </c>
      <c r="BI47">
        <v>1</v>
      </c>
      <c r="BJ47" t="s">
        <v>133</v>
      </c>
      <c r="BM47">
        <v>15001</v>
      </c>
      <c r="BN47">
        <v>0</v>
      </c>
      <c r="BO47" t="s">
        <v>457</v>
      </c>
      <c r="BP47">
        <v>1</v>
      </c>
      <c r="BQ47">
        <v>2</v>
      </c>
      <c r="BR47">
        <v>0</v>
      </c>
      <c r="BS47">
        <v>39.33</v>
      </c>
      <c r="BT47">
        <v>1</v>
      </c>
      <c r="BU47">
        <v>1</v>
      </c>
      <c r="BV47">
        <v>1</v>
      </c>
      <c r="BW47">
        <v>1</v>
      </c>
      <c r="BX47">
        <v>1</v>
      </c>
      <c r="BY47" t="s">
        <v>3</v>
      </c>
      <c r="BZ47">
        <v>100</v>
      </c>
      <c r="CA47">
        <v>49</v>
      </c>
      <c r="CB47" t="s">
        <v>3</v>
      </c>
      <c r="CE47">
        <v>12</v>
      </c>
      <c r="CF47">
        <v>0</v>
      </c>
      <c r="CG47">
        <v>0</v>
      </c>
      <c r="CM47">
        <v>0</v>
      </c>
      <c r="CN47" t="s">
        <v>459</v>
      </c>
      <c r="CO47">
        <v>0</v>
      </c>
      <c r="CP47">
        <f t="shared" si="43"/>
        <v>10088.810000000001</v>
      </c>
      <c r="CQ47">
        <f t="shared" si="44"/>
        <v>8900.8418999999994</v>
      </c>
      <c r="CR47">
        <f>(ROUND((ROUND((((ET47*ROUND(1.25,7)))*1),2)*BB47),2)+ROUND((ROUND(((AE47-((EU47*ROUND(1.25,7))))*1),2)*BS47),2))</f>
        <v>860.15</v>
      </c>
      <c r="CS47">
        <f>(ROUND((ROUND((((EU47*ROUND(1.25,7)))*1),2)*BS47),2)+ROUND((ROUND(((AE47-((EU47*ROUND(1.25,7))))*1),2)*BS47),2))</f>
        <v>857.79</v>
      </c>
      <c r="CT47">
        <f t="shared" si="45"/>
        <v>114792.47099999999</v>
      </c>
      <c r="CU47">
        <f t="shared" si="46"/>
        <v>0</v>
      </c>
      <c r="CV47">
        <f t="shared" si="47"/>
        <v>310.5</v>
      </c>
      <c r="CW47">
        <f t="shared" si="48"/>
        <v>1.6500000000000001</v>
      </c>
      <c r="CX47">
        <f t="shared" si="49"/>
        <v>0</v>
      </c>
      <c r="CY47">
        <f t="shared" si="50"/>
        <v>8431.02</v>
      </c>
      <c r="CZ47">
        <f t="shared" si="51"/>
        <v>3901.6887000000006</v>
      </c>
      <c r="DB47">
        <v>4</v>
      </c>
      <c r="DC47" t="s">
        <v>3</v>
      </c>
      <c r="DD47" t="s">
        <v>3</v>
      </c>
      <c r="DE47" t="s">
        <v>72</v>
      </c>
      <c r="DF47" t="s">
        <v>72</v>
      </c>
      <c r="DG47" t="s">
        <v>73</v>
      </c>
      <c r="DH47" t="s">
        <v>3</v>
      </c>
      <c r="DI47" t="s">
        <v>73</v>
      </c>
      <c r="DJ47" t="s">
        <v>72</v>
      </c>
      <c r="DK47" t="s">
        <v>3</v>
      </c>
      <c r="DL47" t="s">
        <v>74</v>
      </c>
      <c r="DM47" t="s">
        <v>75</v>
      </c>
      <c r="DN47">
        <v>0</v>
      </c>
      <c r="DO47">
        <v>0</v>
      </c>
      <c r="DP47">
        <v>1</v>
      </c>
      <c r="DQ47">
        <v>1</v>
      </c>
      <c r="DU47">
        <v>1005</v>
      </c>
      <c r="DV47" t="s">
        <v>22</v>
      </c>
      <c r="DW47" t="s">
        <v>22</v>
      </c>
      <c r="DX47">
        <v>100</v>
      </c>
      <c r="DZ47" t="s">
        <v>3</v>
      </c>
      <c r="EA47" t="s">
        <v>3</v>
      </c>
      <c r="EB47" t="s">
        <v>3</v>
      </c>
      <c r="EC47" t="s">
        <v>3</v>
      </c>
      <c r="EE47">
        <v>53151352</v>
      </c>
      <c r="EF47">
        <v>2</v>
      </c>
      <c r="EG47" t="s">
        <v>76</v>
      </c>
      <c r="EH47">
        <v>15</v>
      </c>
      <c r="EI47" t="s">
        <v>120</v>
      </c>
      <c r="EJ47">
        <v>1</v>
      </c>
      <c r="EK47">
        <v>15001</v>
      </c>
      <c r="EL47" t="s">
        <v>120</v>
      </c>
      <c r="EM47" t="s">
        <v>121</v>
      </c>
      <c r="EO47" t="s">
        <v>79</v>
      </c>
      <c r="EQ47">
        <v>1311232</v>
      </c>
      <c r="ER47">
        <v>3598.33</v>
      </c>
      <c r="ES47">
        <v>1012.61</v>
      </c>
      <c r="ET47">
        <v>47.72</v>
      </c>
      <c r="EU47">
        <v>17.45</v>
      </c>
      <c r="EV47">
        <v>2538</v>
      </c>
      <c r="EW47">
        <v>270</v>
      </c>
      <c r="EX47">
        <v>1.32</v>
      </c>
      <c r="EY47">
        <v>0</v>
      </c>
      <c r="FQ47">
        <v>0</v>
      </c>
      <c r="FR47">
        <f t="shared" si="25"/>
        <v>0</v>
      </c>
      <c r="FS47">
        <v>0</v>
      </c>
      <c r="FX47">
        <v>90</v>
      </c>
      <c r="FY47">
        <v>41.65</v>
      </c>
      <c r="GA47" t="s">
        <v>3</v>
      </c>
      <c r="GD47">
        <v>1</v>
      </c>
      <c r="GF47">
        <v>-1699479731</v>
      </c>
      <c r="GG47">
        <v>2</v>
      </c>
      <c r="GH47">
        <v>1</v>
      </c>
      <c r="GI47">
        <v>4</v>
      </c>
      <c r="GJ47">
        <v>0</v>
      </c>
      <c r="GK47">
        <v>0</v>
      </c>
      <c r="GL47">
        <f t="shared" si="26"/>
        <v>0</v>
      </c>
      <c r="GM47">
        <f t="shared" si="52"/>
        <v>22421.52</v>
      </c>
      <c r="GN47">
        <f t="shared" si="27"/>
        <v>22421.52</v>
      </c>
      <c r="GO47">
        <f t="shared" si="28"/>
        <v>0</v>
      </c>
      <c r="GP47">
        <f t="shared" si="29"/>
        <v>0</v>
      </c>
      <c r="GR47">
        <v>0</v>
      </c>
      <c r="GS47">
        <v>3</v>
      </c>
      <c r="GT47">
        <v>0</v>
      </c>
      <c r="GU47" t="s">
        <v>3</v>
      </c>
      <c r="GV47">
        <f t="shared" si="53"/>
        <v>0</v>
      </c>
      <c r="GW47">
        <v>1</v>
      </c>
      <c r="GX47">
        <f t="shared" si="54"/>
        <v>0</v>
      </c>
      <c r="HA47">
        <v>0</v>
      </c>
      <c r="HB47">
        <v>0</v>
      </c>
      <c r="HC47">
        <f t="shared" si="55"/>
        <v>0</v>
      </c>
      <c r="HE47" t="s">
        <v>3</v>
      </c>
      <c r="HF47" t="s">
        <v>3</v>
      </c>
      <c r="HM47" t="s">
        <v>3</v>
      </c>
      <c r="HN47" t="s">
        <v>122</v>
      </c>
      <c r="HO47" t="s">
        <v>123</v>
      </c>
      <c r="HP47" t="s">
        <v>120</v>
      </c>
      <c r="HQ47" t="s">
        <v>120</v>
      </c>
      <c r="IK47">
        <v>0</v>
      </c>
    </row>
    <row r="48" spans="1:245" x14ac:dyDescent="0.2">
      <c r="A48">
        <v>18</v>
      </c>
      <c r="B48">
        <v>1</v>
      </c>
      <c r="C48">
        <v>69</v>
      </c>
      <c r="E48" t="s">
        <v>134</v>
      </c>
      <c r="F48" t="s">
        <v>113</v>
      </c>
      <c r="G48" t="s">
        <v>114</v>
      </c>
      <c r="H48" t="s">
        <v>101</v>
      </c>
      <c r="I48">
        <f>I47*J48</f>
        <v>8.1</v>
      </c>
      <c r="J48">
        <v>99.999999999999986</v>
      </c>
      <c r="K48">
        <v>100</v>
      </c>
      <c r="O48">
        <f t="shared" si="30"/>
        <v>3405.45</v>
      </c>
      <c r="P48">
        <f t="shared" si="31"/>
        <v>3405.45</v>
      </c>
      <c r="Q48">
        <f>(ROUND((ROUND(((ET48)*I48),2)*BB48),2)+ROUND((ROUND(((AE48-(EU48))*I48),2)*BS48),2))</f>
        <v>0</v>
      </c>
      <c r="R48">
        <f>(ROUND((ROUND(((EU48)*I48),2)*BS48),2)+ROUND((ROUND(((AE48-(EU48))*I48),2)*BS48),2))</f>
        <v>0</v>
      </c>
      <c r="S48">
        <f t="shared" si="32"/>
        <v>0</v>
      </c>
      <c r="T48">
        <f t="shared" si="33"/>
        <v>0</v>
      </c>
      <c r="U48">
        <f t="shared" si="34"/>
        <v>0</v>
      </c>
      <c r="V48">
        <f t="shared" si="35"/>
        <v>0</v>
      </c>
      <c r="W48">
        <f t="shared" si="36"/>
        <v>0</v>
      </c>
      <c r="X48">
        <f t="shared" si="37"/>
        <v>0</v>
      </c>
      <c r="Y48">
        <f t="shared" si="38"/>
        <v>0</v>
      </c>
      <c r="AA48">
        <v>53360025</v>
      </c>
      <c r="AB48">
        <f t="shared" si="39"/>
        <v>47.83</v>
      </c>
      <c r="AC48">
        <f t="shared" si="40"/>
        <v>47.83</v>
      </c>
      <c r="AD48">
        <f>ROUND((((ET48)-(EU48))+AE48),6)</f>
        <v>0</v>
      </c>
      <c r="AE48">
        <f t="shared" ref="AE48:AF52" si="60">ROUND((EU48),6)</f>
        <v>0</v>
      </c>
      <c r="AF48">
        <f t="shared" si="60"/>
        <v>0</v>
      </c>
      <c r="AG48">
        <f t="shared" si="41"/>
        <v>0</v>
      </c>
      <c r="AH48">
        <f t="shared" ref="AH48:AI52" si="61">(EW48)</f>
        <v>0</v>
      </c>
      <c r="AI48">
        <f t="shared" si="61"/>
        <v>0</v>
      </c>
      <c r="AJ48">
        <f t="shared" si="42"/>
        <v>0</v>
      </c>
      <c r="AK48">
        <v>47.83</v>
      </c>
      <c r="AL48">
        <v>47.83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112</v>
      </c>
      <c r="AU48">
        <v>65</v>
      </c>
      <c r="AV48">
        <v>1</v>
      </c>
      <c r="AW48">
        <v>1</v>
      </c>
      <c r="AZ48">
        <v>1</v>
      </c>
      <c r="BA48">
        <v>1</v>
      </c>
      <c r="BB48">
        <v>1</v>
      </c>
      <c r="BC48">
        <v>8.7899999999999991</v>
      </c>
      <c r="BD48" t="s">
        <v>3</v>
      </c>
      <c r="BE48" t="s">
        <v>3</v>
      </c>
      <c r="BF48" t="s">
        <v>3</v>
      </c>
      <c r="BG48" t="s">
        <v>3</v>
      </c>
      <c r="BH48">
        <v>3</v>
      </c>
      <c r="BI48">
        <v>1</v>
      </c>
      <c r="BJ48" t="s">
        <v>115</v>
      </c>
      <c r="BM48">
        <v>11001</v>
      </c>
      <c r="BN48">
        <v>0</v>
      </c>
      <c r="BO48" t="s">
        <v>33</v>
      </c>
      <c r="BP48">
        <v>1</v>
      </c>
      <c r="BQ48">
        <v>2</v>
      </c>
      <c r="BR48">
        <v>0</v>
      </c>
      <c r="BS48">
        <v>1</v>
      </c>
      <c r="BT48">
        <v>1</v>
      </c>
      <c r="BU48">
        <v>1</v>
      </c>
      <c r="BV48">
        <v>1</v>
      </c>
      <c r="BW48">
        <v>1</v>
      </c>
      <c r="BX48">
        <v>1</v>
      </c>
      <c r="BY48" t="s">
        <v>3</v>
      </c>
      <c r="BZ48">
        <v>112</v>
      </c>
      <c r="CA48">
        <v>65</v>
      </c>
      <c r="CB48" t="s">
        <v>3</v>
      </c>
      <c r="CE48">
        <v>12</v>
      </c>
      <c r="CF48">
        <v>0</v>
      </c>
      <c r="CG48">
        <v>0</v>
      </c>
      <c r="CM48">
        <v>0</v>
      </c>
      <c r="CN48" t="s">
        <v>3</v>
      </c>
      <c r="CO48">
        <v>0</v>
      </c>
      <c r="CP48">
        <f t="shared" si="43"/>
        <v>3405.45</v>
      </c>
      <c r="CQ48">
        <f t="shared" si="44"/>
        <v>420.42569999999995</v>
      </c>
      <c r="CR48">
        <f>(ROUND((ROUND(((ET48)*1),2)*BB48),2)+ROUND((ROUND(((AE48-(EU48))*1),2)*BS48),2))</f>
        <v>0</v>
      </c>
      <c r="CS48">
        <f>(ROUND((ROUND(((EU48)*1),2)*BS48),2)+ROUND((ROUND(((AE48-(EU48))*1),2)*BS48),2))</f>
        <v>0</v>
      </c>
      <c r="CT48">
        <f t="shared" si="45"/>
        <v>0</v>
      </c>
      <c r="CU48">
        <f t="shared" si="46"/>
        <v>0</v>
      </c>
      <c r="CV48">
        <f t="shared" si="47"/>
        <v>0</v>
      </c>
      <c r="CW48">
        <f t="shared" si="48"/>
        <v>0</v>
      </c>
      <c r="CX48">
        <f t="shared" si="49"/>
        <v>0</v>
      </c>
      <c r="CY48">
        <f t="shared" si="50"/>
        <v>0</v>
      </c>
      <c r="CZ48">
        <f t="shared" si="51"/>
        <v>0</v>
      </c>
      <c r="DC48" t="s">
        <v>3</v>
      </c>
      <c r="DD48" t="s">
        <v>3</v>
      </c>
      <c r="DE48" t="s">
        <v>3</v>
      </c>
      <c r="DF48" t="s">
        <v>3</v>
      </c>
      <c r="DG48" t="s">
        <v>3</v>
      </c>
      <c r="DH48" t="s">
        <v>3</v>
      </c>
      <c r="DI48" t="s">
        <v>3</v>
      </c>
      <c r="DJ48" t="s">
        <v>3</v>
      </c>
      <c r="DK48" t="s">
        <v>3</v>
      </c>
      <c r="DL48" t="s">
        <v>3</v>
      </c>
      <c r="DM48" t="s">
        <v>3</v>
      </c>
      <c r="DN48">
        <v>0</v>
      </c>
      <c r="DO48">
        <v>0</v>
      </c>
      <c r="DP48">
        <v>1</v>
      </c>
      <c r="DQ48">
        <v>1</v>
      </c>
      <c r="DU48">
        <v>1005</v>
      </c>
      <c r="DV48" t="s">
        <v>101</v>
      </c>
      <c r="DW48" t="s">
        <v>101</v>
      </c>
      <c r="DX48">
        <v>1</v>
      </c>
      <c r="DZ48" t="s">
        <v>3</v>
      </c>
      <c r="EA48" t="s">
        <v>3</v>
      </c>
      <c r="EB48" t="s">
        <v>3</v>
      </c>
      <c r="EC48" t="s">
        <v>3</v>
      </c>
      <c r="EE48">
        <v>53151326</v>
      </c>
      <c r="EF48">
        <v>2</v>
      </c>
      <c r="EG48" t="s">
        <v>76</v>
      </c>
      <c r="EH48">
        <v>11</v>
      </c>
      <c r="EI48" t="s">
        <v>25</v>
      </c>
      <c r="EJ48">
        <v>1</v>
      </c>
      <c r="EK48">
        <v>11001</v>
      </c>
      <c r="EL48" t="s">
        <v>25</v>
      </c>
      <c r="EM48" t="s">
        <v>95</v>
      </c>
      <c r="EO48" t="s">
        <v>3</v>
      </c>
      <c r="EQ48">
        <v>0</v>
      </c>
      <c r="ER48">
        <v>47.83</v>
      </c>
      <c r="ES48">
        <v>47.83</v>
      </c>
      <c r="ET48">
        <v>0</v>
      </c>
      <c r="EU48">
        <v>0</v>
      </c>
      <c r="EV48">
        <v>0</v>
      </c>
      <c r="EW48">
        <v>0</v>
      </c>
      <c r="EX48">
        <v>0</v>
      </c>
      <c r="FQ48">
        <v>0</v>
      </c>
      <c r="FR48">
        <f t="shared" si="25"/>
        <v>0</v>
      </c>
      <c r="FS48">
        <v>0</v>
      </c>
      <c r="FX48">
        <v>112</v>
      </c>
      <c r="FY48">
        <v>65</v>
      </c>
      <c r="GA48" t="s">
        <v>3</v>
      </c>
      <c r="GD48">
        <v>1</v>
      </c>
      <c r="GF48">
        <v>-773684841</v>
      </c>
      <c r="GG48">
        <v>2</v>
      </c>
      <c r="GH48">
        <v>1</v>
      </c>
      <c r="GI48">
        <v>4</v>
      </c>
      <c r="GJ48">
        <v>0</v>
      </c>
      <c r="GK48">
        <v>0</v>
      </c>
      <c r="GL48">
        <f t="shared" si="26"/>
        <v>0</v>
      </c>
      <c r="GM48">
        <f t="shared" si="52"/>
        <v>3405.45</v>
      </c>
      <c r="GN48">
        <f t="shared" si="27"/>
        <v>3405.45</v>
      </c>
      <c r="GO48">
        <f t="shared" si="28"/>
        <v>0</v>
      </c>
      <c r="GP48">
        <f t="shared" si="29"/>
        <v>0</v>
      </c>
      <c r="GR48">
        <v>0</v>
      </c>
      <c r="GS48">
        <v>3</v>
      </c>
      <c r="GT48">
        <v>0</v>
      </c>
      <c r="GU48" t="s">
        <v>3</v>
      </c>
      <c r="GV48">
        <f t="shared" si="53"/>
        <v>0</v>
      </c>
      <c r="GW48">
        <v>1</v>
      </c>
      <c r="GX48">
        <f t="shared" si="54"/>
        <v>0</v>
      </c>
      <c r="HA48">
        <v>0</v>
      </c>
      <c r="HB48">
        <v>0</v>
      </c>
      <c r="HC48">
        <f t="shared" si="55"/>
        <v>0</v>
      </c>
      <c r="HE48" t="s">
        <v>3</v>
      </c>
      <c r="HF48" t="s">
        <v>3</v>
      </c>
      <c r="HM48" t="s">
        <v>3</v>
      </c>
      <c r="HN48" t="s">
        <v>96</v>
      </c>
      <c r="HO48" t="s">
        <v>97</v>
      </c>
      <c r="HP48" t="s">
        <v>25</v>
      </c>
      <c r="HQ48" t="s">
        <v>25</v>
      </c>
      <c r="IK48">
        <v>0</v>
      </c>
    </row>
    <row r="49" spans="1:245" x14ac:dyDescent="0.2">
      <c r="A49">
        <v>18</v>
      </c>
      <c r="B49">
        <v>1</v>
      </c>
      <c r="C49">
        <v>68</v>
      </c>
      <c r="E49" t="s">
        <v>135</v>
      </c>
      <c r="F49" t="s">
        <v>136</v>
      </c>
      <c r="G49" t="s">
        <v>137</v>
      </c>
      <c r="H49" t="s">
        <v>101</v>
      </c>
      <c r="I49">
        <f>I47*J49</f>
        <v>0</v>
      </c>
      <c r="J49">
        <v>0</v>
      </c>
      <c r="K49">
        <v>0</v>
      </c>
      <c r="O49">
        <f t="shared" si="30"/>
        <v>0</v>
      </c>
      <c r="P49">
        <f t="shared" si="31"/>
        <v>0</v>
      </c>
      <c r="Q49">
        <f>(ROUND((ROUND(((ET49)*I49),2)*BB49),2)+ROUND((ROUND(((AE49-(EU49))*I49),2)*BS49),2))</f>
        <v>0</v>
      </c>
      <c r="R49">
        <f>(ROUND((ROUND(((EU49)*I49),2)*BS49),2)+ROUND((ROUND(((AE49-(EU49))*I49),2)*BS49),2))</f>
        <v>0</v>
      </c>
      <c r="S49">
        <f t="shared" si="32"/>
        <v>0</v>
      </c>
      <c r="T49">
        <f t="shared" si="33"/>
        <v>0</v>
      </c>
      <c r="U49">
        <f t="shared" si="34"/>
        <v>0</v>
      </c>
      <c r="V49">
        <f t="shared" si="35"/>
        <v>0</v>
      </c>
      <c r="W49">
        <f t="shared" si="36"/>
        <v>0</v>
      </c>
      <c r="X49">
        <f t="shared" si="37"/>
        <v>0</v>
      </c>
      <c r="Y49">
        <f t="shared" si="38"/>
        <v>0</v>
      </c>
      <c r="AA49">
        <v>53360025</v>
      </c>
      <c r="AB49">
        <f t="shared" si="39"/>
        <v>0</v>
      </c>
      <c r="AC49">
        <f t="shared" si="40"/>
        <v>0</v>
      </c>
      <c r="AD49">
        <f>ROUND((((ET49)-(EU49))+AE49),6)</f>
        <v>0</v>
      </c>
      <c r="AE49">
        <f t="shared" si="60"/>
        <v>0</v>
      </c>
      <c r="AF49">
        <f t="shared" si="60"/>
        <v>0</v>
      </c>
      <c r="AG49">
        <f t="shared" si="41"/>
        <v>0</v>
      </c>
      <c r="AH49">
        <f t="shared" si="61"/>
        <v>0</v>
      </c>
      <c r="AI49">
        <f t="shared" si="61"/>
        <v>0</v>
      </c>
      <c r="AJ49">
        <f t="shared" si="42"/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100</v>
      </c>
      <c r="AU49">
        <v>49</v>
      </c>
      <c r="AV49">
        <v>1</v>
      </c>
      <c r="AW49">
        <v>1</v>
      </c>
      <c r="AZ49">
        <v>1</v>
      </c>
      <c r="BA49">
        <v>1</v>
      </c>
      <c r="BB49">
        <v>1</v>
      </c>
      <c r="BC49">
        <v>8.7899999999999991</v>
      </c>
      <c r="BD49" t="s">
        <v>3</v>
      </c>
      <c r="BE49" t="s">
        <v>3</v>
      </c>
      <c r="BF49" t="s">
        <v>3</v>
      </c>
      <c r="BG49" t="s">
        <v>3</v>
      </c>
      <c r="BH49">
        <v>3</v>
      </c>
      <c r="BI49">
        <v>1</v>
      </c>
      <c r="BJ49" t="s">
        <v>3</v>
      </c>
      <c r="BM49">
        <v>15001</v>
      </c>
      <c r="BN49">
        <v>0</v>
      </c>
      <c r="BO49" t="s">
        <v>33</v>
      </c>
      <c r="BP49">
        <v>1</v>
      </c>
      <c r="BQ49">
        <v>2</v>
      </c>
      <c r="BR49">
        <v>0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 t="s">
        <v>3</v>
      </c>
      <c r="BZ49">
        <v>100</v>
      </c>
      <c r="CA49">
        <v>49</v>
      </c>
      <c r="CB49" t="s">
        <v>3</v>
      </c>
      <c r="CE49">
        <v>12</v>
      </c>
      <c r="CF49">
        <v>0</v>
      </c>
      <c r="CG49">
        <v>0</v>
      </c>
      <c r="CM49">
        <v>0</v>
      </c>
      <c r="CN49" t="s">
        <v>3</v>
      </c>
      <c r="CO49">
        <v>0</v>
      </c>
      <c r="CP49">
        <f t="shared" si="43"/>
        <v>0</v>
      </c>
      <c r="CQ49">
        <f t="shared" si="44"/>
        <v>0</v>
      </c>
      <c r="CR49">
        <f>(ROUND((ROUND(((ET49)*1),2)*BB49),2)+ROUND((ROUND(((AE49-(EU49))*1),2)*BS49),2))</f>
        <v>0</v>
      </c>
      <c r="CS49">
        <f>(ROUND((ROUND(((EU49)*1),2)*BS49),2)+ROUND((ROUND(((AE49-(EU49))*1),2)*BS49),2))</f>
        <v>0</v>
      </c>
      <c r="CT49">
        <f t="shared" si="45"/>
        <v>0</v>
      </c>
      <c r="CU49">
        <f t="shared" si="46"/>
        <v>0</v>
      </c>
      <c r="CV49">
        <f t="shared" si="47"/>
        <v>0</v>
      </c>
      <c r="CW49">
        <f t="shared" si="48"/>
        <v>0</v>
      </c>
      <c r="CX49">
        <f t="shared" si="49"/>
        <v>0</v>
      </c>
      <c r="CY49">
        <f t="shared" si="50"/>
        <v>0</v>
      </c>
      <c r="CZ49">
        <f t="shared" si="51"/>
        <v>0</v>
      </c>
      <c r="DC49" t="s">
        <v>3</v>
      </c>
      <c r="DD49" t="s">
        <v>3</v>
      </c>
      <c r="DE49" t="s">
        <v>3</v>
      </c>
      <c r="DF49" t="s">
        <v>3</v>
      </c>
      <c r="DG49" t="s">
        <v>3</v>
      </c>
      <c r="DH49" t="s">
        <v>3</v>
      </c>
      <c r="DI49" t="s">
        <v>3</v>
      </c>
      <c r="DJ49" t="s">
        <v>3</v>
      </c>
      <c r="DK49" t="s">
        <v>3</v>
      </c>
      <c r="DL49" t="s">
        <v>3</v>
      </c>
      <c r="DM49" t="s">
        <v>3</v>
      </c>
      <c r="DN49">
        <v>0</v>
      </c>
      <c r="DO49">
        <v>0</v>
      </c>
      <c r="DP49">
        <v>1</v>
      </c>
      <c r="DQ49">
        <v>1</v>
      </c>
      <c r="DU49">
        <v>1005</v>
      </c>
      <c r="DV49" t="s">
        <v>101</v>
      </c>
      <c r="DW49" t="s">
        <v>101</v>
      </c>
      <c r="DX49">
        <v>1</v>
      </c>
      <c r="DZ49" t="s">
        <v>3</v>
      </c>
      <c r="EA49" t="s">
        <v>3</v>
      </c>
      <c r="EB49" t="s">
        <v>3</v>
      </c>
      <c r="EC49" t="s">
        <v>3</v>
      </c>
      <c r="EE49">
        <v>53151352</v>
      </c>
      <c r="EF49">
        <v>2</v>
      </c>
      <c r="EG49" t="s">
        <v>76</v>
      </c>
      <c r="EH49">
        <v>15</v>
      </c>
      <c r="EI49" t="s">
        <v>120</v>
      </c>
      <c r="EJ49">
        <v>1</v>
      </c>
      <c r="EK49">
        <v>15001</v>
      </c>
      <c r="EL49" t="s">
        <v>120</v>
      </c>
      <c r="EM49" t="s">
        <v>121</v>
      </c>
      <c r="EO49" t="s">
        <v>3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FQ49">
        <v>0</v>
      </c>
      <c r="FR49">
        <f t="shared" si="25"/>
        <v>0</v>
      </c>
      <c r="FS49">
        <v>0</v>
      </c>
      <c r="FX49">
        <v>100</v>
      </c>
      <c r="FY49">
        <v>49</v>
      </c>
      <c r="GA49" t="s">
        <v>3</v>
      </c>
      <c r="GD49">
        <v>1</v>
      </c>
      <c r="GF49">
        <v>-1894982187</v>
      </c>
      <c r="GG49">
        <v>2</v>
      </c>
      <c r="GH49">
        <v>1</v>
      </c>
      <c r="GI49">
        <v>4</v>
      </c>
      <c r="GJ49">
        <v>0</v>
      </c>
      <c r="GK49">
        <v>0</v>
      </c>
      <c r="GL49">
        <f t="shared" si="26"/>
        <v>0</v>
      </c>
      <c r="GM49">
        <f t="shared" si="52"/>
        <v>0</v>
      </c>
      <c r="GN49">
        <f t="shared" si="27"/>
        <v>0</v>
      </c>
      <c r="GO49">
        <f t="shared" si="28"/>
        <v>0</v>
      </c>
      <c r="GP49">
        <f t="shared" si="29"/>
        <v>0</v>
      </c>
      <c r="GR49">
        <v>0</v>
      </c>
      <c r="GS49">
        <v>3</v>
      </c>
      <c r="GT49">
        <v>0</v>
      </c>
      <c r="GU49" t="s">
        <v>3</v>
      </c>
      <c r="GV49">
        <f t="shared" si="53"/>
        <v>0</v>
      </c>
      <c r="GW49">
        <v>1</v>
      </c>
      <c r="GX49">
        <f t="shared" si="54"/>
        <v>0</v>
      </c>
      <c r="HA49">
        <v>0</v>
      </c>
      <c r="HB49">
        <v>0</v>
      </c>
      <c r="HC49">
        <f t="shared" si="55"/>
        <v>0</v>
      </c>
      <c r="HE49" t="s">
        <v>3</v>
      </c>
      <c r="HF49" t="s">
        <v>3</v>
      </c>
      <c r="HM49" t="s">
        <v>3</v>
      </c>
      <c r="HN49" t="s">
        <v>122</v>
      </c>
      <c r="HO49" t="s">
        <v>123</v>
      </c>
      <c r="HP49" t="s">
        <v>120</v>
      </c>
      <c r="HQ49" t="s">
        <v>120</v>
      </c>
      <c r="IK49">
        <v>0</v>
      </c>
    </row>
    <row r="50" spans="1:245" x14ac:dyDescent="0.2">
      <c r="A50">
        <v>18</v>
      </c>
      <c r="B50">
        <v>1</v>
      </c>
      <c r="C50">
        <v>67</v>
      </c>
      <c r="E50" t="s">
        <v>138</v>
      </c>
      <c r="F50" t="s">
        <v>139</v>
      </c>
      <c r="G50" t="s">
        <v>140</v>
      </c>
      <c r="H50" t="s">
        <v>89</v>
      </c>
      <c r="I50">
        <f>I47*J50</f>
        <v>0</v>
      </c>
      <c r="J50">
        <v>0</v>
      </c>
      <c r="K50">
        <v>0</v>
      </c>
      <c r="O50">
        <f t="shared" si="30"/>
        <v>0</v>
      </c>
      <c r="P50">
        <f t="shared" si="31"/>
        <v>0</v>
      </c>
      <c r="Q50">
        <f>(ROUND((ROUND(((ET50)*I50),2)*BB50),2)+ROUND((ROUND(((AE50-(EU50))*I50),2)*BS50),2))</f>
        <v>0</v>
      </c>
      <c r="R50">
        <f>(ROUND((ROUND(((EU50)*I50),2)*BS50),2)+ROUND((ROUND(((AE50-(EU50))*I50),2)*BS50),2))</f>
        <v>0</v>
      </c>
      <c r="S50">
        <f t="shared" si="32"/>
        <v>0</v>
      </c>
      <c r="T50">
        <f t="shared" si="33"/>
        <v>0</v>
      </c>
      <c r="U50">
        <f t="shared" si="34"/>
        <v>0</v>
      </c>
      <c r="V50">
        <f t="shared" si="35"/>
        <v>0</v>
      </c>
      <c r="W50">
        <f t="shared" si="36"/>
        <v>0</v>
      </c>
      <c r="X50">
        <f t="shared" si="37"/>
        <v>0</v>
      </c>
      <c r="Y50">
        <f t="shared" si="38"/>
        <v>0</v>
      </c>
      <c r="AA50">
        <v>53360025</v>
      </c>
      <c r="AB50">
        <f t="shared" si="39"/>
        <v>497</v>
      </c>
      <c r="AC50">
        <f t="shared" si="40"/>
        <v>497</v>
      </c>
      <c r="AD50">
        <f>ROUND((((ET50)-(EU50))+AE50),6)</f>
        <v>0</v>
      </c>
      <c r="AE50">
        <f t="shared" si="60"/>
        <v>0</v>
      </c>
      <c r="AF50">
        <f t="shared" si="60"/>
        <v>0</v>
      </c>
      <c r="AG50">
        <f t="shared" si="41"/>
        <v>0</v>
      </c>
      <c r="AH50">
        <f t="shared" si="61"/>
        <v>0</v>
      </c>
      <c r="AI50">
        <f t="shared" si="61"/>
        <v>0</v>
      </c>
      <c r="AJ50">
        <f t="shared" si="42"/>
        <v>0</v>
      </c>
      <c r="AK50">
        <v>497</v>
      </c>
      <c r="AL50">
        <v>497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100</v>
      </c>
      <c r="AU50">
        <v>49</v>
      </c>
      <c r="AV50">
        <v>1</v>
      </c>
      <c r="AW50">
        <v>1</v>
      </c>
      <c r="AZ50">
        <v>1</v>
      </c>
      <c r="BA50">
        <v>1</v>
      </c>
      <c r="BB50">
        <v>1</v>
      </c>
      <c r="BC50">
        <v>8.7899999999999991</v>
      </c>
      <c r="BD50" t="s">
        <v>3</v>
      </c>
      <c r="BE50" t="s">
        <v>3</v>
      </c>
      <c r="BF50" t="s">
        <v>3</v>
      </c>
      <c r="BG50" t="s">
        <v>3</v>
      </c>
      <c r="BH50">
        <v>3</v>
      </c>
      <c r="BI50">
        <v>1</v>
      </c>
      <c r="BJ50" t="s">
        <v>141</v>
      </c>
      <c r="BM50">
        <v>15001</v>
      </c>
      <c r="BN50">
        <v>0</v>
      </c>
      <c r="BO50" t="s">
        <v>33</v>
      </c>
      <c r="BP50">
        <v>1</v>
      </c>
      <c r="BQ50">
        <v>2</v>
      </c>
      <c r="BR50">
        <v>0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1</v>
      </c>
      <c r="BY50" t="s">
        <v>3</v>
      </c>
      <c r="BZ50">
        <v>100</v>
      </c>
      <c r="CA50">
        <v>49</v>
      </c>
      <c r="CB50" t="s">
        <v>3</v>
      </c>
      <c r="CE50">
        <v>12</v>
      </c>
      <c r="CF50">
        <v>0</v>
      </c>
      <c r="CG50">
        <v>0</v>
      </c>
      <c r="CM50">
        <v>0</v>
      </c>
      <c r="CN50" t="s">
        <v>3</v>
      </c>
      <c r="CO50">
        <v>0</v>
      </c>
      <c r="CP50">
        <f t="shared" si="43"/>
        <v>0</v>
      </c>
      <c r="CQ50">
        <f t="shared" si="44"/>
        <v>4368.6299999999992</v>
      </c>
      <c r="CR50">
        <f>(ROUND((ROUND(((ET50)*1),2)*BB50),2)+ROUND((ROUND(((AE50-(EU50))*1),2)*BS50),2))</f>
        <v>0</v>
      </c>
      <c r="CS50">
        <f>(ROUND((ROUND(((EU50)*1),2)*BS50),2)+ROUND((ROUND(((AE50-(EU50))*1),2)*BS50),2))</f>
        <v>0</v>
      </c>
      <c r="CT50">
        <f t="shared" si="45"/>
        <v>0</v>
      </c>
      <c r="CU50">
        <f t="shared" si="46"/>
        <v>0</v>
      </c>
      <c r="CV50">
        <f t="shared" si="47"/>
        <v>0</v>
      </c>
      <c r="CW50">
        <f t="shared" si="48"/>
        <v>0</v>
      </c>
      <c r="CX50">
        <f t="shared" si="49"/>
        <v>0</v>
      </c>
      <c r="CY50">
        <f t="shared" si="50"/>
        <v>0</v>
      </c>
      <c r="CZ50">
        <f t="shared" si="51"/>
        <v>0</v>
      </c>
      <c r="DC50" t="s">
        <v>3</v>
      </c>
      <c r="DD50" t="s">
        <v>3</v>
      </c>
      <c r="DE50" t="s">
        <v>3</v>
      </c>
      <c r="DF50" t="s">
        <v>3</v>
      </c>
      <c r="DG50" t="s">
        <v>3</v>
      </c>
      <c r="DH50" t="s">
        <v>3</v>
      </c>
      <c r="DI50" t="s">
        <v>3</v>
      </c>
      <c r="DJ50" t="s">
        <v>3</v>
      </c>
      <c r="DK50" t="s">
        <v>3</v>
      </c>
      <c r="DL50" t="s">
        <v>3</v>
      </c>
      <c r="DM50" t="s">
        <v>3</v>
      </c>
      <c r="DN50">
        <v>0</v>
      </c>
      <c r="DO50">
        <v>0</v>
      </c>
      <c r="DP50">
        <v>1</v>
      </c>
      <c r="DQ50">
        <v>1</v>
      </c>
      <c r="DU50">
        <v>1007</v>
      </c>
      <c r="DV50" t="s">
        <v>89</v>
      </c>
      <c r="DW50" t="s">
        <v>89</v>
      </c>
      <c r="DX50">
        <v>1</v>
      </c>
      <c r="DZ50" t="s">
        <v>3</v>
      </c>
      <c r="EA50" t="s">
        <v>3</v>
      </c>
      <c r="EB50" t="s">
        <v>3</v>
      </c>
      <c r="EC50" t="s">
        <v>3</v>
      </c>
      <c r="EE50">
        <v>53151352</v>
      </c>
      <c r="EF50">
        <v>2</v>
      </c>
      <c r="EG50" t="s">
        <v>76</v>
      </c>
      <c r="EH50">
        <v>15</v>
      </c>
      <c r="EI50" t="s">
        <v>120</v>
      </c>
      <c r="EJ50">
        <v>1</v>
      </c>
      <c r="EK50">
        <v>15001</v>
      </c>
      <c r="EL50" t="s">
        <v>120</v>
      </c>
      <c r="EM50" t="s">
        <v>121</v>
      </c>
      <c r="EO50" t="s">
        <v>3</v>
      </c>
      <c r="EQ50">
        <v>0</v>
      </c>
      <c r="ER50">
        <v>497</v>
      </c>
      <c r="ES50">
        <v>497</v>
      </c>
      <c r="ET50">
        <v>0</v>
      </c>
      <c r="EU50">
        <v>0</v>
      </c>
      <c r="EV50">
        <v>0</v>
      </c>
      <c r="EW50">
        <v>0</v>
      </c>
      <c r="EX50">
        <v>0</v>
      </c>
      <c r="FQ50">
        <v>0</v>
      </c>
      <c r="FR50">
        <f t="shared" si="25"/>
        <v>0</v>
      </c>
      <c r="FS50">
        <v>0</v>
      </c>
      <c r="FX50">
        <v>100</v>
      </c>
      <c r="FY50">
        <v>49</v>
      </c>
      <c r="GA50" t="s">
        <v>3</v>
      </c>
      <c r="GD50">
        <v>1</v>
      </c>
      <c r="GF50">
        <v>940109158</v>
      </c>
      <c r="GG50">
        <v>2</v>
      </c>
      <c r="GH50">
        <v>1</v>
      </c>
      <c r="GI50">
        <v>4</v>
      </c>
      <c r="GJ50">
        <v>0</v>
      </c>
      <c r="GK50">
        <v>0</v>
      </c>
      <c r="GL50">
        <f t="shared" si="26"/>
        <v>0</v>
      </c>
      <c r="GM50">
        <f t="shared" si="52"/>
        <v>0</v>
      </c>
      <c r="GN50">
        <f t="shared" si="27"/>
        <v>0</v>
      </c>
      <c r="GO50">
        <f t="shared" si="28"/>
        <v>0</v>
      </c>
      <c r="GP50">
        <f t="shared" si="29"/>
        <v>0</v>
      </c>
      <c r="GR50">
        <v>0</v>
      </c>
      <c r="GS50">
        <v>3</v>
      </c>
      <c r="GT50">
        <v>0</v>
      </c>
      <c r="GU50" t="s">
        <v>3</v>
      </c>
      <c r="GV50">
        <f t="shared" si="53"/>
        <v>0</v>
      </c>
      <c r="GW50">
        <v>1</v>
      </c>
      <c r="GX50">
        <f t="shared" si="54"/>
        <v>0</v>
      </c>
      <c r="HA50">
        <v>0</v>
      </c>
      <c r="HB50">
        <v>0</v>
      </c>
      <c r="HC50">
        <f t="shared" si="55"/>
        <v>0</v>
      </c>
      <c r="HE50" t="s">
        <v>3</v>
      </c>
      <c r="HF50" t="s">
        <v>3</v>
      </c>
      <c r="HM50" t="s">
        <v>3</v>
      </c>
      <c r="HN50" t="s">
        <v>122</v>
      </c>
      <c r="HO50" t="s">
        <v>123</v>
      </c>
      <c r="HP50" t="s">
        <v>120</v>
      </c>
      <c r="HQ50" t="s">
        <v>120</v>
      </c>
      <c r="IK50">
        <v>0</v>
      </c>
    </row>
    <row r="51" spans="1:245" x14ac:dyDescent="0.2">
      <c r="A51">
        <v>18</v>
      </c>
      <c r="B51">
        <v>1</v>
      </c>
      <c r="C51">
        <v>65</v>
      </c>
      <c r="E51" t="s">
        <v>142</v>
      </c>
      <c r="F51" t="s">
        <v>143</v>
      </c>
      <c r="G51" t="s">
        <v>144</v>
      </c>
      <c r="H51" t="s">
        <v>32</v>
      </c>
      <c r="I51">
        <f>I47*J51</f>
        <v>0</v>
      </c>
      <c r="J51">
        <v>0</v>
      </c>
      <c r="K51">
        <v>0</v>
      </c>
      <c r="O51">
        <f t="shared" si="30"/>
        <v>0</v>
      </c>
      <c r="P51">
        <f t="shared" si="31"/>
        <v>0</v>
      </c>
      <c r="Q51">
        <f>(ROUND((ROUND(((ET51)*I51),2)*BB51),2)+ROUND((ROUND(((AE51-(EU51))*I51),2)*BS51),2))</f>
        <v>0</v>
      </c>
      <c r="R51">
        <f>(ROUND((ROUND(((EU51)*I51),2)*BS51),2)+ROUND((ROUND(((AE51-(EU51))*I51),2)*BS51),2))</f>
        <v>0</v>
      </c>
      <c r="S51">
        <f t="shared" si="32"/>
        <v>0</v>
      </c>
      <c r="T51">
        <f t="shared" si="33"/>
        <v>0</v>
      </c>
      <c r="U51">
        <f t="shared" si="34"/>
        <v>0</v>
      </c>
      <c r="V51">
        <f t="shared" si="35"/>
        <v>0</v>
      </c>
      <c r="W51">
        <f t="shared" si="36"/>
        <v>0</v>
      </c>
      <c r="X51">
        <f t="shared" si="37"/>
        <v>0</v>
      </c>
      <c r="Y51">
        <f t="shared" si="38"/>
        <v>0</v>
      </c>
      <c r="AA51">
        <v>53360025</v>
      </c>
      <c r="AB51">
        <f t="shared" si="39"/>
        <v>412</v>
      </c>
      <c r="AC51">
        <f t="shared" si="40"/>
        <v>412</v>
      </c>
      <c r="AD51">
        <f>ROUND((((ET51)-(EU51))+AE51),6)</f>
        <v>0</v>
      </c>
      <c r="AE51">
        <f t="shared" si="60"/>
        <v>0</v>
      </c>
      <c r="AF51">
        <f t="shared" si="60"/>
        <v>0</v>
      </c>
      <c r="AG51">
        <f t="shared" si="41"/>
        <v>0</v>
      </c>
      <c r="AH51">
        <f t="shared" si="61"/>
        <v>0</v>
      </c>
      <c r="AI51">
        <f t="shared" si="61"/>
        <v>0</v>
      </c>
      <c r="AJ51">
        <f t="shared" si="42"/>
        <v>0</v>
      </c>
      <c r="AK51">
        <v>412</v>
      </c>
      <c r="AL51">
        <v>412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100</v>
      </c>
      <c r="AU51">
        <v>49</v>
      </c>
      <c r="AV51">
        <v>1</v>
      </c>
      <c r="AW51">
        <v>1</v>
      </c>
      <c r="AZ51">
        <v>1</v>
      </c>
      <c r="BA51">
        <v>1</v>
      </c>
      <c r="BB51">
        <v>1</v>
      </c>
      <c r="BC51">
        <v>8.7899999999999991</v>
      </c>
      <c r="BD51" t="s">
        <v>3</v>
      </c>
      <c r="BE51" t="s">
        <v>3</v>
      </c>
      <c r="BF51" t="s">
        <v>3</v>
      </c>
      <c r="BG51" t="s">
        <v>3</v>
      </c>
      <c r="BH51">
        <v>3</v>
      </c>
      <c r="BI51">
        <v>1</v>
      </c>
      <c r="BJ51" t="s">
        <v>145</v>
      </c>
      <c r="BM51">
        <v>15001</v>
      </c>
      <c r="BN51">
        <v>0</v>
      </c>
      <c r="BO51" t="s">
        <v>33</v>
      </c>
      <c r="BP51">
        <v>1</v>
      </c>
      <c r="BQ51">
        <v>2</v>
      </c>
      <c r="BR51">
        <v>0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 t="s">
        <v>3</v>
      </c>
      <c r="BZ51">
        <v>100</v>
      </c>
      <c r="CA51">
        <v>49</v>
      </c>
      <c r="CB51" t="s">
        <v>3</v>
      </c>
      <c r="CE51">
        <v>12</v>
      </c>
      <c r="CF51">
        <v>0</v>
      </c>
      <c r="CG51">
        <v>0</v>
      </c>
      <c r="CM51">
        <v>0</v>
      </c>
      <c r="CN51" t="s">
        <v>3</v>
      </c>
      <c r="CO51">
        <v>0</v>
      </c>
      <c r="CP51">
        <f t="shared" si="43"/>
        <v>0</v>
      </c>
      <c r="CQ51">
        <f t="shared" si="44"/>
        <v>3621.4799999999996</v>
      </c>
      <c r="CR51">
        <f>(ROUND((ROUND(((ET51)*1),2)*BB51),2)+ROUND((ROUND(((AE51-(EU51))*1),2)*BS51),2))</f>
        <v>0</v>
      </c>
      <c r="CS51">
        <f>(ROUND((ROUND(((EU51)*1),2)*BS51),2)+ROUND((ROUND(((AE51-(EU51))*1),2)*BS51),2))</f>
        <v>0</v>
      </c>
      <c r="CT51">
        <f t="shared" si="45"/>
        <v>0</v>
      </c>
      <c r="CU51">
        <f t="shared" si="46"/>
        <v>0</v>
      </c>
      <c r="CV51">
        <f t="shared" si="47"/>
        <v>0</v>
      </c>
      <c r="CW51">
        <f t="shared" si="48"/>
        <v>0</v>
      </c>
      <c r="CX51">
        <f t="shared" si="49"/>
        <v>0</v>
      </c>
      <c r="CY51">
        <f t="shared" si="50"/>
        <v>0</v>
      </c>
      <c r="CZ51">
        <f t="shared" si="51"/>
        <v>0</v>
      </c>
      <c r="DC51" t="s">
        <v>3</v>
      </c>
      <c r="DD51" t="s">
        <v>3</v>
      </c>
      <c r="DE51" t="s">
        <v>3</v>
      </c>
      <c r="DF51" t="s">
        <v>3</v>
      </c>
      <c r="DG51" t="s">
        <v>3</v>
      </c>
      <c r="DH51" t="s">
        <v>3</v>
      </c>
      <c r="DI51" t="s">
        <v>3</v>
      </c>
      <c r="DJ51" t="s">
        <v>3</v>
      </c>
      <c r="DK51" t="s">
        <v>3</v>
      </c>
      <c r="DL51" t="s">
        <v>3</v>
      </c>
      <c r="DM51" t="s">
        <v>3</v>
      </c>
      <c r="DN51">
        <v>0</v>
      </c>
      <c r="DO51">
        <v>0</v>
      </c>
      <c r="DP51">
        <v>1</v>
      </c>
      <c r="DQ51">
        <v>1</v>
      </c>
      <c r="DU51">
        <v>1009</v>
      </c>
      <c r="DV51" t="s">
        <v>32</v>
      </c>
      <c r="DW51" t="s">
        <v>32</v>
      </c>
      <c r="DX51">
        <v>1000</v>
      </c>
      <c r="DZ51" t="s">
        <v>3</v>
      </c>
      <c r="EA51" t="s">
        <v>3</v>
      </c>
      <c r="EB51" t="s">
        <v>3</v>
      </c>
      <c r="EC51" t="s">
        <v>3</v>
      </c>
      <c r="EE51">
        <v>53151352</v>
      </c>
      <c r="EF51">
        <v>2</v>
      </c>
      <c r="EG51" t="s">
        <v>76</v>
      </c>
      <c r="EH51">
        <v>15</v>
      </c>
      <c r="EI51" t="s">
        <v>120</v>
      </c>
      <c r="EJ51">
        <v>1</v>
      </c>
      <c r="EK51">
        <v>15001</v>
      </c>
      <c r="EL51" t="s">
        <v>120</v>
      </c>
      <c r="EM51" t="s">
        <v>121</v>
      </c>
      <c r="EO51" t="s">
        <v>3</v>
      </c>
      <c r="EQ51">
        <v>0</v>
      </c>
      <c r="ER51">
        <v>412</v>
      </c>
      <c r="ES51">
        <v>412</v>
      </c>
      <c r="ET51">
        <v>0</v>
      </c>
      <c r="EU51">
        <v>0</v>
      </c>
      <c r="EV51">
        <v>0</v>
      </c>
      <c r="EW51">
        <v>0</v>
      </c>
      <c r="EX51">
        <v>0</v>
      </c>
      <c r="FQ51">
        <v>0</v>
      </c>
      <c r="FR51">
        <f t="shared" si="25"/>
        <v>0</v>
      </c>
      <c r="FS51">
        <v>0</v>
      </c>
      <c r="FX51">
        <v>100</v>
      </c>
      <c r="FY51">
        <v>49</v>
      </c>
      <c r="GA51" t="s">
        <v>3</v>
      </c>
      <c r="GD51">
        <v>1</v>
      </c>
      <c r="GF51">
        <v>-1326156508</v>
      </c>
      <c r="GG51">
        <v>2</v>
      </c>
      <c r="GH51">
        <v>1</v>
      </c>
      <c r="GI51">
        <v>4</v>
      </c>
      <c r="GJ51">
        <v>0</v>
      </c>
      <c r="GK51">
        <v>0</v>
      </c>
      <c r="GL51">
        <f t="shared" si="26"/>
        <v>0</v>
      </c>
      <c r="GM51">
        <f t="shared" si="52"/>
        <v>0</v>
      </c>
      <c r="GN51">
        <f t="shared" si="27"/>
        <v>0</v>
      </c>
      <c r="GO51">
        <f t="shared" si="28"/>
        <v>0</v>
      </c>
      <c r="GP51">
        <f t="shared" si="29"/>
        <v>0</v>
      </c>
      <c r="GR51">
        <v>0</v>
      </c>
      <c r="GS51">
        <v>3</v>
      </c>
      <c r="GT51">
        <v>0</v>
      </c>
      <c r="GU51" t="s">
        <v>3</v>
      </c>
      <c r="GV51">
        <f t="shared" si="53"/>
        <v>0</v>
      </c>
      <c r="GW51">
        <v>1</v>
      </c>
      <c r="GX51">
        <f t="shared" si="54"/>
        <v>0</v>
      </c>
      <c r="HA51">
        <v>0</v>
      </c>
      <c r="HB51">
        <v>0</v>
      </c>
      <c r="HC51">
        <f t="shared" si="55"/>
        <v>0</v>
      </c>
      <c r="HE51" t="s">
        <v>3</v>
      </c>
      <c r="HF51" t="s">
        <v>3</v>
      </c>
      <c r="HM51" t="s">
        <v>3</v>
      </c>
      <c r="HN51" t="s">
        <v>122</v>
      </c>
      <c r="HO51" t="s">
        <v>123</v>
      </c>
      <c r="HP51" t="s">
        <v>120</v>
      </c>
      <c r="HQ51" t="s">
        <v>120</v>
      </c>
      <c r="IK51">
        <v>0</v>
      </c>
    </row>
    <row r="52" spans="1:245" x14ac:dyDescent="0.2">
      <c r="A52">
        <v>18</v>
      </c>
      <c r="B52">
        <v>1</v>
      </c>
      <c r="C52">
        <v>70</v>
      </c>
      <c r="E52" t="s">
        <v>146</v>
      </c>
      <c r="F52" t="s">
        <v>108</v>
      </c>
      <c r="G52" t="s">
        <v>109</v>
      </c>
      <c r="H52" t="s">
        <v>110</v>
      </c>
      <c r="I52">
        <f>I47*J52</f>
        <v>0</v>
      </c>
      <c r="J52">
        <v>0</v>
      </c>
      <c r="K52">
        <v>0</v>
      </c>
      <c r="O52">
        <f t="shared" si="30"/>
        <v>0</v>
      </c>
      <c r="P52">
        <f t="shared" si="31"/>
        <v>0</v>
      </c>
      <c r="Q52">
        <f>(ROUND((ROUND(((ET52)*I52),2)*BB52),2)+ROUND((ROUND(((AE52-(EU52))*I52),2)*BS52),2))</f>
        <v>0</v>
      </c>
      <c r="R52">
        <f>(ROUND((ROUND(((EU52)*I52),2)*BS52),2)+ROUND((ROUND(((AE52-(EU52))*I52),2)*BS52),2))</f>
        <v>0</v>
      </c>
      <c r="S52">
        <f t="shared" si="32"/>
        <v>0</v>
      </c>
      <c r="T52">
        <f t="shared" si="33"/>
        <v>0</v>
      </c>
      <c r="U52">
        <f t="shared" si="34"/>
        <v>0</v>
      </c>
      <c r="V52">
        <f t="shared" si="35"/>
        <v>0</v>
      </c>
      <c r="W52">
        <f t="shared" si="36"/>
        <v>0</v>
      </c>
      <c r="X52">
        <f t="shared" si="37"/>
        <v>0</v>
      </c>
      <c r="Y52">
        <f t="shared" si="38"/>
        <v>0</v>
      </c>
      <c r="AA52">
        <v>53360025</v>
      </c>
      <c r="AB52">
        <f t="shared" si="39"/>
        <v>4.93</v>
      </c>
      <c r="AC52">
        <f t="shared" si="40"/>
        <v>4.93</v>
      </c>
      <c r="AD52">
        <f>ROUND((((ET52)-(EU52))+AE52),6)</f>
        <v>0</v>
      </c>
      <c r="AE52">
        <f t="shared" si="60"/>
        <v>0</v>
      </c>
      <c r="AF52">
        <f t="shared" si="60"/>
        <v>0</v>
      </c>
      <c r="AG52">
        <f t="shared" si="41"/>
        <v>0</v>
      </c>
      <c r="AH52">
        <f t="shared" si="61"/>
        <v>0</v>
      </c>
      <c r="AI52">
        <f t="shared" si="61"/>
        <v>0</v>
      </c>
      <c r="AJ52">
        <f t="shared" si="42"/>
        <v>0</v>
      </c>
      <c r="AK52">
        <v>4.93</v>
      </c>
      <c r="AL52">
        <v>4.93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112</v>
      </c>
      <c r="AU52">
        <v>65</v>
      </c>
      <c r="AV52">
        <v>1</v>
      </c>
      <c r="AW52">
        <v>1</v>
      </c>
      <c r="AZ52">
        <v>1</v>
      </c>
      <c r="BA52">
        <v>1</v>
      </c>
      <c r="BB52">
        <v>1</v>
      </c>
      <c r="BC52">
        <v>8.7899999999999991</v>
      </c>
      <c r="BD52" t="s">
        <v>3</v>
      </c>
      <c r="BE52" t="s">
        <v>3</v>
      </c>
      <c r="BF52" t="s">
        <v>3</v>
      </c>
      <c r="BG52" t="s">
        <v>3</v>
      </c>
      <c r="BH52">
        <v>3</v>
      </c>
      <c r="BI52">
        <v>1</v>
      </c>
      <c r="BJ52" t="s">
        <v>111</v>
      </c>
      <c r="BM52">
        <v>11001</v>
      </c>
      <c r="BN52">
        <v>0</v>
      </c>
      <c r="BO52" t="s">
        <v>33</v>
      </c>
      <c r="BP52">
        <v>1</v>
      </c>
      <c r="BQ52">
        <v>2</v>
      </c>
      <c r="BR52">
        <v>0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 t="s">
        <v>3</v>
      </c>
      <c r="BZ52">
        <v>112</v>
      </c>
      <c r="CA52">
        <v>65</v>
      </c>
      <c r="CB52" t="s">
        <v>3</v>
      </c>
      <c r="CE52">
        <v>12</v>
      </c>
      <c r="CF52">
        <v>0</v>
      </c>
      <c r="CG52">
        <v>0</v>
      </c>
      <c r="CM52">
        <v>0</v>
      </c>
      <c r="CN52" t="s">
        <v>3</v>
      </c>
      <c r="CO52">
        <v>0</v>
      </c>
      <c r="CP52">
        <f t="shared" si="43"/>
        <v>0</v>
      </c>
      <c r="CQ52">
        <f t="shared" si="44"/>
        <v>43.334699999999991</v>
      </c>
      <c r="CR52">
        <f>(ROUND((ROUND(((ET52)*1),2)*BB52),2)+ROUND((ROUND(((AE52-(EU52))*1),2)*BS52),2))</f>
        <v>0</v>
      </c>
      <c r="CS52">
        <f>(ROUND((ROUND(((EU52)*1),2)*BS52),2)+ROUND((ROUND(((AE52-(EU52))*1),2)*BS52),2))</f>
        <v>0</v>
      </c>
      <c r="CT52">
        <f t="shared" si="45"/>
        <v>0</v>
      </c>
      <c r="CU52">
        <f t="shared" si="46"/>
        <v>0</v>
      </c>
      <c r="CV52">
        <f t="shared" si="47"/>
        <v>0</v>
      </c>
      <c r="CW52">
        <f t="shared" si="48"/>
        <v>0</v>
      </c>
      <c r="CX52">
        <f t="shared" si="49"/>
        <v>0</v>
      </c>
      <c r="CY52">
        <f t="shared" si="50"/>
        <v>0</v>
      </c>
      <c r="CZ52">
        <f t="shared" si="51"/>
        <v>0</v>
      </c>
      <c r="DC52" t="s">
        <v>3</v>
      </c>
      <c r="DD52" t="s">
        <v>3</v>
      </c>
      <c r="DE52" t="s">
        <v>3</v>
      </c>
      <c r="DF52" t="s">
        <v>3</v>
      </c>
      <c r="DG52" t="s">
        <v>3</v>
      </c>
      <c r="DH52" t="s">
        <v>3</v>
      </c>
      <c r="DI52" t="s">
        <v>3</v>
      </c>
      <c r="DJ52" t="s">
        <v>3</v>
      </c>
      <c r="DK52" t="s">
        <v>3</v>
      </c>
      <c r="DL52" t="s">
        <v>3</v>
      </c>
      <c r="DM52" t="s">
        <v>3</v>
      </c>
      <c r="DN52">
        <v>0</v>
      </c>
      <c r="DO52">
        <v>0</v>
      </c>
      <c r="DP52">
        <v>1</v>
      </c>
      <c r="DQ52">
        <v>1</v>
      </c>
      <c r="DU52">
        <v>1009</v>
      </c>
      <c r="DV52" t="s">
        <v>110</v>
      </c>
      <c r="DW52" t="s">
        <v>110</v>
      </c>
      <c r="DX52">
        <v>1</v>
      </c>
      <c r="DZ52" t="s">
        <v>3</v>
      </c>
      <c r="EA52" t="s">
        <v>3</v>
      </c>
      <c r="EB52" t="s">
        <v>3</v>
      </c>
      <c r="EC52" t="s">
        <v>3</v>
      </c>
      <c r="EE52">
        <v>53151326</v>
      </c>
      <c r="EF52">
        <v>2</v>
      </c>
      <c r="EG52" t="s">
        <v>76</v>
      </c>
      <c r="EH52">
        <v>11</v>
      </c>
      <c r="EI52" t="s">
        <v>25</v>
      </c>
      <c r="EJ52">
        <v>1</v>
      </c>
      <c r="EK52">
        <v>11001</v>
      </c>
      <c r="EL52" t="s">
        <v>25</v>
      </c>
      <c r="EM52" t="s">
        <v>95</v>
      </c>
      <c r="EO52" t="s">
        <v>3</v>
      </c>
      <c r="EQ52">
        <v>0</v>
      </c>
      <c r="ER52">
        <v>4.93</v>
      </c>
      <c r="ES52">
        <v>4.93</v>
      </c>
      <c r="ET52">
        <v>0</v>
      </c>
      <c r="EU52">
        <v>0</v>
      </c>
      <c r="EV52">
        <v>0</v>
      </c>
      <c r="EW52">
        <v>0</v>
      </c>
      <c r="EX52">
        <v>0</v>
      </c>
      <c r="FQ52">
        <v>0</v>
      </c>
      <c r="FR52">
        <f t="shared" si="25"/>
        <v>0</v>
      </c>
      <c r="FS52">
        <v>0</v>
      </c>
      <c r="FX52">
        <v>112</v>
      </c>
      <c r="FY52">
        <v>65</v>
      </c>
      <c r="GA52" t="s">
        <v>3</v>
      </c>
      <c r="GD52">
        <v>1</v>
      </c>
      <c r="GF52">
        <v>272805291</v>
      </c>
      <c r="GG52">
        <v>2</v>
      </c>
      <c r="GH52">
        <v>1</v>
      </c>
      <c r="GI52">
        <v>4</v>
      </c>
      <c r="GJ52">
        <v>0</v>
      </c>
      <c r="GK52">
        <v>0</v>
      </c>
      <c r="GL52">
        <f t="shared" si="26"/>
        <v>0</v>
      </c>
      <c r="GM52">
        <f t="shared" si="52"/>
        <v>0</v>
      </c>
      <c r="GN52">
        <f t="shared" si="27"/>
        <v>0</v>
      </c>
      <c r="GO52">
        <f t="shared" si="28"/>
        <v>0</v>
      </c>
      <c r="GP52">
        <f t="shared" si="29"/>
        <v>0</v>
      </c>
      <c r="GR52">
        <v>0</v>
      </c>
      <c r="GS52">
        <v>3</v>
      </c>
      <c r="GT52">
        <v>0</v>
      </c>
      <c r="GU52" t="s">
        <v>3</v>
      </c>
      <c r="GV52">
        <f t="shared" si="53"/>
        <v>0</v>
      </c>
      <c r="GW52">
        <v>1</v>
      </c>
      <c r="GX52">
        <f t="shared" si="54"/>
        <v>0</v>
      </c>
      <c r="HA52">
        <v>0</v>
      </c>
      <c r="HB52">
        <v>0</v>
      </c>
      <c r="HC52">
        <f t="shared" si="55"/>
        <v>0</v>
      </c>
      <c r="HE52" t="s">
        <v>3</v>
      </c>
      <c r="HF52" t="s">
        <v>3</v>
      </c>
      <c r="HM52" t="s">
        <v>3</v>
      </c>
      <c r="HN52" t="s">
        <v>96</v>
      </c>
      <c r="HO52" t="s">
        <v>97</v>
      </c>
      <c r="HP52" t="s">
        <v>25</v>
      </c>
      <c r="HQ52" t="s">
        <v>25</v>
      </c>
      <c r="IK52">
        <v>0</v>
      </c>
    </row>
    <row r="53" spans="1:245" x14ac:dyDescent="0.2">
      <c r="A53">
        <v>17</v>
      </c>
      <c r="B53">
        <v>1</v>
      </c>
      <c r="C53">
        <f>ROW(SmtRes!A77)</f>
        <v>77</v>
      </c>
      <c r="D53">
        <f>ROW(EtalonRes!A68)</f>
        <v>68</v>
      </c>
      <c r="E53" t="s">
        <v>147</v>
      </c>
      <c r="F53" t="s">
        <v>148</v>
      </c>
      <c r="G53" t="s">
        <v>149</v>
      </c>
      <c r="H53" t="s">
        <v>150</v>
      </c>
      <c r="I53">
        <f>ROUND(24.4/100,7)</f>
        <v>0.24399999999999999</v>
      </c>
      <c r="J53">
        <v>0</v>
      </c>
      <c r="K53">
        <f>ROUND(24.4/100,7)</f>
        <v>0.24399999999999999</v>
      </c>
      <c r="O53">
        <f t="shared" si="30"/>
        <v>1328.27</v>
      </c>
      <c r="P53">
        <f t="shared" si="31"/>
        <v>19.989999999999998</v>
      </c>
      <c r="Q53">
        <f>(ROUND((ROUND((((ET53*ROUND(1.25,7)))*I53),2)*BB53),2)+ROUND((ROUND(((AE53-((EU53*ROUND(1.25,7))))*I53),2)*BS53),2))</f>
        <v>14.42</v>
      </c>
      <c r="R53">
        <f>(ROUND((ROUND((((EU53*ROUND(1.25,7)))*I53),2)*BS53),2)+ROUND((ROUND(((AE53-((EU53*ROUND(1.25,7))))*I53),2)*BS53),2))</f>
        <v>7.08</v>
      </c>
      <c r="S53">
        <f t="shared" si="32"/>
        <v>1293.8599999999999</v>
      </c>
      <c r="T53">
        <f t="shared" si="33"/>
        <v>0</v>
      </c>
      <c r="U53">
        <f t="shared" si="34"/>
        <v>3.541172</v>
      </c>
      <c r="V53">
        <f t="shared" si="35"/>
        <v>1.525E-2</v>
      </c>
      <c r="W53">
        <f t="shared" si="36"/>
        <v>0</v>
      </c>
      <c r="X53">
        <f t="shared" si="37"/>
        <v>1088.8900000000001</v>
      </c>
      <c r="Y53">
        <f t="shared" si="38"/>
        <v>685.6</v>
      </c>
      <c r="AA53">
        <v>53360025</v>
      </c>
      <c r="AB53">
        <f t="shared" si="39"/>
        <v>148.2585</v>
      </c>
      <c r="AC53">
        <f t="shared" si="40"/>
        <v>9.32</v>
      </c>
      <c r="AD53">
        <f>ROUND(((((ET53*ROUND(1.25,7)))-((EU53*ROUND(1.25,7))))+AE53),6)</f>
        <v>4.1124999999999998</v>
      </c>
      <c r="AE53">
        <f>ROUND(((EU53*ROUND(1.25,7))),6)</f>
        <v>0.72499999999999998</v>
      </c>
      <c r="AF53">
        <f>ROUND(((EV53*ROUND(1.15,7))),6)</f>
        <v>134.82599999999999</v>
      </c>
      <c r="AG53">
        <f t="shared" si="41"/>
        <v>0</v>
      </c>
      <c r="AH53">
        <f>((EW53*ROUND(1.15,7)))</f>
        <v>14.512999999999998</v>
      </c>
      <c r="AI53">
        <f>((EX53*ROUND(1.25,7)))</f>
        <v>6.25E-2</v>
      </c>
      <c r="AJ53">
        <f t="shared" si="42"/>
        <v>0</v>
      </c>
      <c r="AK53">
        <v>129.85</v>
      </c>
      <c r="AL53">
        <v>9.32</v>
      </c>
      <c r="AM53">
        <v>3.29</v>
      </c>
      <c r="AN53">
        <v>0.57999999999999996</v>
      </c>
      <c r="AO53">
        <v>117.24</v>
      </c>
      <c r="AP53">
        <v>0</v>
      </c>
      <c r="AQ53">
        <v>12.62</v>
      </c>
      <c r="AR53">
        <v>0.05</v>
      </c>
      <c r="AS53">
        <v>0</v>
      </c>
      <c r="AT53">
        <v>83.7</v>
      </c>
      <c r="AU53">
        <v>52.7</v>
      </c>
      <c r="AV53">
        <v>1</v>
      </c>
      <c r="AW53">
        <v>1</v>
      </c>
      <c r="AZ53">
        <v>1</v>
      </c>
      <c r="BA53">
        <v>39.33</v>
      </c>
      <c r="BB53">
        <v>14.42</v>
      </c>
      <c r="BC53">
        <v>8.7899999999999991</v>
      </c>
      <c r="BD53" t="s">
        <v>3</v>
      </c>
      <c r="BE53" t="s">
        <v>3</v>
      </c>
      <c r="BF53" t="s">
        <v>3</v>
      </c>
      <c r="BG53" t="s">
        <v>3</v>
      </c>
      <c r="BH53">
        <v>0</v>
      </c>
      <c r="BI53">
        <v>1</v>
      </c>
      <c r="BJ53" t="s">
        <v>151</v>
      </c>
      <c r="BM53">
        <v>9001</v>
      </c>
      <c r="BN53">
        <v>0</v>
      </c>
      <c r="BO53" t="s">
        <v>457</v>
      </c>
      <c r="BP53">
        <v>1</v>
      </c>
      <c r="BQ53">
        <v>2</v>
      </c>
      <c r="BR53">
        <v>0</v>
      </c>
      <c r="BS53">
        <v>39.33</v>
      </c>
      <c r="BT53">
        <v>1</v>
      </c>
      <c r="BU53">
        <v>1</v>
      </c>
      <c r="BV53">
        <v>1</v>
      </c>
      <c r="BW53">
        <v>1</v>
      </c>
      <c r="BX53">
        <v>1</v>
      </c>
      <c r="BY53" t="s">
        <v>3</v>
      </c>
      <c r="BZ53">
        <v>93</v>
      </c>
      <c r="CA53">
        <v>62</v>
      </c>
      <c r="CB53" t="s">
        <v>3</v>
      </c>
      <c r="CE53">
        <v>12</v>
      </c>
      <c r="CF53">
        <v>0</v>
      </c>
      <c r="CG53">
        <v>0</v>
      </c>
      <c r="CM53">
        <v>0</v>
      </c>
      <c r="CN53" t="s">
        <v>459</v>
      </c>
      <c r="CO53">
        <v>0</v>
      </c>
      <c r="CP53">
        <f t="shared" si="43"/>
        <v>1328.27</v>
      </c>
      <c r="CQ53">
        <f t="shared" si="44"/>
        <v>81.922799999999995</v>
      </c>
      <c r="CR53">
        <f>(ROUND((ROUND((((ET53*ROUND(1.25,7)))*1),2)*BB53),2)+ROUND((ROUND(((AE53-((EU53*ROUND(1.25,7))))*1),2)*BS53),2))</f>
        <v>59.27</v>
      </c>
      <c r="CS53">
        <f>(ROUND((ROUND((((EU53*ROUND(1.25,7)))*1),2)*BS53),2)+ROUND((ROUND(((AE53-((EU53*ROUND(1.25,7))))*1),2)*BS53),2))</f>
        <v>28.71</v>
      </c>
      <c r="CT53">
        <f t="shared" si="45"/>
        <v>5302.7065799999991</v>
      </c>
      <c r="CU53">
        <f t="shared" si="46"/>
        <v>0</v>
      </c>
      <c r="CV53">
        <f t="shared" si="47"/>
        <v>14.512999999999998</v>
      </c>
      <c r="CW53">
        <f t="shared" si="48"/>
        <v>6.25E-2</v>
      </c>
      <c r="CX53">
        <f t="shared" si="49"/>
        <v>0</v>
      </c>
      <c r="CY53">
        <f t="shared" si="50"/>
        <v>1088.8867799999998</v>
      </c>
      <c r="CZ53">
        <f t="shared" si="51"/>
        <v>685.59537999999998</v>
      </c>
      <c r="DB53">
        <v>5</v>
      </c>
      <c r="DC53" t="s">
        <v>3</v>
      </c>
      <c r="DD53" t="s">
        <v>3</v>
      </c>
      <c r="DE53" t="s">
        <v>72</v>
      </c>
      <c r="DF53" t="s">
        <v>72</v>
      </c>
      <c r="DG53" t="s">
        <v>73</v>
      </c>
      <c r="DH53" t="s">
        <v>3</v>
      </c>
      <c r="DI53" t="s">
        <v>73</v>
      </c>
      <c r="DJ53" t="s">
        <v>72</v>
      </c>
      <c r="DK53" t="s">
        <v>3</v>
      </c>
      <c r="DL53" t="s">
        <v>74</v>
      </c>
      <c r="DM53" t="s">
        <v>75</v>
      </c>
      <c r="DN53">
        <v>0</v>
      </c>
      <c r="DO53">
        <v>0</v>
      </c>
      <c r="DP53">
        <v>1</v>
      </c>
      <c r="DQ53">
        <v>1</v>
      </c>
      <c r="DU53">
        <v>1003</v>
      </c>
      <c r="DV53" t="s">
        <v>150</v>
      </c>
      <c r="DW53" t="s">
        <v>150</v>
      </c>
      <c r="DX53">
        <v>100</v>
      </c>
      <c r="DZ53" t="s">
        <v>3</v>
      </c>
      <c r="EA53" t="s">
        <v>3</v>
      </c>
      <c r="EB53" t="s">
        <v>3</v>
      </c>
      <c r="EC53" t="s">
        <v>3</v>
      </c>
      <c r="EE53">
        <v>53151323</v>
      </c>
      <c r="EF53">
        <v>2</v>
      </c>
      <c r="EG53" t="s">
        <v>76</v>
      </c>
      <c r="EH53">
        <v>9</v>
      </c>
      <c r="EI53" t="s">
        <v>152</v>
      </c>
      <c r="EJ53">
        <v>1</v>
      </c>
      <c r="EK53">
        <v>9001</v>
      </c>
      <c r="EL53" t="s">
        <v>152</v>
      </c>
      <c r="EM53" t="s">
        <v>153</v>
      </c>
      <c r="EO53" t="s">
        <v>79</v>
      </c>
      <c r="EQ53">
        <v>1311232</v>
      </c>
      <c r="ER53">
        <v>129.85</v>
      </c>
      <c r="ES53">
        <v>9.32</v>
      </c>
      <c r="ET53">
        <v>3.29</v>
      </c>
      <c r="EU53">
        <v>0.57999999999999996</v>
      </c>
      <c r="EV53">
        <v>117.24</v>
      </c>
      <c r="EW53">
        <v>12.62</v>
      </c>
      <c r="EX53">
        <v>0.05</v>
      </c>
      <c r="EY53">
        <v>0</v>
      </c>
      <c r="FQ53">
        <v>0</v>
      </c>
      <c r="FR53">
        <f t="shared" si="25"/>
        <v>0</v>
      </c>
      <c r="FS53">
        <v>0</v>
      </c>
      <c r="FX53">
        <v>83.7</v>
      </c>
      <c r="FY53">
        <v>52.7</v>
      </c>
      <c r="GA53" t="s">
        <v>3</v>
      </c>
      <c r="GD53">
        <v>1</v>
      </c>
      <c r="GF53">
        <v>1784543327</v>
      </c>
      <c r="GG53">
        <v>2</v>
      </c>
      <c r="GH53">
        <v>1</v>
      </c>
      <c r="GI53">
        <v>4</v>
      </c>
      <c r="GJ53">
        <v>0</v>
      </c>
      <c r="GK53">
        <v>0</v>
      </c>
      <c r="GL53">
        <f t="shared" si="26"/>
        <v>0</v>
      </c>
      <c r="GM53">
        <f t="shared" si="52"/>
        <v>3102.76</v>
      </c>
      <c r="GN53">
        <f t="shared" si="27"/>
        <v>3102.76</v>
      </c>
      <c r="GO53">
        <f t="shared" si="28"/>
        <v>0</v>
      </c>
      <c r="GP53">
        <f t="shared" si="29"/>
        <v>0</v>
      </c>
      <c r="GR53">
        <v>0</v>
      </c>
      <c r="GS53">
        <v>3</v>
      </c>
      <c r="GT53">
        <v>0</v>
      </c>
      <c r="GU53" t="s">
        <v>3</v>
      </c>
      <c r="GV53">
        <f t="shared" si="53"/>
        <v>0</v>
      </c>
      <c r="GW53">
        <v>1</v>
      </c>
      <c r="GX53">
        <f t="shared" si="54"/>
        <v>0</v>
      </c>
      <c r="HA53">
        <v>0</v>
      </c>
      <c r="HB53">
        <v>0</v>
      </c>
      <c r="HC53">
        <f t="shared" si="55"/>
        <v>0</v>
      </c>
      <c r="HE53" t="s">
        <v>3</v>
      </c>
      <c r="HF53" t="s">
        <v>3</v>
      </c>
      <c r="HM53" t="s">
        <v>3</v>
      </c>
      <c r="HN53" t="s">
        <v>154</v>
      </c>
      <c r="HO53" t="s">
        <v>155</v>
      </c>
      <c r="HP53" t="s">
        <v>152</v>
      </c>
      <c r="HQ53" t="s">
        <v>152</v>
      </c>
      <c r="IK53">
        <v>0</v>
      </c>
    </row>
    <row r="54" spans="1:245" x14ac:dyDescent="0.2">
      <c r="A54">
        <v>18</v>
      </c>
      <c r="B54">
        <v>1</v>
      </c>
      <c r="C54">
        <v>76</v>
      </c>
      <c r="E54" t="s">
        <v>156</v>
      </c>
      <c r="F54" t="s">
        <v>157</v>
      </c>
      <c r="G54" t="s">
        <v>158</v>
      </c>
      <c r="H54" t="s">
        <v>32</v>
      </c>
      <c r="I54">
        <f>I53*J54</f>
        <v>9.7599999999999998E-4</v>
      </c>
      <c r="J54">
        <v>4.0000000000000001E-3</v>
      </c>
      <c r="K54">
        <v>4.0000000000000001E-3</v>
      </c>
      <c r="O54">
        <f t="shared" si="30"/>
        <v>0</v>
      </c>
      <c r="P54">
        <f t="shared" si="31"/>
        <v>0</v>
      </c>
      <c r="Q54">
        <f>(ROUND((ROUND(((ET54)*I54),2)*BB54),2)+ROUND((ROUND(((AE54-(EU54))*I54),2)*BS54),2))</f>
        <v>0</v>
      </c>
      <c r="R54">
        <f>(ROUND((ROUND(((EU54)*I54),2)*BS54),2)+ROUND((ROUND(((AE54-(EU54))*I54),2)*BS54),2))</f>
        <v>0</v>
      </c>
      <c r="S54">
        <f t="shared" si="32"/>
        <v>0</v>
      </c>
      <c r="T54">
        <f t="shared" si="33"/>
        <v>0</v>
      </c>
      <c r="U54">
        <f t="shared" si="34"/>
        <v>0</v>
      </c>
      <c r="V54">
        <f t="shared" si="35"/>
        <v>0</v>
      </c>
      <c r="W54">
        <f t="shared" si="36"/>
        <v>0</v>
      </c>
      <c r="X54">
        <f t="shared" si="37"/>
        <v>0</v>
      </c>
      <c r="Y54">
        <f t="shared" si="38"/>
        <v>0</v>
      </c>
      <c r="AA54">
        <v>53360025</v>
      </c>
      <c r="AB54">
        <f t="shared" si="39"/>
        <v>0</v>
      </c>
      <c r="AC54">
        <f t="shared" si="40"/>
        <v>0</v>
      </c>
      <c r="AD54">
        <f>ROUND((((ET54)-(EU54))+AE54),6)</f>
        <v>0</v>
      </c>
      <c r="AE54">
        <f t="shared" ref="AE54:AF56" si="62">ROUND((EU54),6)</f>
        <v>0</v>
      </c>
      <c r="AF54">
        <f t="shared" si="62"/>
        <v>0</v>
      </c>
      <c r="AG54">
        <f t="shared" si="41"/>
        <v>0</v>
      </c>
      <c r="AH54">
        <f t="shared" ref="AH54:AI56" si="63">(EW54)</f>
        <v>0</v>
      </c>
      <c r="AI54">
        <f t="shared" si="63"/>
        <v>0</v>
      </c>
      <c r="AJ54">
        <f t="shared" si="42"/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93</v>
      </c>
      <c r="AU54">
        <v>62</v>
      </c>
      <c r="AV54">
        <v>1</v>
      </c>
      <c r="AW54">
        <v>1</v>
      </c>
      <c r="AZ54">
        <v>1</v>
      </c>
      <c r="BA54">
        <v>1</v>
      </c>
      <c r="BB54">
        <v>1</v>
      </c>
      <c r="BC54">
        <v>8.7899999999999991</v>
      </c>
      <c r="BD54" t="s">
        <v>3</v>
      </c>
      <c r="BE54" t="s">
        <v>3</v>
      </c>
      <c r="BF54" t="s">
        <v>3</v>
      </c>
      <c r="BG54" t="s">
        <v>3</v>
      </c>
      <c r="BH54">
        <v>3</v>
      </c>
      <c r="BI54">
        <v>1</v>
      </c>
      <c r="BJ54" t="s">
        <v>3</v>
      </c>
      <c r="BM54">
        <v>9001</v>
      </c>
      <c r="BN54">
        <v>0</v>
      </c>
      <c r="BO54" t="s">
        <v>33</v>
      </c>
      <c r="BP54">
        <v>1</v>
      </c>
      <c r="BQ54">
        <v>2</v>
      </c>
      <c r="BR54">
        <v>0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 t="s">
        <v>3</v>
      </c>
      <c r="BZ54">
        <v>93</v>
      </c>
      <c r="CA54">
        <v>62</v>
      </c>
      <c r="CB54" t="s">
        <v>3</v>
      </c>
      <c r="CE54">
        <v>12</v>
      </c>
      <c r="CF54">
        <v>0</v>
      </c>
      <c r="CG54">
        <v>0</v>
      </c>
      <c r="CM54">
        <v>0</v>
      </c>
      <c r="CN54" t="s">
        <v>3</v>
      </c>
      <c r="CO54">
        <v>0</v>
      </c>
      <c r="CP54">
        <f t="shared" si="43"/>
        <v>0</v>
      </c>
      <c r="CQ54">
        <f t="shared" si="44"/>
        <v>0</v>
      </c>
      <c r="CR54">
        <f>(ROUND((ROUND(((ET54)*1),2)*BB54),2)+ROUND((ROUND(((AE54-(EU54))*1),2)*BS54),2))</f>
        <v>0</v>
      </c>
      <c r="CS54">
        <f>(ROUND((ROUND(((EU54)*1),2)*BS54),2)+ROUND((ROUND(((AE54-(EU54))*1),2)*BS54),2))</f>
        <v>0</v>
      </c>
      <c r="CT54">
        <f t="shared" si="45"/>
        <v>0</v>
      </c>
      <c r="CU54">
        <f t="shared" si="46"/>
        <v>0</v>
      </c>
      <c r="CV54">
        <f t="shared" si="47"/>
        <v>0</v>
      </c>
      <c r="CW54">
        <f t="shared" si="48"/>
        <v>0</v>
      </c>
      <c r="CX54">
        <f t="shared" si="49"/>
        <v>0</v>
      </c>
      <c r="CY54">
        <f t="shared" si="50"/>
        <v>0</v>
      </c>
      <c r="CZ54">
        <f t="shared" si="51"/>
        <v>0</v>
      </c>
      <c r="DC54" t="s">
        <v>3</v>
      </c>
      <c r="DD54" t="s">
        <v>3</v>
      </c>
      <c r="DE54" t="s">
        <v>3</v>
      </c>
      <c r="DF54" t="s">
        <v>3</v>
      </c>
      <c r="DG54" t="s">
        <v>3</v>
      </c>
      <c r="DH54" t="s">
        <v>3</v>
      </c>
      <c r="DI54" t="s">
        <v>3</v>
      </c>
      <c r="DJ54" t="s">
        <v>3</v>
      </c>
      <c r="DK54" t="s">
        <v>3</v>
      </c>
      <c r="DL54" t="s">
        <v>3</v>
      </c>
      <c r="DM54" t="s">
        <v>3</v>
      </c>
      <c r="DN54">
        <v>0</v>
      </c>
      <c r="DO54">
        <v>0</v>
      </c>
      <c r="DP54">
        <v>1</v>
      </c>
      <c r="DQ54">
        <v>1</v>
      </c>
      <c r="DU54">
        <v>1009</v>
      </c>
      <c r="DV54" t="s">
        <v>32</v>
      </c>
      <c r="DW54" t="s">
        <v>32</v>
      </c>
      <c r="DX54">
        <v>1000</v>
      </c>
      <c r="DZ54" t="s">
        <v>3</v>
      </c>
      <c r="EA54" t="s">
        <v>3</v>
      </c>
      <c r="EB54" t="s">
        <v>3</v>
      </c>
      <c r="EC54" t="s">
        <v>3</v>
      </c>
      <c r="EE54">
        <v>53151323</v>
      </c>
      <c r="EF54">
        <v>2</v>
      </c>
      <c r="EG54" t="s">
        <v>76</v>
      </c>
      <c r="EH54">
        <v>9</v>
      </c>
      <c r="EI54" t="s">
        <v>152</v>
      </c>
      <c r="EJ54">
        <v>1</v>
      </c>
      <c r="EK54">
        <v>9001</v>
      </c>
      <c r="EL54" t="s">
        <v>152</v>
      </c>
      <c r="EM54" t="s">
        <v>153</v>
      </c>
      <c r="EO54" t="s">
        <v>3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FQ54">
        <v>0</v>
      </c>
      <c r="FR54">
        <f t="shared" si="25"/>
        <v>0</v>
      </c>
      <c r="FS54">
        <v>0</v>
      </c>
      <c r="FX54">
        <v>93</v>
      </c>
      <c r="FY54">
        <v>62</v>
      </c>
      <c r="GA54" t="s">
        <v>3</v>
      </c>
      <c r="GD54">
        <v>1</v>
      </c>
      <c r="GF54">
        <v>1763388316</v>
      </c>
      <c r="GG54">
        <v>2</v>
      </c>
      <c r="GH54">
        <v>1</v>
      </c>
      <c r="GI54">
        <v>4</v>
      </c>
      <c r="GJ54">
        <v>0</v>
      </c>
      <c r="GK54">
        <v>0</v>
      </c>
      <c r="GL54">
        <f t="shared" si="26"/>
        <v>0</v>
      </c>
      <c r="GM54">
        <f t="shared" si="52"/>
        <v>0</v>
      </c>
      <c r="GN54">
        <f t="shared" si="27"/>
        <v>0</v>
      </c>
      <c r="GO54">
        <f t="shared" si="28"/>
        <v>0</v>
      </c>
      <c r="GP54">
        <f t="shared" si="29"/>
        <v>0</v>
      </c>
      <c r="GR54">
        <v>0</v>
      </c>
      <c r="GS54">
        <v>3</v>
      </c>
      <c r="GT54">
        <v>0</v>
      </c>
      <c r="GU54" t="s">
        <v>3</v>
      </c>
      <c r="GV54">
        <f t="shared" si="53"/>
        <v>0</v>
      </c>
      <c r="GW54">
        <v>1</v>
      </c>
      <c r="GX54">
        <f t="shared" si="54"/>
        <v>0</v>
      </c>
      <c r="HA54">
        <v>0</v>
      </c>
      <c r="HB54">
        <v>0</v>
      </c>
      <c r="HC54">
        <f t="shared" si="55"/>
        <v>0</v>
      </c>
      <c r="HE54" t="s">
        <v>3</v>
      </c>
      <c r="HF54" t="s">
        <v>3</v>
      </c>
      <c r="HM54" t="s">
        <v>3</v>
      </c>
      <c r="HN54" t="s">
        <v>154</v>
      </c>
      <c r="HO54" t="s">
        <v>155</v>
      </c>
      <c r="HP54" t="s">
        <v>152</v>
      </c>
      <c r="HQ54" t="s">
        <v>152</v>
      </c>
      <c r="IK54">
        <v>0</v>
      </c>
    </row>
    <row r="55" spans="1:245" x14ac:dyDescent="0.2">
      <c r="A55">
        <v>18</v>
      </c>
      <c r="B55">
        <v>1</v>
      </c>
      <c r="C55">
        <v>77</v>
      </c>
      <c r="E55" t="s">
        <v>159</v>
      </c>
      <c r="F55" t="s">
        <v>160</v>
      </c>
      <c r="G55" t="s">
        <v>161</v>
      </c>
      <c r="H55" t="s">
        <v>32</v>
      </c>
      <c r="I55">
        <f>I53*J55</f>
        <v>0</v>
      </c>
      <c r="J55">
        <v>0</v>
      </c>
      <c r="K55">
        <v>0</v>
      </c>
      <c r="O55">
        <f t="shared" si="30"/>
        <v>0</v>
      </c>
      <c r="P55">
        <f t="shared" si="31"/>
        <v>0</v>
      </c>
      <c r="Q55">
        <f>(ROUND((ROUND(((ET55)*I55),2)*BB55),2)+ROUND((ROUND(((AE55-(EU55))*I55),2)*BS55),2))</f>
        <v>0</v>
      </c>
      <c r="R55">
        <f>(ROUND((ROUND(((EU55)*I55),2)*BS55),2)+ROUND((ROUND(((AE55-(EU55))*I55),2)*BS55),2))</f>
        <v>0</v>
      </c>
      <c r="S55">
        <f t="shared" si="32"/>
        <v>0</v>
      </c>
      <c r="T55">
        <f t="shared" si="33"/>
        <v>0</v>
      </c>
      <c r="U55">
        <f t="shared" si="34"/>
        <v>0</v>
      </c>
      <c r="V55">
        <f t="shared" si="35"/>
        <v>0</v>
      </c>
      <c r="W55">
        <f t="shared" si="36"/>
        <v>0</v>
      </c>
      <c r="X55">
        <f t="shared" si="37"/>
        <v>0</v>
      </c>
      <c r="Y55">
        <f t="shared" si="38"/>
        <v>0</v>
      </c>
      <c r="AA55">
        <v>53360025</v>
      </c>
      <c r="AB55">
        <f t="shared" si="39"/>
        <v>0</v>
      </c>
      <c r="AC55">
        <f t="shared" si="40"/>
        <v>0</v>
      </c>
      <c r="AD55">
        <f>ROUND((((ET55)-(EU55))+AE55),6)</f>
        <v>0</v>
      </c>
      <c r="AE55">
        <f t="shared" si="62"/>
        <v>0</v>
      </c>
      <c r="AF55">
        <f t="shared" si="62"/>
        <v>0</v>
      </c>
      <c r="AG55">
        <f t="shared" si="41"/>
        <v>0</v>
      </c>
      <c r="AH55">
        <f t="shared" si="63"/>
        <v>0</v>
      </c>
      <c r="AI55">
        <f t="shared" si="63"/>
        <v>0</v>
      </c>
      <c r="AJ55">
        <f t="shared" si="42"/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93</v>
      </c>
      <c r="AU55">
        <v>62</v>
      </c>
      <c r="AV55">
        <v>1</v>
      </c>
      <c r="AW55">
        <v>1</v>
      </c>
      <c r="AZ55">
        <v>1</v>
      </c>
      <c r="BA55">
        <v>1</v>
      </c>
      <c r="BB55">
        <v>1</v>
      </c>
      <c r="BC55">
        <v>8.7899999999999991</v>
      </c>
      <c r="BD55" t="s">
        <v>3</v>
      </c>
      <c r="BE55" t="s">
        <v>3</v>
      </c>
      <c r="BF55" t="s">
        <v>3</v>
      </c>
      <c r="BG55" t="s">
        <v>3</v>
      </c>
      <c r="BH55">
        <v>3</v>
      </c>
      <c r="BI55">
        <v>1</v>
      </c>
      <c r="BJ55" t="s">
        <v>3</v>
      </c>
      <c r="BM55">
        <v>9001</v>
      </c>
      <c r="BN55">
        <v>0</v>
      </c>
      <c r="BO55" t="s">
        <v>33</v>
      </c>
      <c r="BP55">
        <v>1</v>
      </c>
      <c r="BQ55">
        <v>2</v>
      </c>
      <c r="BR55">
        <v>0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 t="s">
        <v>3</v>
      </c>
      <c r="BZ55">
        <v>93</v>
      </c>
      <c r="CA55">
        <v>62</v>
      </c>
      <c r="CB55" t="s">
        <v>3</v>
      </c>
      <c r="CE55">
        <v>12</v>
      </c>
      <c r="CF55">
        <v>0</v>
      </c>
      <c r="CG55">
        <v>0</v>
      </c>
      <c r="CM55">
        <v>0</v>
      </c>
      <c r="CN55" t="s">
        <v>3</v>
      </c>
      <c r="CO55">
        <v>0</v>
      </c>
      <c r="CP55">
        <f t="shared" si="43"/>
        <v>0</v>
      </c>
      <c r="CQ55">
        <f t="shared" si="44"/>
        <v>0</v>
      </c>
      <c r="CR55">
        <f>(ROUND((ROUND(((ET55)*1),2)*BB55),2)+ROUND((ROUND(((AE55-(EU55))*1),2)*BS55),2))</f>
        <v>0</v>
      </c>
      <c r="CS55">
        <f>(ROUND((ROUND(((EU55)*1),2)*BS55),2)+ROUND((ROUND(((AE55-(EU55))*1),2)*BS55),2))</f>
        <v>0</v>
      </c>
      <c r="CT55">
        <f t="shared" si="45"/>
        <v>0</v>
      </c>
      <c r="CU55">
        <f t="shared" si="46"/>
        <v>0</v>
      </c>
      <c r="CV55">
        <f t="shared" si="47"/>
        <v>0</v>
      </c>
      <c r="CW55">
        <f t="shared" si="48"/>
        <v>0</v>
      </c>
      <c r="CX55">
        <f t="shared" si="49"/>
        <v>0</v>
      </c>
      <c r="CY55">
        <f t="shared" si="50"/>
        <v>0</v>
      </c>
      <c r="CZ55">
        <f t="shared" si="51"/>
        <v>0</v>
      </c>
      <c r="DC55" t="s">
        <v>3</v>
      </c>
      <c r="DD55" t="s">
        <v>3</v>
      </c>
      <c r="DE55" t="s">
        <v>3</v>
      </c>
      <c r="DF55" t="s">
        <v>3</v>
      </c>
      <c r="DG55" t="s">
        <v>3</v>
      </c>
      <c r="DH55" t="s">
        <v>3</v>
      </c>
      <c r="DI55" t="s">
        <v>3</v>
      </c>
      <c r="DJ55" t="s">
        <v>3</v>
      </c>
      <c r="DK55" t="s">
        <v>3</v>
      </c>
      <c r="DL55" t="s">
        <v>3</v>
      </c>
      <c r="DM55" t="s">
        <v>3</v>
      </c>
      <c r="DN55">
        <v>0</v>
      </c>
      <c r="DO55">
        <v>0</v>
      </c>
      <c r="DP55">
        <v>1</v>
      </c>
      <c r="DQ55">
        <v>1</v>
      </c>
      <c r="DU55">
        <v>1009</v>
      </c>
      <c r="DV55" t="s">
        <v>32</v>
      </c>
      <c r="DW55" t="s">
        <v>32</v>
      </c>
      <c r="DX55">
        <v>1000</v>
      </c>
      <c r="DZ55" t="s">
        <v>3</v>
      </c>
      <c r="EA55" t="s">
        <v>3</v>
      </c>
      <c r="EB55" t="s">
        <v>3</v>
      </c>
      <c r="EC55" t="s">
        <v>3</v>
      </c>
      <c r="EE55">
        <v>53151323</v>
      </c>
      <c r="EF55">
        <v>2</v>
      </c>
      <c r="EG55" t="s">
        <v>76</v>
      </c>
      <c r="EH55">
        <v>9</v>
      </c>
      <c r="EI55" t="s">
        <v>152</v>
      </c>
      <c r="EJ55">
        <v>1</v>
      </c>
      <c r="EK55">
        <v>9001</v>
      </c>
      <c r="EL55" t="s">
        <v>152</v>
      </c>
      <c r="EM55" t="s">
        <v>153</v>
      </c>
      <c r="EO55" t="s">
        <v>3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FQ55">
        <v>0</v>
      </c>
      <c r="FR55">
        <f t="shared" si="25"/>
        <v>0</v>
      </c>
      <c r="FS55">
        <v>0</v>
      </c>
      <c r="FX55">
        <v>93</v>
      </c>
      <c r="FY55">
        <v>62</v>
      </c>
      <c r="GA55" t="s">
        <v>3</v>
      </c>
      <c r="GD55">
        <v>1</v>
      </c>
      <c r="GF55">
        <v>69843047</v>
      </c>
      <c r="GG55">
        <v>2</v>
      </c>
      <c r="GH55">
        <v>1</v>
      </c>
      <c r="GI55">
        <v>4</v>
      </c>
      <c r="GJ55">
        <v>0</v>
      </c>
      <c r="GK55">
        <v>0</v>
      </c>
      <c r="GL55">
        <f t="shared" si="26"/>
        <v>0</v>
      </c>
      <c r="GM55">
        <f t="shared" si="52"/>
        <v>0</v>
      </c>
      <c r="GN55">
        <f t="shared" si="27"/>
        <v>0</v>
      </c>
      <c r="GO55">
        <f t="shared" si="28"/>
        <v>0</v>
      </c>
      <c r="GP55">
        <f t="shared" si="29"/>
        <v>0</v>
      </c>
      <c r="GR55">
        <v>0</v>
      </c>
      <c r="GS55">
        <v>3</v>
      </c>
      <c r="GT55">
        <v>0</v>
      </c>
      <c r="GU55" t="s">
        <v>3</v>
      </c>
      <c r="GV55">
        <f t="shared" si="53"/>
        <v>0</v>
      </c>
      <c r="GW55">
        <v>1</v>
      </c>
      <c r="GX55">
        <f t="shared" si="54"/>
        <v>0</v>
      </c>
      <c r="HA55">
        <v>0</v>
      </c>
      <c r="HB55">
        <v>0</v>
      </c>
      <c r="HC55">
        <f t="shared" si="55"/>
        <v>0</v>
      </c>
      <c r="HE55" t="s">
        <v>3</v>
      </c>
      <c r="HF55" t="s">
        <v>3</v>
      </c>
      <c r="HM55" t="s">
        <v>3</v>
      </c>
      <c r="HN55" t="s">
        <v>154</v>
      </c>
      <c r="HO55" t="s">
        <v>155</v>
      </c>
      <c r="HP55" t="s">
        <v>152</v>
      </c>
      <c r="HQ55" t="s">
        <v>152</v>
      </c>
      <c r="IK55">
        <v>0</v>
      </c>
    </row>
    <row r="56" spans="1:245" x14ac:dyDescent="0.2">
      <c r="A56">
        <v>18</v>
      </c>
      <c r="B56">
        <v>1</v>
      </c>
      <c r="C56">
        <v>75</v>
      </c>
      <c r="E56" t="s">
        <v>162</v>
      </c>
      <c r="F56" t="s">
        <v>163</v>
      </c>
      <c r="G56" t="s">
        <v>164</v>
      </c>
      <c r="H56" t="s">
        <v>165</v>
      </c>
      <c r="I56">
        <f>I53*J56</f>
        <v>24.4</v>
      </c>
      <c r="J56">
        <v>100</v>
      </c>
      <c r="K56">
        <v>100</v>
      </c>
      <c r="O56">
        <f t="shared" si="30"/>
        <v>1074.52</v>
      </c>
      <c r="P56">
        <f t="shared" si="31"/>
        <v>1074.52</v>
      </c>
      <c r="Q56">
        <f>(ROUND((ROUND(((ET56)*I56),2)*BB56),2)+ROUND((ROUND(((AE56-(EU56))*I56),2)*BS56),2))</f>
        <v>0</v>
      </c>
      <c r="R56">
        <f>(ROUND((ROUND(((EU56)*I56),2)*BS56),2)+ROUND((ROUND(((AE56-(EU56))*I56),2)*BS56),2))</f>
        <v>0</v>
      </c>
      <c r="S56">
        <f t="shared" si="32"/>
        <v>0</v>
      </c>
      <c r="T56">
        <f t="shared" si="33"/>
        <v>0</v>
      </c>
      <c r="U56">
        <f t="shared" si="34"/>
        <v>0</v>
      </c>
      <c r="V56">
        <f t="shared" si="35"/>
        <v>0</v>
      </c>
      <c r="W56">
        <f t="shared" si="36"/>
        <v>0</v>
      </c>
      <c r="X56">
        <f t="shared" si="37"/>
        <v>0</v>
      </c>
      <c r="Y56">
        <f t="shared" si="38"/>
        <v>0</v>
      </c>
      <c r="AA56">
        <v>53360025</v>
      </c>
      <c r="AB56">
        <f t="shared" si="39"/>
        <v>5.01</v>
      </c>
      <c r="AC56">
        <f t="shared" si="40"/>
        <v>5.01</v>
      </c>
      <c r="AD56">
        <f>ROUND((((ET56)-(EU56))+AE56),6)</f>
        <v>0</v>
      </c>
      <c r="AE56">
        <f t="shared" si="62"/>
        <v>0</v>
      </c>
      <c r="AF56">
        <f t="shared" si="62"/>
        <v>0</v>
      </c>
      <c r="AG56">
        <f t="shared" si="41"/>
        <v>0</v>
      </c>
      <c r="AH56">
        <f t="shared" si="63"/>
        <v>0</v>
      </c>
      <c r="AI56">
        <f t="shared" si="63"/>
        <v>0</v>
      </c>
      <c r="AJ56">
        <f t="shared" si="42"/>
        <v>0</v>
      </c>
      <c r="AK56">
        <v>5.01</v>
      </c>
      <c r="AL56">
        <v>5.01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93</v>
      </c>
      <c r="AU56">
        <v>62</v>
      </c>
      <c r="AV56">
        <v>1</v>
      </c>
      <c r="AW56">
        <v>1</v>
      </c>
      <c r="AZ56">
        <v>1</v>
      </c>
      <c r="BA56">
        <v>1</v>
      </c>
      <c r="BB56">
        <v>1</v>
      </c>
      <c r="BC56">
        <v>8.7899999999999991</v>
      </c>
      <c r="BD56" t="s">
        <v>3</v>
      </c>
      <c r="BE56" t="s">
        <v>3</v>
      </c>
      <c r="BF56" t="s">
        <v>3</v>
      </c>
      <c r="BG56" t="s">
        <v>3</v>
      </c>
      <c r="BH56">
        <v>3</v>
      </c>
      <c r="BI56">
        <v>1</v>
      </c>
      <c r="BJ56" t="s">
        <v>166</v>
      </c>
      <c r="BM56">
        <v>9001</v>
      </c>
      <c r="BN56">
        <v>0</v>
      </c>
      <c r="BO56" t="s">
        <v>33</v>
      </c>
      <c r="BP56">
        <v>1</v>
      </c>
      <c r="BQ56">
        <v>2</v>
      </c>
      <c r="BR56">
        <v>0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 t="s">
        <v>3</v>
      </c>
      <c r="BZ56">
        <v>93</v>
      </c>
      <c r="CA56">
        <v>62</v>
      </c>
      <c r="CB56" t="s">
        <v>3</v>
      </c>
      <c r="CE56">
        <v>12</v>
      </c>
      <c r="CF56">
        <v>0</v>
      </c>
      <c r="CG56">
        <v>0</v>
      </c>
      <c r="CM56">
        <v>0</v>
      </c>
      <c r="CN56" t="s">
        <v>3</v>
      </c>
      <c r="CO56">
        <v>0</v>
      </c>
      <c r="CP56">
        <f t="shared" si="43"/>
        <v>1074.52</v>
      </c>
      <c r="CQ56">
        <f t="shared" si="44"/>
        <v>44.037899999999993</v>
      </c>
      <c r="CR56">
        <f>(ROUND((ROUND(((ET56)*1),2)*BB56),2)+ROUND((ROUND(((AE56-(EU56))*1),2)*BS56),2))</f>
        <v>0</v>
      </c>
      <c r="CS56">
        <f>(ROUND((ROUND(((EU56)*1),2)*BS56),2)+ROUND((ROUND(((AE56-(EU56))*1),2)*BS56),2))</f>
        <v>0</v>
      </c>
      <c r="CT56">
        <f t="shared" si="45"/>
        <v>0</v>
      </c>
      <c r="CU56">
        <f t="shared" si="46"/>
        <v>0</v>
      </c>
      <c r="CV56">
        <f t="shared" si="47"/>
        <v>0</v>
      </c>
      <c r="CW56">
        <f t="shared" si="48"/>
        <v>0</v>
      </c>
      <c r="CX56">
        <f t="shared" si="49"/>
        <v>0</v>
      </c>
      <c r="CY56">
        <f t="shared" si="50"/>
        <v>0</v>
      </c>
      <c r="CZ56">
        <f t="shared" si="51"/>
        <v>0</v>
      </c>
      <c r="DC56" t="s">
        <v>3</v>
      </c>
      <c r="DD56" t="s">
        <v>3</v>
      </c>
      <c r="DE56" t="s">
        <v>3</v>
      </c>
      <c r="DF56" t="s">
        <v>3</v>
      </c>
      <c r="DG56" t="s">
        <v>3</v>
      </c>
      <c r="DH56" t="s">
        <v>3</v>
      </c>
      <c r="DI56" t="s">
        <v>3</v>
      </c>
      <c r="DJ56" t="s">
        <v>3</v>
      </c>
      <c r="DK56" t="s">
        <v>3</v>
      </c>
      <c r="DL56" t="s">
        <v>3</v>
      </c>
      <c r="DM56" t="s">
        <v>3</v>
      </c>
      <c r="DN56">
        <v>0</v>
      </c>
      <c r="DO56">
        <v>0</v>
      </c>
      <c r="DP56">
        <v>1</v>
      </c>
      <c r="DQ56">
        <v>1</v>
      </c>
      <c r="DU56">
        <v>1003</v>
      </c>
      <c r="DV56" t="s">
        <v>165</v>
      </c>
      <c r="DW56" t="s">
        <v>165</v>
      </c>
      <c r="DX56">
        <v>1</v>
      </c>
      <c r="DZ56" t="s">
        <v>3</v>
      </c>
      <c r="EA56" t="s">
        <v>3</v>
      </c>
      <c r="EB56" t="s">
        <v>3</v>
      </c>
      <c r="EC56" t="s">
        <v>3</v>
      </c>
      <c r="EE56">
        <v>53151323</v>
      </c>
      <c r="EF56">
        <v>2</v>
      </c>
      <c r="EG56" t="s">
        <v>76</v>
      </c>
      <c r="EH56">
        <v>9</v>
      </c>
      <c r="EI56" t="s">
        <v>152</v>
      </c>
      <c r="EJ56">
        <v>1</v>
      </c>
      <c r="EK56">
        <v>9001</v>
      </c>
      <c r="EL56" t="s">
        <v>152</v>
      </c>
      <c r="EM56" t="s">
        <v>153</v>
      </c>
      <c r="EO56" t="s">
        <v>3</v>
      </c>
      <c r="EQ56">
        <v>0</v>
      </c>
      <c r="ER56">
        <v>5.01</v>
      </c>
      <c r="ES56">
        <v>5.01</v>
      </c>
      <c r="ET56">
        <v>0</v>
      </c>
      <c r="EU56">
        <v>0</v>
      </c>
      <c r="EV56">
        <v>0</v>
      </c>
      <c r="EW56">
        <v>0</v>
      </c>
      <c r="EX56">
        <v>0</v>
      </c>
      <c r="FQ56">
        <v>0</v>
      </c>
      <c r="FR56">
        <f t="shared" si="25"/>
        <v>0</v>
      </c>
      <c r="FS56">
        <v>0</v>
      </c>
      <c r="FX56">
        <v>93</v>
      </c>
      <c r="FY56">
        <v>62</v>
      </c>
      <c r="GA56" t="s">
        <v>3</v>
      </c>
      <c r="GD56">
        <v>1</v>
      </c>
      <c r="GF56">
        <v>771637963</v>
      </c>
      <c r="GG56">
        <v>2</v>
      </c>
      <c r="GH56">
        <v>1</v>
      </c>
      <c r="GI56">
        <v>4</v>
      </c>
      <c r="GJ56">
        <v>0</v>
      </c>
      <c r="GK56">
        <v>0</v>
      </c>
      <c r="GL56">
        <f t="shared" si="26"/>
        <v>0</v>
      </c>
      <c r="GM56">
        <f t="shared" si="52"/>
        <v>1074.52</v>
      </c>
      <c r="GN56">
        <f t="shared" si="27"/>
        <v>1074.52</v>
      </c>
      <c r="GO56">
        <f t="shared" si="28"/>
        <v>0</v>
      </c>
      <c r="GP56">
        <f t="shared" si="29"/>
        <v>0</v>
      </c>
      <c r="GR56">
        <v>0</v>
      </c>
      <c r="GS56">
        <v>3</v>
      </c>
      <c r="GT56">
        <v>0</v>
      </c>
      <c r="GU56" t="s">
        <v>3</v>
      </c>
      <c r="GV56">
        <f t="shared" si="53"/>
        <v>0</v>
      </c>
      <c r="GW56">
        <v>1</v>
      </c>
      <c r="GX56">
        <f t="shared" si="54"/>
        <v>0</v>
      </c>
      <c r="HA56">
        <v>0</v>
      </c>
      <c r="HB56">
        <v>0</v>
      </c>
      <c r="HC56">
        <f t="shared" si="55"/>
        <v>0</v>
      </c>
      <c r="HE56" t="s">
        <v>3</v>
      </c>
      <c r="HF56" t="s">
        <v>3</v>
      </c>
      <c r="HM56" t="s">
        <v>3</v>
      </c>
      <c r="HN56" t="s">
        <v>154</v>
      </c>
      <c r="HO56" t="s">
        <v>155</v>
      </c>
      <c r="HP56" t="s">
        <v>152</v>
      </c>
      <c r="HQ56" t="s">
        <v>152</v>
      </c>
      <c r="IK56">
        <v>0</v>
      </c>
    </row>
    <row r="57" spans="1:245" x14ac:dyDescent="0.2">
      <c r="A57">
        <v>17</v>
      </c>
      <c r="B57">
        <v>1</v>
      </c>
      <c r="C57">
        <f>ROW(SmtRes!A78)</f>
        <v>78</v>
      </c>
      <c r="D57">
        <f>ROW(EtalonRes!A69)</f>
        <v>69</v>
      </c>
      <c r="E57" t="s">
        <v>167</v>
      </c>
      <c r="F57" t="s">
        <v>168</v>
      </c>
      <c r="G57" t="s">
        <v>169</v>
      </c>
      <c r="H57" t="s">
        <v>101</v>
      </c>
      <c r="I57">
        <v>12</v>
      </c>
      <c r="J57">
        <v>0</v>
      </c>
      <c r="K57">
        <v>12</v>
      </c>
      <c r="O57">
        <f t="shared" si="30"/>
        <v>4168.3500000000004</v>
      </c>
      <c r="P57">
        <f t="shared" si="31"/>
        <v>0</v>
      </c>
      <c r="Q57">
        <f>(ROUND((ROUND((((ET57*ROUND(1.25,7)))*I57),2)*BB57),2)+ROUND((ROUND(((AE57-((EU57*ROUND(1.25,7))))*I57),2)*BS57),2))</f>
        <v>0</v>
      </c>
      <c r="R57">
        <f>(ROUND((ROUND((((EU57*ROUND(1.25,7)))*I57),2)*BS57),2)+ROUND((ROUND(((AE57-((EU57*ROUND(1.25,7))))*I57),2)*BS57),2))</f>
        <v>0</v>
      </c>
      <c r="S57">
        <f t="shared" si="32"/>
        <v>4168.3500000000004</v>
      </c>
      <c r="T57">
        <f t="shared" si="33"/>
        <v>0</v>
      </c>
      <c r="U57">
        <f t="shared" si="34"/>
        <v>12.42</v>
      </c>
      <c r="V57">
        <f t="shared" si="35"/>
        <v>0</v>
      </c>
      <c r="W57">
        <f t="shared" si="36"/>
        <v>0</v>
      </c>
      <c r="X57">
        <f t="shared" si="37"/>
        <v>3526.42</v>
      </c>
      <c r="Y57">
        <f t="shared" si="38"/>
        <v>1806.98</v>
      </c>
      <c r="AA57">
        <v>53360025</v>
      </c>
      <c r="AB57">
        <f t="shared" si="39"/>
        <v>8.8320000000000007</v>
      </c>
      <c r="AC57">
        <f t="shared" si="40"/>
        <v>0</v>
      </c>
      <c r="AD57">
        <f>ROUND(((((ET57*ROUND(1.25,7)))-((EU57*ROUND(1.25,7))))+AE57),6)</f>
        <v>0</v>
      </c>
      <c r="AE57">
        <f>ROUND(((EU57*ROUND(1.25,7))),6)</f>
        <v>0</v>
      </c>
      <c r="AF57">
        <f>ROUND(((EV57*ROUND(1.15,7))),6)</f>
        <v>8.8320000000000007</v>
      </c>
      <c r="AG57">
        <f t="shared" si="41"/>
        <v>0</v>
      </c>
      <c r="AH57">
        <f>((EW57*ROUND(1.15,7)))</f>
        <v>1.0349999999999999</v>
      </c>
      <c r="AI57">
        <f>((EX57*ROUND(1.25,7)))</f>
        <v>0</v>
      </c>
      <c r="AJ57">
        <f t="shared" si="42"/>
        <v>0</v>
      </c>
      <c r="AK57">
        <v>7.68</v>
      </c>
      <c r="AL57">
        <v>0</v>
      </c>
      <c r="AM57">
        <v>0</v>
      </c>
      <c r="AN57">
        <v>0</v>
      </c>
      <c r="AO57">
        <v>7.68</v>
      </c>
      <c r="AP57">
        <v>0</v>
      </c>
      <c r="AQ57">
        <v>0.9</v>
      </c>
      <c r="AR57">
        <v>0</v>
      </c>
      <c r="AS57">
        <v>0</v>
      </c>
      <c r="AT57">
        <v>84.6</v>
      </c>
      <c r="AU57">
        <v>43.35</v>
      </c>
      <c r="AV57">
        <v>1</v>
      </c>
      <c r="AW57">
        <v>1</v>
      </c>
      <c r="AZ57">
        <v>1</v>
      </c>
      <c r="BA57">
        <v>39.33</v>
      </c>
      <c r="BB57">
        <v>14.42</v>
      </c>
      <c r="BC57">
        <v>8.7899999999999991</v>
      </c>
      <c r="BD57" t="s">
        <v>3</v>
      </c>
      <c r="BE57" t="s">
        <v>3</v>
      </c>
      <c r="BF57" t="s">
        <v>3</v>
      </c>
      <c r="BG57" t="s">
        <v>3</v>
      </c>
      <c r="BH57">
        <v>0</v>
      </c>
      <c r="BI57">
        <v>1</v>
      </c>
      <c r="BJ57" t="s">
        <v>170</v>
      </c>
      <c r="BM57">
        <v>13001</v>
      </c>
      <c r="BN57">
        <v>0</v>
      </c>
      <c r="BO57" t="s">
        <v>457</v>
      </c>
      <c r="BP57">
        <v>1</v>
      </c>
      <c r="BQ57">
        <v>2</v>
      </c>
      <c r="BR57">
        <v>0</v>
      </c>
      <c r="BS57">
        <v>39.33</v>
      </c>
      <c r="BT57">
        <v>1</v>
      </c>
      <c r="BU57">
        <v>1</v>
      </c>
      <c r="BV57">
        <v>1</v>
      </c>
      <c r="BW57">
        <v>1</v>
      </c>
      <c r="BX57">
        <v>1</v>
      </c>
      <c r="BY57" t="s">
        <v>3</v>
      </c>
      <c r="BZ57">
        <v>94</v>
      </c>
      <c r="CA57">
        <v>51</v>
      </c>
      <c r="CB57" t="s">
        <v>3</v>
      </c>
      <c r="CE57">
        <v>12</v>
      </c>
      <c r="CF57">
        <v>0</v>
      </c>
      <c r="CG57">
        <v>0</v>
      </c>
      <c r="CM57">
        <v>0</v>
      </c>
      <c r="CN57" t="s">
        <v>459</v>
      </c>
      <c r="CO57">
        <v>0</v>
      </c>
      <c r="CP57">
        <f t="shared" si="43"/>
        <v>4168.3500000000004</v>
      </c>
      <c r="CQ57">
        <f t="shared" si="44"/>
        <v>0</v>
      </c>
      <c r="CR57">
        <f>(ROUND((ROUND((((ET57*ROUND(1.25,7)))*1),2)*BB57),2)+ROUND((ROUND(((AE57-((EU57*ROUND(1.25,7))))*1),2)*BS57),2))</f>
        <v>0</v>
      </c>
      <c r="CS57">
        <f>(ROUND((ROUND((((EU57*ROUND(1.25,7)))*1),2)*BS57),2)+ROUND((ROUND(((AE57-((EU57*ROUND(1.25,7))))*1),2)*BS57),2))</f>
        <v>0</v>
      </c>
      <c r="CT57">
        <f t="shared" si="45"/>
        <v>347.36256000000003</v>
      </c>
      <c r="CU57">
        <f t="shared" si="46"/>
        <v>0</v>
      </c>
      <c r="CV57">
        <f t="shared" si="47"/>
        <v>1.0349999999999999</v>
      </c>
      <c r="CW57">
        <f t="shared" si="48"/>
        <v>0</v>
      </c>
      <c r="CX57">
        <f t="shared" si="49"/>
        <v>0</v>
      </c>
      <c r="CY57">
        <f t="shared" si="50"/>
        <v>3526.4241000000002</v>
      </c>
      <c r="CZ57">
        <f t="shared" si="51"/>
        <v>1806.9797250000004</v>
      </c>
      <c r="DB57">
        <v>6</v>
      </c>
      <c r="DC57" t="s">
        <v>3</v>
      </c>
      <c r="DD57" t="s">
        <v>3</v>
      </c>
      <c r="DE57" t="s">
        <v>72</v>
      </c>
      <c r="DF57" t="s">
        <v>72</v>
      </c>
      <c r="DG57" t="s">
        <v>73</v>
      </c>
      <c r="DH57" t="s">
        <v>3</v>
      </c>
      <c r="DI57" t="s">
        <v>73</v>
      </c>
      <c r="DJ57" t="s">
        <v>72</v>
      </c>
      <c r="DK57" t="s">
        <v>3</v>
      </c>
      <c r="DL57" t="s">
        <v>74</v>
      </c>
      <c r="DM57" t="s">
        <v>75</v>
      </c>
      <c r="DN57">
        <v>0</v>
      </c>
      <c r="DO57">
        <v>0</v>
      </c>
      <c r="DP57">
        <v>1</v>
      </c>
      <c r="DQ57">
        <v>1</v>
      </c>
      <c r="DU57">
        <v>1005</v>
      </c>
      <c r="DV57" t="s">
        <v>101</v>
      </c>
      <c r="DW57" t="s">
        <v>101</v>
      </c>
      <c r="DX57">
        <v>1</v>
      </c>
      <c r="DZ57" t="s">
        <v>3</v>
      </c>
      <c r="EA57" t="s">
        <v>3</v>
      </c>
      <c r="EB57" t="s">
        <v>3</v>
      </c>
      <c r="EC57" t="s">
        <v>3</v>
      </c>
      <c r="EE57">
        <v>53151329</v>
      </c>
      <c r="EF57">
        <v>2</v>
      </c>
      <c r="EG57" t="s">
        <v>76</v>
      </c>
      <c r="EH57">
        <v>13</v>
      </c>
      <c r="EI57" t="s">
        <v>171</v>
      </c>
      <c r="EJ57">
        <v>1</v>
      </c>
      <c r="EK57">
        <v>13001</v>
      </c>
      <c r="EL57" t="s">
        <v>172</v>
      </c>
      <c r="EM57" t="s">
        <v>173</v>
      </c>
      <c r="EO57" t="s">
        <v>79</v>
      </c>
      <c r="EQ57">
        <v>1311232</v>
      </c>
      <c r="ER57">
        <v>7.68</v>
      </c>
      <c r="ES57">
        <v>0</v>
      </c>
      <c r="ET57">
        <v>0</v>
      </c>
      <c r="EU57">
        <v>0</v>
      </c>
      <c r="EV57">
        <v>7.68</v>
      </c>
      <c r="EW57">
        <v>0.9</v>
      </c>
      <c r="EX57">
        <v>0</v>
      </c>
      <c r="EY57">
        <v>0</v>
      </c>
      <c r="FQ57">
        <v>0</v>
      </c>
      <c r="FR57">
        <f t="shared" si="25"/>
        <v>0</v>
      </c>
      <c r="FS57">
        <v>0</v>
      </c>
      <c r="FX57">
        <v>84.6</v>
      </c>
      <c r="FY57">
        <v>43.35</v>
      </c>
      <c r="GA57" t="s">
        <v>3</v>
      </c>
      <c r="GD57">
        <v>1</v>
      </c>
      <c r="GF57">
        <v>-1987431605</v>
      </c>
      <c r="GG57">
        <v>2</v>
      </c>
      <c r="GH57">
        <v>1</v>
      </c>
      <c r="GI57">
        <v>4</v>
      </c>
      <c r="GJ57">
        <v>0</v>
      </c>
      <c r="GK57">
        <v>0</v>
      </c>
      <c r="GL57">
        <f t="shared" si="26"/>
        <v>0</v>
      </c>
      <c r="GM57">
        <f t="shared" si="52"/>
        <v>9501.75</v>
      </c>
      <c r="GN57">
        <f t="shared" si="27"/>
        <v>9501.75</v>
      </c>
      <c r="GO57">
        <f t="shared" si="28"/>
        <v>0</v>
      </c>
      <c r="GP57">
        <f t="shared" si="29"/>
        <v>0</v>
      </c>
      <c r="GR57">
        <v>0</v>
      </c>
      <c r="GS57">
        <v>3</v>
      </c>
      <c r="GT57">
        <v>0</v>
      </c>
      <c r="GU57" t="s">
        <v>3</v>
      </c>
      <c r="GV57">
        <f t="shared" si="53"/>
        <v>0</v>
      </c>
      <c r="GW57">
        <v>1</v>
      </c>
      <c r="GX57">
        <f t="shared" si="54"/>
        <v>0</v>
      </c>
      <c r="HA57">
        <v>0</v>
      </c>
      <c r="HB57">
        <v>0</v>
      </c>
      <c r="HC57">
        <f t="shared" si="55"/>
        <v>0</v>
      </c>
      <c r="HE57" t="s">
        <v>3</v>
      </c>
      <c r="HF57" t="s">
        <v>3</v>
      </c>
      <c r="HM57" t="s">
        <v>3</v>
      </c>
      <c r="HN57" t="s">
        <v>174</v>
      </c>
      <c r="HO57" t="s">
        <v>175</v>
      </c>
      <c r="HP57" t="s">
        <v>171</v>
      </c>
      <c r="HQ57" t="s">
        <v>171</v>
      </c>
      <c r="IK57">
        <v>0</v>
      </c>
    </row>
    <row r="58" spans="1:245" x14ac:dyDescent="0.2">
      <c r="A58">
        <v>17</v>
      </c>
      <c r="B58">
        <v>1</v>
      </c>
      <c r="C58">
        <f>ROW(SmtRes!A89)</f>
        <v>89</v>
      </c>
      <c r="D58">
        <f>ROW(EtalonRes!A78)</f>
        <v>78</v>
      </c>
      <c r="E58" t="s">
        <v>176</v>
      </c>
      <c r="F58" t="s">
        <v>177</v>
      </c>
      <c r="G58" t="s">
        <v>178</v>
      </c>
      <c r="H58" t="s">
        <v>22</v>
      </c>
      <c r="I58">
        <f>ROUND(12/100,7)</f>
        <v>0.12</v>
      </c>
      <c r="J58">
        <v>0</v>
      </c>
      <c r="K58">
        <f>ROUND(12/100,7)</f>
        <v>0.12</v>
      </c>
      <c r="O58">
        <f t="shared" si="30"/>
        <v>1596.54</v>
      </c>
      <c r="P58">
        <f t="shared" si="31"/>
        <v>1301.1400000000001</v>
      </c>
      <c r="Q58">
        <f>(ROUND((ROUND((((ET58*ROUND(1.25,7)))*I58),2)*BB58),2)+ROUND((ROUND(((AE58-((EU58*ROUND(1.25,7))))*I58),2)*BS58),2))</f>
        <v>19.899999999999999</v>
      </c>
      <c r="R58">
        <f>(ROUND((ROUND((((EU58*ROUND(1.25,7)))*I58),2)*BS58),2)+ROUND((ROUND(((AE58-((EU58*ROUND(1.25,7))))*I58),2)*BS58),2))</f>
        <v>1.18</v>
      </c>
      <c r="S58">
        <f t="shared" si="32"/>
        <v>275.5</v>
      </c>
      <c r="T58">
        <f t="shared" si="33"/>
        <v>0</v>
      </c>
      <c r="U58">
        <f t="shared" si="34"/>
        <v>0.64032</v>
      </c>
      <c r="V58">
        <f t="shared" si="35"/>
        <v>3.0000000000000001E-3</v>
      </c>
      <c r="W58">
        <f t="shared" si="36"/>
        <v>0</v>
      </c>
      <c r="X58">
        <f t="shared" si="37"/>
        <v>234.07</v>
      </c>
      <c r="Y58">
        <f t="shared" si="38"/>
        <v>119.94</v>
      </c>
      <c r="AA58">
        <v>53360025</v>
      </c>
      <c r="AB58">
        <f t="shared" si="39"/>
        <v>1303.4390000000001</v>
      </c>
      <c r="AC58">
        <f t="shared" si="40"/>
        <v>1233.54</v>
      </c>
      <c r="AD58">
        <f>ROUND(((((ET58*ROUND(1.25,7)))-((EU58*ROUND(1.25,7))))+AE58),6)</f>
        <v>11.525</v>
      </c>
      <c r="AE58">
        <f>ROUND(((EU58*ROUND(1.25,7))),6)</f>
        <v>0.27500000000000002</v>
      </c>
      <c r="AF58">
        <f>ROUND(((EV58*ROUND(1.15,7))),6)</f>
        <v>58.374000000000002</v>
      </c>
      <c r="AG58">
        <f t="shared" si="41"/>
        <v>0</v>
      </c>
      <c r="AH58">
        <f>((EW58*ROUND(1.15,7)))</f>
        <v>5.3359999999999994</v>
      </c>
      <c r="AI58">
        <f>((EX58*ROUND(1.25,7)))</f>
        <v>2.5000000000000001E-2</v>
      </c>
      <c r="AJ58">
        <f t="shared" si="42"/>
        <v>0</v>
      </c>
      <c r="AK58">
        <v>1293.52</v>
      </c>
      <c r="AL58">
        <v>1233.54</v>
      </c>
      <c r="AM58">
        <v>9.2200000000000006</v>
      </c>
      <c r="AN58">
        <v>0.22</v>
      </c>
      <c r="AO58">
        <v>50.76</v>
      </c>
      <c r="AP58">
        <v>0</v>
      </c>
      <c r="AQ58">
        <v>4.6399999999999997</v>
      </c>
      <c r="AR58">
        <v>0.02</v>
      </c>
      <c r="AS58">
        <v>0</v>
      </c>
      <c r="AT58">
        <v>84.6</v>
      </c>
      <c r="AU58">
        <v>43.35</v>
      </c>
      <c r="AV58">
        <v>1</v>
      </c>
      <c r="AW58">
        <v>1</v>
      </c>
      <c r="AZ58">
        <v>1</v>
      </c>
      <c r="BA58">
        <v>39.33</v>
      </c>
      <c r="BB58">
        <v>14.42</v>
      </c>
      <c r="BC58">
        <v>8.7899999999999991</v>
      </c>
      <c r="BD58" t="s">
        <v>3</v>
      </c>
      <c r="BE58" t="s">
        <v>3</v>
      </c>
      <c r="BF58" t="s">
        <v>3</v>
      </c>
      <c r="BG58" t="s">
        <v>3</v>
      </c>
      <c r="BH58">
        <v>0</v>
      </c>
      <c r="BI58">
        <v>1</v>
      </c>
      <c r="BJ58" t="s">
        <v>179</v>
      </c>
      <c r="BM58">
        <v>13001</v>
      </c>
      <c r="BN58">
        <v>0</v>
      </c>
      <c r="BO58" t="s">
        <v>457</v>
      </c>
      <c r="BP58">
        <v>1</v>
      </c>
      <c r="BQ58">
        <v>2</v>
      </c>
      <c r="BR58">
        <v>0</v>
      </c>
      <c r="BS58">
        <v>39.33</v>
      </c>
      <c r="BT58">
        <v>1</v>
      </c>
      <c r="BU58">
        <v>1</v>
      </c>
      <c r="BV58">
        <v>1</v>
      </c>
      <c r="BW58">
        <v>1</v>
      </c>
      <c r="BX58">
        <v>1</v>
      </c>
      <c r="BY58" t="s">
        <v>3</v>
      </c>
      <c r="BZ58">
        <v>94</v>
      </c>
      <c r="CA58">
        <v>51</v>
      </c>
      <c r="CB58" t="s">
        <v>3</v>
      </c>
      <c r="CE58">
        <v>12</v>
      </c>
      <c r="CF58">
        <v>0</v>
      </c>
      <c r="CG58">
        <v>0</v>
      </c>
      <c r="CM58">
        <v>0</v>
      </c>
      <c r="CN58" t="s">
        <v>459</v>
      </c>
      <c r="CO58">
        <v>0</v>
      </c>
      <c r="CP58">
        <f t="shared" si="43"/>
        <v>1596.5400000000002</v>
      </c>
      <c r="CQ58">
        <f t="shared" si="44"/>
        <v>10842.816599999998</v>
      </c>
      <c r="CR58">
        <f>(ROUND((ROUND((((ET58*ROUND(1.25,7)))*1),2)*BB58),2)+ROUND((ROUND(((AE58-((EU58*ROUND(1.25,7))))*1),2)*BS58),2))</f>
        <v>166.26</v>
      </c>
      <c r="CS58">
        <f>(ROUND((ROUND((((EU58*ROUND(1.25,7)))*1),2)*BS58),2)+ROUND((ROUND(((AE58-((EU58*ROUND(1.25,7))))*1),2)*BS58),2))</f>
        <v>11.01</v>
      </c>
      <c r="CT58">
        <f t="shared" si="45"/>
        <v>2295.84942</v>
      </c>
      <c r="CU58">
        <f t="shared" si="46"/>
        <v>0</v>
      </c>
      <c r="CV58">
        <f t="shared" si="47"/>
        <v>5.3359999999999994</v>
      </c>
      <c r="CW58">
        <f t="shared" si="48"/>
        <v>2.5000000000000001E-2</v>
      </c>
      <c r="CX58">
        <f t="shared" si="49"/>
        <v>0</v>
      </c>
      <c r="CY58">
        <f t="shared" si="50"/>
        <v>234.07128</v>
      </c>
      <c r="CZ58">
        <f t="shared" si="51"/>
        <v>119.94078000000002</v>
      </c>
      <c r="DB58">
        <v>7</v>
      </c>
      <c r="DC58" t="s">
        <v>3</v>
      </c>
      <c r="DD58" t="s">
        <v>3</v>
      </c>
      <c r="DE58" t="s">
        <v>72</v>
      </c>
      <c r="DF58" t="s">
        <v>72</v>
      </c>
      <c r="DG58" t="s">
        <v>73</v>
      </c>
      <c r="DH58" t="s">
        <v>3</v>
      </c>
      <c r="DI58" t="s">
        <v>73</v>
      </c>
      <c r="DJ58" t="s">
        <v>72</v>
      </c>
      <c r="DK58" t="s">
        <v>3</v>
      </c>
      <c r="DL58" t="s">
        <v>74</v>
      </c>
      <c r="DM58" t="s">
        <v>75</v>
      </c>
      <c r="DN58">
        <v>0</v>
      </c>
      <c r="DO58">
        <v>0</v>
      </c>
      <c r="DP58">
        <v>1</v>
      </c>
      <c r="DQ58">
        <v>1</v>
      </c>
      <c r="DU58">
        <v>1005</v>
      </c>
      <c r="DV58" t="s">
        <v>22</v>
      </c>
      <c r="DW58" t="s">
        <v>22</v>
      </c>
      <c r="DX58">
        <v>100</v>
      </c>
      <c r="DZ58" t="s">
        <v>3</v>
      </c>
      <c r="EA58" t="s">
        <v>3</v>
      </c>
      <c r="EB58" t="s">
        <v>3</v>
      </c>
      <c r="EC58" t="s">
        <v>3</v>
      </c>
      <c r="EE58">
        <v>53151329</v>
      </c>
      <c r="EF58">
        <v>2</v>
      </c>
      <c r="EG58" t="s">
        <v>76</v>
      </c>
      <c r="EH58">
        <v>13</v>
      </c>
      <c r="EI58" t="s">
        <v>171</v>
      </c>
      <c r="EJ58">
        <v>1</v>
      </c>
      <c r="EK58">
        <v>13001</v>
      </c>
      <c r="EL58" t="s">
        <v>172</v>
      </c>
      <c r="EM58" t="s">
        <v>173</v>
      </c>
      <c r="EO58" t="s">
        <v>79</v>
      </c>
      <c r="EQ58">
        <v>1311232</v>
      </c>
      <c r="ER58">
        <v>1293.52</v>
      </c>
      <c r="ES58">
        <v>1233.54</v>
      </c>
      <c r="ET58">
        <v>9.2200000000000006</v>
      </c>
      <c r="EU58">
        <v>0.22</v>
      </c>
      <c r="EV58">
        <v>50.76</v>
      </c>
      <c r="EW58">
        <v>4.6399999999999997</v>
      </c>
      <c r="EX58">
        <v>0.02</v>
      </c>
      <c r="EY58">
        <v>0</v>
      </c>
      <c r="FQ58">
        <v>0</v>
      </c>
      <c r="FR58">
        <f t="shared" si="25"/>
        <v>0</v>
      </c>
      <c r="FS58">
        <v>0</v>
      </c>
      <c r="FX58">
        <v>84.6</v>
      </c>
      <c r="FY58">
        <v>43.35</v>
      </c>
      <c r="GA58" t="s">
        <v>3</v>
      </c>
      <c r="GD58">
        <v>1</v>
      </c>
      <c r="GF58">
        <v>-1972791003</v>
      </c>
      <c r="GG58">
        <v>2</v>
      </c>
      <c r="GH58">
        <v>1</v>
      </c>
      <c r="GI58">
        <v>4</v>
      </c>
      <c r="GJ58">
        <v>0</v>
      </c>
      <c r="GK58">
        <v>0</v>
      </c>
      <c r="GL58">
        <f t="shared" si="26"/>
        <v>0</v>
      </c>
      <c r="GM58">
        <f t="shared" si="52"/>
        <v>1950.55</v>
      </c>
      <c r="GN58">
        <f t="shared" si="27"/>
        <v>1950.55</v>
      </c>
      <c r="GO58">
        <f t="shared" si="28"/>
        <v>0</v>
      </c>
      <c r="GP58">
        <f t="shared" si="29"/>
        <v>0</v>
      </c>
      <c r="GR58">
        <v>0</v>
      </c>
      <c r="GS58">
        <v>3</v>
      </c>
      <c r="GT58">
        <v>0</v>
      </c>
      <c r="GU58" t="s">
        <v>3</v>
      </c>
      <c r="GV58">
        <f t="shared" si="53"/>
        <v>0</v>
      </c>
      <c r="GW58">
        <v>1</v>
      </c>
      <c r="GX58">
        <f t="shared" si="54"/>
        <v>0</v>
      </c>
      <c r="HA58">
        <v>0</v>
      </c>
      <c r="HB58">
        <v>0</v>
      </c>
      <c r="HC58">
        <f t="shared" si="55"/>
        <v>0</v>
      </c>
      <c r="HE58" t="s">
        <v>3</v>
      </c>
      <c r="HF58" t="s">
        <v>3</v>
      </c>
      <c r="HM58" t="s">
        <v>3</v>
      </c>
      <c r="HN58" t="s">
        <v>174</v>
      </c>
      <c r="HO58" t="s">
        <v>175</v>
      </c>
      <c r="HP58" t="s">
        <v>171</v>
      </c>
      <c r="HQ58" t="s">
        <v>171</v>
      </c>
      <c r="IK58">
        <v>0</v>
      </c>
    </row>
    <row r="59" spans="1:245" x14ac:dyDescent="0.2">
      <c r="A59">
        <v>18</v>
      </c>
      <c r="B59">
        <v>1</v>
      </c>
      <c r="C59">
        <v>85</v>
      </c>
      <c r="E59" t="s">
        <v>180</v>
      </c>
      <c r="F59" t="s">
        <v>181</v>
      </c>
      <c r="G59" t="s">
        <v>182</v>
      </c>
      <c r="H59" t="s">
        <v>110</v>
      </c>
      <c r="I59">
        <f>I58*J59</f>
        <v>0</v>
      </c>
      <c r="J59">
        <v>0</v>
      </c>
      <c r="K59">
        <v>0</v>
      </c>
      <c r="O59">
        <f t="shared" si="30"/>
        <v>0</v>
      </c>
      <c r="P59">
        <f t="shared" si="31"/>
        <v>0</v>
      </c>
      <c r="Q59">
        <f>(ROUND((ROUND(((ET59)*I59),2)*BB59),2)+ROUND((ROUND(((AE59-(EU59))*I59),2)*BS59),2))</f>
        <v>0</v>
      </c>
      <c r="R59">
        <f>(ROUND((ROUND(((EU59)*I59),2)*BS59),2)+ROUND((ROUND(((AE59-(EU59))*I59),2)*BS59),2))</f>
        <v>0</v>
      </c>
      <c r="S59">
        <f t="shared" si="32"/>
        <v>0</v>
      </c>
      <c r="T59">
        <f t="shared" si="33"/>
        <v>0</v>
      </c>
      <c r="U59">
        <f t="shared" si="34"/>
        <v>0</v>
      </c>
      <c r="V59">
        <f t="shared" si="35"/>
        <v>0</v>
      </c>
      <c r="W59">
        <f t="shared" si="36"/>
        <v>0</v>
      </c>
      <c r="X59">
        <f t="shared" si="37"/>
        <v>0</v>
      </c>
      <c r="Y59">
        <f t="shared" si="38"/>
        <v>0</v>
      </c>
      <c r="AA59">
        <v>53360025</v>
      </c>
      <c r="AB59">
        <f t="shared" si="39"/>
        <v>168.75</v>
      </c>
      <c r="AC59">
        <f t="shared" si="40"/>
        <v>168.75</v>
      </c>
      <c r="AD59">
        <f>ROUND((((ET59)-(EU59))+AE59),6)</f>
        <v>0</v>
      </c>
      <c r="AE59">
        <f>ROUND((EU59),6)</f>
        <v>0</v>
      </c>
      <c r="AF59">
        <f>ROUND((EV59),6)</f>
        <v>0</v>
      </c>
      <c r="AG59">
        <f t="shared" si="41"/>
        <v>0</v>
      </c>
      <c r="AH59">
        <f>(EW59)</f>
        <v>0</v>
      </c>
      <c r="AI59">
        <f>(EX59)</f>
        <v>0</v>
      </c>
      <c r="AJ59">
        <f t="shared" si="42"/>
        <v>0</v>
      </c>
      <c r="AK59">
        <v>168.75</v>
      </c>
      <c r="AL59">
        <v>168.75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94</v>
      </c>
      <c r="AU59">
        <v>51</v>
      </c>
      <c r="AV59">
        <v>1</v>
      </c>
      <c r="AW59">
        <v>1</v>
      </c>
      <c r="AZ59">
        <v>1</v>
      </c>
      <c r="BA59">
        <v>1</v>
      </c>
      <c r="BB59">
        <v>1</v>
      </c>
      <c r="BC59">
        <v>8.7899999999999991</v>
      </c>
      <c r="BD59" t="s">
        <v>3</v>
      </c>
      <c r="BE59" t="s">
        <v>3</v>
      </c>
      <c r="BF59" t="s">
        <v>3</v>
      </c>
      <c r="BG59" t="s">
        <v>3</v>
      </c>
      <c r="BH59">
        <v>3</v>
      </c>
      <c r="BI59">
        <v>1</v>
      </c>
      <c r="BJ59" t="s">
        <v>183</v>
      </c>
      <c r="BM59">
        <v>13001</v>
      </c>
      <c r="BN59">
        <v>0</v>
      </c>
      <c r="BO59" t="s">
        <v>33</v>
      </c>
      <c r="BP59">
        <v>1</v>
      </c>
      <c r="BQ59">
        <v>2</v>
      </c>
      <c r="BR59">
        <v>0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 t="s">
        <v>3</v>
      </c>
      <c r="BZ59">
        <v>94</v>
      </c>
      <c r="CA59">
        <v>51</v>
      </c>
      <c r="CB59" t="s">
        <v>3</v>
      </c>
      <c r="CE59">
        <v>12</v>
      </c>
      <c r="CF59">
        <v>0</v>
      </c>
      <c r="CG59">
        <v>0</v>
      </c>
      <c r="CM59">
        <v>0</v>
      </c>
      <c r="CN59" t="s">
        <v>3</v>
      </c>
      <c r="CO59">
        <v>0</v>
      </c>
      <c r="CP59">
        <f t="shared" si="43"/>
        <v>0</v>
      </c>
      <c r="CQ59">
        <f t="shared" si="44"/>
        <v>1483.3124999999998</v>
      </c>
      <c r="CR59">
        <f>(ROUND((ROUND(((ET59)*1),2)*BB59),2)+ROUND((ROUND(((AE59-(EU59))*1),2)*BS59),2))</f>
        <v>0</v>
      </c>
      <c r="CS59">
        <f>(ROUND((ROUND(((EU59)*1),2)*BS59),2)+ROUND((ROUND(((AE59-(EU59))*1),2)*BS59),2))</f>
        <v>0</v>
      </c>
      <c r="CT59">
        <f t="shared" si="45"/>
        <v>0</v>
      </c>
      <c r="CU59">
        <f t="shared" si="46"/>
        <v>0</v>
      </c>
      <c r="CV59">
        <f t="shared" si="47"/>
        <v>0</v>
      </c>
      <c r="CW59">
        <f t="shared" si="48"/>
        <v>0</v>
      </c>
      <c r="CX59">
        <f t="shared" si="49"/>
        <v>0</v>
      </c>
      <c r="CY59">
        <f t="shared" si="50"/>
        <v>0</v>
      </c>
      <c r="CZ59">
        <f t="shared" si="51"/>
        <v>0</v>
      </c>
      <c r="DC59" t="s">
        <v>3</v>
      </c>
      <c r="DD59" t="s">
        <v>3</v>
      </c>
      <c r="DE59" t="s">
        <v>3</v>
      </c>
      <c r="DF59" t="s">
        <v>3</v>
      </c>
      <c r="DG59" t="s">
        <v>3</v>
      </c>
      <c r="DH59" t="s">
        <v>3</v>
      </c>
      <c r="DI59" t="s">
        <v>3</v>
      </c>
      <c r="DJ59" t="s">
        <v>3</v>
      </c>
      <c r="DK59" t="s">
        <v>3</v>
      </c>
      <c r="DL59" t="s">
        <v>3</v>
      </c>
      <c r="DM59" t="s">
        <v>3</v>
      </c>
      <c r="DN59">
        <v>0</v>
      </c>
      <c r="DO59">
        <v>0</v>
      </c>
      <c r="DP59">
        <v>1</v>
      </c>
      <c r="DQ59">
        <v>1</v>
      </c>
      <c r="DU59">
        <v>1009</v>
      </c>
      <c r="DV59" t="s">
        <v>110</v>
      </c>
      <c r="DW59" t="s">
        <v>110</v>
      </c>
      <c r="DX59">
        <v>1</v>
      </c>
      <c r="DZ59" t="s">
        <v>3</v>
      </c>
      <c r="EA59" t="s">
        <v>3</v>
      </c>
      <c r="EB59" t="s">
        <v>3</v>
      </c>
      <c r="EC59" t="s">
        <v>3</v>
      </c>
      <c r="EE59">
        <v>53151329</v>
      </c>
      <c r="EF59">
        <v>2</v>
      </c>
      <c r="EG59" t="s">
        <v>76</v>
      </c>
      <c r="EH59">
        <v>13</v>
      </c>
      <c r="EI59" t="s">
        <v>171</v>
      </c>
      <c r="EJ59">
        <v>1</v>
      </c>
      <c r="EK59">
        <v>13001</v>
      </c>
      <c r="EL59" t="s">
        <v>172</v>
      </c>
      <c r="EM59" t="s">
        <v>173</v>
      </c>
      <c r="EO59" t="s">
        <v>3</v>
      </c>
      <c r="EQ59">
        <v>0</v>
      </c>
      <c r="ER59">
        <v>168.75</v>
      </c>
      <c r="ES59">
        <v>168.75</v>
      </c>
      <c r="ET59">
        <v>0</v>
      </c>
      <c r="EU59">
        <v>0</v>
      </c>
      <c r="EV59">
        <v>0</v>
      </c>
      <c r="EW59">
        <v>0</v>
      </c>
      <c r="EX59">
        <v>0</v>
      </c>
      <c r="FQ59">
        <v>0</v>
      </c>
      <c r="FR59">
        <f t="shared" si="25"/>
        <v>0</v>
      </c>
      <c r="FS59">
        <v>0</v>
      </c>
      <c r="FX59">
        <v>94</v>
      </c>
      <c r="FY59">
        <v>51</v>
      </c>
      <c r="GA59" t="s">
        <v>3</v>
      </c>
      <c r="GD59">
        <v>1</v>
      </c>
      <c r="GF59">
        <v>-1740917497</v>
      </c>
      <c r="GG59">
        <v>2</v>
      </c>
      <c r="GH59">
        <v>1</v>
      </c>
      <c r="GI59">
        <v>4</v>
      </c>
      <c r="GJ59">
        <v>0</v>
      </c>
      <c r="GK59">
        <v>0</v>
      </c>
      <c r="GL59">
        <f t="shared" si="26"/>
        <v>0</v>
      </c>
      <c r="GM59">
        <f t="shared" si="52"/>
        <v>0</v>
      </c>
      <c r="GN59">
        <f t="shared" si="27"/>
        <v>0</v>
      </c>
      <c r="GO59">
        <f t="shared" si="28"/>
        <v>0</v>
      </c>
      <c r="GP59">
        <f t="shared" si="29"/>
        <v>0</v>
      </c>
      <c r="GR59">
        <v>0</v>
      </c>
      <c r="GS59">
        <v>3</v>
      </c>
      <c r="GT59">
        <v>0</v>
      </c>
      <c r="GU59" t="s">
        <v>3</v>
      </c>
      <c r="GV59">
        <f t="shared" si="53"/>
        <v>0</v>
      </c>
      <c r="GW59">
        <v>1</v>
      </c>
      <c r="GX59">
        <f t="shared" si="54"/>
        <v>0</v>
      </c>
      <c r="HA59">
        <v>0</v>
      </c>
      <c r="HB59">
        <v>0</v>
      </c>
      <c r="HC59">
        <f t="shared" si="55"/>
        <v>0</v>
      </c>
      <c r="HE59" t="s">
        <v>3</v>
      </c>
      <c r="HF59" t="s">
        <v>3</v>
      </c>
      <c r="HM59" t="s">
        <v>3</v>
      </c>
      <c r="HN59" t="s">
        <v>174</v>
      </c>
      <c r="HO59" t="s">
        <v>175</v>
      </c>
      <c r="HP59" t="s">
        <v>171</v>
      </c>
      <c r="HQ59" t="s">
        <v>171</v>
      </c>
      <c r="IK59">
        <v>0</v>
      </c>
    </row>
    <row r="60" spans="1:245" x14ac:dyDescent="0.2">
      <c r="A60">
        <v>18</v>
      </c>
      <c r="B60">
        <v>1</v>
      </c>
      <c r="C60">
        <v>86</v>
      </c>
      <c r="E60" t="s">
        <v>184</v>
      </c>
      <c r="F60" t="s">
        <v>185</v>
      </c>
      <c r="G60" t="s">
        <v>186</v>
      </c>
      <c r="H60" t="s">
        <v>32</v>
      </c>
      <c r="I60">
        <f>I58*J60</f>
        <v>0</v>
      </c>
      <c r="J60">
        <v>0</v>
      </c>
      <c r="K60">
        <v>0</v>
      </c>
      <c r="O60">
        <f t="shared" si="30"/>
        <v>0</v>
      </c>
      <c r="P60">
        <f t="shared" si="31"/>
        <v>0</v>
      </c>
      <c r="Q60">
        <f>(ROUND((ROUND(((ET60)*I60),2)*BB60),2)+ROUND((ROUND(((AE60-(EU60))*I60),2)*BS60),2))</f>
        <v>0</v>
      </c>
      <c r="R60">
        <f>(ROUND((ROUND(((EU60)*I60),2)*BS60),2)+ROUND((ROUND(((AE60-(EU60))*I60),2)*BS60),2))</f>
        <v>0</v>
      </c>
      <c r="S60">
        <f t="shared" si="32"/>
        <v>0</v>
      </c>
      <c r="T60">
        <f t="shared" si="33"/>
        <v>0</v>
      </c>
      <c r="U60">
        <f t="shared" si="34"/>
        <v>0</v>
      </c>
      <c r="V60">
        <f t="shared" si="35"/>
        <v>0</v>
      </c>
      <c r="W60">
        <f t="shared" si="36"/>
        <v>0</v>
      </c>
      <c r="X60">
        <f t="shared" si="37"/>
        <v>0</v>
      </c>
      <c r="Y60">
        <f t="shared" si="38"/>
        <v>0</v>
      </c>
      <c r="AA60">
        <v>53360025</v>
      </c>
      <c r="AB60">
        <f t="shared" si="39"/>
        <v>67340</v>
      </c>
      <c r="AC60">
        <f t="shared" si="40"/>
        <v>67340</v>
      </c>
      <c r="AD60">
        <f>ROUND((((ET60)-(EU60))+AE60),6)</f>
        <v>0</v>
      </c>
      <c r="AE60">
        <f>ROUND((EU60),6)</f>
        <v>0</v>
      </c>
      <c r="AF60">
        <f>ROUND((EV60),6)</f>
        <v>0</v>
      </c>
      <c r="AG60">
        <f t="shared" si="41"/>
        <v>0</v>
      </c>
      <c r="AH60">
        <f>(EW60)</f>
        <v>0</v>
      </c>
      <c r="AI60">
        <f>(EX60)</f>
        <v>0</v>
      </c>
      <c r="AJ60">
        <f t="shared" si="42"/>
        <v>0</v>
      </c>
      <c r="AK60">
        <v>67340</v>
      </c>
      <c r="AL60">
        <v>67340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94</v>
      </c>
      <c r="AU60">
        <v>51</v>
      </c>
      <c r="AV60">
        <v>1</v>
      </c>
      <c r="AW60">
        <v>1</v>
      </c>
      <c r="AZ60">
        <v>1</v>
      </c>
      <c r="BA60">
        <v>1</v>
      </c>
      <c r="BB60">
        <v>1</v>
      </c>
      <c r="BC60">
        <v>8.7899999999999991</v>
      </c>
      <c r="BD60" t="s">
        <v>3</v>
      </c>
      <c r="BE60" t="s">
        <v>3</v>
      </c>
      <c r="BF60" t="s">
        <v>3</v>
      </c>
      <c r="BG60" t="s">
        <v>3</v>
      </c>
      <c r="BH60">
        <v>3</v>
      </c>
      <c r="BI60">
        <v>1</v>
      </c>
      <c r="BJ60" t="s">
        <v>187</v>
      </c>
      <c r="BM60">
        <v>13001</v>
      </c>
      <c r="BN60">
        <v>0</v>
      </c>
      <c r="BO60" t="s">
        <v>33</v>
      </c>
      <c r="BP60">
        <v>1</v>
      </c>
      <c r="BQ60">
        <v>2</v>
      </c>
      <c r="BR60">
        <v>0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 t="s">
        <v>3</v>
      </c>
      <c r="BZ60">
        <v>94</v>
      </c>
      <c r="CA60">
        <v>51</v>
      </c>
      <c r="CB60" t="s">
        <v>3</v>
      </c>
      <c r="CE60">
        <v>12</v>
      </c>
      <c r="CF60">
        <v>0</v>
      </c>
      <c r="CG60">
        <v>0</v>
      </c>
      <c r="CM60">
        <v>0</v>
      </c>
      <c r="CN60" t="s">
        <v>3</v>
      </c>
      <c r="CO60">
        <v>0</v>
      </c>
      <c r="CP60">
        <f t="shared" si="43"/>
        <v>0</v>
      </c>
      <c r="CQ60">
        <f t="shared" si="44"/>
        <v>591918.6</v>
      </c>
      <c r="CR60">
        <f>(ROUND((ROUND(((ET60)*1),2)*BB60),2)+ROUND((ROUND(((AE60-(EU60))*1),2)*BS60),2))</f>
        <v>0</v>
      </c>
      <c r="CS60">
        <f>(ROUND((ROUND(((EU60)*1),2)*BS60),2)+ROUND((ROUND(((AE60-(EU60))*1),2)*BS60),2))</f>
        <v>0</v>
      </c>
      <c r="CT60">
        <f t="shared" si="45"/>
        <v>0</v>
      </c>
      <c r="CU60">
        <f t="shared" si="46"/>
        <v>0</v>
      </c>
      <c r="CV60">
        <f t="shared" si="47"/>
        <v>0</v>
      </c>
      <c r="CW60">
        <f t="shared" si="48"/>
        <v>0</v>
      </c>
      <c r="CX60">
        <f t="shared" si="49"/>
        <v>0</v>
      </c>
      <c r="CY60">
        <f t="shared" si="50"/>
        <v>0</v>
      </c>
      <c r="CZ60">
        <f t="shared" si="51"/>
        <v>0</v>
      </c>
      <c r="DC60" t="s">
        <v>3</v>
      </c>
      <c r="DD60" t="s">
        <v>3</v>
      </c>
      <c r="DE60" t="s">
        <v>3</v>
      </c>
      <c r="DF60" t="s">
        <v>3</v>
      </c>
      <c r="DG60" t="s">
        <v>3</v>
      </c>
      <c r="DH60" t="s">
        <v>3</v>
      </c>
      <c r="DI60" t="s">
        <v>3</v>
      </c>
      <c r="DJ60" t="s">
        <v>3</v>
      </c>
      <c r="DK60" t="s">
        <v>3</v>
      </c>
      <c r="DL60" t="s">
        <v>3</v>
      </c>
      <c r="DM60" t="s">
        <v>3</v>
      </c>
      <c r="DN60">
        <v>0</v>
      </c>
      <c r="DO60">
        <v>0</v>
      </c>
      <c r="DP60">
        <v>1</v>
      </c>
      <c r="DQ60">
        <v>1</v>
      </c>
      <c r="DU60">
        <v>1009</v>
      </c>
      <c r="DV60" t="s">
        <v>32</v>
      </c>
      <c r="DW60" t="s">
        <v>32</v>
      </c>
      <c r="DX60">
        <v>1000</v>
      </c>
      <c r="DZ60" t="s">
        <v>3</v>
      </c>
      <c r="EA60" t="s">
        <v>3</v>
      </c>
      <c r="EB60" t="s">
        <v>3</v>
      </c>
      <c r="EC60" t="s">
        <v>3</v>
      </c>
      <c r="EE60">
        <v>53151329</v>
      </c>
      <c r="EF60">
        <v>2</v>
      </c>
      <c r="EG60" t="s">
        <v>76</v>
      </c>
      <c r="EH60">
        <v>13</v>
      </c>
      <c r="EI60" t="s">
        <v>171</v>
      </c>
      <c r="EJ60">
        <v>1</v>
      </c>
      <c r="EK60">
        <v>13001</v>
      </c>
      <c r="EL60" t="s">
        <v>172</v>
      </c>
      <c r="EM60" t="s">
        <v>173</v>
      </c>
      <c r="EO60" t="s">
        <v>3</v>
      </c>
      <c r="EQ60">
        <v>0</v>
      </c>
      <c r="ER60">
        <v>67340</v>
      </c>
      <c r="ES60">
        <v>67340</v>
      </c>
      <c r="ET60">
        <v>0</v>
      </c>
      <c r="EU60">
        <v>0</v>
      </c>
      <c r="EV60">
        <v>0</v>
      </c>
      <c r="EW60">
        <v>0</v>
      </c>
      <c r="EX60">
        <v>0</v>
      </c>
      <c r="FQ60">
        <v>0</v>
      </c>
      <c r="FR60">
        <f t="shared" si="25"/>
        <v>0</v>
      </c>
      <c r="FS60">
        <v>0</v>
      </c>
      <c r="FX60">
        <v>94</v>
      </c>
      <c r="FY60">
        <v>51</v>
      </c>
      <c r="GA60" t="s">
        <v>3</v>
      </c>
      <c r="GD60">
        <v>1</v>
      </c>
      <c r="GF60">
        <v>748289543</v>
      </c>
      <c r="GG60">
        <v>2</v>
      </c>
      <c r="GH60">
        <v>1</v>
      </c>
      <c r="GI60">
        <v>4</v>
      </c>
      <c r="GJ60">
        <v>0</v>
      </c>
      <c r="GK60">
        <v>0</v>
      </c>
      <c r="GL60">
        <f t="shared" si="26"/>
        <v>0</v>
      </c>
      <c r="GM60">
        <f t="shared" si="52"/>
        <v>0</v>
      </c>
      <c r="GN60">
        <f t="shared" si="27"/>
        <v>0</v>
      </c>
      <c r="GO60">
        <f t="shared" si="28"/>
        <v>0</v>
      </c>
      <c r="GP60">
        <f t="shared" si="29"/>
        <v>0</v>
      </c>
      <c r="GR60">
        <v>0</v>
      </c>
      <c r="GS60">
        <v>3</v>
      </c>
      <c r="GT60">
        <v>0</v>
      </c>
      <c r="GU60" t="s">
        <v>3</v>
      </c>
      <c r="GV60">
        <f t="shared" si="53"/>
        <v>0</v>
      </c>
      <c r="GW60">
        <v>1</v>
      </c>
      <c r="GX60">
        <f t="shared" si="54"/>
        <v>0</v>
      </c>
      <c r="HA60">
        <v>0</v>
      </c>
      <c r="HB60">
        <v>0</v>
      </c>
      <c r="HC60">
        <f t="shared" si="55"/>
        <v>0</v>
      </c>
      <c r="HE60" t="s">
        <v>3</v>
      </c>
      <c r="HF60" t="s">
        <v>3</v>
      </c>
      <c r="HM60" t="s">
        <v>3</v>
      </c>
      <c r="HN60" t="s">
        <v>174</v>
      </c>
      <c r="HO60" t="s">
        <v>175</v>
      </c>
      <c r="HP60" t="s">
        <v>171</v>
      </c>
      <c r="HQ60" t="s">
        <v>171</v>
      </c>
      <c r="IK60">
        <v>0</v>
      </c>
    </row>
    <row r="61" spans="1:245" x14ac:dyDescent="0.2">
      <c r="A61">
        <v>17</v>
      </c>
      <c r="B61">
        <v>1</v>
      </c>
      <c r="C61">
        <f>ROW(SmtRes!A99)</f>
        <v>99</v>
      </c>
      <c r="D61">
        <f>ROW(EtalonRes!A87)</f>
        <v>87</v>
      </c>
      <c r="E61" t="s">
        <v>188</v>
      </c>
      <c r="F61" t="s">
        <v>189</v>
      </c>
      <c r="G61" t="s">
        <v>190</v>
      </c>
      <c r="H61" t="s">
        <v>22</v>
      </c>
      <c r="I61">
        <f>ROUND(12/100,7)</f>
        <v>0.12</v>
      </c>
      <c r="J61">
        <v>0</v>
      </c>
      <c r="K61">
        <f>ROUND(12/100,7)</f>
        <v>0.12</v>
      </c>
      <c r="O61">
        <f t="shared" si="30"/>
        <v>1600.09</v>
      </c>
      <c r="P61">
        <f t="shared" si="31"/>
        <v>1428.22</v>
      </c>
      <c r="Q61">
        <f>(ROUND((ROUND((((ET61*ROUND(1.25,7)))*I61),2)*BB61),2)+ROUND((ROUND(((AE61-((EU61*ROUND(1.25,7))))*I61),2)*BS61),2))</f>
        <v>35.04</v>
      </c>
      <c r="R61">
        <f>(ROUND((ROUND((((EU61*ROUND(1.25,7)))*I61),2)*BS61),2)+ROUND((ROUND(((AE61-((EU61*ROUND(1.25,7))))*I61),2)*BS61),2))</f>
        <v>2.75</v>
      </c>
      <c r="S61">
        <f t="shared" si="32"/>
        <v>136.83000000000001</v>
      </c>
      <c r="T61">
        <f t="shared" si="33"/>
        <v>0</v>
      </c>
      <c r="U61">
        <f t="shared" si="34"/>
        <v>0.38363999999999998</v>
      </c>
      <c r="V61">
        <f t="shared" si="35"/>
        <v>6.0000000000000001E-3</v>
      </c>
      <c r="W61">
        <f t="shared" si="36"/>
        <v>0</v>
      </c>
      <c r="X61">
        <f t="shared" si="37"/>
        <v>118.08</v>
      </c>
      <c r="Y61">
        <f t="shared" si="38"/>
        <v>60.51</v>
      </c>
      <c r="AA61">
        <v>53360025</v>
      </c>
      <c r="AB61">
        <f t="shared" si="39"/>
        <v>1403.249</v>
      </c>
      <c r="AC61">
        <f t="shared" si="40"/>
        <v>1354.02</v>
      </c>
      <c r="AD61">
        <f>ROUND(((((ET61*ROUND(1.25,7)))-((EU61*ROUND(1.25,7))))+AE61),6)</f>
        <v>20.237500000000001</v>
      </c>
      <c r="AE61">
        <f>ROUND(((EU61*ROUND(1.25,7))),6)</f>
        <v>0.5625</v>
      </c>
      <c r="AF61">
        <f>ROUND(((EV61*ROUND(1.15,7))),6)</f>
        <v>28.991499999999998</v>
      </c>
      <c r="AG61">
        <f t="shared" si="41"/>
        <v>0</v>
      </c>
      <c r="AH61">
        <f>((EW61*ROUND(1.15,7)))</f>
        <v>3.1969999999999996</v>
      </c>
      <c r="AI61">
        <f>((EX61*ROUND(1.25,7)))</f>
        <v>0.05</v>
      </c>
      <c r="AJ61">
        <f t="shared" si="42"/>
        <v>0</v>
      </c>
      <c r="AK61">
        <v>1395.42</v>
      </c>
      <c r="AL61">
        <v>1354.02</v>
      </c>
      <c r="AM61">
        <v>16.190000000000001</v>
      </c>
      <c r="AN61">
        <v>0.45</v>
      </c>
      <c r="AO61">
        <v>25.21</v>
      </c>
      <c r="AP61">
        <v>0</v>
      </c>
      <c r="AQ61">
        <v>2.78</v>
      </c>
      <c r="AR61">
        <v>0.04</v>
      </c>
      <c r="AS61">
        <v>0</v>
      </c>
      <c r="AT61">
        <v>84.6</v>
      </c>
      <c r="AU61">
        <v>43.35</v>
      </c>
      <c r="AV61">
        <v>1</v>
      </c>
      <c r="AW61">
        <v>1</v>
      </c>
      <c r="AZ61">
        <v>1</v>
      </c>
      <c r="BA61">
        <v>39.33</v>
      </c>
      <c r="BB61">
        <v>14.42</v>
      </c>
      <c r="BC61">
        <v>8.7899999999999991</v>
      </c>
      <c r="BD61" t="s">
        <v>3</v>
      </c>
      <c r="BE61" t="s">
        <v>3</v>
      </c>
      <c r="BF61" t="s">
        <v>3</v>
      </c>
      <c r="BG61" t="s">
        <v>3</v>
      </c>
      <c r="BH61">
        <v>0</v>
      </c>
      <c r="BI61">
        <v>1</v>
      </c>
      <c r="BJ61" t="s">
        <v>191</v>
      </c>
      <c r="BM61">
        <v>13001</v>
      </c>
      <c r="BN61">
        <v>0</v>
      </c>
      <c r="BO61" t="s">
        <v>457</v>
      </c>
      <c r="BP61">
        <v>1</v>
      </c>
      <c r="BQ61">
        <v>2</v>
      </c>
      <c r="BR61">
        <v>0</v>
      </c>
      <c r="BS61">
        <v>39.33</v>
      </c>
      <c r="BT61">
        <v>1</v>
      </c>
      <c r="BU61">
        <v>1</v>
      </c>
      <c r="BV61">
        <v>1</v>
      </c>
      <c r="BW61">
        <v>1</v>
      </c>
      <c r="BX61">
        <v>1</v>
      </c>
      <c r="BY61" t="s">
        <v>3</v>
      </c>
      <c r="BZ61">
        <v>94</v>
      </c>
      <c r="CA61">
        <v>51</v>
      </c>
      <c r="CB61" t="s">
        <v>3</v>
      </c>
      <c r="CE61">
        <v>12</v>
      </c>
      <c r="CF61">
        <v>0</v>
      </c>
      <c r="CG61">
        <v>0</v>
      </c>
      <c r="CM61">
        <v>0</v>
      </c>
      <c r="CN61" t="s">
        <v>459</v>
      </c>
      <c r="CO61">
        <v>0</v>
      </c>
      <c r="CP61">
        <f t="shared" si="43"/>
        <v>1600.09</v>
      </c>
      <c r="CQ61">
        <f t="shared" si="44"/>
        <v>11901.835799999999</v>
      </c>
      <c r="CR61">
        <f>(ROUND((ROUND((((ET61*ROUND(1.25,7)))*1),2)*BB61),2)+ROUND((ROUND(((AE61-((EU61*ROUND(1.25,7))))*1),2)*BS61),2))</f>
        <v>291.86</v>
      </c>
      <c r="CS61">
        <f>(ROUND((ROUND((((EU61*ROUND(1.25,7)))*1),2)*BS61),2)+ROUND((ROUND(((AE61-((EU61*ROUND(1.25,7))))*1),2)*BS61),2))</f>
        <v>22.02</v>
      </c>
      <c r="CT61">
        <f t="shared" si="45"/>
        <v>1140.2356949999999</v>
      </c>
      <c r="CU61">
        <f t="shared" si="46"/>
        <v>0</v>
      </c>
      <c r="CV61">
        <f t="shared" si="47"/>
        <v>3.1969999999999996</v>
      </c>
      <c r="CW61">
        <f t="shared" si="48"/>
        <v>0.05</v>
      </c>
      <c r="CX61">
        <f t="shared" si="49"/>
        <v>0</v>
      </c>
      <c r="CY61">
        <f t="shared" si="50"/>
        <v>118.08468000000001</v>
      </c>
      <c r="CZ61">
        <f t="shared" si="51"/>
        <v>60.507930000000009</v>
      </c>
      <c r="DB61">
        <v>8</v>
      </c>
      <c r="DC61" t="s">
        <v>3</v>
      </c>
      <c r="DD61" t="s">
        <v>3</v>
      </c>
      <c r="DE61" t="s">
        <v>72</v>
      </c>
      <c r="DF61" t="s">
        <v>72</v>
      </c>
      <c r="DG61" t="s">
        <v>73</v>
      </c>
      <c r="DH61" t="s">
        <v>3</v>
      </c>
      <c r="DI61" t="s">
        <v>73</v>
      </c>
      <c r="DJ61" t="s">
        <v>72</v>
      </c>
      <c r="DK61" t="s">
        <v>3</v>
      </c>
      <c r="DL61" t="s">
        <v>74</v>
      </c>
      <c r="DM61" t="s">
        <v>75</v>
      </c>
      <c r="DN61">
        <v>0</v>
      </c>
      <c r="DO61">
        <v>0</v>
      </c>
      <c r="DP61">
        <v>1</v>
      </c>
      <c r="DQ61">
        <v>1</v>
      </c>
      <c r="DU61">
        <v>1005</v>
      </c>
      <c r="DV61" t="s">
        <v>22</v>
      </c>
      <c r="DW61" t="s">
        <v>22</v>
      </c>
      <c r="DX61">
        <v>100</v>
      </c>
      <c r="DZ61" t="s">
        <v>3</v>
      </c>
      <c r="EA61" t="s">
        <v>3</v>
      </c>
      <c r="EB61" t="s">
        <v>3</v>
      </c>
      <c r="EC61" t="s">
        <v>3</v>
      </c>
      <c r="EE61">
        <v>53151329</v>
      </c>
      <c r="EF61">
        <v>2</v>
      </c>
      <c r="EG61" t="s">
        <v>76</v>
      </c>
      <c r="EH61">
        <v>13</v>
      </c>
      <c r="EI61" t="s">
        <v>171</v>
      </c>
      <c r="EJ61">
        <v>1</v>
      </c>
      <c r="EK61">
        <v>13001</v>
      </c>
      <c r="EL61" t="s">
        <v>172</v>
      </c>
      <c r="EM61" t="s">
        <v>173</v>
      </c>
      <c r="EO61" t="s">
        <v>79</v>
      </c>
      <c r="EQ61">
        <v>1311232</v>
      </c>
      <c r="ER61">
        <v>1395.42</v>
      </c>
      <c r="ES61">
        <v>1354.02</v>
      </c>
      <c r="ET61">
        <v>16.190000000000001</v>
      </c>
      <c r="EU61">
        <v>0.45</v>
      </c>
      <c r="EV61">
        <v>25.21</v>
      </c>
      <c r="EW61">
        <v>2.78</v>
      </c>
      <c r="EX61">
        <v>0.04</v>
      </c>
      <c r="EY61">
        <v>0</v>
      </c>
      <c r="FQ61">
        <v>0</v>
      </c>
      <c r="FR61">
        <f t="shared" si="25"/>
        <v>0</v>
      </c>
      <c r="FS61">
        <v>0</v>
      </c>
      <c r="FX61">
        <v>84.6</v>
      </c>
      <c r="FY61">
        <v>43.35</v>
      </c>
      <c r="GA61" t="s">
        <v>3</v>
      </c>
      <c r="GD61">
        <v>1</v>
      </c>
      <c r="GF61">
        <v>404510598</v>
      </c>
      <c r="GG61">
        <v>2</v>
      </c>
      <c r="GH61">
        <v>1</v>
      </c>
      <c r="GI61">
        <v>4</v>
      </c>
      <c r="GJ61">
        <v>0</v>
      </c>
      <c r="GK61">
        <v>0</v>
      </c>
      <c r="GL61">
        <f t="shared" si="26"/>
        <v>0</v>
      </c>
      <c r="GM61">
        <f t="shared" si="52"/>
        <v>1778.68</v>
      </c>
      <c r="GN61">
        <f t="shared" si="27"/>
        <v>1778.68</v>
      </c>
      <c r="GO61">
        <f t="shared" si="28"/>
        <v>0</v>
      </c>
      <c r="GP61">
        <f t="shared" si="29"/>
        <v>0</v>
      </c>
      <c r="GR61">
        <v>0</v>
      </c>
      <c r="GS61">
        <v>3</v>
      </c>
      <c r="GT61">
        <v>0</v>
      </c>
      <c r="GU61" t="s">
        <v>3</v>
      </c>
      <c r="GV61">
        <f t="shared" si="53"/>
        <v>0</v>
      </c>
      <c r="GW61">
        <v>1</v>
      </c>
      <c r="GX61">
        <f t="shared" si="54"/>
        <v>0</v>
      </c>
      <c r="HA61">
        <v>0</v>
      </c>
      <c r="HB61">
        <v>0</v>
      </c>
      <c r="HC61">
        <f t="shared" si="55"/>
        <v>0</v>
      </c>
      <c r="HE61" t="s">
        <v>3</v>
      </c>
      <c r="HF61" t="s">
        <v>3</v>
      </c>
      <c r="HM61" t="s">
        <v>3</v>
      </c>
      <c r="HN61" t="s">
        <v>174</v>
      </c>
      <c r="HO61" t="s">
        <v>175</v>
      </c>
      <c r="HP61" t="s">
        <v>171</v>
      </c>
      <c r="HQ61" t="s">
        <v>171</v>
      </c>
      <c r="IK61">
        <v>0</v>
      </c>
    </row>
    <row r="62" spans="1:245" x14ac:dyDescent="0.2">
      <c r="A62">
        <v>18</v>
      </c>
      <c r="B62">
        <v>1</v>
      </c>
      <c r="C62">
        <v>97</v>
      </c>
      <c r="E62" t="s">
        <v>192</v>
      </c>
      <c r="F62" t="s">
        <v>193</v>
      </c>
      <c r="G62" t="s">
        <v>194</v>
      </c>
      <c r="H62" t="s">
        <v>110</v>
      </c>
      <c r="I62">
        <f>I61*J62</f>
        <v>0</v>
      </c>
      <c r="J62">
        <v>0</v>
      </c>
      <c r="K62">
        <v>0</v>
      </c>
      <c r="O62">
        <f t="shared" si="30"/>
        <v>0</v>
      </c>
      <c r="P62">
        <f t="shared" si="31"/>
        <v>0</v>
      </c>
      <c r="Q62">
        <f>(ROUND((ROUND(((ET62)*I62),2)*BB62),2)+ROUND((ROUND(((AE62-(EU62))*I62),2)*BS62),2))</f>
        <v>0</v>
      </c>
      <c r="R62">
        <f>(ROUND((ROUND(((EU62)*I62),2)*BS62),2)+ROUND((ROUND(((AE62-(EU62))*I62),2)*BS62),2))</f>
        <v>0</v>
      </c>
      <c r="S62">
        <f t="shared" si="32"/>
        <v>0</v>
      </c>
      <c r="T62">
        <f t="shared" si="33"/>
        <v>0</v>
      </c>
      <c r="U62">
        <f t="shared" si="34"/>
        <v>0</v>
      </c>
      <c r="V62">
        <f t="shared" si="35"/>
        <v>0</v>
      </c>
      <c r="W62">
        <f t="shared" si="36"/>
        <v>0</v>
      </c>
      <c r="X62">
        <f t="shared" si="37"/>
        <v>0</v>
      </c>
      <c r="Y62">
        <f t="shared" si="38"/>
        <v>0</v>
      </c>
      <c r="AA62">
        <v>53360025</v>
      </c>
      <c r="AB62">
        <f t="shared" si="39"/>
        <v>30.42</v>
      </c>
      <c r="AC62">
        <f t="shared" si="40"/>
        <v>30.42</v>
      </c>
      <c r="AD62">
        <f>ROUND((((ET62)-(EU62))+AE62),6)</f>
        <v>0</v>
      </c>
      <c r="AE62">
        <f>ROUND((EU62),6)</f>
        <v>0</v>
      </c>
      <c r="AF62">
        <f>ROUND((EV62),6)</f>
        <v>0</v>
      </c>
      <c r="AG62">
        <f t="shared" si="41"/>
        <v>0</v>
      </c>
      <c r="AH62">
        <f>(EW62)</f>
        <v>0</v>
      </c>
      <c r="AI62">
        <f>(EX62)</f>
        <v>0</v>
      </c>
      <c r="AJ62">
        <f t="shared" si="42"/>
        <v>0</v>
      </c>
      <c r="AK62">
        <v>30.42</v>
      </c>
      <c r="AL62">
        <v>30.42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94</v>
      </c>
      <c r="AU62">
        <v>51</v>
      </c>
      <c r="AV62">
        <v>1</v>
      </c>
      <c r="AW62">
        <v>1</v>
      </c>
      <c r="AZ62">
        <v>1</v>
      </c>
      <c r="BA62">
        <v>1</v>
      </c>
      <c r="BB62">
        <v>1</v>
      </c>
      <c r="BC62">
        <v>8.7899999999999991</v>
      </c>
      <c r="BD62" t="s">
        <v>3</v>
      </c>
      <c r="BE62" t="s">
        <v>3</v>
      </c>
      <c r="BF62" t="s">
        <v>3</v>
      </c>
      <c r="BG62" t="s">
        <v>3</v>
      </c>
      <c r="BH62">
        <v>3</v>
      </c>
      <c r="BI62">
        <v>1</v>
      </c>
      <c r="BJ62" t="s">
        <v>195</v>
      </c>
      <c r="BM62">
        <v>13001</v>
      </c>
      <c r="BN62">
        <v>0</v>
      </c>
      <c r="BO62" t="s">
        <v>33</v>
      </c>
      <c r="BP62">
        <v>1</v>
      </c>
      <c r="BQ62">
        <v>2</v>
      </c>
      <c r="BR62">
        <v>0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 t="s">
        <v>3</v>
      </c>
      <c r="BZ62">
        <v>94</v>
      </c>
      <c r="CA62">
        <v>51</v>
      </c>
      <c r="CB62" t="s">
        <v>3</v>
      </c>
      <c r="CE62">
        <v>12</v>
      </c>
      <c r="CF62">
        <v>0</v>
      </c>
      <c r="CG62">
        <v>0</v>
      </c>
      <c r="CM62">
        <v>0</v>
      </c>
      <c r="CN62" t="s">
        <v>3</v>
      </c>
      <c r="CO62">
        <v>0</v>
      </c>
      <c r="CP62">
        <f t="shared" si="43"/>
        <v>0</v>
      </c>
      <c r="CQ62">
        <f t="shared" si="44"/>
        <v>267.39179999999999</v>
      </c>
      <c r="CR62">
        <f>(ROUND((ROUND(((ET62)*1),2)*BB62),2)+ROUND((ROUND(((AE62-(EU62))*1),2)*BS62),2))</f>
        <v>0</v>
      </c>
      <c r="CS62">
        <f>(ROUND((ROUND(((EU62)*1),2)*BS62),2)+ROUND((ROUND(((AE62-(EU62))*1),2)*BS62),2))</f>
        <v>0</v>
      </c>
      <c r="CT62">
        <f t="shared" si="45"/>
        <v>0</v>
      </c>
      <c r="CU62">
        <f t="shared" si="46"/>
        <v>0</v>
      </c>
      <c r="CV62">
        <f t="shared" si="47"/>
        <v>0</v>
      </c>
      <c r="CW62">
        <f t="shared" si="48"/>
        <v>0</v>
      </c>
      <c r="CX62">
        <f t="shared" si="49"/>
        <v>0</v>
      </c>
      <c r="CY62">
        <f t="shared" si="50"/>
        <v>0</v>
      </c>
      <c r="CZ62">
        <f t="shared" si="51"/>
        <v>0</v>
      </c>
      <c r="DC62" t="s">
        <v>3</v>
      </c>
      <c r="DD62" t="s">
        <v>3</v>
      </c>
      <c r="DE62" t="s">
        <v>3</v>
      </c>
      <c r="DF62" t="s">
        <v>3</v>
      </c>
      <c r="DG62" t="s">
        <v>3</v>
      </c>
      <c r="DH62" t="s">
        <v>3</v>
      </c>
      <c r="DI62" t="s">
        <v>3</v>
      </c>
      <c r="DJ62" t="s">
        <v>3</v>
      </c>
      <c r="DK62" t="s">
        <v>3</v>
      </c>
      <c r="DL62" t="s">
        <v>3</v>
      </c>
      <c r="DM62" t="s">
        <v>3</v>
      </c>
      <c r="DN62">
        <v>0</v>
      </c>
      <c r="DO62">
        <v>0</v>
      </c>
      <c r="DP62">
        <v>1</v>
      </c>
      <c r="DQ62">
        <v>1</v>
      </c>
      <c r="DU62">
        <v>1009</v>
      </c>
      <c r="DV62" t="s">
        <v>110</v>
      </c>
      <c r="DW62" t="s">
        <v>110</v>
      </c>
      <c r="DX62">
        <v>1</v>
      </c>
      <c r="DZ62" t="s">
        <v>3</v>
      </c>
      <c r="EA62" t="s">
        <v>3</v>
      </c>
      <c r="EB62" t="s">
        <v>3</v>
      </c>
      <c r="EC62" t="s">
        <v>3</v>
      </c>
      <c r="EE62">
        <v>53151329</v>
      </c>
      <c r="EF62">
        <v>2</v>
      </c>
      <c r="EG62" t="s">
        <v>76</v>
      </c>
      <c r="EH62">
        <v>13</v>
      </c>
      <c r="EI62" t="s">
        <v>171</v>
      </c>
      <c r="EJ62">
        <v>1</v>
      </c>
      <c r="EK62">
        <v>13001</v>
      </c>
      <c r="EL62" t="s">
        <v>172</v>
      </c>
      <c r="EM62" t="s">
        <v>173</v>
      </c>
      <c r="EO62" t="s">
        <v>3</v>
      </c>
      <c r="EQ62">
        <v>0</v>
      </c>
      <c r="ER62">
        <v>30.42</v>
      </c>
      <c r="ES62">
        <v>30.42</v>
      </c>
      <c r="ET62">
        <v>0</v>
      </c>
      <c r="EU62">
        <v>0</v>
      </c>
      <c r="EV62">
        <v>0</v>
      </c>
      <c r="EW62">
        <v>0</v>
      </c>
      <c r="EX62">
        <v>0</v>
      </c>
      <c r="FQ62">
        <v>0</v>
      </c>
      <c r="FR62">
        <f t="shared" si="25"/>
        <v>0</v>
      </c>
      <c r="FS62">
        <v>0</v>
      </c>
      <c r="FX62">
        <v>94</v>
      </c>
      <c r="FY62">
        <v>51</v>
      </c>
      <c r="GA62" t="s">
        <v>3</v>
      </c>
      <c r="GD62">
        <v>1</v>
      </c>
      <c r="GF62">
        <v>801242479</v>
      </c>
      <c r="GG62">
        <v>2</v>
      </c>
      <c r="GH62">
        <v>1</v>
      </c>
      <c r="GI62">
        <v>4</v>
      </c>
      <c r="GJ62">
        <v>0</v>
      </c>
      <c r="GK62">
        <v>0</v>
      </c>
      <c r="GL62">
        <f t="shared" si="26"/>
        <v>0</v>
      </c>
      <c r="GM62">
        <f t="shared" si="52"/>
        <v>0</v>
      </c>
      <c r="GN62">
        <f t="shared" si="27"/>
        <v>0</v>
      </c>
      <c r="GO62">
        <f t="shared" si="28"/>
        <v>0</v>
      </c>
      <c r="GP62">
        <f t="shared" si="29"/>
        <v>0</v>
      </c>
      <c r="GR62">
        <v>0</v>
      </c>
      <c r="GS62">
        <v>3</v>
      </c>
      <c r="GT62">
        <v>0</v>
      </c>
      <c r="GU62" t="s">
        <v>3</v>
      </c>
      <c r="GV62">
        <f t="shared" si="53"/>
        <v>0</v>
      </c>
      <c r="GW62">
        <v>1</v>
      </c>
      <c r="GX62">
        <f t="shared" si="54"/>
        <v>0</v>
      </c>
      <c r="HA62">
        <v>0</v>
      </c>
      <c r="HB62">
        <v>0</v>
      </c>
      <c r="HC62">
        <f t="shared" si="55"/>
        <v>0</v>
      </c>
      <c r="HE62" t="s">
        <v>3</v>
      </c>
      <c r="HF62" t="s">
        <v>3</v>
      </c>
      <c r="HM62" t="s">
        <v>3</v>
      </c>
      <c r="HN62" t="s">
        <v>174</v>
      </c>
      <c r="HO62" t="s">
        <v>175</v>
      </c>
      <c r="HP62" t="s">
        <v>171</v>
      </c>
      <c r="HQ62" t="s">
        <v>171</v>
      </c>
      <c r="IK62">
        <v>0</v>
      </c>
    </row>
    <row r="64" spans="1:245" x14ac:dyDescent="0.2">
      <c r="A64">
        <v>51</v>
      </c>
      <c r="B64">
        <f>B24</f>
        <v>1</v>
      </c>
      <c r="C64">
        <f>A24</f>
        <v>4</v>
      </c>
      <c r="D64">
        <f>ROW(A24)</f>
        <v>24</v>
      </c>
      <c r="F64" t="str">
        <f>IF(F24&lt;&gt;"",F24,"")</f>
        <v>Новый раздел</v>
      </c>
      <c r="G64" t="str">
        <f>IF(G24&lt;&gt;"",G24,"")</f>
        <v>1. Крыльцо</v>
      </c>
      <c r="H64">
        <v>0</v>
      </c>
      <c r="O64">
        <f t="shared" ref="O64:T64" si="64">ROUND(AB64,2)</f>
        <v>79708.36</v>
      </c>
      <c r="P64">
        <f t="shared" si="64"/>
        <v>22459.31</v>
      </c>
      <c r="Q64">
        <f t="shared" si="64"/>
        <v>701.53</v>
      </c>
      <c r="R64">
        <f t="shared" si="64"/>
        <v>533.32000000000005</v>
      </c>
      <c r="S64">
        <f t="shared" si="64"/>
        <v>56547.519999999997</v>
      </c>
      <c r="T64">
        <f t="shared" si="64"/>
        <v>0</v>
      </c>
      <c r="U64">
        <f>AH64</f>
        <v>144.328846</v>
      </c>
      <c r="V64">
        <f>AI64</f>
        <v>1.0383399999999998</v>
      </c>
      <c r="W64">
        <f>ROUND(AJ64,2)</f>
        <v>0</v>
      </c>
      <c r="X64">
        <f>ROUND(AK64,2)</f>
        <v>54845.93</v>
      </c>
      <c r="Y64">
        <f>ROUND(AL64,2)</f>
        <v>27204.98</v>
      </c>
      <c r="AB64">
        <f>ROUND(SUMIF(AA28:AA62,"=53360025",O28:O62),2)</f>
        <v>79708.36</v>
      </c>
      <c r="AC64">
        <f>ROUND(SUMIF(AA28:AA62,"=53360025",P28:P62),2)</f>
        <v>22459.31</v>
      </c>
      <c r="AD64">
        <f>ROUND(SUMIF(AA28:AA62,"=53360025",Q28:Q62),2)</f>
        <v>701.53</v>
      </c>
      <c r="AE64">
        <f>ROUND(SUMIF(AA28:AA62,"=53360025",R28:R62),2)</f>
        <v>533.32000000000005</v>
      </c>
      <c r="AF64">
        <f>ROUND(SUMIF(AA28:AA62,"=53360025",S28:S62),2)</f>
        <v>56547.519999999997</v>
      </c>
      <c r="AG64">
        <f>ROUND(SUMIF(AA28:AA62,"=53360025",T28:T62),2)</f>
        <v>0</v>
      </c>
      <c r="AH64">
        <f>SUMIF(AA28:AA62,"=53360025",U28:U62)</f>
        <v>144.328846</v>
      </c>
      <c r="AI64">
        <f>SUMIF(AA28:AA62,"=53360025",V28:V62)</f>
        <v>1.0383399999999998</v>
      </c>
      <c r="AJ64">
        <f>ROUND(SUMIF(AA28:AA62,"=53360025",W28:W62),2)</f>
        <v>0</v>
      </c>
      <c r="AK64">
        <f>ROUND(SUMIF(AA28:AA62,"=53360025",X28:X62),2)</f>
        <v>54845.93</v>
      </c>
      <c r="AL64">
        <f>ROUND(SUMIF(AA28:AA62,"=53360025",Y28:Y62),2)</f>
        <v>27204.98</v>
      </c>
      <c r="AO64">
        <f t="shared" ref="AO64:BD64" si="65">ROUND(BX64,2)</f>
        <v>0</v>
      </c>
      <c r="AP64">
        <f t="shared" si="65"/>
        <v>0</v>
      </c>
      <c r="AQ64">
        <f t="shared" si="65"/>
        <v>0</v>
      </c>
      <c r="AR64">
        <f t="shared" si="65"/>
        <v>161920.81</v>
      </c>
      <c r="AS64">
        <f t="shared" si="65"/>
        <v>161920.81</v>
      </c>
      <c r="AT64">
        <f t="shared" si="65"/>
        <v>0</v>
      </c>
      <c r="AU64">
        <f t="shared" si="65"/>
        <v>0</v>
      </c>
      <c r="AV64">
        <f t="shared" si="65"/>
        <v>22459.31</v>
      </c>
      <c r="AW64">
        <f t="shared" si="65"/>
        <v>22459.31</v>
      </c>
      <c r="AX64">
        <f t="shared" si="65"/>
        <v>0</v>
      </c>
      <c r="AY64">
        <f t="shared" si="65"/>
        <v>22459.31</v>
      </c>
      <c r="AZ64">
        <f t="shared" si="65"/>
        <v>0</v>
      </c>
      <c r="BA64">
        <f t="shared" si="65"/>
        <v>0</v>
      </c>
      <c r="BB64">
        <f t="shared" si="65"/>
        <v>0</v>
      </c>
      <c r="BC64">
        <f t="shared" si="65"/>
        <v>0</v>
      </c>
      <c r="BD64">
        <f t="shared" si="65"/>
        <v>161.54</v>
      </c>
      <c r="BX64">
        <f>ROUND(SUMIF(AA28:AA62,"=53360025",FQ28:FQ62),2)</f>
        <v>0</v>
      </c>
      <c r="BY64">
        <f>ROUND(SUMIF(AA28:AA62,"=53360025",FR28:FR62),2)</f>
        <v>0</v>
      </c>
      <c r="BZ64">
        <f>ROUND(SUMIF(AA28:AA62,"=53360025",GL28:GL62),2)</f>
        <v>0</v>
      </c>
      <c r="CA64">
        <f>ROUND(SUMIF(AA28:AA62,"=53360025",GM28:GM62),2)</f>
        <v>161920.81</v>
      </c>
      <c r="CB64">
        <f>ROUND(SUMIF(AA28:AA62,"=53360025",GN28:GN62),2)</f>
        <v>161920.81</v>
      </c>
      <c r="CC64">
        <f>ROUND(SUMIF(AA28:AA62,"=53360025",GO28:GO62),2)</f>
        <v>0</v>
      </c>
      <c r="CD64">
        <f>ROUND(SUMIF(AA28:AA62,"=53360025",GP28:GP62),2)</f>
        <v>0</v>
      </c>
      <c r="CE64">
        <f>AC64-BX64</f>
        <v>22459.31</v>
      </c>
      <c r="CF64">
        <f>AC64-BY64</f>
        <v>22459.31</v>
      </c>
      <c r="CG64">
        <f>BX64-BZ64</f>
        <v>0</v>
      </c>
      <c r="CH64">
        <f>AC64-BX64-BY64+BZ64</f>
        <v>22459.31</v>
      </c>
      <c r="CI64">
        <f>BY64-BZ64</f>
        <v>0</v>
      </c>
      <c r="CJ64">
        <f>ROUND(SUMIF(AA28:AA62,"=53360025",GX28:GX62),2)</f>
        <v>0</v>
      </c>
      <c r="CK64">
        <f>ROUND(SUMIF(AA28:AA62,"=53360025",GY28:GY62),2)</f>
        <v>0</v>
      </c>
      <c r="CL64">
        <f>ROUND(SUMIF(AA28:AA62,"=53360025",GZ28:GZ62),2)</f>
        <v>0</v>
      </c>
      <c r="CM64">
        <f>ROUND(SUMIF(AA28:AA62,"=53360025",HD28:HD62),2)</f>
        <v>161.54</v>
      </c>
      <c r="GX64">
        <v>0</v>
      </c>
    </row>
    <row r="66" spans="1:25" x14ac:dyDescent="0.2">
      <c r="A66">
        <v>50</v>
      </c>
      <c r="B66">
        <v>0</v>
      </c>
      <c r="C66">
        <v>0</v>
      </c>
      <c r="D66">
        <v>1</v>
      </c>
      <c r="E66">
        <v>201</v>
      </c>
      <c r="F66">
        <f>ROUND(Source!O64,O66)</f>
        <v>79708.36</v>
      </c>
      <c r="G66" t="s">
        <v>196</v>
      </c>
      <c r="H66" t="s">
        <v>197</v>
      </c>
      <c r="K66">
        <v>201</v>
      </c>
      <c r="L66">
        <v>1</v>
      </c>
      <c r="M66">
        <v>3</v>
      </c>
      <c r="N66" t="s">
        <v>3</v>
      </c>
      <c r="O66">
        <v>2</v>
      </c>
      <c r="W66">
        <v>79869.900000000009</v>
      </c>
      <c r="X66">
        <v>1</v>
      </c>
      <c r="Y66">
        <v>79869.900000000009</v>
      </c>
    </row>
    <row r="67" spans="1:25" x14ac:dyDescent="0.2">
      <c r="A67">
        <v>50</v>
      </c>
      <c r="B67">
        <v>0</v>
      </c>
      <c r="C67">
        <v>0</v>
      </c>
      <c r="D67">
        <v>1</v>
      </c>
      <c r="E67">
        <v>202</v>
      </c>
      <c r="F67">
        <f>ROUND(Source!P64,O67)</f>
        <v>22459.31</v>
      </c>
      <c r="G67" t="s">
        <v>198</v>
      </c>
      <c r="H67" t="s">
        <v>199</v>
      </c>
      <c r="K67">
        <v>202</v>
      </c>
      <c r="L67">
        <v>2</v>
      </c>
      <c r="M67">
        <v>3</v>
      </c>
      <c r="N67" t="s">
        <v>3</v>
      </c>
      <c r="O67">
        <v>2</v>
      </c>
      <c r="W67">
        <v>22459.31</v>
      </c>
      <c r="X67">
        <v>1</v>
      </c>
      <c r="Y67">
        <v>22459.31</v>
      </c>
    </row>
    <row r="68" spans="1:25" x14ac:dyDescent="0.2">
      <c r="A68">
        <v>50</v>
      </c>
      <c r="B68">
        <v>0</v>
      </c>
      <c r="C68">
        <v>0</v>
      </c>
      <c r="D68">
        <v>1</v>
      </c>
      <c r="E68">
        <v>222</v>
      </c>
      <c r="F68">
        <f>ROUND(Source!AO64,O68)</f>
        <v>0</v>
      </c>
      <c r="G68" t="s">
        <v>200</v>
      </c>
      <c r="H68" t="s">
        <v>201</v>
      </c>
      <c r="K68">
        <v>222</v>
      </c>
      <c r="L68">
        <v>3</v>
      </c>
      <c r="M68">
        <v>3</v>
      </c>
      <c r="N68" t="s">
        <v>3</v>
      </c>
      <c r="O68">
        <v>2</v>
      </c>
      <c r="W68">
        <v>0</v>
      </c>
      <c r="X68">
        <v>1</v>
      </c>
      <c r="Y68">
        <v>0</v>
      </c>
    </row>
    <row r="69" spans="1:25" x14ac:dyDescent="0.2">
      <c r="A69">
        <v>50</v>
      </c>
      <c r="B69">
        <v>0</v>
      </c>
      <c r="C69">
        <v>0</v>
      </c>
      <c r="D69">
        <v>1</v>
      </c>
      <c r="E69">
        <v>225</v>
      </c>
      <c r="F69">
        <f>ROUND(Source!AV64,O69)</f>
        <v>22459.31</v>
      </c>
      <c r="G69" t="s">
        <v>202</v>
      </c>
      <c r="H69" t="s">
        <v>203</v>
      </c>
      <c r="K69">
        <v>225</v>
      </c>
      <c r="L69">
        <v>4</v>
      </c>
      <c r="M69">
        <v>3</v>
      </c>
      <c r="N69" t="s">
        <v>3</v>
      </c>
      <c r="O69">
        <v>2</v>
      </c>
      <c r="W69">
        <v>22459.31</v>
      </c>
      <c r="X69">
        <v>1</v>
      </c>
      <c r="Y69">
        <v>22459.31</v>
      </c>
    </row>
    <row r="70" spans="1:25" x14ac:dyDescent="0.2">
      <c r="A70">
        <v>50</v>
      </c>
      <c r="B70">
        <v>0</v>
      </c>
      <c r="C70">
        <v>0</v>
      </c>
      <c r="D70">
        <v>1</v>
      </c>
      <c r="E70">
        <v>226</v>
      </c>
      <c r="F70">
        <f>ROUND(Source!AW64,O70)</f>
        <v>22459.31</v>
      </c>
      <c r="G70" t="s">
        <v>204</v>
      </c>
      <c r="H70" t="s">
        <v>205</v>
      </c>
      <c r="K70">
        <v>226</v>
      </c>
      <c r="L70">
        <v>5</v>
      </c>
      <c r="M70">
        <v>3</v>
      </c>
      <c r="N70" t="s">
        <v>3</v>
      </c>
      <c r="O70">
        <v>2</v>
      </c>
      <c r="W70">
        <v>22459.31</v>
      </c>
      <c r="X70">
        <v>1</v>
      </c>
      <c r="Y70">
        <v>22459.31</v>
      </c>
    </row>
    <row r="71" spans="1:25" x14ac:dyDescent="0.2">
      <c r="A71">
        <v>50</v>
      </c>
      <c r="B71">
        <v>0</v>
      </c>
      <c r="C71">
        <v>0</v>
      </c>
      <c r="D71">
        <v>1</v>
      </c>
      <c r="E71">
        <v>227</v>
      </c>
      <c r="F71">
        <f>ROUND(Source!AX64,O71)</f>
        <v>0</v>
      </c>
      <c r="G71" t="s">
        <v>206</v>
      </c>
      <c r="H71" t="s">
        <v>207</v>
      </c>
      <c r="K71">
        <v>227</v>
      </c>
      <c r="L71">
        <v>6</v>
      </c>
      <c r="M71">
        <v>3</v>
      </c>
      <c r="N71" t="s">
        <v>3</v>
      </c>
      <c r="O71">
        <v>2</v>
      </c>
      <c r="W71">
        <v>0</v>
      </c>
      <c r="X71">
        <v>1</v>
      </c>
      <c r="Y71">
        <v>0</v>
      </c>
    </row>
    <row r="72" spans="1:25" x14ac:dyDescent="0.2">
      <c r="A72">
        <v>50</v>
      </c>
      <c r="B72">
        <v>0</v>
      </c>
      <c r="C72">
        <v>0</v>
      </c>
      <c r="D72">
        <v>1</v>
      </c>
      <c r="E72">
        <v>228</v>
      </c>
      <c r="F72">
        <f>ROUND(Source!AY64,O72)</f>
        <v>22459.31</v>
      </c>
      <c r="G72" t="s">
        <v>208</v>
      </c>
      <c r="H72" t="s">
        <v>209</v>
      </c>
      <c r="K72">
        <v>228</v>
      </c>
      <c r="L72">
        <v>7</v>
      </c>
      <c r="M72">
        <v>3</v>
      </c>
      <c r="N72" t="s">
        <v>3</v>
      </c>
      <c r="O72">
        <v>2</v>
      </c>
      <c r="W72">
        <v>22459.31</v>
      </c>
      <c r="X72">
        <v>1</v>
      </c>
      <c r="Y72">
        <v>22459.31</v>
      </c>
    </row>
    <row r="73" spans="1:25" x14ac:dyDescent="0.2">
      <c r="A73">
        <v>50</v>
      </c>
      <c r="B73">
        <v>0</v>
      </c>
      <c r="C73">
        <v>0</v>
      </c>
      <c r="D73">
        <v>1</v>
      </c>
      <c r="E73">
        <v>216</v>
      </c>
      <c r="F73">
        <f>ROUND(Source!AP64,O73)</f>
        <v>0</v>
      </c>
      <c r="G73" t="s">
        <v>210</v>
      </c>
      <c r="H73" t="s">
        <v>211</v>
      </c>
      <c r="K73">
        <v>216</v>
      </c>
      <c r="L73">
        <v>8</v>
      </c>
      <c r="M73">
        <v>3</v>
      </c>
      <c r="N73" t="s">
        <v>3</v>
      </c>
      <c r="O73">
        <v>2</v>
      </c>
      <c r="W73">
        <v>0</v>
      </c>
      <c r="X73">
        <v>1</v>
      </c>
      <c r="Y73">
        <v>0</v>
      </c>
    </row>
    <row r="74" spans="1:25" x14ac:dyDescent="0.2">
      <c r="A74">
        <v>50</v>
      </c>
      <c r="B74">
        <v>0</v>
      </c>
      <c r="C74">
        <v>0</v>
      </c>
      <c r="D74">
        <v>1</v>
      </c>
      <c r="E74">
        <v>223</v>
      </c>
      <c r="F74">
        <f>ROUND(Source!AQ64,O74)</f>
        <v>0</v>
      </c>
      <c r="G74" t="s">
        <v>212</v>
      </c>
      <c r="H74" t="s">
        <v>213</v>
      </c>
      <c r="K74">
        <v>223</v>
      </c>
      <c r="L74">
        <v>9</v>
      </c>
      <c r="M74">
        <v>3</v>
      </c>
      <c r="N74" t="s">
        <v>3</v>
      </c>
      <c r="O74">
        <v>2</v>
      </c>
      <c r="W74">
        <v>0</v>
      </c>
      <c r="X74">
        <v>1</v>
      </c>
      <c r="Y74">
        <v>0</v>
      </c>
    </row>
    <row r="75" spans="1:25" x14ac:dyDescent="0.2">
      <c r="A75">
        <v>50</v>
      </c>
      <c r="B75">
        <v>0</v>
      </c>
      <c r="C75">
        <v>0</v>
      </c>
      <c r="D75">
        <v>1</v>
      </c>
      <c r="E75">
        <v>229</v>
      </c>
      <c r="F75">
        <f>ROUND(Source!AZ64,O75)</f>
        <v>0</v>
      </c>
      <c r="G75" t="s">
        <v>214</v>
      </c>
      <c r="H75" t="s">
        <v>215</v>
      </c>
      <c r="K75">
        <v>229</v>
      </c>
      <c r="L75">
        <v>10</v>
      </c>
      <c r="M75">
        <v>3</v>
      </c>
      <c r="N75" t="s">
        <v>3</v>
      </c>
      <c r="O75">
        <v>2</v>
      </c>
      <c r="W75">
        <v>0</v>
      </c>
      <c r="X75">
        <v>1</v>
      </c>
      <c r="Y75">
        <v>0</v>
      </c>
    </row>
    <row r="76" spans="1:25" x14ac:dyDescent="0.2">
      <c r="A76">
        <v>50</v>
      </c>
      <c r="B76">
        <v>0</v>
      </c>
      <c r="C76">
        <v>0</v>
      </c>
      <c r="D76">
        <v>1</v>
      </c>
      <c r="E76">
        <v>203</v>
      </c>
      <c r="F76">
        <f>ROUND(Source!Q64,O76)</f>
        <v>701.53</v>
      </c>
      <c r="G76" t="s">
        <v>216</v>
      </c>
      <c r="H76" t="s">
        <v>217</v>
      </c>
      <c r="K76">
        <v>203</v>
      </c>
      <c r="L76">
        <v>11</v>
      </c>
      <c r="M76">
        <v>3</v>
      </c>
      <c r="N76" t="s">
        <v>3</v>
      </c>
      <c r="O76">
        <v>2</v>
      </c>
      <c r="W76">
        <v>701.52999999999986</v>
      </c>
      <c r="X76">
        <v>1</v>
      </c>
      <c r="Y76">
        <v>701.52999999999986</v>
      </c>
    </row>
    <row r="77" spans="1:25" x14ac:dyDescent="0.2">
      <c r="A77">
        <v>50</v>
      </c>
      <c r="B77">
        <v>0</v>
      </c>
      <c r="C77">
        <v>0</v>
      </c>
      <c r="D77">
        <v>1</v>
      </c>
      <c r="E77">
        <v>231</v>
      </c>
      <c r="F77">
        <f>ROUND(Source!BB64,O77)</f>
        <v>0</v>
      </c>
      <c r="G77" t="s">
        <v>218</v>
      </c>
      <c r="H77" t="s">
        <v>219</v>
      </c>
      <c r="K77">
        <v>231</v>
      </c>
      <c r="L77">
        <v>12</v>
      </c>
      <c r="M77">
        <v>3</v>
      </c>
      <c r="N77" t="s">
        <v>3</v>
      </c>
      <c r="O77">
        <v>2</v>
      </c>
      <c r="W77">
        <v>0</v>
      </c>
      <c r="X77">
        <v>1</v>
      </c>
      <c r="Y77">
        <v>0</v>
      </c>
    </row>
    <row r="78" spans="1:25" x14ac:dyDescent="0.2">
      <c r="A78">
        <v>50</v>
      </c>
      <c r="B78">
        <v>0</v>
      </c>
      <c r="C78">
        <v>0</v>
      </c>
      <c r="D78">
        <v>1</v>
      </c>
      <c r="E78">
        <v>204</v>
      </c>
      <c r="F78">
        <f>ROUND(Source!R64,O78)</f>
        <v>533.32000000000005</v>
      </c>
      <c r="G78" t="s">
        <v>220</v>
      </c>
      <c r="H78" t="s">
        <v>221</v>
      </c>
      <c r="K78">
        <v>204</v>
      </c>
      <c r="L78">
        <v>13</v>
      </c>
      <c r="M78">
        <v>3</v>
      </c>
      <c r="N78" t="s">
        <v>3</v>
      </c>
      <c r="O78">
        <v>2</v>
      </c>
      <c r="W78">
        <v>533.31999999999994</v>
      </c>
      <c r="X78">
        <v>1</v>
      </c>
      <c r="Y78">
        <v>533.31999999999994</v>
      </c>
    </row>
    <row r="79" spans="1:25" x14ac:dyDescent="0.2">
      <c r="A79">
        <v>50</v>
      </c>
      <c r="B79">
        <v>0</v>
      </c>
      <c r="C79">
        <v>0</v>
      </c>
      <c r="D79">
        <v>1</v>
      </c>
      <c r="E79">
        <v>205</v>
      </c>
      <c r="F79">
        <f>ROUND(Source!S64,O79)</f>
        <v>56547.519999999997</v>
      </c>
      <c r="G79" t="s">
        <v>222</v>
      </c>
      <c r="H79" t="s">
        <v>223</v>
      </c>
      <c r="K79">
        <v>205</v>
      </c>
      <c r="L79">
        <v>14</v>
      </c>
      <c r="M79">
        <v>3</v>
      </c>
      <c r="N79" t="s">
        <v>3</v>
      </c>
      <c r="O79">
        <v>2</v>
      </c>
      <c r="W79">
        <v>56547.520000000004</v>
      </c>
      <c r="X79">
        <v>1</v>
      </c>
      <c r="Y79">
        <v>56547.520000000004</v>
      </c>
    </row>
    <row r="80" spans="1:25" x14ac:dyDescent="0.2">
      <c r="A80">
        <v>50</v>
      </c>
      <c r="B80">
        <v>0</v>
      </c>
      <c r="C80">
        <v>0</v>
      </c>
      <c r="D80">
        <v>1</v>
      </c>
      <c r="E80">
        <v>232</v>
      </c>
      <c r="F80">
        <f>ROUND(Source!BC64,O80)</f>
        <v>0</v>
      </c>
      <c r="G80" t="s">
        <v>224</v>
      </c>
      <c r="H80" t="s">
        <v>225</v>
      </c>
      <c r="K80">
        <v>232</v>
      </c>
      <c r="L80">
        <v>15</v>
      </c>
      <c r="M80">
        <v>3</v>
      </c>
      <c r="N80" t="s">
        <v>3</v>
      </c>
      <c r="O80">
        <v>2</v>
      </c>
      <c r="W80">
        <v>0</v>
      </c>
      <c r="X80">
        <v>1</v>
      </c>
      <c r="Y80">
        <v>0</v>
      </c>
    </row>
    <row r="81" spans="1:206" x14ac:dyDescent="0.2">
      <c r="A81">
        <v>50</v>
      </c>
      <c r="B81">
        <v>0</v>
      </c>
      <c r="C81">
        <v>0</v>
      </c>
      <c r="D81">
        <v>1</v>
      </c>
      <c r="E81">
        <v>214</v>
      </c>
      <c r="F81">
        <f>ROUND(Source!AS64,O81)</f>
        <v>161920.81</v>
      </c>
      <c r="G81" t="s">
        <v>226</v>
      </c>
      <c r="H81" t="s">
        <v>227</v>
      </c>
      <c r="K81">
        <v>214</v>
      </c>
      <c r="L81">
        <v>16</v>
      </c>
      <c r="M81">
        <v>3</v>
      </c>
      <c r="N81" t="s">
        <v>3</v>
      </c>
      <c r="O81">
        <v>2</v>
      </c>
      <c r="W81">
        <v>161920.81</v>
      </c>
      <c r="X81">
        <v>1</v>
      </c>
      <c r="Y81">
        <v>161920.81</v>
      </c>
    </row>
    <row r="82" spans="1:206" x14ac:dyDescent="0.2">
      <c r="A82">
        <v>50</v>
      </c>
      <c r="B82">
        <v>0</v>
      </c>
      <c r="C82">
        <v>0</v>
      </c>
      <c r="D82">
        <v>1</v>
      </c>
      <c r="E82">
        <v>215</v>
      </c>
      <c r="F82">
        <f>ROUND(Source!AT64,O82)</f>
        <v>0</v>
      </c>
      <c r="G82" t="s">
        <v>228</v>
      </c>
      <c r="H82" t="s">
        <v>229</v>
      </c>
      <c r="K82">
        <v>215</v>
      </c>
      <c r="L82">
        <v>17</v>
      </c>
      <c r="M82">
        <v>3</v>
      </c>
      <c r="N82" t="s">
        <v>3</v>
      </c>
      <c r="O82">
        <v>2</v>
      </c>
      <c r="W82">
        <v>0</v>
      </c>
      <c r="X82">
        <v>1</v>
      </c>
      <c r="Y82">
        <v>0</v>
      </c>
    </row>
    <row r="83" spans="1:206" x14ac:dyDescent="0.2">
      <c r="A83">
        <v>50</v>
      </c>
      <c r="B83">
        <v>0</v>
      </c>
      <c r="C83">
        <v>0</v>
      </c>
      <c r="D83">
        <v>1</v>
      </c>
      <c r="E83">
        <v>217</v>
      </c>
      <c r="F83">
        <f>ROUND(Source!AU64,O83)</f>
        <v>0</v>
      </c>
      <c r="G83" t="s">
        <v>230</v>
      </c>
      <c r="H83" t="s">
        <v>231</v>
      </c>
      <c r="K83">
        <v>217</v>
      </c>
      <c r="L83">
        <v>18</v>
      </c>
      <c r="M83">
        <v>3</v>
      </c>
      <c r="N83" t="s">
        <v>3</v>
      </c>
      <c r="O83">
        <v>2</v>
      </c>
      <c r="W83">
        <v>0</v>
      </c>
      <c r="X83">
        <v>1</v>
      </c>
      <c r="Y83">
        <v>0</v>
      </c>
    </row>
    <row r="84" spans="1:206" x14ac:dyDescent="0.2">
      <c r="A84">
        <v>50</v>
      </c>
      <c r="B84">
        <v>0</v>
      </c>
      <c r="C84">
        <v>0</v>
      </c>
      <c r="D84">
        <v>1</v>
      </c>
      <c r="E84">
        <v>230</v>
      </c>
      <c r="F84">
        <f>ROUND(Source!BA64,O84)</f>
        <v>0</v>
      </c>
      <c r="G84" t="s">
        <v>232</v>
      </c>
      <c r="H84" t="s">
        <v>233</v>
      </c>
      <c r="K84">
        <v>230</v>
      </c>
      <c r="L84">
        <v>19</v>
      </c>
      <c r="M84">
        <v>3</v>
      </c>
      <c r="N84" t="s">
        <v>3</v>
      </c>
      <c r="O84">
        <v>2</v>
      </c>
      <c r="W84">
        <v>0</v>
      </c>
      <c r="X84">
        <v>1</v>
      </c>
      <c r="Y84">
        <v>0</v>
      </c>
    </row>
    <row r="85" spans="1:206" x14ac:dyDescent="0.2">
      <c r="A85">
        <v>50</v>
      </c>
      <c r="B85">
        <v>0</v>
      </c>
      <c r="C85">
        <v>0</v>
      </c>
      <c r="D85">
        <v>1</v>
      </c>
      <c r="E85">
        <v>206</v>
      </c>
      <c r="F85">
        <f>ROUND(Source!T64,O85)</f>
        <v>0</v>
      </c>
      <c r="G85" t="s">
        <v>234</v>
      </c>
      <c r="H85" t="s">
        <v>235</v>
      </c>
      <c r="K85">
        <v>206</v>
      </c>
      <c r="L85">
        <v>20</v>
      </c>
      <c r="M85">
        <v>3</v>
      </c>
      <c r="N85" t="s">
        <v>3</v>
      </c>
      <c r="O85">
        <v>2</v>
      </c>
      <c r="W85">
        <v>0</v>
      </c>
      <c r="X85">
        <v>1</v>
      </c>
      <c r="Y85">
        <v>0</v>
      </c>
    </row>
    <row r="86" spans="1:206" x14ac:dyDescent="0.2">
      <c r="A86">
        <v>50</v>
      </c>
      <c r="B86">
        <v>0</v>
      </c>
      <c r="C86">
        <v>0</v>
      </c>
      <c r="D86">
        <v>1</v>
      </c>
      <c r="E86">
        <v>207</v>
      </c>
      <c r="F86">
        <f>ROUND(Source!U64,O86)</f>
        <v>144.328846</v>
      </c>
      <c r="G86" t="s">
        <v>236</v>
      </c>
      <c r="H86" t="s">
        <v>237</v>
      </c>
      <c r="K86">
        <v>207</v>
      </c>
      <c r="L86">
        <v>21</v>
      </c>
      <c r="M86">
        <v>3</v>
      </c>
      <c r="N86" t="s">
        <v>3</v>
      </c>
      <c r="O86">
        <v>7</v>
      </c>
      <c r="W86">
        <v>144.328846</v>
      </c>
      <c r="X86">
        <v>1</v>
      </c>
      <c r="Y86">
        <v>144.328846</v>
      </c>
    </row>
    <row r="87" spans="1:206" x14ac:dyDescent="0.2">
      <c r="A87">
        <v>50</v>
      </c>
      <c r="B87">
        <v>0</v>
      </c>
      <c r="C87">
        <v>0</v>
      </c>
      <c r="D87">
        <v>1</v>
      </c>
      <c r="E87">
        <v>208</v>
      </c>
      <c r="F87">
        <f>ROUND(Source!V64,O87)</f>
        <v>1.03834</v>
      </c>
      <c r="G87" t="s">
        <v>238</v>
      </c>
      <c r="H87" t="s">
        <v>239</v>
      </c>
      <c r="K87">
        <v>208</v>
      </c>
      <c r="L87">
        <v>22</v>
      </c>
      <c r="M87">
        <v>3</v>
      </c>
      <c r="N87" t="s">
        <v>3</v>
      </c>
      <c r="O87">
        <v>7</v>
      </c>
      <c r="W87">
        <v>1.03834</v>
      </c>
      <c r="X87">
        <v>1</v>
      </c>
      <c r="Y87">
        <v>1.03834</v>
      </c>
    </row>
    <row r="88" spans="1:206" x14ac:dyDescent="0.2">
      <c r="A88">
        <v>50</v>
      </c>
      <c r="B88">
        <v>0</v>
      </c>
      <c r="C88">
        <v>0</v>
      </c>
      <c r="D88">
        <v>1</v>
      </c>
      <c r="E88">
        <v>209</v>
      </c>
      <c r="F88">
        <f>ROUND(Source!W64,O88)</f>
        <v>0</v>
      </c>
      <c r="G88" t="s">
        <v>240</v>
      </c>
      <c r="H88" t="s">
        <v>241</v>
      </c>
      <c r="K88">
        <v>209</v>
      </c>
      <c r="L88">
        <v>23</v>
      </c>
      <c r="M88">
        <v>3</v>
      </c>
      <c r="N88" t="s">
        <v>3</v>
      </c>
      <c r="O88">
        <v>2</v>
      </c>
      <c r="W88">
        <v>0</v>
      </c>
      <c r="X88">
        <v>1</v>
      </c>
      <c r="Y88">
        <v>0</v>
      </c>
    </row>
    <row r="89" spans="1:206" x14ac:dyDescent="0.2">
      <c r="A89">
        <v>50</v>
      </c>
      <c r="B89">
        <v>0</v>
      </c>
      <c r="C89">
        <v>0</v>
      </c>
      <c r="D89">
        <v>1</v>
      </c>
      <c r="E89">
        <v>233</v>
      </c>
      <c r="F89">
        <f>ROUND(Source!BD64,O89)</f>
        <v>161.54</v>
      </c>
      <c r="G89" t="s">
        <v>242</v>
      </c>
      <c r="H89" t="s">
        <v>243</v>
      </c>
      <c r="K89">
        <v>233</v>
      </c>
      <c r="L89">
        <v>24</v>
      </c>
      <c r="M89">
        <v>3</v>
      </c>
      <c r="N89" t="s">
        <v>3</v>
      </c>
      <c r="O89">
        <v>2</v>
      </c>
      <c r="W89">
        <v>161.54</v>
      </c>
      <c r="X89">
        <v>1</v>
      </c>
      <c r="Y89">
        <v>161.54</v>
      </c>
    </row>
    <row r="90" spans="1:206" x14ac:dyDescent="0.2">
      <c r="A90">
        <v>50</v>
      </c>
      <c r="B90">
        <v>0</v>
      </c>
      <c r="C90">
        <v>0</v>
      </c>
      <c r="D90">
        <v>1</v>
      </c>
      <c r="E90">
        <v>210</v>
      </c>
      <c r="F90">
        <f>ROUND(Source!X64,O90)</f>
        <v>54845.93</v>
      </c>
      <c r="G90" t="s">
        <v>244</v>
      </c>
      <c r="H90" t="s">
        <v>245</v>
      </c>
      <c r="K90">
        <v>210</v>
      </c>
      <c r="L90">
        <v>25</v>
      </c>
      <c r="M90">
        <v>3</v>
      </c>
      <c r="N90" t="s">
        <v>3</v>
      </c>
      <c r="O90">
        <v>2</v>
      </c>
      <c r="W90">
        <v>54845.93</v>
      </c>
      <c r="X90">
        <v>1</v>
      </c>
      <c r="Y90">
        <v>54845.93</v>
      </c>
    </row>
    <row r="91" spans="1:206" x14ac:dyDescent="0.2">
      <c r="A91">
        <v>50</v>
      </c>
      <c r="B91">
        <v>0</v>
      </c>
      <c r="C91">
        <v>0</v>
      </c>
      <c r="D91">
        <v>1</v>
      </c>
      <c r="E91">
        <v>211</v>
      </c>
      <c r="F91">
        <f>ROUND(Source!Y64,O91)</f>
        <v>27204.98</v>
      </c>
      <c r="G91" t="s">
        <v>246</v>
      </c>
      <c r="H91" t="s">
        <v>247</v>
      </c>
      <c r="K91">
        <v>211</v>
      </c>
      <c r="L91">
        <v>26</v>
      </c>
      <c r="M91">
        <v>3</v>
      </c>
      <c r="N91" t="s">
        <v>3</v>
      </c>
      <c r="O91">
        <v>2</v>
      </c>
      <c r="W91">
        <v>27204.98</v>
      </c>
      <c r="X91">
        <v>1</v>
      </c>
      <c r="Y91">
        <v>27204.98</v>
      </c>
    </row>
    <row r="92" spans="1:206" x14ac:dyDescent="0.2">
      <c r="A92">
        <v>50</v>
      </c>
      <c r="B92">
        <v>0</v>
      </c>
      <c r="C92">
        <v>0</v>
      </c>
      <c r="D92">
        <v>1</v>
      </c>
      <c r="E92">
        <v>224</v>
      </c>
      <c r="F92">
        <f>ROUND(Source!AR64,O92)</f>
        <v>161920.81</v>
      </c>
      <c r="G92" t="s">
        <v>248</v>
      </c>
      <c r="H92" t="s">
        <v>249</v>
      </c>
      <c r="K92">
        <v>224</v>
      </c>
      <c r="L92">
        <v>27</v>
      </c>
      <c r="M92">
        <v>3</v>
      </c>
      <c r="N92" t="s">
        <v>3</v>
      </c>
      <c r="O92">
        <v>2</v>
      </c>
      <c r="W92">
        <v>161920.81000000003</v>
      </c>
      <c r="X92">
        <v>1</v>
      </c>
      <c r="Y92">
        <v>161920.81000000003</v>
      </c>
    </row>
    <row r="94" spans="1:206" x14ac:dyDescent="0.2">
      <c r="A94">
        <v>51</v>
      </c>
      <c r="B94">
        <f>B20</f>
        <v>1</v>
      </c>
      <c r="C94">
        <f>A20</f>
        <v>3</v>
      </c>
      <c r="D94">
        <f>ROW(A20)</f>
        <v>20</v>
      </c>
      <c r="F94" t="str">
        <f>IF(F20&lt;&gt;"",F20,"")</f>
        <v/>
      </c>
      <c r="G94" t="str">
        <f>IF(G20&lt;&gt;"",G20,"")</f>
        <v>Ремонт крыльца</v>
      </c>
      <c r="H94">
        <v>0</v>
      </c>
      <c r="O94">
        <f t="shared" ref="O94:T94" si="66">ROUND(O64+AB94,2)</f>
        <v>79708.36</v>
      </c>
      <c r="P94">
        <f t="shared" si="66"/>
        <v>22459.31</v>
      </c>
      <c r="Q94">
        <f t="shared" si="66"/>
        <v>701.53</v>
      </c>
      <c r="R94">
        <f t="shared" si="66"/>
        <v>533.32000000000005</v>
      </c>
      <c r="S94">
        <f t="shared" si="66"/>
        <v>56547.519999999997</v>
      </c>
      <c r="T94">
        <f t="shared" si="66"/>
        <v>0</v>
      </c>
      <c r="U94">
        <f>U64+AH94</f>
        <v>144.328846</v>
      </c>
      <c r="V94">
        <f>V64+AI94</f>
        <v>1.0383399999999998</v>
      </c>
      <c r="W94">
        <f>ROUND(W64+AJ94,2)</f>
        <v>0</v>
      </c>
      <c r="X94">
        <f>ROUND(X64+AK94,2)</f>
        <v>54845.93</v>
      </c>
      <c r="Y94">
        <f>ROUND(Y64+AL94,2)</f>
        <v>27204.98</v>
      </c>
      <c r="AO94">
        <f t="shared" ref="AO94:BD94" si="67">ROUND(AO64+BX94,2)</f>
        <v>0</v>
      </c>
      <c r="AP94">
        <f t="shared" si="67"/>
        <v>0</v>
      </c>
      <c r="AQ94">
        <f t="shared" si="67"/>
        <v>0</v>
      </c>
      <c r="AR94">
        <f t="shared" si="67"/>
        <v>161920.81</v>
      </c>
      <c r="AS94">
        <f t="shared" si="67"/>
        <v>161920.81</v>
      </c>
      <c r="AT94">
        <f t="shared" si="67"/>
        <v>0</v>
      </c>
      <c r="AU94">
        <f t="shared" si="67"/>
        <v>0</v>
      </c>
      <c r="AV94">
        <f t="shared" si="67"/>
        <v>22459.31</v>
      </c>
      <c r="AW94">
        <f t="shared" si="67"/>
        <v>22459.31</v>
      </c>
      <c r="AX94">
        <f t="shared" si="67"/>
        <v>0</v>
      </c>
      <c r="AY94">
        <f t="shared" si="67"/>
        <v>22459.31</v>
      </c>
      <c r="AZ94">
        <f t="shared" si="67"/>
        <v>0</v>
      </c>
      <c r="BA94">
        <f t="shared" si="67"/>
        <v>0</v>
      </c>
      <c r="BB94">
        <f t="shared" si="67"/>
        <v>0</v>
      </c>
      <c r="BC94">
        <f t="shared" si="67"/>
        <v>0</v>
      </c>
      <c r="BD94">
        <f t="shared" si="67"/>
        <v>161.54</v>
      </c>
      <c r="GX94">
        <v>0</v>
      </c>
    </row>
    <row r="96" spans="1:206" x14ac:dyDescent="0.2">
      <c r="A96">
        <v>50</v>
      </c>
      <c r="B96">
        <v>0</v>
      </c>
      <c r="C96">
        <v>0</v>
      </c>
      <c r="D96">
        <v>1</v>
      </c>
      <c r="E96">
        <v>201</v>
      </c>
      <c r="F96">
        <f>ROUND(Source!O94,O96)</f>
        <v>79708.36</v>
      </c>
      <c r="G96" t="s">
        <v>196</v>
      </c>
      <c r="H96" t="s">
        <v>197</v>
      </c>
      <c r="K96">
        <v>201</v>
      </c>
      <c r="L96">
        <v>1</v>
      </c>
      <c r="M96">
        <v>3</v>
      </c>
      <c r="N96" t="s">
        <v>3</v>
      </c>
      <c r="O96">
        <v>2</v>
      </c>
      <c r="W96">
        <v>79869.900000000009</v>
      </c>
      <c r="X96">
        <v>1</v>
      </c>
      <c r="Y96">
        <v>79869.900000000009</v>
      </c>
    </row>
    <row r="97" spans="1:25" x14ac:dyDescent="0.2">
      <c r="A97">
        <v>50</v>
      </c>
      <c r="B97">
        <v>0</v>
      </c>
      <c r="C97">
        <v>0</v>
      </c>
      <c r="D97">
        <v>1</v>
      </c>
      <c r="E97">
        <v>202</v>
      </c>
      <c r="F97">
        <f>ROUND(Source!P94,O97)</f>
        <v>22459.31</v>
      </c>
      <c r="G97" t="s">
        <v>198</v>
      </c>
      <c r="H97" t="s">
        <v>199</v>
      </c>
      <c r="K97">
        <v>202</v>
      </c>
      <c r="L97">
        <v>2</v>
      </c>
      <c r="M97">
        <v>3</v>
      </c>
      <c r="N97" t="s">
        <v>3</v>
      </c>
      <c r="O97">
        <v>2</v>
      </c>
      <c r="W97">
        <v>22459.31</v>
      </c>
      <c r="X97">
        <v>1</v>
      </c>
      <c r="Y97">
        <v>22459.31</v>
      </c>
    </row>
    <row r="98" spans="1:25" x14ac:dyDescent="0.2">
      <c r="A98">
        <v>50</v>
      </c>
      <c r="B98">
        <v>0</v>
      </c>
      <c r="C98">
        <v>0</v>
      </c>
      <c r="D98">
        <v>1</v>
      </c>
      <c r="E98">
        <v>222</v>
      </c>
      <c r="F98">
        <f>ROUND(Source!AO94,O98)</f>
        <v>0</v>
      </c>
      <c r="G98" t="s">
        <v>200</v>
      </c>
      <c r="H98" t="s">
        <v>201</v>
      </c>
      <c r="K98">
        <v>222</v>
      </c>
      <c r="L98">
        <v>3</v>
      </c>
      <c r="M98">
        <v>3</v>
      </c>
      <c r="N98" t="s">
        <v>3</v>
      </c>
      <c r="O98">
        <v>2</v>
      </c>
      <c r="W98">
        <v>0</v>
      </c>
      <c r="X98">
        <v>1</v>
      </c>
      <c r="Y98">
        <v>0</v>
      </c>
    </row>
    <row r="99" spans="1:25" x14ac:dyDescent="0.2">
      <c r="A99">
        <v>50</v>
      </c>
      <c r="B99">
        <v>0</v>
      </c>
      <c r="C99">
        <v>0</v>
      </c>
      <c r="D99">
        <v>1</v>
      </c>
      <c r="E99">
        <v>225</v>
      </c>
      <c r="F99">
        <f>ROUND(Source!AV94,O99)</f>
        <v>22459.31</v>
      </c>
      <c r="G99" t="s">
        <v>202</v>
      </c>
      <c r="H99" t="s">
        <v>203</v>
      </c>
      <c r="K99">
        <v>225</v>
      </c>
      <c r="L99">
        <v>4</v>
      </c>
      <c r="M99">
        <v>3</v>
      </c>
      <c r="N99" t="s">
        <v>3</v>
      </c>
      <c r="O99">
        <v>2</v>
      </c>
      <c r="W99">
        <v>22459.31</v>
      </c>
      <c r="X99">
        <v>1</v>
      </c>
      <c r="Y99">
        <v>22459.31</v>
      </c>
    </row>
    <row r="100" spans="1:25" x14ac:dyDescent="0.2">
      <c r="A100">
        <v>50</v>
      </c>
      <c r="B100">
        <v>0</v>
      </c>
      <c r="C100">
        <v>0</v>
      </c>
      <c r="D100">
        <v>1</v>
      </c>
      <c r="E100">
        <v>226</v>
      </c>
      <c r="F100">
        <f>ROUND(Source!AW94,O100)</f>
        <v>22459.31</v>
      </c>
      <c r="G100" t="s">
        <v>204</v>
      </c>
      <c r="H100" t="s">
        <v>205</v>
      </c>
      <c r="K100">
        <v>226</v>
      </c>
      <c r="L100">
        <v>5</v>
      </c>
      <c r="M100">
        <v>3</v>
      </c>
      <c r="N100" t="s">
        <v>3</v>
      </c>
      <c r="O100">
        <v>2</v>
      </c>
      <c r="W100">
        <v>22459.31</v>
      </c>
      <c r="X100">
        <v>1</v>
      </c>
      <c r="Y100">
        <v>22459.31</v>
      </c>
    </row>
    <row r="101" spans="1:25" x14ac:dyDescent="0.2">
      <c r="A101">
        <v>50</v>
      </c>
      <c r="B101">
        <v>0</v>
      </c>
      <c r="C101">
        <v>0</v>
      </c>
      <c r="D101">
        <v>1</v>
      </c>
      <c r="E101">
        <v>227</v>
      </c>
      <c r="F101">
        <f>ROUND(Source!AX94,O101)</f>
        <v>0</v>
      </c>
      <c r="G101" t="s">
        <v>206</v>
      </c>
      <c r="H101" t="s">
        <v>207</v>
      </c>
      <c r="K101">
        <v>227</v>
      </c>
      <c r="L101">
        <v>6</v>
      </c>
      <c r="M101">
        <v>3</v>
      </c>
      <c r="N101" t="s">
        <v>3</v>
      </c>
      <c r="O101">
        <v>2</v>
      </c>
      <c r="W101">
        <v>0</v>
      </c>
      <c r="X101">
        <v>1</v>
      </c>
      <c r="Y101">
        <v>0</v>
      </c>
    </row>
    <row r="102" spans="1:25" x14ac:dyDescent="0.2">
      <c r="A102">
        <v>50</v>
      </c>
      <c r="B102">
        <v>0</v>
      </c>
      <c r="C102">
        <v>0</v>
      </c>
      <c r="D102">
        <v>1</v>
      </c>
      <c r="E102">
        <v>228</v>
      </c>
      <c r="F102">
        <f>ROUND(Source!AY94,O102)</f>
        <v>22459.31</v>
      </c>
      <c r="G102" t="s">
        <v>208</v>
      </c>
      <c r="H102" t="s">
        <v>209</v>
      </c>
      <c r="K102">
        <v>228</v>
      </c>
      <c r="L102">
        <v>7</v>
      </c>
      <c r="M102">
        <v>3</v>
      </c>
      <c r="N102" t="s">
        <v>3</v>
      </c>
      <c r="O102">
        <v>2</v>
      </c>
      <c r="W102">
        <v>22459.31</v>
      </c>
      <c r="X102">
        <v>1</v>
      </c>
      <c r="Y102">
        <v>22459.31</v>
      </c>
    </row>
    <row r="103" spans="1:25" x14ac:dyDescent="0.2">
      <c r="A103">
        <v>50</v>
      </c>
      <c r="B103">
        <v>0</v>
      </c>
      <c r="C103">
        <v>0</v>
      </c>
      <c r="D103">
        <v>1</v>
      </c>
      <c r="E103">
        <v>216</v>
      </c>
      <c r="F103">
        <f>ROUND(Source!AP94,O103)</f>
        <v>0</v>
      </c>
      <c r="G103" t="s">
        <v>210</v>
      </c>
      <c r="H103" t="s">
        <v>211</v>
      </c>
      <c r="K103">
        <v>216</v>
      </c>
      <c r="L103">
        <v>8</v>
      </c>
      <c r="M103">
        <v>3</v>
      </c>
      <c r="N103" t="s">
        <v>3</v>
      </c>
      <c r="O103">
        <v>2</v>
      </c>
      <c r="W103">
        <v>0</v>
      </c>
      <c r="X103">
        <v>1</v>
      </c>
      <c r="Y103">
        <v>0</v>
      </c>
    </row>
    <row r="104" spans="1:25" x14ac:dyDescent="0.2">
      <c r="A104">
        <v>50</v>
      </c>
      <c r="B104">
        <v>0</v>
      </c>
      <c r="C104">
        <v>0</v>
      </c>
      <c r="D104">
        <v>1</v>
      </c>
      <c r="E104">
        <v>223</v>
      </c>
      <c r="F104">
        <f>ROUND(Source!AQ94,O104)</f>
        <v>0</v>
      </c>
      <c r="G104" t="s">
        <v>212</v>
      </c>
      <c r="H104" t="s">
        <v>213</v>
      </c>
      <c r="K104">
        <v>223</v>
      </c>
      <c r="L104">
        <v>9</v>
      </c>
      <c r="M104">
        <v>3</v>
      </c>
      <c r="N104" t="s">
        <v>3</v>
      </c>
      <c r="O104">
        <v>2</v>
      </c>
      <c r="W104">
        <v>0</v>
      </c>
      <c r="X104">
        <v>1</v>
      </c>
      <c r="Y104">
        <v>0</v>
      </c>
    </row>
    <row r="105" spans="1:25" x14ac:dyDescent="0.2">
      <c r="A105">
        <v>50</v>
      </c>
      <c r="B105">
        <v>0</v>
      </c>
      <c r="C105">
        <v>0</v>
      </c>
      <c r="D105">
        <v>1</v>
      </c>
      <c r="E105">
        <v>229</v>
      </c>
      <c r="F105">
        <f>ROUND(Source!AZ94,O105)</f>
        <v>0</v>
      </c>
      <c r="G105" t="s">
        <v>214</v>
      </c>
      <c r="H105" t="s">
        <v>215</v>
      </c>
      <c r="K105">
        <v>229</v>
      </c>
      <c r="L105">
        <v>10</v>
      </c>
      <c r="M105">
        <v>3</v>
      </c>
      <c r="N105" t="s">
        <v>3</v>
      </c>
      <c r="O105">
        <v>2</v>
      </c>
      <c r="W105">
        <v>0</v>
      </c>
      <c r="X105">
        <v>1</v>
      </c>
      <c r="Y105">
        <v>0</v>
      </c>
    </row>
    <row r="106" spans="1:25" x14ac:dyDescent="0.2">
      <c r="A106">
        <v>50</v>
      </c>
      <c r="B106">
        <v>0</v>
      </c>
      <c r="C106">
        <v>0</v>
      </c>
      <c r="D106">
        <v>1</v>
      </c>
      <c r="E106">
        <v>203</v>
      </c>
      <c r="F106">
        <f>ROUND(Source!Q94,O106)</f>
        <v>701.53</v>
      </c>
      <c r="G106" t="s">
        <v>216</v>
      </c>
      <c r="H106" t="s">
        <v>217</v>
      </c>
      <c r="K106">
        <v>203</v>
      </c>
      <c r="L106">
        <v>11</v>
      </c>
      <c r="M106">
        <v>3</v>
      </c>
      <c r="N106" t="s">
        <v>3</v>
      </c>
      <c r="O106">
        <v>2</v>
      </c>
      <c r="W106">
        <v>701.52999999999986</v>
      </c>
      <c r="X106">
        <v>1</v>
      </c>
      <c r="Y106">
        <v>701.52999999999986</v>
      </c>
    </row>
    <row r="107" spans="1:25" x14ac:dyDescent="0.2">
      <c r="A107">
        <v>50</v>
      </c>
      <c r="B107">
        <v>0</v>
      </c>
      <c r="C107">
        <v>0</v>
      </c>
      <c r="D107">
        <v>1</v>
      </c>
      <c r="E107">
        <v>231</v>
      </c>
      <c r="F107">
        <f>ROUND(Source!BB94,O107)</f>
        <v>0</v>
      </c>
      <c r="G107" t="s">
        <v>218</v>
      </c>
      <c r="H107" t="s">
        <v>219</v>
      </c>
      <c r="K107">
        <v>231</v>
      </c>
      <c r="L107">
        <v>12</v>
      </c>
      <c r="M107">
        <v>3</v>
      </c>
      <c r="N107" t="s">
        <v>3</v>
      </c>
      <c r="O107">
        <v>2</v>
      </c>
      <c r="W107">
        <v>0</v>
      </c>
      <c r="X107">
        <v>1</v>
      </c>
      <c r="Y107">
        <v>0</v>
      </c>
    </row>
    <row r="108" spans="1:25" x14ac:dyDescent="0.2">
      <c r="A108">
        <v>50</v>
      </c>
      <c r="B108">
        <v>0</v>
      </c>
      <c r="C108">
        <v>0</v>
      </c>
      <c r="D108">
        <v>1</v>
      </c>
      <c r="E108">
        <v>204</v>
      </c>
      <c r="F108">
        <f>ROUND(Source!R94,O108)</f>
        <v>533.32000000000005</v>
      </c>
      <c r="G108" t="s">
        <v>220</v>
      </c>
      <c r="H108" t="s">
        <v>221</v>
      </c>
      <c r="K108">
        <v>204</v>
      </c>
      <c r="L108">
        <v>13</v>
      </c>
      <c r="M108">
        <v>3</v>
      </c>
      <c r="N108" t="s">
        <v>3</v>
      </c>
      <c r="O108">
        <v>2</v>
      </c>
      <c r="W108">
        <v>533.31999999999994</v>
      </c>
      <c r="X108">
        <v>1</v>
      </c>
      <c r="Y108">
        <v>533.31999999999994</v>
      </c>
    </row>
    <row r="109" spans="1:25" x14ac:dyDescent="0.2">
      <c r="A109">
        <v>50</v>
      </c>
      <c r="B109">
        <v>0</v>
      </c>
      <c r="C109">
        <v>0</v>
      </c>
      <c r="D109">
        <v>1</v>
      </c>
      <c r="E109">
        <v>205</v>
      </c>
      <c r="F109">
        <f>ROUND(Source!S94,O109)</f>
        <v>56547.519999999997</v>
      </c>
      <c r="G109" t="s">
        <v>222</v>
      </c>
      <c r="H109" t="s">
        <v>223</v>
      </c>
      <c r="K109">
        <v>205</v>
      </c>
      <c r="L109">
        <v>14</v>
      </c>
      <c r="M109">
        <v>3</v>
      </c>
      <c r="N109" t="s">
        <v>3</v>
      </c>
      <c r="O109">
        <v>2</v>
      </c>
      <c r="W109">
        <v>56547.520000000004</v>
      </c>
      <c r="X109">
        <v>1</v>
      </c>
      <c r="Y109">
        <v>56547.520000000004</v>
      </c>
    </row>
    <row r="110" spans="1:25" x14ac:dyDescent="0.2">
      <c r="A110">
        <v>50</v>
      </c>
      <c r="B110">
        <v>0</v>
      </c>
      <c r="C110">
        <v>0</v>
      </c>
      <c r="D110">
        <v>1</v>
      </c>
      <c r="E110">
        <v>232</v>
      </c>
      <c r="F110">
        <f>ROUND(Source!BC94,O110)</f>
        <v>0</v>
      </c>
      <c r="G110" t="s">
        <v>224</v>
      </c>
      <c r="H110" t="s">
        <v>225</v>
      </c>
      <c r="K110">
        <v>232</v>
      </c>
      <c r="L110">
        <v>15</v>
      </c>
      <c r="M110">
        <v>3</v>
      </c>
      <c r="N110" t="s">
        <v>3</v>
      </c>
      <c r="O110">
        <v>2</v>
      </c>
      <c r="W110">
        <v>0</v>
      </c>
      <c r="X110">
        <v>1</v>
      </c>
      <c r="Y110">
        <v>0</v>
      </c>
    </row>
    <row r="111" spans="1:25" x14ac:dyDescent="0.2">
      <c r="A111">
        <v>50</v>
      </c>
      <c r="B111">
        <v>0</v>
      </c>
      <c r="C111">
        <v>0</v>
      </c>
      <c r="D111">
        <v>1</v>
      </c>
      <c r="E111">
        <v>214</v>
      </c>
      <c r="F111">
        <f>ROUND(Source!AS94,O111)</f>
        <v>161920.81</v>
      </c>
      <c r="G111" t="s">
        <v>226</v>
      </c>
      <c r="H111" t="s">
        <v>227</v>
      </c>
      <c r="K111">
        <v>214</v>
      </c>
      <c r="L111">
        <v>16</v>
      </c>
      <c r="M111">
        <v>3</v>
      </c>
      <c r="N111" t="s">
        <v>3</v>
      </c>
      <c r="O111">
        <v>2</v>
      </c>
      <c r="W111">
        <v>161920.81</v>
      </c>
      <c r="X111">
        <v>1</v>
      </c>
      <c r="Y111">
        <v>161920.81</v>
      </c>
    </row>
    <row r="112" spans="1:25" x14ac:dyDescent="0.2">
      <c r="A112">
        <v>50</v>
      </c>
      <c r="B112">
        <v>0</v>
      </c>
      <c r="C112">
        <v>0</v>
      </c>
      <c r="D112">
        <v>1</v>
      </c>
      <c r="E112">
        <v>215</v>
      </c>
      <c r="F112">
        <f>ROUND(Source!AT94,O112)</f>
        <v>0</v>
      </c>
      <c r="G112" t="s">
        <v>228</v>
      </c>
      <c r="H112" t="s">
        <v>229</v>
      </c>
      <c r="K112">
        <v>215</v>
      </c>
      <c r="L112">
        <v>17</v>
      </c>
      <c r="M112">
        <v>3</v>
      </c>
      <c r="N112" t="s">
        <v>3</v>
      </c>
      <c r="O112">
        <v>2</v>
      </c>
      <c r="W112">
        <v>0</v>
      </c>
      <c r="X112">
        <v>1</v>
      </c>
      <c r="Y112">
        <v>0</v>
      </c>
    </row>
    <row r="113" spans="1:206" x14ac:dyDescent="0.2">
      <c r="A113">
        <v>50</v>
      </c>
      <c r="B113">
        <v>0</v>
      </c>
      <c r="C113">
        <v>0</v>
      </c>
      <c r="D113">
        <v>1</v>
      </c>
      <c r="E113">
        <v>217</v>
      </c>
      <c r="F113">
        <f>ROUND(Source!AU94,O113)</f>
        <v>0</v>
      </c>
      <c r="G113" t="s">
        <v>230</v>
      </c>
      <c r="H113" t="s">
        <v>231</v>
      </c>
      <c r="K113">
        <v>217</v>
      </c>
      <c r="L113">
        <v>18</v>
      </c>
      <c r="M113">
        <v>3</v>
      </c>
      <c r="N113" t="s">
        <v>3</v>
      </c>
      <c r="O113">
        <v>2</v>
      </c>
      <c r="W113">
        <v>0</v>
      </c>
      <c r="X113">
        <v>1</v>
      </c>
      <c r="Y113">
        <v>0</v>
      </c>
    </row>
    <row r="114" spans="1:206" x14ac:dyDescent="0.2">
      <c r="A114">
        <v>50</v>
      </c>
      <c r="B114">
        <v>0</v>
      </c>
      <c r="C114">
        <v>0</v>
      </c>
      <c r="D114">
        <v>1</v>
      </c>
      <c r="E114">
        <v>230</v>
      </c>
      <c r="F114">
        <f>ROUND(Source!BA94,O114)</f>
        <v>0</v>
      </c>
      <c r="G114" t="s">
        <v>232</v>
      </c>
      <c r="H114" t="s">
        <v>233</v>
      </c>
      <c r="K114">
        <v>230</v>
      </c>
      <c r="L114">
        <v>19</v>
      </c>
      <c r="M114">
        <v>3</v>
      </c>
      <c r="N114" t="s">
        <v>3</v>
      </c>
      <c r="O114">
        <v>2</v>
      </c>
      <c r="W114">
        <v>0</v>
      </c>
      <c r="X114">
        <v>1</v>
      </c>
      <c r="Y114">
        <v>0</v>
      </c>
    </row>
    <row r="115" spans="1:206" x14ac:dyDescent="0.2">
      <c r="A115">
        <v>50</v>
      </c>
      <c r="B115">
        <v>0</v>
      </c>
      <c r="C115">
        <v>0</v>
      </c>
      <c r="D115">
        <v>1</v>
      </c>
      <c r="E115">
        <v>206</v>
      </c>
      <c r="F115">
        <f>ROUND(Source!T94,O115)</f>
        <v>0</v>
      </c>
      <c r="G115" t="s">
        <v>234</v>
      </c>
      <c r="H115" t="s">
        <v>235</v>
      </c>
      <c r="K115">
        <v>206</v>
      </c>
      <c r="L115">
        <v>20</v>
      </c>
      <c r="M115">
        <v>3</v>
      </c>
      <c r="N115" t="s">
        <v>3</v>
      </c>
      <c r="O115">
        <v>2</v>
      </c>
      <c r="W115">
        <v>0</v>
      </c>
      <c r="X115">
        <v>1</v>
      </c>
      <c r="Y115">
        <v>0</v>
      </c>
    </row>
    <row r="116" spans="1:206" x14ac:dyDescent="0.2">
      <c r="A116">
        <v>50</v>
      </c>
      <c r="B116">
        <v>0</v>
      </c>
      <c r="C116">
        <v>0</v>
      </c>
      <c r="D116">
        <v>1</v>
      </c>
      <c r="E116">
        <v>207</v>
      </c>
      <c r="F116">
        <f>ROUND(Source!U94,O116)</f>
        <v>144.328846</v>
      </c>
      <c r="G116" t="s">
        <v>236</v>
      </c>
      <c r="H116" t="s">
        <v>237</v>
      </c>
      <c r="K116">
        <v>207</v>
      </c>
      <c r="L116">
        <v>21</v>
      </c>
      <c r="M116">
        <v>3</v>
      </c>
      <c r="N116" t="s">
        <v>3</v>
      </c>
      <c r="O116">
        <v>7</v>
      </c>
      <c r="W116">
        <v>144.328846</v>
      </c>
      <c r="X116">
        <v>1</v>
      </c>
      <c r="Y116">
        <v>144.328846</v>
      </c>
    </row>
    <row r="117" spans="1:206" x14ac:dyDescent="0.2">
      <c r="A117">
        <v>50</v>
      </c>
      <c r="B117">
        <v>0</v>
      </c>
      <c r="C117">
        <v>0</v>
      </c>
      <c r="D117">
        <v>1</v>
      </c>
      <c r="E117">
        <v>208</v>
      </c>
      <c r="F117">
        <f>ROUND(Source!V94,O117)</f>
        <v>1.03834</v>
      </c>
      <c r="G117" t="s">
        <v>238</v>
      </c>
      <c r="H117" t="s">
        <v>239</v>
      </c>
      <c r="K117">
        <v>208</v>
      </c>
      <c r="L117">
        <v>22</v>
      </c>
      <c r="M117">
        <v>3</v>
      </c>
      <c r="N117" t="s">
        <v>3</v>
      </c>
      <c r="O117">
        <v>7</v>
      </c>
      <c r="W117">
        <v>1.03834</v>
      </c>
      <c r="X117">
        <v>1</v>
      </c>
      <c r="Y117">
        <v>1.03834</v>
      </c>
    </row>
    <row r="118" spans="1:206" x14ac:dyDescent="0.2">
      <c r="A118">
        <v>50</v>
      </c>
      <c r="B118">
        <v>0</v>
      </c>
      <c r="C118">
        <v>0</v>
      </c>
      <c r="D118">
        <v>1</v>
      </c>
      <c r="E118">
        <v>209</v>
      </c>
      <c r="F118">
        <f>ROUND(Source!W94,O118)</f>
        <v>0</v>
      </c>
      <c r="G118" t="s">
        <v>240</v>
      </c>
      <c r="H118" t="s">
        <v>241</v>
      </c>
      <c r="K118">
        <v>209</v>
      </c>
      <c r="L118">
        <v>23</v>
      </c>
      <c r="M118">
        <v>3</v>
      </c>
      <c r="N118" t="s">
        <v>3</v>
      </c>
      <c r="O118">
        <v>2</v>
      </c>
      <c r="W118">
        <v>0</v>
      </c>
      <c r="X118">
        <v>1</v>
      </c>
      <c r="Y118">
        <v>0</v>
      </c>
    </row>
    <row r="119" spans="1:206" x14ac:dyDescent="0.2">
      <c r="A119">
        <v>50</v>
      </c>
      <c r="B119">
        <v>0</v>
      </c>
      <c r="C119">
        <v>0</v>
      </c>
      <c r="D119">
        <v>1</v>
      </c>
      <c r="E119">
        <v>233</v>
      </c>
      <c r="F119">
        <f>ROUND(Source!BD94,O119)</f>
        <v>161.54</v>
      </c>
      <c r="G119" t="s">
        <v>242</v>
      </c>
      <c r="H119" t="s">
        <v>243</v>
      </c>
      <c r="K119">
        <v>233</v>
      </c>
      <c r="L119">
        <v>24</v>
      </c>
      <c r="M119">
        <v>3</v>
      </c>
      <c r="N119" t="s">
        <v>3</v>
      </c>
      <c r="O119">
        <v>2</v>
      </c>
      <c r="W119">
        <v>161.54</v>
      </c>
      <c r="X119">
        <v>1</v>
      </c>
      <c r="Y119">
        <v>161.54</v>
      </c>
    </row>
    <row r="120" spans="1:206" x14ac:dyDescent="0.2">
      <c r="A120">
        <v>50</v>
      </c>
      <c r="B120">
        <v>0</v>
      </c>
      <c r="C120">
        <v>0</v>
      </c>
      <c r="D120">
        <v>1</v>
      </c>
      <c r="E120">
        <v>210</v>
      </c>
      <c r="F120">
        <f>ROUND(Source!X94,O120)</f>
        <v>54845.93</v>
      </c>
      <c r="G120" t="s">
        <v>244</v>
      </c>
      <c r="H120" t="s">
        <v>245</v>
      </c>
      <c r="K120">
        <v>210</v>
      </c>
      <c r="L120">
        <v>25</v>
      </c>
      <c r="M120">
        <v>3</v>
      </c>
      <c r="N120" t="s">
        <v>3</v>
      </c>
      <c r="O120">
        <v>2</v>
      </c>
      <c r="W120">
        <v>54845.93</v>
      </c>
      <c r="X120">
        <v>1</v>
      </c>
      <c r="Y120">
        <v>54845.93</v>
      </c>
    </row>
    <row r="121" spans="1:206" x14ac:dyDescent="0.2">
      <c r="A121">
        <v>50</v>
      </c>
      <c r="B121">
        <v>0</v>
      </c>
      <c r="C121">
        <v>0</v>
      </c>
      <c r="D121">
        <v>1</v>
      </c>
      <c r="E121">
        <v>211</v>
      </c>
      <c r="F121">
        <f>ROUND(Source!Y94,O121)</f>
        <v>27204.98</v>
      </c>
      <c r="G121" t="s">
        <v>246</v>
      </c>
      <c r="H121" t="s">
        <v>247</v>
      </c>
      <c r="K121">
        <v>211</v>
      </c>
      <c r="L121">
        <v>26</v>
      </c>
      <c r="M121">
        <v>3</v>
      </c>
      <c r="N121" t="s">
        <v>3</v>
      </c>
      <c r="O121">
        <v>2</v>
      </c>
      <c r="W121">
        <v>27204.98</v>
      </c>
      <c r="X121">
        <v>1</v>
      </c>
      <c r="Y121">
        <v>27204.98</v>
      </c>
    </row>
    <row r="122" spans="1:206" x14ac:dyDescent="0.2">
      <c r="A122">
        <v>50</v>
      </c>
      <c r="B122">
        <v>0</v>
      </c>
      <c r="C122">
        <v>0</v>
      </c>
      <c r="D122">
        <v>1</v>
      </c>
      <c r="E122">
        <v>224</v>
      </c>
      <c r="F122">
        <f>ROUND(Source!AR94,O122)</f>
        <v>161920.81</v>
      </c>
      <c r="G122" t="s">
        <v>248</v>
      </c>
      <c r="H122" t="s">
        <v>249</v>
      </c>
      <c r="K122">
        <v>224</v>
      </c>
      <c r="L122">
        <v>27</v>
      </c>
      <c r="M122">
        <v>3</v>
      </c>
      <c r="N122" t="s">
        <v>3</v>
      </c>
      <c r="O122">
        <v>2</v>
      </c>
      <c r="W122">
        <v>161920.81000000003</v>
      </c>
      <c r="X122">
        <v>1</v>
      </c>
      <c r="Y122">
        <v>161920.81000000003</v>
      </c>
    </row>
    <row r="123" spans="1:206" x14ac:dyDescent="0.2">
      <c r="A123">
        <v>50</v>
      </c>
      <c r="B123">
        <v>1</v>
      </c>
      <c r="C123">
        <v>0</v>
      </c>
      <c r="D123">
        <v>2</v>
      </c>
      <c r="E123">
        <v>0</v>
      </c>
      <c r="F123">
        <f>ROUND(F122*0.22,O123)</f>
        <v>35622.58</v>
      </c>
      <c r="G123" t="s">
        <v>250</v>
      </c>
      <c r="H123" t="s">
        <v>251</v>
      </c>
      <c r="K123">
        <v>212</v>
      </c>
      <c r="L123">
        <v>28</v>
      </c>
      <c r="M123">
        <v>0</v>
      </c>
      <c r="N123" t="s">
        <v>3</v>
      </c>
      <c r="O123">
        <v>2</v>
      </c>
      <c r="W123">
        <v>35622.58</v>
      </c>
      <c r="X123">
        <v>1</v>
      </c>
      <c r="Y123">
        <v>35622.58</v>
      </c>
    </row>
    <row r="124" spans="1:206" x14ac:dyDescent="0.2">
      <c r="A124">
        <v>50</v>
      </c>
      <c r="B124">
        <v>1</v>
      </c>
      <c r="C124">
        <v>0</v>
      </c>
      <c r="D124">
        <v>2</v>
      </c>
      <c r="E124">
        <v>0</v>
      </c>
      <c r="F124">
        <f>ROUND(F122+F123,O124)</f>
        <v>197543.39</v>
      </c>
      <c r="G124" t="s">
        <v>252</v>
      </c>
      <c r="H124" t="s">
        <v>253</v>
      </c>
      <c r="K124">
        <v>212</v>
      </c>
      <c r="L124">
        <v>29</v>
      </c>
      <c r="M124">
        <v>0</v>
      </c>
      <c r="N124" t="s">
        <v>3</v>
      </c>
      <c r="O124">
        <v>2</v>
      </c>
      <c r="W124">
        <v>197543.39</v>
      </c>
      <c r="X124">
        <v>1</v>
      </c>
      <c r="Y124">
        <v>197543.39</v>
      </c>
    </row>
    <row r="126" spans="1:206" x14ac:dyDescent="0.2">
      <c r="A126">
        <v>51</v>
      </c>
      <c r="B126">
        <f>B12</f>
        <v>182</v>
      </c>
      <c r="C126">
        <f>A12</f>
        <v>1</v>
      </c>
      <c r="D126">
        <f>ROW(A12)</f>
        <v>12</v>
      </c>
      <c r="F126" t="str">
        <f>IF(F12&lt;&gt;"",F12,"")</f>
        <v>Новый объект</v>
      </c>
      <c r="G126" t="str">
        <f>IF(G12&lt;&gt;"",G12,"")</f>
        <v>Ремонт крыльца у здания Костромской межрайонной природоохранной прокуратуры</v>
      </c>
      <c r="H126">
        <v>0</v>
      </c>
      <c r="O126">
        <f t="shared" ref="O126:T126" si="68">ROUND(O94,2)</f>
        <v>79708.36</v>
      </c>
      <c r="P126">
        <f t="shared" si="68"/>
        <v>22459.31</v>
      </c>
      <c r="Q126">
        <f t="shared" si="68"/>
        <v>701.53</v>
      </c>
      <c r="R126">
        <f t="shared" si="68"/>
        <v>533.32000000000005</v>
      </c>
      <c r="S126">
        <f t="shared" si="68"/>
        <v>56547.519999999997</v>
      </c>
      <c r="T126">
        <f t="shared" si="68"/>
        <v>0</v>
      </c>
      <c r="U126">
        <f>U94</f>
        <v>144.328846</v>
      </c>
      <c r="V126">
        <f>V94</f>
        <v>1.0383399999999998</v>
      </c>
      <c r="W126">
        <f>ROUND(W94,2)</f>
        <v>0</v>
      </c>
      <c r="X126">
        <f>ROUND(X94,2)</f>
        <v>54845.93</v>
      </c>
      <c r="Y126">
        <f>ROUND(Y94,2)</f>
        <v>27204.98</v>
      </c>
      <c r="AO126">
        <f t="shared" ref="AO126:BD126" si="69">ROUND(AO94,2)</f>
        <v>0</v>
      </c>
      <c r="AP126">
        <f t="shared" si="69"/>
        <v>0</v>
      </c>
      <c r="AQ126">
        <f t="shared" si="69"/>
        <v>0</v>
      </c>
      <c r="AR126">
        <f t="shared" si="69"/>
        <v>161920.81</v>
      </c>
      <c r="AS126">
        <f t="shared" si="69"/>
        <v>161920.81</v>
      </c>
      <c r="AT126">
        <f t="shared" si="69"/>
        <v>0</v>
      </c>
      <c r="AU126">
        <f t="shared" si="69"/>
        <v>0</v>
      </c>
      <c r="AV126">
        <f t="shared" si="69"/>
        <v>22459.31</v>
      </c>
      <c r="AW126">
        <f t="shared" si="69"/>
        <v>22459.31</v>
      </c>
      <c r="AX126">
        <f t="shared" si="69"/>
        <v>0</v>
      </c>
      <c r="AY126">
        <f t="shared" si="69"/>
        <v>22459.31</v>
      </c>
      <c r="AZ126">
        <f t="shared" si="69"/>
        <v>0</v>
      </c>
      <c r="BA126">
        <f t="shared" si="69"/>
        <v>0</v>
      </c>
      <c r="BB126">
        <f t="shared" si="69"/>
        <v>0</v>
      </c>
      <c r="BC126">
        <f t="shared" si="69"/>
        <v>0</v>
      </c>
      <c r="BD126">
        <f t="shared" si="69"/>
        <v>161.54</v>
      </c>
      <c r="GX126">
        <v>0</v>
      </c>
    </row>
    <row r="128" spans="1:206" x14ac:dyDescent="0.2">
      <c r="A128">
        <v>50</v>
      </c>
      <c r="B128">
        <v>0</v>
      </c>
      <c r="C128">
        <v>0</v>
      </c>
      <c r="D128">
        <v>1</v>
      </c>
      <c r="E128">
        <v>201</v>
      </c>
      <c r="F128">
        <f>ROUND(Source!O126,O128)</f>
        <v>79708.36</v>
      </c>
      <c r="G128" t="s">
        <v>196</v>
      </c>
      <c r="H128" t="s">
        <v>197</v>
      </c>
      <c r="K128">
        <v>201</v>
      </c>
      <c r="L128">
        <v>1</v>
      </c>
      <c r="M128">
        <v>3</v>
      </c>
      <c r="N128" t="s">
        <v>3</v>
      </c>
      <c r="O128">
        <v>2</v>
      </c>
      <c r="W128">
        <v>79869.900000000009</v>
      </c>
      <c r="X128">
        <v>1</v>
      </c>
      <c r="Y128">
        <v>79869.900000000009</v>
      </c>
    </row>
    <row r="129" spans="1:25" x14ac:dyDescent="0.2">
      <c r="A129">
        <v>50</v>
      </c>
      <c r="B129">
        <v>0</v>
      </c>
      <c r="C129">
        <v>0</v>
      </c>
      <c r="D129">
        <v>1</v>
      </c>
      <c r="E129">
        <v>202</v>
      </c>
      <c r="F129">
        <f>ROUND(Source!P126,O129)</f>
        <v>22459.31</v>
      </c>
      <c r="G129" t="s">
        <v>198</v>
      </c>
      <c r="H129" t="s">
        <v>199</v>
      </c>
      <c r="K129">
        <v>202</v>
      </c>
      <c r="L129">
        <v>2</v>
      </c>
      <c r="M129">
        <v>3</v>
      </c>
      <c r="N129" t="s">
        <v>3</v>
      </c>
      <c r="O129">
        <v>2</v>
      </c>
      <c r="W129">
        <v>22459.31</v>
      </c>
      <c r="X129">
        <v>1</v>
      </c>
      <c r="Y129">
        <v>22459.31</v>
      </c>
    </row>
    <row r="130" spans="1:25" x14ac:dyDescent="0.2">
      <c r="A130">
        <v>50</v>
      </c>
      <c r="B130">
        <v>0</v>
      </c>
      <c r="C130">
        <v>0</v>
      </c>
      <c r="D130">
        <v>1</v>
      </c>
      <c r="E130">
        <v>222</v>
      </c>
      <c r="F130">
        <f>ROUND(Source!AO126,O130)</f>
        <v>0</v>
      </c>
      <c r="G130" t="s">
        <v>200</v>
      </c>
      <c r="H130" t="s">
        <v>201</v>
      </c>
      <c r="K130">
        <v>222</v>
      </c>
      <c r="L130">
        <v>3</v>
      </c>
      <c r="M130">
        <v>3</v>
      </c>
      <c r="N130" t="s">
        <v>3</v>
      </c>
      <c r="O130">
        <v>2</v>
      </c>
      <c r="W130">
        <v>0</v>
      </c>
      <c r="X130">
        <v>1</v>
      </c>
      <c r="Y130">
        <v>0</v>
      </c>
    </row>
    <row r="131" spans="1:25" x14ac:dyDescent="0.2">
      <c r="A131">
        <v>50</v>
      </c>
      <c r="B131">
        <v>0</v>
      </c>
      <c r="C131">
        <v>0</v>
      </c>
      <c r="D131">
        <v>1</v>
      </c>
      <c r="E131">
        <v>225</v>
      </c>
      <c r="F131">
        <f>ROUND(Source!AV126,O131)</f>
        <v>22459.31</v>
      </c>
      <c r="G131" t="s">
        <v>202</v>
      </c>
      <c r="H131" t="s">
        <v>203</v>
      </c>
      <c r="K131">
        <v>225</v>
      </c>
      <c r="L131">
        <v>4</v>
      </c>
      <c r="M131">
        <v>3</v>
      </c>
      <c r="N131" t="s">
        <v>3</v>
      </c>
      <c r="O131">
        <v>2</v>
      </c>
      <c r="W131">
        <v>22459.31</v>
      </c>
      <c r="X131">
        <v>1</v>
      </c>
      <c r="Y131">
        <v>22459.31</v>
      </c>
    </row>
    <row r="132" spans="1:25" x14ac:dyDescent="0.2">
      <c r="A132">
        <v>50</v>
      </c>
      <c r="B132">
        <v>0</v>
      </c>
      <c r="C132">
        <v>0</v>
      </c>
      <c r="D132">
        <v>1</v>
      </c>
      <c r="E132">
        <v>226</v>
      </c>
      <c r="F132">
        <f>ROUND(Source!AW126,O132)</f>
        <v>22459.31</v>
      </c>
      <c r="G132" t="s">
        <v>204</v>
      </c>
      <c r="H132" t="s">
        <v>205</v>
      </c>
      <c r="K132">
        <v>226</v>
      </c>
      <c r="L132">
        <v>5</v>
      </c>
      <c r="M132">
        <v>3</v>
      </c>
      <c r="N132" t="s">
        <v>3</v>
      </c>
      <c r="O132">
        <v>2</v>
      </c>
      <c r="W132">
        <v>22459.31</v>
      </c>
      <c r="X132">
        <v>1</v>
      </c>
      <c r="Y132">
        <v>22459.31</v>
      </c>
    </row>
    <row r="133" spans="1:25" x14ac:dyDescent="0.2">
      <c r="A133">
        <v>50</v>
      </c>
      <c r="B133">
        <v>0</v>
      </c>
      <c r="C133">
        <v>0</v>
      </c>
      <c r="D133">
        <v>1</v>
      </c>
      <c r="E133">
        <v>227</v>
      </c>
      <c r="F133">
        <f>ROUND(Source!AX126,O133)</f>
        <v>0</v>
      </c>
      <c r="G133" t="s">
        <v>206</v>
      </c>
      <c r="H133" t="s">
        <v>207</v>
      </c>
      <c r="K133">
        <v>227</v>
      </c>
      <c r="L133">
        <v>6</v>
      </c>
      <c r="M133">
        <v>3</v>
      </c>
      <c r="N133" t="s">
        <v>3</v>
      </c>
      <c r="O133">
        <v>2</v>
      </c>
      <c r="W133">
        <v>0</v>
      </c>
      <c r="X133">
        <v>1</v>
      </c>
      <c r="Y133">
        <v>0</v>
      </c>
    </row>
    <row r="134" spans="1:25" x14ac:dyDescent="0.2">
      <c r="A134">
        <v>50</v>
      </c>
      <c r="B134">
        <v>0</v>
      </c>
      <c r="C134">
        <v>0</v>
      </c>
      <c r="D134">
        <v>1</v>
      </c>
      <c r="E134">
        <v>228</v>
      </c>
      <c r="F134">
        <f>ROUND(Source!AY126,O134)</f>
        <v>22459.31</v>
      </c>
      <c r="G134" t="s">
        <v>208</v>
      </c>
      <c r="H134" t="s">
        <v>209</v>
      </c>
      <c r="K134">
        <v>228</v>
      </c>
      <c r="L134">
        <v>7</v>
      </c>
      <c r="M134">
        <v>3</v>
      </c>
      <c r="N134" t="s">
        <v>3</v>
      </c>
      <c r="O134">
        <v>2</v>
      </c>
      <c r="W134">
        <v>22459.31</v>
      </c>
      <c r="X134">
        <v>1</v>
      </c>
      <c r="Y134">
        <v>22459.31</v>
      </c>
    </row>
    <row r="135" spans="1:25" x14ac:dyDescent="0.2">
      <c r="A135">
        <v>50</v>
      </c>
      <c r="B135">
        <v>0</v>
      </c>
      <c r="C135">
        <v>0</v>
      </c>
      <c r="D135">
        <v>1</v>
      </c>
      <c r="E135">
        <v>216</v>
      </c>
      <c r="F135">
        <f>ROUND(Source!AP126,O135)</f>
        <v>0</v>
      </c>
      <c r="G135" t="s">
        <v>210</v>
      </c>
      <c r="H135" t="s">
        <v>211</v>
      </c>
      <c r="K135">
        <v>216</v>
      </c>
      <c r="L135">
        <v>8</v>
      </c>
      <c r="M135">
        <v>3</v>
      </c>
      <c r="N135" t="s">
        <v>3</v>
      </c>
      <c r="O135">
        <v>2</v>
      </c>
      <c r="W135">
        <v>0</v>
      </c>
      <c r="X135">
        <v>1</v>
      </c>
      <c r="Y135">
        <v>0</v>
      </c>
    </row>
    <row r="136" spans="1:25" x14ac:dyDescent="0.2">
      <c r="A136">
        <v>50</v>
      </c>
      <c r="B136">
        <v>0</v>
      </c>
      <c r="C136">
        <v>0</v>
      </c>
      <c r="D136">
        <v>1</v>
      </c>
      <c r="E136">
        <v>223</v>
      </c>
      <c r="F136">
        <f>ROUND(Source!AQ126,O136)</f>
        <v>0</v>
      </c>
      <c r="G136" t="s">
        <v>212</v>
      </c>
      <c r="H136" t="s">
        <v>213</v>
      </c>
      <c r="K136">
        <v>223</v>
      </c>
      <c r="L136">
        <v>9</v>
      </c>
      <c r="M136">
        <v>3</v>
      </c>
      <c r="N136" t="s">
        <v>3</v>
      </c>
      <c r="O136">
        <v>2</v>
      </c>
      <c r="W136">
        <v>0</v>
      </c>
      <c r="X136">
        <v>1</v>
      </c>
      <c r="Y136">
        <v>0</v>
      </c>
    </row>
    <row r="137" spans="1:25" x14ac:dyDescent="0.2">
      <c r="A137">
        <v>50</v>
      </c>
      <c r="B137">
        <v>0</v>
      </c>
      <c r="C137">
        <v>0</v>
      </c>
      <c r="D137">
        <v>1</v>
      </c>
      <c r="E137">
        <v>229</v>
      </c>
      <c r="F137">
        <f>ROUND(Source!AZ126,O137)</f>
        <v>0</v>
      </c>
      <c r="G137" t="s">
        <v>214</v>
      </c>
      <c r="H137" t="s">
        <v>215</v>
      </c>
      <c r="K137">
        <v>229</v>
      </c>
      <c r="L137">
        <v>10</v>
      </c>
      <c r="M137">
        <v>3</v>
      </c>
      <c r="N137" t="s">
        <v>3</v>
      </c>
      <c r="O137">
        <v>2</v>
      </c>
      <c r="W137">
        <v>0</v>
      </c>
      <c r="X137">
        <v>1</v>
      </c>
      <c r="Y137">
        <v>0</v>
      </c>
    </row>
    <row r="138" spans="1:25" x14ac:dyDescent="0.2">
      <c r="A138">
        <v>50</v>
      </c>
      <c r="B138">
        <v>0</v>
      </c>
      <c r="C138">
        <v>0</v>
      </c>
      <c r="D138">
        <v>1</v>
      </c>
      <c r="E138">
        <v>203</v>
      </c>
      <c r="F138">
        <f>ROUND(Source!Q126,O138)</f>
        <v>701.53</v>
      </c>
      <c r="G138" t="s">
        <v>216</v>
      </c>
      <c r="H138" t="s">
        <v>217</v>
      </c>
      <c r="K138">
        <v>203</v>
      </c>
      <c r="L138">
        <v>11</v>
      </c>
      <c r="M138">
        <v>3</v>
      </c>
      <c r="N138" t="s">
        <v>3</v>
      </c>
      <c r="O138">
        <v>2</v>
      </c>
      <c r="W138">
        <v>701.52999999999986</v>
      </c>
      <c r="X138">
        <v>1</v>
      </c>
      <c r="Y138">
        <v>701.52999999999986</v>
      </c>
    </row>
    <row r="139" spans="1:25" x14ac:dyDescent="0.2">
      <c r="A139">
        <v>50</v>
      </c>
      <c r="B139">
        <v>0</v>
      </c>
      <c r="C139">
        <v>0</v>
      </c>
      <c r="D139">
        <v>1</v>
      </c>
      <c r="E139">
        <v>231</v>
      </c>
      <c r="F139">
        <f>ROUND(Source!BB126,O139)</f>
        <v>0</v>
      </c>
      <c r="G139" t="s">
        <v>218</v>
      </c>
      <c r="H139" t="s">
        <v>219</v>
      </c>
      <c r="K139">
        <v>231</v>
      </c>
      <c r="L139">
        <v>12</v>
      </c>
      <c r="M139">
        <v>3</v>
      </c>
      <c r="N139" t="s">
        <v>3</v>
      </c>
      <c r="O139">
        <v>2</v>
      </c>
      <c r="W139">
        <v>0</v>
      </c>
      <c r="X139">
        <v>1</v>
      </c>
      <c r="Y139">
        <v>0</v>
      </c>
    </row>
    <row r="140" spans="1:25" x14ac:dyDescent="0.2">
      <c r="A140">
        <v>50</v>
      </c>
      <c r="B140">
        <v>0</v>
      </c>
      <c r="C140">
        <v>0</v>
      </c>
      <c r="D140">
        <v>1</v>
      </c>
      <c r="E140">
        <v>204</v>
      </c>
      <c r="F140">
        <f>ROUND(Source!R126,O140)</f>
        <v>533.32000000000005</v>
      </c>
      <c r="G140" t="s">
        <v>220</v>
      </c>
      <c r="H140" t="s">
        <v>221</v>
      </c>
      <c r="K140">
        <v>204</v>
      </c>
      <c r="L140">
        <v>13</v>
      </c>
      <c r="M140">
        <v>3</v>
      </c>
      <c r="N140" t="s">
        <v>3</v>
      </c>
      <c r="O140">
        <v>2</v>
      </c>
      <c r="W140">
        <v>533.31999999999994</v>
      </c>
      <c r="X140">
        <v>1</v>
      </c>
      <c r="Y140">
        <v>533.31999999999994</v>
      </c>
    </row>
    <row r="141" spans="1:25" x14ac:dyDescent="0.2">
      <c r="A141">
        <v>50</v>
      </c>
      <c r="B141">
        <v>0</v>
      </c>
      <c r="C141">
        <v>0</v>
      </c>
      <c r="D141">
        <v>1</v>
      </c>
      <c r="E141">
        <v>205</v>
      </c>
      <c r="F141">
        <f>ROUND(Source!S126,O141)</f>
        <v>56547.519999999997</v>
      </c>
      <c r="G141" t="s">
        <v>222</v>
      </c>
      <c r="H141" t="s">
        <v>223</v>
      </c>
      <c r="K141">
        <v>205</v>
      </c>
      <c r="L141">
        <v>14</v>
      </c>
      <c r="M141">
        <v>3</v>
      </c>
      <c r="N141" t="s">
        <v>3</v>
      </c>
      <c r="O141">
        <v>2</v>
      </c>
      <c r="W141">
        <v>56547.520000000004</v>
      </c>
      <c r="X141">
        <v>1</v>
      </c>
      <c r="Y141">
        <v>56547.520000000004</v>
      </c>
    </row>
    <row r="142" spans="1:25" x14ac:dyDescent="0.2">
      <c r="A142">
        <v>50</v>
      </c>
      <c r="B142">
        <v>0</v>
      </c>
      <c r="C142">
        <v>0</v>
      </c>
      <c r="D142">
        <v>1</v>
      </c>
      <c r="E142">
        <v>232</v>
      </c>
      <c r="F142">
        <f>ROUND(Source!BC126,O142)</f>
        <v>0</v>
      </c>
      <c r="G142" t="s">
        <v>224</v>
      </c>
      <c r="H142" t="s">
        <v>225</v>
      </c>
      <c r="K142">
        <v>232</v>
      </c>
      <c r="L142">
        <v>15</v>
      </c>
      <c r="M142">
        <v>3</v>
      </c>
      <c r="N142" t="s">
        <v>3</v>
      </c>
      <c r="O142">
        <v>2</v>
      </c>
      <c r="W142">
        <v>0</v>
      </c>
      <c r="X142">
        <v>1</v>
      </c>
      <c r="Y142">
        <v>0</v>
      </c>
    </row>
    <row r="143" spans="1:25" x14ac:dyDescent="0.2">
      <c r="A143">
        <v>50</v>
      </c>
      <c r="B143">
        <v>0</v>
      </c>
      <c r="C143">
        <v>0</v>
      </c>
      <c r="D143">
        <v>1</v>
      </c>
      <c r="E143">
        <v>214</v>
      </c>
      <c r="F143">
        <f>ROUND(Source!AS126,O143)</f>
        <v>161920.81</v>
      </c>
      <c r="G143" t="s">
        <v>226</v>
      </c>
      <c r="H143" t="s">
        <v>227</v>
      </c>
      <c r="K143">
        <v>214</v>
      </c>
      <c r="L143">
        <v>16</v>
      </c>
      <c r="M143">
        <v>3</v>
      </c>
      <c r="N143" t="s">
        <v>3</v>
      </c>
      <c r="O143">
        <v>2</v>
      </c>
      <c r="W143">
        <v>161920.81</v>
      </c>
      <c r="X143">
        <v>1</v>
      </c>
      <c r="Y143">
        <v>161920.81</v>
      </c>
    </row>
    <row r="144" spans="1:25" x14ac:dyDescent="0.2">
      <c r="A144">
        <v>50</v>
      </c>
      <c r="B144">
        <v>0</v>
      </c>
      <c r="C144">
        <v>0</v>
      </c>
      <c r="D144">
        <v>1</v>
      </c>
      <c r="E144">
        <v>215</v>
      </c>
      <c r="F144">
        <f>ROUND(Source!AT126,O144)</f>
        <v>0</v>
      </c>
      <c r="G144" t="s">
        <v>228</v>
      </c>
      <c r="H144" t="s">
        <v>229</v>
      </c>
      <c r="K144">
        <v>215</v>
      </c>
      <c r="L144">
        <v>17</v>
      </c>
      <c r="M144">
        <v>3</v>
      </c>
      <c r="N144" t="s">
        <v>3</v>
      </c>
      <c r="O144">
        <v>2</v>
      </c>
      <c r="W144">
        <v>0</v>
      </c>
      <c r="X144">
        <v>1</v>
      </c>
      <c r="Y144">
        <v>0</v>
      </c>
    </row>
    <row r="145" spans="1:25" x14ac:dyDescent="0.2">
      <c r="A145">
        <v>50</v>
      </c>
      <c r="B145">
        <v>0</v>
      </c>
      <c r="C145">
        <v>0</v>
      </c>
      <c r="D145">
        <v>1</v>
      </c>
      <c r="E145">
        <v>217</v>
      </c>
      <c r="F145">
        <f>ROUND(Source!AU126,O145)</f>
        <v>0</v>
      </c>
      <c r="G145" t="s">
        <v>230</v>
      </c>
      <c r="H145" t="s">
        <v>231</v>
      </c>
      <c r="K145">
        <v>217</v>
      </c>
      <c r="L145">
        <v>18</v>
      </c>
      <c r="M145">
        <v>3</v>
      </c>
      <c r="N145" t="s">
        <v>3</v>
      </c>
      <c r="O145">
        <v>2</v>
      </c>
      <c r="W145">
        <v>0</v>
      </c>
      <c r="X145">
        <v>1</v>
      </c>
      <c r="Y145">
        <v>0</v>
      </c>
    </row>
    <row r="146" spans="1:25" x14ac:dyDescent="0.2">
      <c r="A146">
        <v>50</v>
      </c>
      <c r="B146">
        <v>0</v>
      </c>
      <c r="C146">
        <v>0</v>
      </c>
      <c r="D146">
        <v>1</v>
      </c>
      <c r="E146">
        <v>230</v>
      </c>
      <c r="F146">
        <f>ROUND(Source!BA126,O146)</f>
        <v>0</v>
      </c>
      <c r="G146" t="s">
        <v>232</v>
      </c>
      <c r="H146" t="s">
        <v>233</v>
      </c>
      <c r="K146">
        <v>230</v>
      </c>
      <c r="L146">
        <v>19</v>
      </c>
      <c r="M146">
        <v>3</v>
      </c>
      <c r="N146" t="s">
        <v>3</v>
      </c>
      <c r="O146">
        <v>2</v>
      </c>
      <c r="W146">
        <v>0</v>
      </c>
      <c r="X146">
        <v>1</v>
      </c>
      <c r="Y146">
        <v>0</v>
      </c>
    </row>
    <row r="147" spans="1:25" x14ac:dyDescent="0.2">
      <c r="A147">
        <v>50</v>
      </c>
      <c r="B147">
        <v>0</v>
      </c>
      <c r="C147">
        <v>0</v>
      </c>
      <c r="D147">
        <v>1</v>
      </c>
      <c r="E147">
        <v>206</v>
      </c>
      <c r="F147">
        <f>ROUND(Source!T126,O147)</f>
        <v>0</v>
      </c>
      <c r="G147" t="s">
        <v>234</v>
      </c>
      <c r="H147" t="s">
        <v>235</v>
      </c>
      <c r="K147">
        <v>206</v>
      </c>
      <c r="L147">
        <v>20</v>
      </c>
      <c r="M147">
        <v>3</v>
      </c>
      <c r="N147" t="s">
        <v>3</v>
      </c>
      <c r="O147">
        <v>2</v>
      </c>
      <c r="W147">
        <v>0</v>
      </c>
      <c r="X147">
        <v>1</v>
      </c>
      <c r="Y147">
        <v>0</v>
      </c>
    </row>
    <row r="148" spans="1:25" x14ac:dyDescent="0.2">
      <c r="A148">
        <v>50</v>
      </c>
      <c r="B148">
        <v>0</v>
      </c>
      <c r="C148">
        <v>0</v>
      </c>
      <c r="D148">
        <v>1</v>
      </c>
      <c r="E148">
        <v>207</v>
      </c>
      <c r="F148">
        <f>ROUND(Source!U126,O148)</f>
        <v>144.328846</v>
      </c>
      <c r="G148" t="s">
        <v>236</v>
      </c>
      <c r="H148" t="s">
        <v>237</v>
      </c>
      <c r="K148">
        <v>207</v>
      </c>
      <c r="L148">
        <v>21</v>
      </c>
      <c r="M148">
        <v>3</v>
      </c>
      <c r="N148" t="s">
        <v>3</v>
      </c>
      <c r="O148">
        <v>7</v>
      </c>
      <c r="W148">
        <v>144.328846</v>
      </c>
      <c r="X148">
        <v>1</v>
      </c>
      <c r="Y148">
        <v>144.328846</v>
      </c>
    </row>
    <row r="149" spans="1:25" x14ac:dyDescent="0.2">
      <c r="A149">
        <v>50</v>
      </c>
      <c r="B149">
        <v>0</v>
      </c>
      <c r="C149">
        <v>0</v>
      </c>
      <c r="D149">
        <v>1</v>
      </c>
      <c r="E149">
        <v>208</v>
      </c>
      <c r="F149">
        <f>ROUND(Source!V126,O149)</f>
        <v>1.03834</v>
      </c>
      <c r="G149" t="s">
        <v>238</v>
      </c>
      <c r="H149" t="s">
        <v>239</v>
      </c>
      <c r="K149">
        <v>208</v>
      </c>
      <c r="L149">
        <v>22</v>
      </c>
      <c r="M149">
        <v>3</v>
      </c>
      <c r="N149" t="s">
        <v>3</v>
      </c>
      <c r="O149">
        <v>7</v>
      </c>
      <c r="W149">
        <v>1.03834</v>
      </c>
      <c r="X149">
        <v>1</v>
      </c>
      <c r="Y149">
        <v>1.03834</v>
      </c>
    </row>
    <row r="150" spans="1:25" x14ac:dyDescent="0.2">
      <c r="A150">
        <v>50</v>
      </c>
      <c r="B150">
        <v>0</v>
      </c>
      <c r="C150">
        <v>0</v>
      </c>
      <c r="D150">
        <v>1</v>
      </c>
      <c r="E150">
        <v>209</v>
      </c>
      <c r="F150">
        <f>ROUND(Source!W126,O150)</f>
        <v>0</v>
      </c>
      <c r="G150" t="s">
        <v>240</v>
      </c>
      <c r="H150" t="s">
        <v>241</v>
      </c>
      <c r="K150">
        <v>209</v>
      </c>
      <c r="L150">
        <v>23</v>
      </c>
      <c r="M150">
        <v>3</v>
      </c>
      <c r="N150" t="s">
        <v>3</v>
      </c>
      <c r="O150">
        <v>2</v>
      </c>
      <c r="W150">
        <v>0</v>
      </c>
      <c r="X150">
        <v>1</v>
      </c>
      <c r="Y150">
        <v>0</v>
      </c>
    </row>
    <row r="151" spans="1:25" x14ac:dyDescent="0.2">
      <c r="A151">
        <v>50</v>
      </c>
      <c r="B151">
        <v>0</v>
      </c>
      <c r="C151">
        <v>0</v>
      </c>
      <c r="D151">
        <v>1</v>
      </c>
      <c r="E151">
        <v>233</v>
      </c>
      <c r="F151">
        <f>ROUND(Source!BD126,O151)</f>
        <v>161.54</v>
      </c>
      <c r="G151" t="s">
        <v>242</v>
      </c>
      <c r="H151" t="s">
        <v>243</v>
      </c>
      <c r="K151">
        <v>233</v>
      </c>
      <c r="L151">
        <v>24</v>
      </c>
      <c r="M151">
        <v>3</v>
      </c>
      <c r="N151" t="s">
        <v>3</v>
      </c>
      <c r="O151">
        <v>2</v>
      </c>
      <c r="W151">
        <v>161.54</v>
      </c>
      <c r="X151">
        <v>1</v>
      </c>
      <c r="Y151">
        <v>161.54</v>
      </c>
    </row>
    <row r="152" spans="1:25" x14ac:dyDescent="0.2">
      <c r="A152">
        <v>50</v>
      </c>
      <c r="B152">
        <v>0</v>
      </c>
      <c r="C152">
        <v>0</v>
      </c>
      <c r="D152">
        <v>1</v>
      </c>
      <c r="E152">
        <v>210</v>
      </c>
      <c r="F152">
        <f>ROUND(Source!X126,O152)</f>
        <v>54845.93</v>
      </c>
      <c r="G152" t="s">
        <v>244</v>
      </c>
      <c r="H152" t="s">
        <v>245</v>
      </c>
      <c r="K152">
        <v>210</v>
      </c>
      <c r="L152">
        <v>25</v>
      </c>
      <c r="M152">
        <v>3</v>
      </c>
      <c r="N152" t="s">
        <v>3</v>
      </c>
      <c r="O152">
        <v>2</v>
      </c>
      <c r="W152">
        <v>54845.93</v>
      </c>
      <c r="X152">
        <v>1</v>
      </c>
      <c r="Y152">
        <v>54845.93</v>
      </c>
    </row>
    <row r="153" spans="1:25" x14ac:dyDescent="0.2">
      <c r="A153">
        <v>50</v>
      </c>
      <c r="B153">
        <v>0</v>
      </c>
      <c r="C153">
        <v>0</v>
      </c>
      <c r="D153">
        <v>1</v>
      </c>
      <c r="E153">
        <v>211</v>
      </c>
      <c r="F153">
        <f>ROUND(Source!Y126,O153)</f>
        <v>27204.98</v>
      </c>
      <c r="G153" t="s">
        <v>246</v>
      </c>
      <c r="H153" t="s">
        <v>247</v>
      </c>
      <c r="K153">
        <v>211</v>
      </c>
      <c r="L153">
        <v>26</v>
      </c>
      <c r="M153">
        <v>3</v>
      </c>
      <c r="N153" t="s">
        <v>3</v>
      </c>
      <c r="O153">
        <v>2</v>
      </c>
      <c r="W153">
        <v>27204.98</v>
      </c>
      <c r="X153">
        <v>1</v>
      </c>
      <c r="Y153">
        <v>27204.98</v>
      </c>
    </row>
    <row r="154" spans="1:25" x14ac:dyDescent="0.2">
      <c r="A154">
        <v>50</v>
      </c>
      <c r="B154">
        <v>0</v>
      </c>
      <c r="C154">
        <v>0</v>
      </c>
      <c r="D154">
        <v>1</v>
      </c>
      <c r="E154">
        <v>224</v>
      </c>
      <c r="F154">
        <f>ROUND(Source!AR126,O154)</f>
        <v>161920.81</v>
      </c>
      <c r="G154" t="s">
        <v>248</v>
      </c>
      <c r="H154" t="s">
        <v>249</v>
      </c>
      <c r="K154">
        <v>224</v>
      </c>
      <c r="L154">
        <v>27</v>
      </c>
      <c r="M154">
        <v>3</v>
      </c>
      <c r="N154" t="s">
        <v>3</v>
      </c>
      <c r="O154">
        <v>2</v>
      </c>
      <c r="W154">
        <v>161920.81000000003</v>
      </c>
      <c r="X154">
        <v>1</v>
      </c>
      <c r="Y154">
        <v>161920.81000000003</v>
      </c>
    </row>
    <row r="157" spans="1:25" x14ac:dyDescent="0.2">
      <c r="A157">
        <v>70</v>
      </c>
      <c r="B157">
        <v>1</v>
      </c>
      <c r="D157">
        <v>1</v>
      </c>
      <c r="E157" t="s">
        <v>254</v>
      </c>
      <c r="F157" t="s">
        <v>255</v>
      </c>
      <c r="G157">
        <v>0</v>
      </c>
      <c r="H157">
        <v>0</v>
      </c>
      <c r="I157" t="s">
        <v>3</v>
      </c>
      <c r="J157">
        <v>1</v>
      </c>
      <c r="K157">
        <v>0</v>
      </c>
      <c r="L157" t="s">
        <v>3</v>
      </c>
      <c r="M157" t="s">
        <v>3</v>
      </c>
      <c r="N157">
        <v>0</v>
      </c>
      <c r="P157" t="s">
        <v>256</v>
      </c>
    </row>
    <row r="158" spans="1:25" x14ac:dyDescent="0.2">
      <c r="A158">
        <v>70</v>
      </c>
      <c r="B158">
        <v>1</v>
      </c>
      <c r="D158">
        <v>2</v>
      </c>
      <c r="E158" t="s">
        <v>257</v>
      </c>
      <c r="F158" t="s">
        <v>258</v>
      </c>
      <c r="G158">
        <v>1</v>
      </c>
      <c r="H158">
        <v>0</v>
      </c>
      <c r="I158" t="s">
        <v>3</v>
      </c>
      <c r="J158">
        <v>1</v>
      </c>
      <c r="K158">
        <v>0</v>
      </c>
      <c r="L158" t="s">
        <v>3</v>
      </c>
      <c r="M158" t="s">
        <v>3</v>
      </c>
      <c r="N158">
        <v>0</v>
      </c>
      <c r="P158" t="s">
        <v>259</v>
      </c>
    </row>
    <row r="159" spans="1:25" x14ac:dyDescent="0.2">
      <c r="A159">
        <v>70</v>
      </c>
      <c r="B159">
        <v>1</v>
      </c>
      <c r="D159">
        <v>3</v>
      </c>
      <c r="E159" t="s">
        <v>260</v>
      </c>
      <c r="F159" t="s">
        <v>261</v>
      </c>
      <c r="G159">
        <v>0</v>
      </c>
      <c r="H159">
        <v>0</v>
      </c>
      <c r="I159" t="s">
        <v>3</v>
      </c>
      <c r="J159">
        <v>1</v>
      </c>
      <c r="K159">
        <v>0</v>
      </c>
      <c r="L159" t="s">
        <v>3</v>
      </c>
      <c r="M159" t="s">
        <v>3</v>
      </c>
      <c r="N159">
        <v>0</v>
      </c>
      <c r="P159" t="s">
        <v>262</v>
      </c>
    </row>
    <row r="160" spans="1:25" x14ac:dyDescent="0.2">
      <c r="A160">
        <v>70</v>
      </c>
      <c r="B160">
        <v>1</v>
      </c>
      <c r="D160">
        <v>4</v>
      </c>
      <c r="E160" t="s">
        <v>263</v>
      </c>
      <c r="F160" t="s">
        <v>264</v>
      </c>
      <c r="G160">
        <v>1</v>
      </c>
      <c r="H160">
        <v>0</v>
      </c>
      <c r="I160" t="s">
        <v>3</v>
      </c>
      <c r="J160">
        <v>2</v>
      </c>
      <c r="K160">
        <v>0</v>
      </c>
      <c r="L160" t="s">
        <v>3</v>
      </c>
      <c r="M160" t="s">
        <v>3</v>
      </c>
      <c r="N160">
        <v>0</v>
      </c>
      <c r="P160" t="s">
        <v>3</v>
      </c>
    </row>
    <row r="161" spans="1:16" x14ac:dyDescent="0.2">
      <c r="A161">
        <v>70</v>
      </c>
      <c r="B161">
        <v>1</v>
      </c>
      <c r="D161">
        <v>5</v>
      </c>
      <c r="E161" t="s">
        <v>265</v>
      </c>
      <c r="F161" t="s">
        <v>266</v>
      </c>
      <c r="G161">
        <v>0</v>
      </c>
      <c r="H161">
        <v>0</v>
      </c>
      <c r="I161" t="s">
        <v>3</v>
      </c>
      <c r="J161">
        <v>2</v>
      </c>
      <c r="K161">
        <v>0</v>
      </c>
      <c r="L161" t="s">
        <v>3</v>
      </c>
      <c r="M161" t="s">
        <v>3</v>
      </c>
      <c r="N161">
        <v>0</v>
      </c>
      <c r="P161" t="s">
        <v>3</v>
      </c>
    </row>
    <row r="162" spans="1:16" x14ac:dyDescent="0.2">
      <c r="A162">
        <v>70</v>
      </c>
      <c r="B162">
        <v>1</v>
      </c>
      <c r="D162">
        <v>6</v>
      </c>
      <c r="E162" t="s">
        <v>267</v>
      </c>
      <c r="F162" t="s">
        <v>268</v>
      </c>
      <c r="G162">
        <v>0</v>
      </c>
      <c r="H162">
        <v>0</v>
      </c>
      <c r="I162" t="s">
        <v>3</v>
      </c>
      <c r="J162">
        <v>2</v>
      </c>
      <c r="K162">
        <v>0</v>
      </c>
      <c r="L162" t="s">
        <v>3</v>
      </c>
      <c r="M162" t="s">
        <v>3</v>
      </c>
      <c r="N162">
        <v>0</v>
      </c>
      <c r="P162" t="s">
        <v>3</v>
      </c>
    </row>
    <row r="163" spans="1:16" x14ac:dyDescent="0.2">
      <c r="A163">
        <v>70</v>
      </c>
      <c r="B163">
        <v>1</v>
      </c>
      <c r="D163">
        <v>7</v>
      </c>
      <c r="E163" t="s">
        <v>269</v>
      </c>
      <c r="F163" t="s">
        <v>270</v>
      </c>
      <c r="G163">
        <v>0</v>
      </c>
      <c r="H163">
        <v>0</v>
      </c>
      <c r="I163" t="s">
        <v>271</v>
      </c>
      <c r="J163">
        <v>0</v>
      </c>
      <c r="K163">
        <v>0</v>
      </c>
      <c r="L163" t="s">
        <v>3</v>
      </c>
      <c r="M163" t="s">
        <v>3</v>
      </c>
      <c r="N163">
        <v>0</v>
      </c>
      <c r="P163" t="s">
        <v>272</v>
      </c>
    </row>
    <row r="164" spans="1:16" x14ac:dyDescent="0.2">
      <c r="A164">
        <v>70</v>
      </c>
      <c r="B164">
        <v>1</v>
      </c>
      <c r="D164">
        <v>8</v>
      </c>
      <c r="E164" t="s">
        <v>273</v>
      </c>
      <c r="F164" t="s">
        <v>274</v>
      </c>
      <c r="G164">
        <v>1</v>
      </c>
      <c r="H164">
        <v>0</v>
      </c>
      <c r="I164" t="s">
        <v>3</v>
      </c>
      <c r="J164">
        <v>5</v>
      </c>
      <c r="K164">
        <v>0</v>
      </c>
      <c r="L164" t="s">
        <v>3</v>
      </c>
      <c r="M164" t="s">
        <v>3</v>
      </c>
      <c r="N164">
        <v>0</v>
      </c>
      <c r="P164" t="s">
        <v>3</v>
      </c>
    </row>
    <row r="165" spans="1:16" x14ac:dyDescent="0.2">
      <c r="A165">
        <v>70</v>
      </c>
      <c r="B165">
        <v>1</v>
      </c>
      <c r="D165">
        <v>9</v>
      </c>
      <c r="E165" t="s">
        <v>275</v>
      </c>
      <c r="F165" t="s">
        <v>276</v>
      </c>
      <c r="G165">
        <v>0</v>
      </c>
      <c r="H165">
        <v>0</v>
      </c>
      <c r="I165" t="s">
        <v>3</v>
      </c>
      <c r="J165">
        <v>5</v>
      </c>
      <c r="K165">
        <v>0</v>
      </c>
      <c r="L165" t="s">
        <v>3</v>
      </c>
      <c r="M165" t="s">
        <v>3</v>
      </c>
      <c r="N165">
        <v>0</v>
      </c>
      <c r="P165" t="s">
        <v>277</v>
      </c>
    </row>
    <row r="166" spans="1:16" x14ac:dyDescent="0.2">
      <c r="A166">
        <v>70</v>
      </c>
      <c r="B166">
        <v>1</v>
      </c>
      <c r="D166">
        <v>10</v>
      </c>
      <c r="E166" t="s">
        <v>278</v>
      </c>
      <c r="F166" t="s">
        <v>279</v>
      </c>
      <c r="G166">
        <v>0</v>
      </c>
      <c r="H166">
        <v>0</v>
      </c>
      <c r="I166" t="s">
        <v>280</v>
      </c>
      <c r="J166">
        <v>5</v>
      </c>
      <c r="K166">
        <v>0</v>
      </c>
      <c r="L166" t="s">
        <v>3</v>
      </c>
      <c r="M166" t="s">
        <v>3</v>
      </c>
      <c r="N166">
        <v>0</v>
      </c>
      <c r="P166" t="s">
        <v>281</v>
      </c>
    </row>
    <row r="167" spans="1:16" x14ac:dyDescent="0.2">
      <c r="A167">
        <v>70</v>
      </c>
      <c r="B167">
        <v>1</v>
      </c>
      <c r="D167">
        <v>11</v>
      </c>
      <c r="E167" t="s">
        <v>282</v>
      </c>
      <c r="F167" t="s">
        <v>283</v>
      </c>
      <c r="G167">
        <v>0</v>
      </c>
      <c r="H167">
        <v>0</v>
      </c>
      <c r="I167" t="s">
        <v>284</v>
      </c>
      <c r="J167">
        <v>0</v>
      </c>
      <c r="K167">
        <v>0</v>
      </c>
      <c r="L167" t="s">
        <v>3</v>
      </c>
      <c r="M167" t="s">
        <v>3</v>
      </c>
      <c r="N167">
        <v>0</v>
      </c>
      <c r="P167" t="s">
        <v>285</v>
      </c>
    </row>
    <row r="168" spans="1:16" x14ac:dyDescent="0.2">
      <c r="A168">
        <v>70</v>
      </c>
      <c r="B168">
        <v>1</v>
      </c>
      <c r="D168">
        <v>12</v>
      </c>
      <c r="E168" t="s">
        <v>286</v>
      </c>
      <c r="F168" t="s">
        <v>287</v>
      </c>
      <c r="G168">
        <v>0</v>
      </c>
      <c r="H168">
        <v>0</v>
      </c>
      <c r="I168" t="s">
        <v>288</v>
      </c>
      <c r="J168">
        <v>0</v>
      </c>
      <c r="K168">
        <v>0</v>
      </c>
      <c r="L168" t="s">
        <v>3</v>
      </c>
      <c r="M168" t="s">
        <v>3</v>
      </c>
      <c r="N168">
        <v>0</v>
      </c>
      <c r="P168" t="s">
        <v>289</v>
      </c>
    </row>
    <row r="169" spans="1:16" x14ac:dyDescent="0.2">
      <c r="A169">
        <v>70</v>
      </c>
      <c r="B169">
        <v>1</v>
      </c>
      <c r="D169">
        <v>13</v>
      </c>
      <c r="E169" t="s">
        <v>290</v>
      </c>
      <c r="F169" t="s">
        <v>291</v>
      </c>
      <c r="G169">
        <v>0</v>
      </c>
      <c r="H169">
        <v>0</v>
      </c>
      <c r="I169" t="s">
        <v>292</v>
      </c>
      <c r="J169">
        <v>0</v>
      </c>
      <c r="K169">
        <v>0</v>
      </c>
      <c r="L169" t="s">
        <v>3</v>
      </c>
      <c r="M169" t="s">
        <v>3</v>
      </c>
      <c r="N169">
        <v>0</v>
      </c>
      <c r="P169" t="s">
        <v>293</v>
      </c>
    </row>
    <row r="170" spans="1:16" x14ac:dyDescent="0.2">
      <c r="A170">
        <v>70</v>
      </c>
      <c r="B170">
        <v>1</v>
      </c>
      <c r="D170">
        <v>14</v>
      </c>
      <c r="E170" t="s">
        <v>294</v>
      </c>
      <c r="F170" t="s">
        <v>295</v>
      </c>
      <c r="G170">
        <v>0</v>
      </c>
      <c r="H170">
        <v>0</v>
      </c>
      <c r="I170" t="s">
        <v>3</v>
      </c>
      <c r="J170">
        <v>0</v>
      </c>
      <c r="K170">
        <v>0</v>
      </c>
      <c r="L170" t="s">
        <v>3</v>
      </c>
      <c r="M170" t="s">
        <v>3</v>
      </c>
      <c r="N170">
        <v>0</v>
      </c>
      <c r="P170" t="s">
        <v>296</v>
      </c>
    </row>
    <row r="171" spans="1:16" x14ac:dyDescent="0.2">
      <c r="A171">
        <v>70</v>
      </c>
      <c r="B171">
        <v>1</v>
      </c>
      <c r="D171">
        <v>15</v>
      </c>
      <c r="E171" t="s">
        <v>297</v>
      </c>
      <c r="F171" t="s">
        <v>298</v>
      </c>
      <c r="G171">
        <v>0</v>
      </c>
      <c r="H171">
        <v>0</v>
      </c>
      <c r="I171" t="s">
        <v>3</v>
      </c>
      <c r="J171">
        <v>3</v>
      </c>
      <c r="K171">
        <v>0</v>
      </c>
      <c r="L171" t="s">
        <v>3</v>
      </c>
      <c r="M171" t="s">
        <v>3</v>
      </c>
      <c r="N171">
        <v>0</v>
      </c>
      <c r="P171" t="s">
        <v>3</v>
      </c>
    </row>
    <row r="172" spans="1:16" x14ac:dyDescent="0.2">
      <c r="A172">
        <v>70</v>
      </c>
      <c r="B172">
        <v>1</v>
      </c>
      <c r="D172">
        <v>16</v>
      </c>
      <c r="E172" t="s">
        <v>299</v>
      </c>
      <c r="F172" t="s">
        <v>300</v>
      </c>
      <c r="G172">
        <v>1</v>
      </c>
      <c r="H172">
        <v>0</v>
      </c>
      <c r="I172" t="s">
        <v>3</v>
      </c>
      <c r="J172">
        <v>3</v>
      </c>
      <c r="K172">
        <v>0</v>
      </c>
      <c r="L172" t="s">
        <v>3</v>
      </c>
      <c r="M172" t="s">
        <v>3</v>
      </c>
      <c r="N172">
        <v>0</v>
      </c>
      <c r="P172" t="s">
        <v>3</v>
      </c>
    </row>
    <row r="173" spans="1:16" x14ac:dyDescent="0.2">
      <c r="A173">
        <v>70</v>
      </c>
      <c r="B173">
        <v>1</v>
      </c>
      <c r="D173">
        <v>1</v>
      </c>
      <c r="E173" t="s">
        <v>301</v>
      </c>
      <c r="F173" t="s">
        <v>302</v>
      </c>
      <c r="G173">
        <v>0.9</v>
      </c>
      <c r="H173">
        <v>1</v>
      </c>
      <c r="I173" t="s">
        <v>303</v>
      </c>
      <c r="J173">
        <v>0</v>
      </c>
      <c r="K173">
        <v>0</v>
      </c>
      <c r="L173" t="s">
        <v>3</v>
      </c>
      <c r="M173" t="s">
        <v>3</v>
      </c>
      <c r="N173">
        <v>0</v>
      </c>
      <c r="P173" t="s">
        <v>304</v>
      </c>
    </row>
    <row r="174" spans="1:16" x14ac:dyDescent="0.2">
      <c r="A174">
        <v>70</v>
      </c>
      <c r="B174">
        <v>1</v>
      </c>
      <c r="D174">
        <v>2</v>
      </c>
      <c r="E174" t="s">
        <v>305</v>
      </c>
      <c r="F174" t="s">
        <v>306</v>
      </c>
      <c r="G174">
        <v>0.85</v>
      </c>
      <c r="H174">
        <v>1</v>
      </c>
      <c r="I174" t="s">
        <v>307</v>
      </c>
      <c r="J174">
        <v>0</v>
      </c>
      <c r="K174">
        <v>0</v>
      </c>
      <c r="L174" t="s">
        <v>3</v>
      </c>
      <c r="M174" t="s">
        <v>3</v>
      </c>
      <c r="N174">
        <v>0</v>
      </c>
      <c r="P174" t="s">
        <v>308</v>
      </c>
    </row>
    <row r="175" spans="1:16" x14ac:dyDescent="0.2">
      <c r="A175">
        <v>70</v>
      </c>
      <c r="B175">
        <v>1</v>
      </c>
      <c r="D175">
        <v>3</v>
      </c>
      <c r="E175" t="s">
        <v>309</v>
      </c>
      <c r="F175" t="s">
        <v>310</v>
      </c>
      <c r="G175">
        <v>1.03</v>
      </c>
      <c r="H175">
        <v>0</v>
      </c>
      <c r="I175" t="s">
        <v>3</v>
      </c>
      <c r="J175">
        <v>0</v>
      </c>
      <c r="K175">
        <v>0</v>
      </c>
      <c r="L175" t="s">
        <v>3</v>
      </c>
      <c r="M175" t="s">
        <v>3</v>
      </c>
      <c r="N175">
        <v>0</v>
      </c>
      <c r="P175" t="s">
        <v>311</v>
      </c>
    </row>
    <row r="176" spans="1:16" x14ac:dyDescent="0.2">
      <c r="A176">
        <v>70</v>
      </c>
      <c r="B176">
        <v>1</v>
      </c>
      <c r="D176">
        <v>4</v>
      </c>
      <c r="E176" t="s">
        <v>312</v>
      </c>
      <c r="F176" t="s">
        <v>313</v>
      </c>
      <c r="G176">
        <v>1.1499999999999999</v>
      </c>
      <c r="H176">
        <v>0</v>
      </c>
      <c r="I176" t="s">
        <v>3</v>
      </c>
      <c r="J176">
        <v>0</v>
      </c>
      <c r="K176">
        <v>0</v>
      </c>
      <c r="L176" t="s">
        <v>3</v>
      </c>
      <c r="M176" t="s">
        <v>3</v>
      </c>
      <c r="N176">
        <v>0</v>
      </c>
      <c r="P176" t="s">
        <v>314</v>
      </c>
    </row>
    <row r="177" spans="1:40" x14ac:dyDescent="0.2">
      <c r="A177">
        <v>70</v>
      </c>
      <c r="B177">
        <v>1</v>
      </c>
      <c r="D177">
        <v>5</v>
      </c>
      <c r="E177" t="s">
        <v>315</v>
      </c>
      <c r="F177" t="s">
        <v>316</v>
      </c>
      <c r="G177">
        <v>7</v>
      </c>
      <c r="H177">
        <v>0</v>
      </c>
      <c r="I177" t="s">
        <v>3</v>
      </c>
      <c r="J177">
        <v>0</v>
      </c>
      <c r="K177">
        <v>0</v>
      </c>
      <c r="L177" t="s">
        <v>3</v>
      </c>
      <c r="M177" t="s">
        <v>3</v>
      </c>
      <c r="N177">
        <v>0</v>
      </c>
      <c r="P177" t="s">
        <v>3</v>
      </c>
    </row>
    <row r="178" spans="1:40" x14ac:dyDescent="0.2">
      <c r="A178">
        <v>70</v>
      </c>
      <c r="B178">
        <v>1</v>
      </c>
      <c r="D178">
        <v>6</v>
      </c>
      <c r="E178" t="s">
        <v>317</v>
      </c>
      <c r="F178" t="s">
        <v>3</v>
      </c>
      <c r="G178">
        <v>2</v>
      </c>
      <c r="H178">
        <v>0</v>
      </c>
      <c r="I178" t="s">
        <v>3</v>
      </c>
      <c r="J178">
        <v>0</v>
      </c>
      <c r="K178">
        <v>0</v>
      </c>
      <c r="L178" t="s">
        <v>3</v>
      </c>
      <c r="M178" t="s">
        <v>3</v>
      </c>
      <c r="N178">
        <v>0</v>
      </c>
      <c r="P178" t="s">
        <v>3</v>
      </c>
    </row>
    <row r="180" spans="1:40" x14ac:dyDescent="0.2">
      <c r="A180">
        <v>-1</v>
      </c>
    </row>
    <row r="182" spans="1:40" x14ac:dyDescent="0.2">
      <c r="A182">
        <v>75</v>
      </c>
      <c r="B182" t="s">
        <v>318</v>
      </c>
      <c r="C182">
        <v>2026</v>
      </c>
      <c r="D182">
        <v>3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53360025</v>
      </c>
      <c r="O182">
        <v>1</v>
      </c>
    </row>
    <row r="183" spans="1:40" x14ac:dyDescent="0.2">
      <c r="A183">
        <v>3</v>
      </c>
      <c r="B183" t="s">
        <v>319</v>
      </c>
      <c r="C183">
        <v>1</v>
      </c>
      <c r="D183">
        <v>8.7899999999999991</v>
      </c>
      <c r="E183">
        <v>14.42</v>
      </c>
      <c r="F183">
        <v>39.33</v>
      </c>
      <c r="G183">
        <v>39.33</v>
      </c>
      <c r="H183">
        <v>6.16</v>
      </c>
      <c r="I183">
        <v>1</v>
      </c>
      <c r="J183">
        <v>2</v>
      </c>
      <c r="K183">
        <v>39.33</v>
      </c>
      <c r="L183">
        <v>1</v>
      </c>
      <c r="M183">
        <v>1</v>
      </c>
      <c r="N183">
        <v>8.7899999999999991</v>
      </c>
      <c r="O183">
        <v>6.16</v>
      </c>
      <c r="P183">
        <v>1</v>
      </c>
      <c r="Q183">
        <v>39.33</v>
      </c>
      <c r="R183">
        <v>1</v>
      </c>
      <c r="S183" t="s">
        <v>3</v>
      </c>
      <c r="T183" t="s">
        <v>3</v>
      </c>
      <c r="U183" t="s">
        <v>33</v>
      </c>
      <c r="V183" t="s">
        <v>33</v>
      </c>
      <c r="W183" t="s">
        <v>33</v>
      </c>
      <c r="X183" t="s">
        <v>33</v>
      </c>
      <c r="Y183" t="s">
        <v>320</v>
      </c>
      <c r="Z183" t="s">
        <v>3</v>
      </c>
      <c r="AA183" t="s">
        <v>33</v>
      </c>
      <c r="AB183" t="s">
        <v>3</v>
      </c>
      <c r="AC183" t="s">
        <v>3</v>
      </c>
      <c r="AD183" t="s">
        <v>33</v>
      </c>
      <c r="AE183" t="s">
        <v>320</v>
      </c>
      <c r="AF183" t="s">
        <v>3</v>
      </c>
      <c r="AG183" t="s">
        <v>33</v>
      </c>
      <c r="AH183" t="s">
        <v>3</v>
      </c>
      <c r="AN183">
        <v>53360026</v>
      </c>
    </row>
    <row r="187" spans="1:40" x14ac:dyDescent="0.2">
      <c r="A187">
        <v>65</v>
      </c>
      <c r="C187">
        <v>1</v>
      </c>
      <c r="D187">
        <v>0</v>
      </c>
      <c r="E187">
        <v>245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2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321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37979</v>
      </c>
      <c r="M1">
        <v>10</v>
      </c>
      <c r="N1">
        <v>11</v>
      </c>
      <c r="O1">
        <v>11</v>
      </c>
      <c r="P1">
        <v>0</v>
      </c>
      <c r="Q1">
        <v>3</v>
      </c>
    </row>
    <row r="12" spans="1:133" x14ac:dyDescent="0.2">
      <c r="A12">
        <v>1</v>
      </c>
      <c r="B12">
        <v>51</v>
      </c>
      <c r="C12">
        <v>0</v>
      </c>
      <c r="E12">
        <v>0</v>
      </c>
      <c r="F12" t="s">
        <v>4</v>
      </c>
      <c r="G12" t="s">
        <v>5</v>
      </c>
      <c r="H12" t="s">
        <v>3</v>
      </c>
      <c r="I12">
        <v>0</v>
      </c>
      <c r="J12" t="s">
        <v>3</v>
      </c>
      <c r="K12">
        <v>0</v>
      </c>
      <c r="L12">
        <v>0</v>
      </c>
      <c r="M12">
        <v>131595</v>
      </c>
      <c r="O12">
        <v>0</v>
      </c>
      <c r="P12">
        <v>0</v>
      </c>
      <c r="Q12">
        <v>0</v>
      </c>
      <c r="R12">
        <v>0</v>
      </c>
      <c r="T12">
        <v>4</v>
      </c>
      <c r="U12" t="s">
        <v>3</v>
      </c>
      <c r="V12">
        <v>0</v>
      </c>
      <c r="W12" t="s">
        <v>3</v>
      </c>
      <c r="X12" t="s">
        <v>3</v>
      </c>
      <c r="Y12" t="s">
        <v>3</v>
      </c>
      <c r="Z12" t="s">
        <v>3</v>
      </c>
      <c r="AA12" t="s">
        <v>3</v>
      </c>
      <c r="AB12" t="s">
        <v>3</v>
      </c>
      <c r="AC12" t="s">
        <v>3</v>
      </c>
      <c r="AD12" t="s">
        <v>3</v>
      </c>
      <c r="AE12" t="s">
        <v>3</v>
      </c>
      <c r="AF12" t="s">
        <v>3</v>
      </c>
      <c r="AG12" t="s">
        <v>3</v>
      </c>
      <c r="AH12" t="s">
        <v>6</v>
      </c>
      <c r="AI12" t="s">
        <v>7</v>
      </c>
      <c r="AJ12" t="s">
        <v>8</v>
      </c>
      <c r="AL12" t="s">
        <v>3</v>
      </c>
      <c r="AM12" t="s">
        <v>3</v>
      </c>
      <c r="AN12" t="s">
        <v>9</v>
      </c>
      <c r="AP12" t="s">
        <v>3</v>
      </c>
      <c r="AQ12" t="s">
        <v>3</v>
      </c>
      <c r="AR12" t="s">
        <v>3</v>
      </c>
      <c r="AX12" t="s">
        <v>3</v>
      </c>
      <c r="AY12" t="s">
        <v>3</v>
      </c>
      <c r="AZ12" t="s">
        <v>3</v>
      </c>
      <c r="BB12">
        <v>2</v>
      </c>
      <c r="BH12" t="s">
        <v>10</v>
      </c>
      <c r="BI12" t="s">
        <v>11</v>
      </c>
      <c r="BJ12">
        <v>1</v>
      </c>
      <c r="BK12">
        <v>1</v>
      </c>
      <c r="BL12">
        <v>0</v>
      </c>
      <c r="BM12">
        <v>0</v>
      </c>
      <c r="BN12">
        <v>1</v>
      </c>
      <c r="BO12">
        <v>0</v>
      </c>
      <c r="BP12">
        <v>6</v>
      </c>
      <c r="BQ12">
        <v>2</v>
      </c>
      <c r="BR12">
        <v>1</v>
      </c>
      <c r="BS12">
        <v>1</v>
      </c>
      <c r="BT12">
        <v>0</v>
      </c>
      <c r="BU12">
        <v>0</v>
      </c>
      <c r="BV12">
        <v>0</v>
      </c>
      <c r="BW12">
        <v>0</v>
      </c>
      <c r="BX12">
        <v>0</v>
      </c>
      <c r="BY12" t="s">
        <v>3</v>
      </c>
      <c r="BZ12" t="s">
        <v>12</v>
      </c>
      <c r="CA12" t="s">
        <v>3</v>
      </c>
      <c r="CB12" t="s">
        <v>3</v>
      </c>
      <c r="CC12" t="s">
        <v>3</v>
      </c>
      <c r="CD12" t="s">
        <v>3</v>
      </c>
      <c r="CE12" t="s">
        <v>13</v>
      </c>
      <c r="CF12">
        <v>0</v>
      </c>
      <c r="CG12">
        <v>0</v>
      </c>
      <c r="CH12">
        <v>403177472</v>
      </c>
      <c r="CI12" t="s">
        <v>3</v>
      </c>
      <c r="CJ12" t="s">
        <v>3</v>
      </c>
      <c r="CK12">
        <v>0</v>
      </c>
      <c r="CY12">
        <v>0</v>
      </c>
      <c r="CZ12" t="s">
        <v>14</v>
      </c>
      <c r="DA12" t="s">
        <v>3</v>
      </c>
      <c r="EC12">
        <v>0</v>
      </c>
    </row>
    <row r="14" spans="1:133" x14ac:dyDescent="0.2">
      <c r="A14">
        <v>22</v>
      </c>
      <c r="B14">
        <v>1</v>
      </c>
      <c r="C14">
        <v>0</v>
      </c>
      <c r="D14">
        <v>53360025</v>
      </c>
      <c r="E14">
        <v>0</v>
      </c>
      <c r="F14">
        <v>2</v>
      </c>
      <c r="G14">
        <v>1</v>
      </c>
    </row>
    <row r="16" spans="1:133" x14ac:dyDescent="0.2">
      <c r="A16">
        <v>3</v>
      </c>
      <c r="B16">
        <v>0</v>
      </c>
      <c r="C16" t="s">
        <v>16</v>
      </c>
      <c r="D16" t="s">
        <v>15</v>
      </c>
      <c r="E16">
        <f>ROUND((Source!F111)/1000,2)</f>
        <v>161.91999999999999</v>
      </c>
      <c r="F16">
        <f>ROUND((Source!F112)/1000,2)</f>
        <v>0</v>
      </c>
      <c r="G16">
        <f>ROUND((Source!F103)/1000,2)</f>
        <v>0</v>
      </c>
      <c r="H16">
        <f>ROUND((Source!F113)/1000+(Source!F114)/1000,2)</f>
        <v>0</v>
      </c>
      <c r="I16">
        <f>E16+F16+G16+H16</f>
        <v>161.91999999999999</v>
      </c>
      <c r="J16">
        <f>ROUND((Source!F109+Source!F108)/1000,2)</f>
        <v>57.08</v>
      </c>
      <c r="AI16">
        <v>0</v>
      </c>
      <c r="AJ16">
        <v>-1</v>
      </c>
      <c r="AK16" t="s">
        <v>3</v>
      </c>
      <c r="AL16" t="s">
        <v>3</v>
      </c>
      <c r="AM16" t="s">
        <v>3</v>
      </c>
      <c r="AN16">
        <v>0</v>
      </c>
      <c r="AO16" t="s">
        <v>3</v>
      </c>
      <c r="AP16" t="s">
        <v>3</v>
      </c>
      <c r="AT16">
        <v>79869.900000000009</v>
      </c>
      <c r="AU16">
        <v>22459.31</v>
      </c>
      <c r="AV16">
        <v>0</v>
      </c>
      <c r="AW16">
        <v>0</v>
      </c>
      <c r="AX16">
        <v>0</v>
      </c>
      <c r="AY16">
        <v>701.52999999999986</v>
      </c>
      <c r="AZ16">
        <v>533.31999999999994</v>
      </c>
      <c r="BA16">
        <v>56547.520000000004</v>
      </c>
      <c r="BB16">
        <v>161920.81</v>
      </c>
      <c r="BC16">
        <v>0</v>
      </c>
      <c r="BD16">
        <v>0</v>
      </c>
      <c r="BE16">
        <v>0</v>
      </c>
      <c r="BF16">
        <v>144.328846</v>
      </c>
      <c r="BG16">
        <v>1.03834</v>
      </c>
      <c r="BH16">
        <v>0</v>
      </c>
      <c r="BI16">
        <v>54845.93</v>
      </c>
      <c r="BJ16">
        <v>27204.98</v>
      </c>
      <c r="BK16">
        <v>161920.81000000003</v>
      </c>
    </row>
    <row r="18" spans="1:15" x14ac:dyDescent="0.2">
      <c r="A18">
        <v>51</v>
      </c>
      <c r="E18">
        <f>SUMIF(A16:A17,3,E16:E17)</f>
        <v>161.91999999999999</v>
      </c>
      <c r="F18">
        <f>SUMIF(A16:A17,3,F16:F17)</f>
        <v>0</v>
      </c>
      <c r="G18">
        <f>SUMIF(A16:A17,3,G16:G17)</f>
        <v>0</v>
      </c>
      <c r="H18">
        <f>SUMIF(A16:A17,3,H16:H17)</f>
        <v>0</v>
      </c>
      <c r="I18">
        <f>SUMIF(A16:A17,3,I16:I17)</f>
        <v>161.91999999999999</v>
      </c>
      <c r="J18">
        <f>SUMIF(A16:A17,3,J16:J17)</f>
        <v>57.08</v>
      </c>
    </row>
    <row r="20" spans="1:15" x14ac:dyDescent="0.2">
      <c r="A20">
        <v>50</v>
      </c>
      <c r="B20">
        <v>0</v>
      </c>
      <c r="C20">
        <v>0</v>
      </c>
      <c r="D20">
        <v>1</v>
      </c>
      <c r="E20">
        <v>201</v>
      </c>
      <c r="F20">
        <v>79869.900000000009</v>
      </c>
      <c r="G20" t="s">
        <v>196</v>
      </c>
      <c r="H20" t="s">
        <v>197</v>
      </c>
      <c r="K20">
        <v>201</v>
      </c>
      <c r="L20">
        <v>1</v>
      </c>
      <c r="M20">
        <v>3</v>
      </c>
      <c r="N20" t="s">
        <v>3</v>
      </c>
      <c r="O20">
        <v>2</v>
      </c>
    </row>
    <row r="21" spans="1:15" x14ac:dyDescent="0.2">
      <c r="A21">
        <v>50</v>
      </c>
      <c r="B21">
        <v>0</v>
      </c>
      <c r="C21">
        <v>0</v>
      </c>
      <c r="D21">
        <v>1</v>
      </c>
      <c r="E21">
        <v>202</v>
      </c>
      <c r="F21">
        <v>22459.31</v>
      </c>
      <c r="G21" t="s">
        <v>198</v>
      </c>
      <c r="H21" t="s">
        <v>199</v>
      </c>
      <c r="K21">
        <v>202</v>
      </c>
      <c r="L21">
        <v>2</v>
      </c>
      <c r="M21">
        <v>3</v>
      </c>
      <c r="N21" t="s">
        <v>3</v>
      </c>
      <c r="O21">
        <v>2</v>
      </c>
    </row>
    <row r="22" spans="1:15" x14ac:dyDescent="0.2">
      <c r="A22">
        <v>50</v>
      </c>
      <c r="B22">
        <v>0</v>
      </c>
      <c r="C22">
        <v>0</v>
      </c>
      <c r="D22">
        <v>1</v>
      </c>
      <c r="E22">
        <v>222</v>
      </c>
      <c r="F22">
        <v>0</v>
      </c>
      <c r="G22" t="s">
        <v>200</v>
      </c>
      <c r="H22" t="s">
        <v>201</v>
      </c>
      <c r="K22">
        <v>222</v>
      </c>
      <c r="L22">
        <v>3</v>
      </c>
      <c r="M22">
        <v>3</v>
      </c>
      <c r="N22" t="s">
        <v>3</v>
      </c>
      <c r="O22">
        <v>2</v>
      </c>
    </row>
    <row r="23" spans="1:15" x14ac:dyDescent="0.2">
      <c r="A23">
        <v>50</v>
      </c>
      <c r="B23">
        <v>0</v>
      </c>
      <c r="C23">
        <v>0</v>
      </c>
      <c r="D23">
        <v>1</v>
      </c>
      <c r="E23">
        <v>225</v>
      </c>
      <c r="F23">
        <v>22459.31</v>
      </c>
      <c r="G23" t="s">
        <v>202</v>
      </c>
      <c r="H23" t="s">
        <v>203</v>
      </c>
      <c r="K23">
        <v>225</v>
      </c>
      <c r="L23">
        <v>4</v>
      </c>
      <c r="M23">
        <v>3</v>
      </c>
      <c r="N23" t="s">
        <v>3</v>
      </c>
      <c r="O23">
        <v>2</v>
      </c>
    </row>
    <row r="24" spans="1:15" x14ac:dyDescent="0.2">
      <c r="A24">
        <v>50</v>
      </c>
      <c r="B24">
        <v>0</v>
      </c>
      <c r="C24">
        <v>0</v>
      </c>
      <c r="D24">
        <v>1</v>
      </c>
      <c r="E24">
        <v>226</v>
      </c>
      <c r="F24">
        <v>22459.31</v>
      </c>
      <c r="G24" t="s">
        <v>204</v>
      </c>
      <c r="H24" t="s">
        <v>205</v>
      </c>
      <c r="K24">
        <v>226</v>
      </c>
      <c r="L24">
        <v>5</v>
      </c>
      <c r="M24">
        <v>3</v>
      </c>
      <c r="N24" t="s">
        <v>3</v>
      </c>
      <c r="O24">
        <v>2</v>
      </c>
    </row>
    <row r="25" spans="1:15" x14ac:dyDescent="0.2">
      <c r="A25">
        <v>50</v>
      </c>
      <c r="B25">
        <v>0</v>
      </c>
      <c r="C25">
        <v>0</v>
      </c>
      <c r="D25">
        <v>1</v>
      </c>
      <c r="E25">
        <v>227</v>
      </c>
      <c r="F25">
        <v>0</v>
      </c>
      <c r="G25" t="s">
        <v>206</v>
      </c>
      <c r="H25" t="s">
        <v>207</v>
      </c>
      <c r="K25">
        <v>227</v>
      </c>
      <c r="L25">
        <v>6</v>
      </c>
      <c r="M25">
        <v>3</v>
      </c>
      <c r="N25" t="s">
        <v>3</v>
      </c>
      <c r="O25">
        <v>2</v>
      </c>
    </row>
    <row r="26" spans="1:15" x14ac:dyDescent="0.2">
      <c r="A26">
        <v>50</v>
      </c>
      <c r="B26">
        <v>0</v>
      </c>
      <c r="C26">
        <v>0</v>
      </c>
      <c r="D26">
        <v>1</v>
      </c>
      <c r="E26">
        <v>228</v>
      </c>
      <c r="F26">
        <v>22459.31</v>
      </c>
      <c r="G26" t="s">
        <v>208</v>
      </c>
      <c r="H26" t="s">
        <v>209</v>
      </c>
      <c r="K26">
        <v>228</v>
      </c>
      <c r="L26">
        <v>7</v>
      </c>
      <c r="M26">
        <v>3</v>
      </c>
      <c r="N26" t="s">
        <v>3</v>
      </c>
      <c r="O26">
        <v>2</v>
      </c>
    </row>
    <row r="27" spans="1:15" x14ac:dyDescent="0.2">
      <c r="A27">
        <v>50</v>
      </c>
      <c r="B27">
        <v>0</v>
      </c>
      <c r="C27">
        <v>0</v>
      </c>
      <c r="D27">
        <v>1</v>
      </c>
      <c r="E27">
        <v>216</v>
      </c>
      <c r="F27">
        <v>0</v>
      </c>
      <c r="G27" t="s">
        <v>210</v>
      </c>
      <c r="H27" t="s">
        <v>211</v>
      </c>
      <c r="K27">
        <v>216</v>
      </c>
      <c r="L27">
        <v>8</v>
      </c>
      <c r="M27">
        <v>3</v>
      </c>
      <c r="N27" t="s">
        <v>3</v>
      </c>
      <c r="O27">
        <v>2</v>
      </c>
    </row>
    <row r="28" spans="1:15" x14ac:dyDescent="0.2">
      <c r="A28">
        <v>50</v>
      </c>
      <c r="B28">
        <v>0</v>
      </c>
      <c r="C28">
        <v>0</v>
      </c>
      <c r="D28">
        <v>1</v>
      </c>
      <c r="E28">
        <v>223</v>
      </c>
      <c r="F28">
        <v>0</v>
      </c>
      <c r="G28" t="s">
        <v>212</v>
      </c>
      <c r="H28" t="s">
        <v>213</v>
      </c>
      <c r="K28">
        <v>223</v>
      </c>
      <c r="L28">
        <v>9</v>
      </c>
      <c r="M28">
        <v>3</v>
      </c>
      <c r="N28" t="s">
        <v>3</v>
      </c>
      <c r="O28">
        <v>2</v>
      </c>
    </row>
    <row r="29" spans="1:15" x14ac:dyDescent="0.2">
      <c r="A29">
        <v>50</v>
      </c>
      <c r="B29">
        <v>0</v>
      </c>
      <c r="C29">
        <v>0</v>
      </c>
      <c r="D29">
        <v>1</v>
      </c>
      <c r="E29">
        <v>229</v>
      </c>
      <c r="F29">
        <v>0</v>
      </c>
      <c r="G29" t="s">
        <v>214</v>
      </c>
      <c r="H29" t="s">
        <v>215</v>
      </c>
      <c r="K29">
        <v>229</v>
      </c>
      <c r="L29">
        <v>10</v>
      </c>
      <c r="M29">
        <v>3</v>
      </c>
      <c r="N29" t="s">
        <v>3</v>
      </c>
      <c r="O29">
        <v>2</v>
      </c>
    </row>
    <row r="30" spans="1:15" x14ac:dyDescent="0.2">
      <c r="A30">
        <v>50</v>
      </c>
      <c r="B30">
        <v>0</v>
      </c>
      <c r="C30">
        <v>0</v>
      </c>
      <c r="D30">
        <v>1</v>
      </c>
      <c r="E30">
        <v>203</v>
      </c>
      <c r="F30">
        <v>701.52999999999986</v>
      </c>
      <c r="G30" t="s">
        <v>216</v>
      </c>
      <c r="H30" t="s">
        <v>217</v>
      </c>
      <c r="K30">
        <v>203</v>
      </c>
      <c r="L30">
        <v>11</v>
      </c>
      <c r="M30">
        <v>3</v>
      </c>
      <c r="N30" t="s">
        <v>3</v>
      </c>
      <c r="O30">
        <v>2</v>
      </c>
    </row>
    <row r="31" spans="1:15" x14ac:dyDescent="0.2">
      <c r="A31">
        <v>50</v>
      </c>
      <c r="B31">
        <v>0</v>
      </c>
      <c r="C31">
        <v>0</v>
      </c>
      <c r="D31">
        <v>1</v>
      </c>
      <c r="E31">
        <v>231</v>
      </c>
      <c r="F31">
        <v>0</v>
      </c>
      <c r="G31" t="s">
        <v>218</v>
      </c>
      <c r="H31" t="s">
        <v>219</v>
      </c>
      <c r="K31">
        <v>231</v>
      </c>
      <c r="L31">
        <v>12</v>
      </c>
      <c r="M31">
        <v>3</v>
      </c>
      <c r="N31" t="s">
        <v>3</v>
      </c>
      <c r="O31">
        <v>2</v>
      </c>
    </row>
    <row r="32" spans="1:15" x14ac:dyDescent="0.2">
      <c r="A32">
        <v>50</v>
      </c>
      <c r="B32">
        <v>0</v>
      </c>
      <c r="C32">
        <v>0</v>
      </c>
      <c r="D32">
        <v>1</v>
      </c>
      <c r="E32">
        <v>204</v>
      </c>
      <c r="F32">
        <v>533.31999999999994</v>
      </c>
      <c r="G32" t="s">
        <v>220</v>
      </c>
      <c r="H32" t="s">
        <v>221</v>
      </c>
      <c r="K32">
        <v>204</v>
      </c>
      <c r="L32">
        <v>13</v>
      </c>
      <c r="M32">
        <v>3</v>
      </c>
      <c r="N32" t="s">
        <v>3</v>
      </c>
      <c r="O32">
        <v>2</v>
      </c>
    </row>
    <row r="33" spans="1:15" x14ac:dyDescent="0.2">
      <c r="A33">
        <v>50</v>
      </c>
      <c r="B33">
        <v>0</v>
      </c>
      <c r="C33">
        <v>0</v>
      </c>
      <c r="D33">
        <v>1</v>
      </c>
      <c r="E33">
        <v>205</v>
      </c>
      <c r="F33">
        <v>56547.520000000004</v>
      </c>
      <c r="G33" t="s">
        <v>222</v>
      </c>
      <c r="H33" t="s">
        <v>223</v>
      </c>
      <c r="K33">
        <v>205</v>
      </c>
      <c r="L33">
        <v>14</v>
      </c>
      <c r="M33">
        <v>3</v>
      </c>
      <c r="N33" t="s">
        <v>3</v>
      </c>
      <c r="O33">
        <v>2</v>
      </c>
    </row>
    <row r="34" spans="1:15" x14ac:dyDescent="0.2">
      <c r="A34">
        <v>50</v>
      </c>
      <c r="B34">
        <v>0</v>
      </c>
      <c r="C34">
        <v>0</v>
      </c>
      <c r="D34">
        <v>1</v>
      </c>
      <c r="E34">
        <v>232</v>
      </c>
      <c r="F34">
        <v>0</v>
      </c>
      <c r="G34" t="s">
        <v>224</v>
      </c>
      <c r="H34" t="s">
        <v>225</v>
      </c>
      <c r="K34">
        <v>232</v>
      </c>
      <c r="L34">
        <v>15</v>
      </c>
      <c r="M34">
        <v>3</v>
      </c>
      <c r="N34" t="s">
        <v>3</v>
      </c>
      <c r="O34">
        <v>2</v>
      </c>
    </row>
    <row r="35" spans="1:15" x14ac:dyDescent="0.2">
      <c r="A35">
        <v>50</v>
      </c>
      <c r="B35">
        <v>0</v>
      </c>
      <c r="C35">
        <v>0</v>
      </c>
      <c r="D35">
        <v>1</v>
      </c>
      <c r="E35">
        <v>214</v>
      </c>
      <c r="F35">
        <v>161920.81</v>
      </c>
      <c r="G35" t="s">
        <v>226</v>
      </c>
      <c r="H35" t="s">
        <v>227</v>
      </c>
      <c r="K35">
        <v>214</v>
      </c>
      <c r="L35">
        <v>16</v>
      </c>
      <c r="M35">
        <v>3</v>
      </c>
      <c r="N35" t="s">
        <v>3</v>
      </c>
      <c r="O35">
        <v>2</v>
      </c>
    </row>
    <row r="36" spans="1:15" x14ac:dyDescent="0.2">
      <c r="A36">
        <v>50</v>
      </c>
      <c r="B36">
        <v>0</v>
      </c>
      <c r="C36">
        <v>0</v>
      </c>
      <c r="D36">
        <v>1</v>
      </c>
      <c r="E36">
        <v>215</v>
      </c>
      <c r="F36">
        <v>0</v>
      </c>
      <c r="G36" t="s">
        <v>228</v>
      </c>
      <c r="H36" t="s">
        <v>229</v>
      </c>
      <c r="K36">
        <v>215</v>
      </c>
      <c r="L36">
        <v>17</v>
      </c>
      <c r="M36">
        <v>3</v>
      </c>
      <c r="N36" t="s">
        <v>3</v>
      </c>
      <c r="O36">
        <v>2</v>
      </c>
    </row>
    <row r="37" spans="1:15" x14ac:dyDescent="0.2">
      <c r="A37">
        <v>50</v>
      </c>
      <c r="B37">
        <v>0</v>
      </c>
      <c r="C37">
        <v>0</v>
      </c>
      <c r="D37">
        <v>1</v>
      </c>
      <c r="E37">
        <v>217</v>
      </c>
      <c r="F37">
        <v>0</v>
      </c>
      <c r="G37" t="s">
        <v>230</v>
      </c>
      <c r="H37" t="s">
        <v>231</v>
      </c>
      <c r="K37">
        <v>217</v>
      </c>
      <c r="L37">
        <v>18</v>
      </c>
      <c r="M37">
        <v>3</v>
      </c>
      <c r="N37" t="s">
        <v>3</v>
      </c>
      <c r="O37">
        <v>2</v>
      </c>
    </row>
    <row r="38" spans="1:15" x14ac:dyDescent="0.2">
      <c r="A38">
        <v>50</v>
      </c>
      <c r="B38">
        <v>0</v>
      </c>
      <c r="C38">
        <v>0</v>
      </c>
      <c r="D38">
        <v>1</v>
      </c>
      <c r="E38">
        <v>230</v>
      </c>
      <c r="F38">
        <v>0</v>
      </c>
      <c r="G38" t="s">
        <v>232</v>
      </c>
      <c r="H38" t="s">
        <v>233</v>
      </c>
      <c r="K38">
        <v>230</v>
      </c>
      <c r="L38">
        <v>19</v>
      </c>
      <c r="M38">
        <v>3</v>
      </c>
      <c r="N38" t="s">
        <v>3</v>
      </c>
      <c r="O38">
        <v>2</v>
      </c>
    </row>
    <row r="39" spans="1:15" x14ac:dyDescent="0.2">
      <c r="A39">
        <v>50</v>
      </c>
      <c r="B39">
        <v>0</v>
      </c>
      <c r="C39">
        <v>0</v>
      </c>
      <c r="D39">
        <v>1</v>
      </c>
      <c r="E39">
        <v>206</v>
      </c>
      <c r="F39">
        <v>0</v>
      </c>
      <c r="G39" t="s">
        <v>234</v>
      </c>
      <c r="H39" t="s">
        <v>235</v>
      </c>
      <c r="K39">
        <v>206</v>
      </c>
      <c r="L39">
        <v>20</v>
      </c>
      <c r="M39">
        <v>3</v>
      </c>
      <c r="N39" t="s">
        <v>3</v>
      </c>
      <c r="O39">
        <v>2</v>
      </c>
    </row>
    <row r="40" spans="1:15" x14ac:dyDescent="0.2">
      <c r="A40">
        <v>50</v>
      </c>
      <c r="B40">
        <v>0</v>
      </c>
      <c r="C40">
        <v>0</v>
      </c>
      <c r="D40">
        <v>1</v>
      </c>
      <c r="E40">
        <v>207</v>
      </c>
      <c r="F40">
        <v>144.328846</v>
      </c>
      <c r="G40" t="s">
        <v>236</v>
      </c>
      <c r="H40" t="s">
        <v>237</v>
      </c>
      <c r="K40">
        <v>207</v>
      </c>
      <c r="L40">
        <v>21</v>
      </c>
      <c r="M40">
        <v>3</v>
      </c>
      <c r="N40" t="s">
        <v>3</v>
      </c>
      <c r="O40">
        <v>-1</v>
      </c>
    </row>
    <row r="41" spans="1:15" x14ac:dyDescent="0.2">
      <c r="A41">
        <v>50</v>
      </c>
      <c r="B41">
        <v>0</v>
      </c>
      <c r="C41">
        <v>0</v>
      </c>
      <c r="D41">
        <v>1</v>
      </c>
      <c r="E41">
        <v>208</v>
      </c>
      <c r="F41">
        <v>1.03834</v>
      </c>
      <c r="G41" t="s">
        <v>238</v>
      </c>
      <c r="H41" t="s">
        <v>239</v>
      </c>
      <c r="K41">
        <v>208</v>
      </c>
      <c r="L41">
        <v>22</v>
      </c>
      <c r="M41">
        <v>3</v>
      </c>
      <c r="N41" t="s">
        <v>3</v>
      </c>
      <c r="O41">
        <v>-1</v>
      </c>
    </row>
    <row r="42" spans="1:15" x14ac:dyDescent="0.2">
      <c r="A42">
        <v>50</v>
      </c>
      <c r="B42">
        <v>0</v>
      </c>
      <c r="C42">
        <v>0</v>
      </c>
      <c r="D42">
        <v>1</v>
      </c>
      <c r="E42">
        <v>209</v>
      </c>
      <c r="F42">
        <v>0</v>
      </c>
      <c r="G42" t="s">
        <v>240</v>
      </c>
      <c r="H42" t="s">
        <v>241</v>
      </c>
      <c r="K42">
        <v>209</v>
      </c>
      <c r="L42">
        <v>23</v>
      </c>
      <c r="M42">
        <v>3</v>
      </c>
      <c r="N42" t="s">
        <v>3</v>
      </c>
      <c r="O42">
        <v>2</v>
      </c>
    </row>
    <row r="43" spans="1:15" x14ac:dyDescent="0.2">
      <c r="A43">
        <v>50</v>
      </c>
      <c r="B43">
        <v>0</v>
      </c>
      <c r="C43">
        <v>0</v>
      </c>
      <c r="D43">
        <v>1</v>
      </c>
      <c r="E43">
        <v>233</v>
      </c>
      <c r="F43">
        <v>161.54</v>
      </c>
      <c r="G43" t="s">
        <v>242</v>
      </c>
      <c r="H43" t="s">
        <v>243</v>
      </c>
      <c r="K43">
        <v>233</v>
      </c>
      <c r="L43">
        <v>24</v>
      </c>
      <c r="M43">
        <v>3</v>
      </c>
      <c r="N43" t="s">
        <v>3</v>
      </c>
      <c r="O43">
        <v>2</v>
      </c>
    </row>
    <row r="44" spans="1:15" x14ac:dyDescent="0.2">
      <c r="A44">
        <v>50</v>
      </c>
      <c r="B44">
        <v>0</v>
      </c>
      <c r="C44">
        <v>0</v>
      </c>
      <c r="D44">
        <v>1</v>
      </c>
      <c r="E44">
        <v>210</v>
      </c>
      <c r="F44">
        <v>54845.93</v>
      </c>
      <c r="G44" t="s">
        <v>244</v>
      </c>
      <c r="H44" t="s">
        <v>245</v>
      </c>
      <c r="K44">
        <v>210</v>
      </c>
      <c r="L44">
        <v>25</v>
      </c>
      <c r="M44">
        <v>3</v>
      </c>
      <c r="N44" t="s">
        <v>3</v>
      </c>
      <c r="O44">
        <v>2</v>
      </c>
    </row>
    <row r="45" spans="1:15" x14ac:dyDescent="0.2">
      <c r="A45">
        <v>50</v>
      </c>
      <c r="B45">
        <v>0</v>
      </c>
      <c r="C45">
        <v>0</v>
      </c>
      <c r="D45">
        <v>1</v>
      </c>
      <c r="E45">
        <v>211</v>
      </c>
      <c r="F45">
        <v>27204.98</v>
      </c>
      <c r="G45" t="s">
        <v>246</v>
      </c>
      <c r="H45" t="s">
        <v>247</v>
      </c>
      <c r="K45">
        <v>211</v>
      </c>
      <c r="L45">
        <v>26</v>
      </c>
      <c r="M45">
        <v>3</v>
      </c>
      <c r="N45" t="s">
        <v>3</v>
      </c>
      <c r="O45">
        <v>2</v>
      </c>
    </row>
    <row r="46" spans="1:15" x14ac:dyDescent="0.2">
      <c r="A46">
        <v>50</v>
      </c>
      <c r="B46">
        <v>0</v>
      </c>
      <c r="C46">
        <v>0</v>
      </c>
      <c r="D46">
        <v>1</v>
      </c>
      <c r="E46">
        <v>224</v>
      </c>
      <c r="F46">
        <v>161920.81000000003</v>
      </c>
      <c r="G46" t="s">
        <v>248</v>
      </c>
      <c r="H46" t="s">
        <v>249</v>
      </c>
      <c r="K46">
        <v>224</v>
      </c>
      <c r="L46">
        <v>27</v>
      </c>
      <c r="M46">
        <v>3</v>
      </c>
      <c r="N46" t="s">
        <v>3</v>
      </c>
      <c r="O46">
        <v>2</v>
      </c>
    </row>
    <row r="48" spans="1:15" x14ac:dyDescent="0.2">
      <c r="A48">
        <v>-1</v>
      </c>
    </row>
    <row r="51" spans="1:40" x14ac:dyDescent="0.2">
      <c r="A51">
        <v>75</v>
      </c>
      <c r="B51" t="s">
        <v>318</v>
      </c>
      <c r="C51">
        <v>2026</v>
      </c>
      <c r="D51">
        <v>3</v>
      </c>
      <c r="E51">
        <v>0</v>
      </c>
      <c r="F51">
        <v>0</v>
      </c>
      <c r="G51">
        <v>0</v>
      </c>
      <c r="H51">
        <v>1</v>
      </c>
      <c r="I51">
        <v>0</v>
      </c>
      <c r="J51">
        <v>1</v>
      </c>
      <c r="K51">
        <v>0</v>
      </c>
      <c r="L51">
        <v>0</v>
      </c>
      <c r="M51">
        <v>0</v>
      </c>
      <c r="N51">
        <v>53360025</v>
      </c>
      <c r="O51">
        <v>1</v>
      </c>
    </row>
    <row r="52" spans="1:40" x14ac:dyDescent="0.2">
      <c r="A52">
        <v>3</v>
      </c>
      <c r="B52" t="s">
        <v>319</v>
      </c>
      <c r="C52">
        <v>1</v>
      </c>
      <c r="D52">
        <v>8.7899999999999991</v>
      </c>
      <c r="E52">
        <v>14.42</v>
      </c>
      <c r="F52">
        <v>39.33</v>
      </c>
      <c r="G52">
        <v>39.33</v>
      </c>
      <c r="H52">
        <v>6.16</v>
      </c>
      <c r="I52">
        <v>1</v>
      </c>
      <c r="J52">
        <v>2</v>
      </c>
      <c r="K52">
        <v>39.33</v>
      </c>
      <c r="L52">
        <v>1</v>
      </c>
      <c r="M52">
        <v>1</v>
      </c>
      <c r="N52">
        <v>8.7899999999999991</v>
      </c>
      <c r="O52">
        <v>6.16</v>
      </c>
      <c r="P52">
        <v>1</v>
      </c>
      <c r="Q52">
        <v>39.33</v>
      </c>
      <c r="R52">
        <v>1</v>
      </c>
      <c r="S52" t="s">
        <v>3</v>
      </c>
      <c r="T52" t="s">
        <v>3</v>
      </c>
      <c r="U52" t="s">
        <v>33</v>
      </c>
      <c r="V52" t="s">
        <v>33</v>
      </c>
      <c r="W52" t="s">
        <v>33</v>
      </c>
      <c r="X52" t="s">
        <v>33</v>
      </c>
      <c r="Y52" t="s">
        <v>320</v>
      </c>
      <c r="Z52" t="s">
        <v>3</v>
      </c>
      <c r="AA52" t="s">
        <v>33</v>
      </c>
      <c r="AB52" t="s">
        <v>3</v>
      </c>
      <c r="AC52" t="s">
        <v>3</v>
      </c>
      <c r="AD52" t="s">
        <v>33</v>
      </c>
      <c r="AE52" t="s">
        <v>320</v>
      </c>
      <c r="AF52" t="s">
        <v>3</v>
      </c>
      <c r="AG52" t="s">
        <v>33</v>
      </c>
      <c r="AH52" t="s">
        <v>3</v>
      </c>
      <c r="AN52">
        <v>53360026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99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19" x14ac:dyDescent="0.2">
      <c r="A1">
        <f>ROW(Source!A28)</f>
        <v>28</v>
      </c>
      <c r="B1">
        <v>53360025</v>
      </c>
      <c r="C1">
        <v>53362503</v>
      </c>
      <c r="D1">
        <v>37065248</v>
      </c>
      <c r="E1">
        <v>70</v>
      </c>
      <c r="F1">
        <v>1</v>
      </c>
      <c r="G1">
        <v>1</v>
      </c>
      <c r="H1">
        <v>1</v>
      </c>
      <c r="I1" t="s">
        <v>322</v>
      </c>
      <c r="J1" t="s">
        <v>3</v>
      </c>
      <c r="K1" t="s">
        <v>323</v>
      </c>
      <c r="L1">
        <v>1191</v>
      </c>
      <c r="N1">
        <v>1013</v>
      </c>
      <c r="O1" t="s">
        <v>324</v>
      </c>
      <c r="P1" t="s">
        <v>324</v>
      </c>
      <c r="Q1">
        <v>1</v>
      </c>
      <c r="W1">
        <v>0</v>
      </c>
      <c r="X1">
        <v>1049124552</v>
      </c>
      <c r="Y1">
        <f t="shared" ref="Y1:Y12" si="0">AT1</f>
        <v>69.87</v>
      </c>
      <c r="AA1">
        <v>0</v>
      </c>
      <c r="AB1">
        <v>0</v>
      </c>
      <c r="AC1">
        <v>0</v>
      </c>
      <c r="AD1">
        <v>335.48</v>
      </c>
      <c r="AE1">
        <v>0</v>
      </c>
      <c r="AF1">
        <v>0</v>
      </c>
      <c r="AG1">
        <v>0</v>
      </c>
      <c r="AH1">
        <v>8.5299999999999994</v>
      </c>
      <c r="AI1">
        <v>1</v>
      </c>
      <c r="AJ1">
        <v>1</v>
      </c>
      <c r="AK1">
        <v>1</v>
      </c>
      <c r="AL1">
        <v>39.33</v>
      </c>
      <c r="AM1">
        <v>4</v>
      </c>
      <c r="AN1">
        <v>0</v>
      </c>
      <c r="AO1">
        <v>1</v>
      </c>
      <c r="AP1">
        <v>0</v>
      </c>
      <c r="AQ1">
        <v>0</v>
      </c>
      <c r="AR1">
        <v>0</v>
      </c>
      <c r="AS1" t="s">
        <v>3</v>
      </c>
      <c r="AT1">
        <v>69.87</v>
      </c>
      <c r="AU1" t="s">
        <v>3</v>
      </c>
      <c r="AV1">
        <v>1</v>
      </c>
      <c r="AW1">
        <v>2</v>
      </c>
      <c r="AX1">
        <v>53362508</v>
      </c>
      <c r="AY1">
        <v>1</v>
      </c>
      <c r="AZ1">
        <v>0</v>
      </c>
      <c r="BA1">
        <v>1</v>
      </c>
      <c r="BB1">
        <v>0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CU1">
        <f>ROUND(AT1*Source!I28*AH1*AL1,2)</f>
        <v>2871.44</v>
      </c>
      <c r="CV1">
        <f>ROUND(Y1*Source!I28,7)</f>
        <v>8.559075</v>
      </c>
      <c r="CW1">
        <v>0</v>
      </c>
      <c r="CX1">
        <f>ROUND(Y1*Source!I28,7)</f>
        <v>8.559075</v>
      </c>
      <c r="CY1">
        <f>AD1</f>
        <v>335.48</v>
      </c>
      <c r="CZ1">
        <f>AH1</f>
        <v>8.5299999999999994</v>
      </c>
      <c r="DA1">
        <f>AL1</f>
        <v>39.33</v>
      </c>
      <c r="DB1">
        <f t="shared" ref="DB1:DB12" si="1">ROUND(ROUND(AT1*CZ1,2),6)</f>
        <v>595.99</v>
      </c>
      <c r="DC1">
        <f t="shared" ref="DC1:DC12" si="2">ROUND(ROUND(AT1*AG1,2),6)</f>
        <v>0</v>
      </c>
      <c r="DD1" t="s">
        <v>3</v>
      </c>
      <c r="DE1" t="s">
        <v>3</v>
      </c>
      <c r="DF1">
        <f>ROUND(ROUND(AE1,2)*CX1,2)</f>
        <v>0</v>
      </c>
      <c r="DG1">
        <f>ROUND(ROUND(AF1,2)*CX1,2)</f>
        <v>0</v>
      </c>
      <c r="DH1">
        <f>ROUND(ROUND(AG1,2)*CX1,2)</f>
        <v>0</v>
      </c>
      <c r="DI1">
        <f>ROUND(ROUND(AH1*AL1,2)*CX1,2)</f>
        <v>2871.4</v>
      </c>
      <c r="DJ1">
        <f>DI1</f>
        <v>2871.4</v>
      </c>
      <c r="DK1">
        <v>0</v>
      </c>
      <c r="DL1" t="s">
        <v>3</v>
      </c>
      <c r="DM1">
        <v>0</v>
      </c>
      <c r="DN1" t="s">
        <v>3</v>
      </c>
      <c r="DO1">
        <v>0</v>
      </c>
    </row>
    <row r="2" spans="1:119" x14ac:dyDescent="0.2">
      <c r="A2">
        <f>ROW(Source!A28)</f>
        <v>28</v>
      </c>
      <c r="B2">
        <v>53360025</v>
      </c>
      <c r="C2">
        <v>53362503</v>
      </c>
      <c r="D2">
        <v>37064876</v>
      </c>
      <c r="E2">
        <v>70</v>
      </c>
      <c r="F2">
        <v>1</v>
      </c>
      <c r="G2">
        <v>1</v>
      </c>
      <c r="H2">
        <v>1</v>
      </c>
      <c r="I2" t="s">
        <v>325</v>
      </c>
      <c r="J2" t="s">
        <v>3</v>
      </c>
      <c r="K2" t="s">
        <v>326</v>
      </c>
      <c r="L2">
        <v>1191</v>
      </c>
      <c r="N2">
        <v>1013</v>
      </c>
      <c r="O2" t="s">
        <v>324</v>
      </c>
      <c r="P2" t="s">
        <v>324</v>
      </c>
      <c r="Q2">
        <v>1</v>
      </c>
      <c r="W2">
        <v>0</v>
      </c>
      <c r="X2">
        <v>-1417349443</v>
      </c>
      <c r="Y2">
        <f t="shared" si="0"/>
        <v>1.44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1</v>
      </c>
      <c r="AJ2">
        <v>1</v>
      </c>
      <c r="AK2">
        <v>39.33</v>
      </c>
      <c r="AL2">
        <v>1</v>
      </c>
      <c r="AM2">
        <v>4</v>
      </c>
      <c r="AN2">
        <v>0</v>
      </c>
      <c r="AO2">
        <v>1</v>
      </c>
      <c r="AP2">
        <v>0</v>
      </c>
      <c r="AQ2">
        <v>0</v>
      </c>
      <c r="AR2">
        <v>0</v>
      </c>
      <c r="AS2" t="s">
        <v>3</v>
      </c>
      <c r="AT2">
        <v>1.44</v>
      </c>
      <c r="AU2" t="s">
        <v>3</v>
      </c>
      <c r="AV2">
        <v>2</v>
      </c>
      <c r="AW2">
        <v>2</v>
      </c>
      <c r="AX2">
        <v>53362509</v>
      </c>
      <c r="AY2">
        <v>1</v>
      </c>
      <c r="AZ2">
        <v>0</v>
      </c>
      <c r="BA2">
        <v>2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CV2">
        <v>0</v>
      </c>
      <c r="CW2">
        <v>0</v>
      </c>
      <c r="CX2">
        <f>ROUND(Y2*Source!I28,7)</f>
        <v>0.1764</v>
      </c>
      <c r="CY2">
        <f>AD2</f>
        <v>0</v>
      </c>
      <c r="CZ2">
        <f>AH2</f>
        <v>0</v>
      </c>
      <c r="DA2">
        <f>AL2</f>
        <v>1</v>
      </c>
      <c r="DB2">
        <f t="shared" si="1"/>
        <v>0</v>
      </c>
      <c r="DC2">
        <f t="shared" si="2"/>
        <v>0</v>
      </c>
      <c r="DD2" t="s">
        <v>3</v>
      </c>
      <c r="DE2" t="s">
        <v>3</v>
      </c>
      <c r="DF2">
        <f>ROUND(ROUND(AE2,2)*CX2,2)</f>
        <v>0</v>
      </c>
      <c r="DG2">
        <f>ROUND(ROUND(AF2,2)*CX2,2)</f>
        <v>0</v>
      </c>
      <c r="DH2">
        <f>ROUND(ROUND(AG2*AK2,2)*CX2,2)</f>
        <v>0</v>
      </c>
      <c r="DI2">
        <f>ROUND(ROUND(AH2,2)*CX2,2)</f>
        <v>0</v>
      </c>
      <c r="DJ2">
        <f>DI2</f>
        <v>0</v>
      </c>
      <c r="DK2">
        <v>0</v>
      </c>
      <c r="DL2" t="s">
        <v>3</v>
      </c>
      <c r="DM2">
        <v>0</v>
      </c>
      <c r="DN2" t="s">
        <v>3</v>
      </c>
      <c r="DO2">
        <v>0</v>
      </c>
    </row>
    <row r="3" spans="1:119" x14ac:dyDescent="0.2">
      <c r="A3">
        <f>ROW(Source!A28)</f>
        <v>28</v>
      </c>
      <c r="B3">
        <v>53360025</v>
      </c>
      <c r="C3">
        <v>53362503</v>
      </c>
      <c r="D3">
        <v>1091150933</v>
      </c>
      <c r="E3">
        <v>1</v>
      </c>
      <c r="F3">
        <v>1</v>
      </c>
      <c r="G3">
        <v>1</v>
      </c>
      <c r="H3">
        <v>2</v>
      </c>
      <c r="I3" t="s">
        <v>327</v>
      </c>
      <c r="J3" t="s">
        <v>328</v>
      </c>
      <c r="K3" t="s">
        <v>329</v>
      </c>
      <c r="L3">
        <v>1367</v>
      </c>
      <c r="N3">
        <v>1011</v>
      </c>
      <c r="O3" t="s">
        <v>330</v>
      </c>
      <c r="P3" t="s">
        <v>330</v>
      </c>
      <c r="Q3">
        <v>1</v>
      </c>
      <c r="W3">
        <v>0</v>
      </c>
      <c r="X3">
        <v>1232162608</v>
      </c>
      <c r="Y3">
        <f t="shared" si="0"/>
        <v>1.44</v>
      </c>
      <c r="AA3">
        <v>0</v>
      </c>
      <c r="AB3">
        <v>450.77</v>
      </c>
      <c r="AC3">
        <v>530.96</v>
      </c>
      <c r="AD3">
        <v>0</v>
      </c>
      <c r="AE3">
        <v>0</v>
      </c>
      <c r="AF3">
        <v>31.26</v>
      </c>
      <c r="AG3">
        <v>13.5</v>
      </c>
      <c r="AH3">
        <v>0</v>
      </c>
      <c r="AI3">
        <v>1</v>
      </c>
      <c r="AJ3">
        <v>14.42</v>
      </c>
      <c r="AK3">
        <v>39.33</v>
      </c>
      <c r="AL3">
        <v>1</v>
      </c>
      <c r="AM3">
        <v>4</v>
      </c>
      <c r="AN3">
        <v>0</v>
      </c>
      <c r="AO3">
        <v>1</v>
      </c>
      <c r="AP3">
        <v>0</v>
      </c>
      <c r="AQ3">
        <v>0</v>
      </c>
      <c r="AR3">
        <v>0</v>
      </c>
      <c r="AS3" t="s">
        <v>3</v>
      </c>
      <c r="AT3">
        <v>1.44</v>
      </c>
      <c r="AU3" t="s">
        <v>3</v>
      </c>
      <c r="AV3">
        <v>0</v>
      </c>
      <c r="AW3">
        <v>2</v>
      </c>
      <c r="AX3">
        <v>53362510</v>
      </c>
      <c r="AY3">
        <v>1</v>
      </c>
      <c r="AZ3">
        <v>0</v>
      </c>
      <c r="BA3">
        <v>3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CV3">
        <v>0</v>
      </c>
      <c r="CW3">
        <f>ROUND(Y3*Source!I28*DO3,7)</f>
        <v>0</v>
      </c>
      <c r="CX3">
        <f>ROUND(Y3*Source!I28,7)</f>
        <v>0.1764</v>
      </c>
      <c r="CY3">
        <f>AB3</f>
        <v>450.77</v>
      </c>
      <c r="CZ3">
        <f>AF3</f>
        <v>31.26</v>
      </c>
      <c r="DA3">
        <f>AJ3</f>
        <v>14.42</v>
      </c>
      <c r="DB3">
        <f t="shared" si="1"/>
        <v>45.01</v>
      </c>
      <c r="DC3">
        <f t="shared" si="2"/>
        <v>19.440000000000001</v>
      </c>
      <c r="DD3" t="s">
        <v>3</v>
      </c>
      <c r="DE3" t="s">
        <v>3</v>
      </c>
      <c r="DF3">
        <f>ROUND(ROUND(AE3,2)*CX3,2)</f>
        <v>0</v>
      </c>
      <c r="DG3">
        <f>ROUND(ROUND(AF3*AJ3,2)*CX3,2)</f>
        <v>79.52</v>
      </c>
      <c r="DH3">
        <f>ROUND(ROUND(AG3*AK3,2)*CX3,2)</f>
        <v>93.66</v>
      </c>
      <c r="DI3">
        <f>ROUND(ROUND(AH3,2)*CX3,2)</f>
        <v>0</v>
      </c>
      <c r="DJ3">
        <f>DG3</f>
        <v>79.52</v>
      </c>
      <c r="DK3">
        <v>0</v>
      </c>
      <c r="DL3" t="s">
        <v>3</v>
      </c>
      <c r="DM3">
        <v>0</v>
      </c>
      <c r="DN3" t="s">
        <v>3</v>
      </c>
      <c r="DO3">
        <v>0</v>
      </c>
    </row>
    <row r="4" spans="1:119" x14ac:dyDescent="0.2">
      <c r="A4">
        <f>ROW(Source!A28)</f>
        <v>28</v>
      </c>
      <c r="B4">
        <v>53360025</v>
      </c>
      <c r="C4">
        <v>53362503</v>
      </c>
      <c r="D4">
        <v>1090935418</v>
      </c>
      <c r="E4">
        <v>1</v>
      </c>
      <c r="F4">
        <v>1</v>
      </c>
      <c r="G4">
        <v>1</v>
      </c>
      <c r="H4">
        <v>3</v>
      </c>
      <c r="I4" t="s">
        <v>30</v>
      </c>
      <c r="J4" t="s">
        <v>3</v>
      </c>
      <c r="K4" t="s">
        <v>31</v>
      </c>
      <c r="L4">
        <v>1348</v>
      </c>
      <c r="N4">
        <v>1009</v>
      </c>
      <c r="O4" t="s">
        <v>32</v>
      </c>
      <c r="P4" t="s">
        <v>32</v>
      </c>
      <c r="Q4">
        <v>1000</v>
      </c>
      <c r="W4">
        <v>0</v>
      </c>
      <c r="X4">
        <v>2102561428</v>
      </c>
      <c r="Y4">
        <f t="shared" si="0"/>
        <v>5.2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8.7899999999999991</v>
      </c>
      <c r="AJ4">
        <v>1</v>
      </c>
      <c r="AK4">
        <v>1</v>
      </c>
      <c r="AL4">
        <v>1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 t="s">
        <v>3</v>
      </c>
      <c r="AT4">
        <v>5.2</v>
      </c>
      <c r="AU4" t="s">
        <v>3</v>
      </c>
      <c r="AV4">
        <v>0</v>
      </c>
      <c r="AW4">
        <v>2</v>
      </c>
      <c r="AX4">
        <v>53362511</v>
      </c>
      <c r="AY4">
        <v>1</v>
      </c>
      <c r="AZ4">
        <v>0</v>
      </c>
      <c r="BA4">
        <v>4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CV4">
        <v>0</v>
      </c>
      <c r="CW4">
        <v>0</v>
      </c>
      <c r="CX4">
        <f>ROUND(Y4*Source!I28,7)</f>
        <v>0.63700000000000001</v>
      </c>
      <c r="CY4">
        <f>AA4</f>
        <v>0</v>
      </c>
      <c r="CZ4">
        <f>AE4</f>
        <v>0</v>
      </c>
      <c r="DA4">
        <f>AI4</f>
        <v>8.7899999999999991</v>
      </c>
      <c r="DB4">
        <f t="shared" si="1"/>
        <v>0</v>
      </c>
      <c r="DC4">
        <f t="shared" si="2"/>
        <v>0</v>
      </c>
      <c r="DD4" t="s">
        <v>3</v>
      </c>
      <c r="DE4" t="s">
        <v>3</v>
      </c>
      <c r="DF4">
        <f>ROUND(ROUND(AE4*AI4,2)*CX4,2)</f>
        <v>0</v>
      </c>
      <c r="DG4">
        <f>ROUND(ROUND(AF4,2)*CX4,2)</f>
        <v>0</v>
      </c>
      <c r="DH4">
        <f>ROUND(ROUND(AG4,2)*CX4,2)</f>
        <v>0</v>
      </c>
      <c r="DI4">
        <f>ROUND(ROUND(AH4,2)*CX4,2)</f>
        <v>0</v>
      </c>
      <c r="DJ4">
        <f>DF4</f>
        <v>0</v>
      </c>
      <c r="DK4">
        <v>0</v>
      </c>
      <c r="DL4" t="s">
        <v>3</v>
      </c>
      <c r="DM4">
        <v>0</v>
      </c>
      <c r="DN4" t="s">
        <v>3</v>
      </c>
      <c r="DO4">
        <v>0</v>
      </c>
    </row>
    <row r="5" spans="1:119" x14ac:dyDescent="0.2">
      <c r="A5">
        <f>ROW(Source!A30)</f>
        <v>30</v>
      </c>
      <c r="B5">
        <v>53360025</v>
      </c>
      <c r="C5">
        <v>53362513</v>
      </c>
      <c r="D5">
        <v>37068110</v>
      </c>
      <c r="E5">
        <v>70</v>
      </c>
      <c r="F5">
        <v>1</v>
      </c>
      <c r="G5">
        <v>1</v>
      </c>
      <c r="H5">
        <v>1</v>
      </c>
      <c r="I5" t="s">
        <v>331</v>
      </c>
      <c r="J5" t="s">
        <v>3</v>
      </c>
      <c r="K5" t="s">
        <v>332</v>
      </c>
      <c r="L5">
        <v>1191</v>
      </c>
      <c r="N5">
        <v>1013</v>
      </c>
      <c r="O5" t="s">
        <v>324</v>
      </c>
      <c r="P5" t="s">
        <v>324</v>
      </c>
      <c r="Q5">
        <v>1</v>
      </c>
      <c r="W5">
        <v>0</v>
      </c>
      <c r="X5">
        <v>-1040088138</v>
      </c>
      <c r="Y5">
        <f t="shared" si="0"/>
        <v>1.03</v>
      </c>
      <c r="AA5">
        <v>0</v>
      </c>
      <c r="AB5">
        <v>0</v>
      </c>
      <c r="AC5">
        <v>0</v>
      </c>
      <c r="AD5">
        <v>282.77999999999997</v>
      </c>
      <c r="AE5">
        <v>0</v>
      </c>
      <c r="AF5">
        <v>0</v>
      </c>
      <c r="AG5">
        <v>0</v>
      </c>
      <c r="AH5">
        <v>7.19</v>
      </c>
      <c r="AI5">
        <v>1</v>
      </c>
      <c r="AJ5">
        <v>1</v>
      </c>
      <c r="AK5">
        <v>1</v>
      </c>
      <c r="AL5">
        <v>39.33</v>
      </c>
      <c r="AM5">
        <v>4</v>
      </c>
      <c r="AN5">
        <v>0</v>
      </c>
      <c r="AO5">
        <v>1</v>
      </c>
      <c r="AP5">
        <v>0</v>
      </c>
      <c r="AQ5">
        <v>0</v>
      </c>
      <c r="AR5">
        <v>0</v>
      </c>
      <c r="AS5" t="s">
        <v>3</v>
      </c>
      <c r="AT5">
        <v>1.03</v>
      </c>
      <c r="AU5" t="s">
        <v>3</v>
      </c>
      <c r="AV5">
        <v>1</v>
      </c>
      <c r="AW5">
        <v>2</v>
      </c>
      <c r="AX5">
        <v>53362516</v>
      </c>
      <c r="AY5">
        <v>1</v>
      </c>
      <c r="AZ5">
        <v>0</v>
      </c>
      <c r="BA5">
        <v>5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CU5">
        <f>ROUND(AT5*Source!I30*AH5*AL5,2)</f>
        <v>96.35</v>
      </c>
      <c r="CV5">
        <f>ROUND(Y5*Source!I30,7)</f>
        <v>0.34072400000000003</v>
      </c>
      <c r="CW5">
        <v>0</v>
      </c>
      <c r="CX5">
        <f>ROUND(Y5*Source!I30,7)</f>
        <v>0.34072400000000003</v>
      </c>
      <c r="CY5">
        <f>AD5</f>
        <v>282.77999999999997</v>
      </c>
      <c r="CZ5">
        <f>AH5</f>
        <v>7.19</v>
      </c>
      <c r="DA5">
        <f>AL5</f>
        <v>39.33</v>
      </c>
      <c r="DB5">
        <f t="shared" si="1"/>
        <v>7.41</v>
      </c>
      <c r="DC5">
        <f t="shared" si="2"/>
        <v>0</v>
      </c>
      <c r="DD5" t="s">
        <v>3</v>
      </c>
      <c r="DE5" t="s">
        <v>3</v>
      </c>
      <c r="DF5">
        <f>ROUND(ROUND(AE5,2)*CX5,2)</f>
        <v>0</v>
      </c>
      <c r="DG5">
        <f>ROUND(ROUND(AF5,2)*CX5,2)</f>
        <v>0</v>
      </c>
      <c r="DH5">
        <f>ROUND(ROUND(AG5,2)*CX5,2)</f>
        <v>0</v>
      </c>
      <c r="DI5">
        <f>ROUND(ROUND(AH5*AL5,2)*CX5,2)</f>
        <v>96.35</v>
      </c>
      <c r="DJ5">
        <f>DI5</f>
        <v>96.35</v>
      </c>
      <c r="DK5">
        <v>0</v>
      </c>
      <c r="DL5" t="s">
        <v>3</v>
      </c>
      <c r="DM5">
        <v>0</v>
      </c>
      <c r="DN5" t="s">
        <v>3</v>
      </c>
      <c r="DO5">
        <v>0</v>
      </c>
    </row>
    <row r="6" spans="1:119" x14ac:dyDescent="0.2">
      <c r="A6">
        <f>ROW(Source!A30)</f>
        <v>30</v>
      </c>
      <c r="B6">
        <v>53360025</v>
      </c>
      <c r="C6">
        <v>53362513</v>
      </c>
      <c r="D6">
        <v>1090952030</v>
      </c>
      <c r="E6">
        <v>1</v>
      </c>
      <c r="F6">
        <v>1</v>
      </c>
      <c r="G6">
        <v>1</v>
      </c>
      <c r="H6">
        <v>3</v>
      </c>
      <c r="I6" t="s">
        <v>333</v>
      </c>
      <c r="J6" t="s">
        <v>334</v>
      </c>
      <c r="K6" t="s">
        <v>335</v>
      </c>
      <c r="L6">
        <v>1425</v>
      </c>
      <c r="N6">
        <v>1013</v>
      </c>
      <c r="O6" t="s">
        <v>336</v>
      </c>
      <c r="P6" t="s">
        <v>336</v>
      </c>
      <c r="Q6">
        <v>1</v>
      </c>
      <c r="W6">
        <v>0</v>
      </c>
      <c r="X6">
        <v>1029976444</v>
      </c>
      <c r="Y6">
        <f t="shared" si="0"/>
        <v>0.2</v>
      </c>
      <c r="AA6">
        <v>720.78</v>
      </c>
      <c r="AB6">
        <v>0</v>
      </c>
      <c r="AC6">
        <v>0</v>
      </c>
      <c r="AD6">
        <v>0</v>
      </c>
      <c r="AE6">
        <v>82</v>
      </c>
      <c r="AF6">
        <v>0</v>
      </c>
      <c r="AG6">
        <v>0</v>
      </c>
      <c r="AH6">
        <v>0</v>
      </c>
      <c r="AI6">
        <v>8.7899999999999991</v>
      </c>
      <c r="AJ6">
        <v>1</v>
      </c>
      <c r="AK6">
        <v>1</v>
      </c>
      <c r="AL6">
        <v>1</v>
      </c>
      <c r="AM6">
        <v>4</v>
      </c>
      <c r="AN6">
        <v>0</v>
      </c>
      <c r="AO6">
        <v>1</v>
      </c>
      <c r="AP6">
        <v>0</v>
      </c>
      <c r="AQ6">
        <v>0</v>
      </c>
      <c r="AR6">
        <v>0</v>
      </c>
      <c r="AS6" t="s">
        <v>3</v>
      </c>
      <c r="AT6">
        <v>0.2</v>
      </c>
      <c r="AU6" t="s">
        <v>3</v>
      </c>
      <c r="AV6">
        <v>0</v>
      </c>
      <c r="AW6">
        <v>2</v>
      </c>
      <c r="AX6">
        <v>53362517</v>
      </c>
      <c r="AY6">
        <v>1</v>
      </c>
      <c r="AZ6">
        <v>0</v>
      </c>
      <c r="BA6">
        <v>6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CV6">
        <v>0</v>
      </c>
      <c r="CW6">
        <v>0</v>
      </c>
      <c r="CX6">
        <f>ROUND(Y6*Source!I30,7)</f>
        <v>6.6159999999999997E-2</v>
      </c>
      <c r="CY6">
        <f>AA6</f>
        <v>720.78</v>
      </c>
      <c r="CZ6">
        <f>AE6</f>
        <v>82</v>
      </c>
      <c r="DA6">
        <f>AI6</f>
        <v>8.7899999999999991</v>
      </c>
      <c r="DB6">
        <f t="shared" si="1"/>
        <v>16.399999999999999</v>
      </c>
      <c r="DC6">
        <f t="shared" si="2"/>
        <v>0</v>
      </c>
      <c r="DD6" t="s">
        <v>3</v>
      </c>
      <c r="DE6" t="s">
        <v>3</v>
      </c>
      <c r="DF6">
        <f>ROUND(ROUND(AE6*AI6,2)*CX6,2)</f>
        <v>47.69</v>
      </c>
      <c r="DG6">
        <f>ROUND(ROUND(AF6,2)*CX6,2)</f>
        <v>0</v>
      </c>
      <c r="DH6">
        <f>ROUND(ROUND(AG6,2)*CX6,2)</f>
        <v>0</v>
      </c>
      <c r="DI6">
        <f>ROUND(ROUND(AH6,2)*CX6,2)</f>
        <v>0</v>
      </c>
      <c r="DJ6">
        <f>DF6</f>
        <v>47.69</v>
      </c>
      <c r="DK6">
        <v>0</v>
      </c>
      <c r="DL6" t="s">
        <v>3</v>
      </c>
      <c r="DM6">
        <v>0</v>
      </c>
      <c r="DN6" t="s">
        <v>3</v>
      </c>
      <c r="DO6">
        <v>0</v>
      </c>
    </row>
    <row r="7" spans="1:119" x14ac:dyDescent="0.2">
      <c r="A7">
        <f>ROW(Source!A31)</f>
        <v>31</v>
      </c>
      <c r="B7">
        <v>53360025</v>
      </c>
      <c r="C7">
        <v>53362518</v>
      </c>
      <c r="D7">
        <v>37068148</v>
      </c>
      <c r="E7">
        <v>70</v>
      </c>
      <c r="F7">
        <v>1</v>
      </c>
      <c r="G7">
        <v>1</v>
      </c>
      <c r="H7">
        <v>1</v>
      </c>
      <c r="I7" t="s">
        <v>337</v>
      </c>
      <c r="J7" t="s">
        <v>3</v>
      </c>
      <c r="K7" t="s">
        <v>338</v>
      </c>
      <c r="L7">
        <v>1191</v>
      </c>
      <c r="N7">
        <v>1013</v>
      </c>
      <c r="O7" t="s">
        <v>324</v>
      </c>
      <c r="P7" t="s">
        <v>324</v>
      </c>
      <c r="Q7">
        <v>1</v>
      </c>
      <c r="W7">
        <v>0</v>
      </c>
      <c r="X7">
        <v>-844220143</v>
      </c>
      <c r="Y7">
        <f t="shared" si="0"/>
        <v>49.5</v>
      </c>
      <c r="AA7">
        <v>0</v>
      </c>
      <c r="AB7">
        <v>0</v>
      </c>
      <c r="AC7">
        <v>0</v>
      </c>
      <c r="AD7">
        <v>318.18</v>
      </c>
      <c r="AE7">
        <v>0</v>
      </c>
      <c r="AF7">
        <v>0</v>
      </c>
      <c r="AG7">
        <v>0</v>
      </c>
      <c r="AH7">
        <v>8.09</v>
      </c>
      <c r="AI7">
        <v>1</v>
      </c>
      <c r="AJ7">
        <v>1</v>
      </c>
      <c r="AK7">
        <v>1</v>
      </c>
      <c r="AL7">
        <v>39.33</v>
      </c>
      <c r="AM7">
        <v>4</v>
      </c>
      <c r="AN7">
        <v>0</v>
      </c>
      <c r="AO7">
        <v>1</v>
      </c>
      <c r="AP7">
        <v>0</v>
      </c>
      <c r="AQ7">
        <v>0</v>
      </c>
      <c r="AR7">
        <v>0</v>
      </c>
      <c r="AS7" t="s">
        <v>3</v>
      </c>
      <c r="AT7">
        <v>49.5</v>
      </c>
      <c r="AU7" t="s">
        <v>3</v>
      </c>
      <c r="AV7">
        <v>1</v>
      </c>
      <c r="AW7">
        <v>2</v>
      </c>
      <c r="AX7">
        <v>53362525</v>
      </c>
      <c r="AY7">
        <v>1</v>
      </c>
      <c r="AZ7">
        <v>0</v>
      </c>
      <c r="BA7">
        <v>7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CU7">
        <f>ROUND(AT7*Source!I31*AH7*AL7,2)</f>
        <v>39.369999999999997</v>
      </c>
      <c r="CV7">
        <f>ROUND(Y7*Source!I31,7)</f>
        <v>0.12375</v>
      </c>
      <c r="CW7">
        <v>0</v>
      </c>
      <c r="CX7">
        <f>ROUND(Y7*Source!I31,7)</f>
        <v>0.12375</v>
      </c>
      <c r="CY7">
        <f>AD7</f>
        <v>318.18</v>
      </c>
      <c r="CZ7">
        <f>AH7</f>
        <v>8.09</v>
      </c>
      <c r="DA7">
        <f>AL7</f>
        <v>39.33</v>
      </c>
      <c r="DB7">
        <f t="shared" si="1"/>
        <v>400.46</v>
      </c>
      <c r="DC7">
        <f t="shared" si="2"/>
        <v>0</v>
      </c>
      <c r="DD7" t="s">
        <v>3</v>
      </c>
      <c r="DE7" t="s">
        <v>3</v>
      </c>
      <c r="DF7">
        <f>ROUND(ROUND(AE7,2)*CX7,2)</f>
        <v>0</v>
      </c>
      <c r="DG7">
        <f>ROUND(ROUND(AF7,2)*CX7,2)</f>
        <v>0</v>
      </c>
      <c r="DH7">
        <f>ROUND(ROUND(AG7,2)*CX7,2)</f>
        <v>0</v>
      </c>
      <c r="DI7">
        <f>ROUND(ROUND(AH7*AL7,2)*CX7,2)</f>
        <v>39.369999999999997</v>
      </c>
      <c r="DJ7">
        <f>DI7</f>
        <v>39.369999999999997</v>
      </c>
      <c r="DK7">
        <v>0</v>
      </c>
      <c r="DL7" t="s">
        <v>3</v>
      </c>
      <c r="DM7">
        <v>0</v>
      </c>
      <c r="DN7" t="s">
        <v>3</v>
      </c>
      <c r="DO7">
        <v>0</v>
      </c>
    </row>
    <row r="8" spans="1:119" x14ac:dyDescent="0.2">
      <c r="A8">
        <f>ROW(Source!A31)</f>
        <v>31</v>
      </c>
      <c r="B8">
        <v>53360025</v>
      </c>
      <c r="C8">
        <v>53362518</v>
      </c>
      <c r="D8">
        <v>37064876</v>
      </c>
      <c r="E8">
        <v>70</v>
      </c>
      <c r="F8">
        <v>1</v>
      </c>
      <c r="G8">
        <v>1</v>
      </c>
      <c r="H8">
        <v>1</v>
      </c>
      <c r="I8" t="s">
        <v>325</v>
      </c>
      <c r="J8" t="s">
        <v>3</v>
      </c>
      <c r="K8" t="s">
        <v>326</v>
      </c>
      <c r="L8">
        <v>1191</v>
      </c>
      <c r="N8">
        <v>1013</v>
      </c>
      <c r="O8" t="s">
        <v>324</v>
      </c>
      <c r="P8" t="s">
        <v>324</v>
      </c>
      <c r="Q8">
        <v>1</v>
      </c>
      <c r="W8">
        <v>0</v>
      </c>
      <c r="X8">
        <v>-1417349443</v>
      </c>
      <c r="Y8">
        <f t="shared" si="0"/>
        <v>10.73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1</v>
      </c>
      <c r="AK8">
        <v>39.33</v>
      </c>
      <c r="AL8">
        <v>1</v>
      </c>
      <c r="AM8">
        <v>4</v>
      </c>
      <c r="AN8">
        <v>0</v>
      </c>
      <c r="AO8">
        <v>1</v>
      </c>
      <c r="AP8">
        <v>0</v>
      </c>
      <c r="AQ8">
        <v>0</v>
      </c>
      <c r="AR8">
        <v>0</v>
      </c>
      <c r="AS8" t="s">
        <v>3</v>
      </c>
      <c r="AT8">
        <v>10.73</v>
      </c>
      <c r="AU8" t="s">
        <v>3</v>
      </c>
      <c r="AV8">
        <v>2</v>
      </c>
      <c r="AW8">
        <v>2</v>
      </c>
      <c r="AX8">
        <v>53362526</v>
      </c>
      <c r="AY8">
        <v>1</v>
      </c>
      <c r="AZ8">
        <v>0</v>
      </c>
      <c r="BA8">
        <v>8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CV8">
        <v>0</v>
      </c>
      <c r="CW8">
        <v>0</v>
      </c>
      <c r="CX8">
        <f>ROUND(Y8*Source!I31,7)</f>
        <v>2.6825000000000002E-2</v>
      </c>
      <c r="CY8">
        <f>AD8</f>
        <v>0</v>
      </c>
      <c r="CZ8">
        <f>AH8</f>
        <v>0</v>
      </c>
      <c r="DA8">
        <f>AL8</f>
        <v>1</v>
      </c>
      <c r="DB8">
        <f t="shared" si="1"/>
        <v>0</v>
      </c>
      <c r="DC8">
        <f t="shared" si="2"/>
        <v>0</v>
      </c>
      <c r="DD8" t="s">
        <v>3</v>
      </c>
      <c r="DE8" t="s">
        <v>3</v>
      </c>
      <c r="DF8">
        <f>ROUND(ROUND(AE8,2)*CX8,2)</f>
        <v>0</v>
      </c>
      <c r="DG8">
        <f>ROUND(ROUND(AF8,2)*CX8,2)</f>
        <v>0</v>
      </c>
      <c r="DH8">
        <f>ROUND(ROUND(AG8*AK8,2)*CX8,2)</f>
        <v>0</v>
      </c>
      <c r="DI8">
        <f>ROUND(ROUND(AH8,2)*CX8,2)</f>
        <v>0</v>
      </c>
      <c r="DJ8">
        <f>DI8</f>
        <v>0</v>
      </c>
      <c r="DK8">
        <v>0</v>
      </c>
      <c r="DL8" t="s">
        <v>3</v>
      </c>
      <c r="DM8">
        <v>0</v>
      </c>
      <c r="DN8" t="s">
        <v>3</v>
      </c>
      <c r="DO8">
        <v>0</v>
      </c>
    </row>
    <row r="9" spans="1:119" x14ac:dyDescent="0.2">
      <c r="A9">
        <f>ROW(Source!A31)</f>
        <v>31</v>
      </c>
      <c r="B9">
        <v>53360025</v>
      </c>
      <c r="C9">
        <v>53362518</v>
      </c>
      <c r="D9">
        <v>1091150125</v>
      </c>
      <c r="E9">
        <v>1</v>
      </c>
      <c r="F9">
        <v>1</v>
      </c>
      <c r="G9">
        <v>1</v>
      </c>
      <c r="H9">
        <v>2</v>
      </c>
      <c r="I9" t="s">
        <v>339</v>
      </c>
      <c r="J9" t="s">
        <v>340</v>
      </c>
      <c r="K9" t="s">
        <v>341</v>
      </c>
      <c r="L9">
        <v>1367</v>
      </c>
      <c r="N9">
        <v>1011</v>
      </c>
      <c r="O9" t="s">
        <v>330</v>
      </c>
      <c r="P9" t="s">
        <v>330</v>
      </c>
      <c r="Q9">
        <v>1</v>
      </c>
      <c r="W9">
        <v>0</v>
      </c>
      <c r="X9">
        <v>-177383015</v>
      </c>
      <c r="Y9">
        <f t="shared" si="0"/>
        <v>2.87</v>
      </c>
      <c r="AA9">
        <v>0</v>
      </c>
      <c r="AB9">
        <v>1140.19</v>
      </c>
      <c r="AC9">
        <v>530.96</v>
      </c>
      <c r="AD9">
        <v>0</v>
      </c>
      <c r="AE9">
        <v>0</v>
      </c>
      <c r="AF9">
        <v>79.069999999999993</v>
      </c>
      <c r="AG9">
        <v>13.5</v>
      </c>
      <c r="AH9">
        <v>0</v>
      </c>
      <c r="AI9">
        <v>1</v>
      </c>
      <c r="AJ9">
        <v>14.42</v>
      </c>
      <c r="AK9">
        <v>39.33</v>
      </c>
      <c r="AL9">
        <v>1</v>
      </c>
      <c r="AM9">
        <v>4</v>
      </c>
      <c r="AN9">
        <v>0</v>
      </c>
      <c r="AO9">
        <v>1</v>
      </c>
      <c r="AP9">
        <v>0</v>
      </c>
      <c r="AQ9">
        <v>0</v>
      </c>
      <c r="AR9">
        <v>0</v>
      </c>
      <c r="AS9" t="s">
        <v>3</v>
      </c>
      <c r="AT9">
        <v>2.87</v>
      </c>
      <c r="AU9" t="s">
        <v>3</v>
      </c>
      <c r="AV9">
        <v>0</v>
      </c>
      <c r="AW9">
        <v>2</v>
      </c>
      <c r="AX9">
        <v>53362527</v>
      </c>
      <c r="AY9">
        <v>1</v>
      </c>
      <c r="AZ9">
        <v>0</v>
      </c>
      <c r="BA9">
        <v>9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CV9">
        <v>0</v>
      </c>
      <c r="CW9">
        <f>ROUND(Y9*Source!I31*DO9,7)</f>
        <v>0</v>
      </c>
      <c r="CX9">
        <f>ROUND(Y9*Source!I31,7)</f>
        <v>7.175E-3</v>
      </c>
      <c r="CY9">
        <f>AB9</f>
        <v>1140.19</v>
      </c>
      <c r="CZ9">
        <f>AF9</f>
        <v>79.069999999999993</v>
      </c>
      <c r="DA9">
        <f>AJ9</f>
        <v>14.42</v>
      </c>
      <c r="DB9">
        <f t="shared" si="1"/>
        <v>226.93</v>
      </c>
      <c r="DC9">
        <f t="shared" si="2"/>
        <v>38.75</v>
      </c>
      <c r="DD9" t="s">
        <v>3</v>
      </c>
      <c r="DE9" t="s">
        <v>3</v>
      </c>
      <c r="DF9">
        <f>ROUND(ROUND(AE9,2)*CX9,2)</f>
        <v>0</v>
      </c>
      <c r="DG9">
        <f>ROUND(ROUND(AF9*AJ9,2)*CX9,2)</f>
        <v>8.18</v>
      </c>
      <c r="DH9">
        <f>ROUND(ROUND(AG9*AK9,2)*CX9,2)</f>
        <v>3.81</v>
      </c>
      <c r="DI9">
        <f>ROUND(ROUND(AH9,2)*CX9,2)</f>
        <v>0</v>
      </c>
      <c r="DJ9">
        <f>DG9</f>
        <v>8.18</v>
      </c>
      <c r="DK9">
        <v>0</v>
      </c>
      <c r="DL9" t="s">
        <v>3</v>
      </c>
      <c r="DM9">
        <v>0</v>
      </c>
      <c r="DN9" t="s">
        <v>3</v>
      </c>
      <c r="DO9">
        <v>0</v>
      </c>
    </row>
    <row r="10" spans="1:119" x14ac:dyDescent="0.2">
      <c r="A10">
        <f>ROW(Source!A31)</f>
        <v>31</v>
      </c>
      <c r="B10">
        <v>53360025</v>
      </c>
      <c r="C10">
        <v>53362518</v>
      </c>
      <c r="D10">
        <v>1091150194</v>
      </c>
      <c r="E10">
        <v>1</v>
      </c>
      <c r="F10">
        <v>1</v>
      </c>
      <c r="G10">
        <v>1</v>
      </c>
      <c r="H10">
        <v>2</v>
      </c>
      <c r="I10" t="s">
        <v>342</v>
      </c>
      <c r="J10" t="s">
        <v>343</v>
      </c>
      <c r="K10" t="s">
        <v>344</v>
      </c>
      <c r="L10">
        <v>1367</v>
      </c>
      <c r="N10">
        <v>1011</v>
      </c>
      <c r="O10" t="s">
        <v>330</v>
      </c>
      <c r="P10" t="s">
        <v>330</v>
      </c>
      <c r="Q10">
        <v>1</v>
      </c>
      <c r="W10">
        <v>0</v>
      </c>
      <c r="X10">
        <v>145565111</v>
      </c>
      <c r="Y10">
        <f t="shared" si="0"/>
        <v>7.86</v>
      </c>
      <c r="AA10">
        <v>0</v>
      </c>
      <c r="AB10">
        <v>1662.19</v>
      </c>
      <c r="AC10">
        <v>530.96</v>
      </c>
      <c r="AD10">
        <v>0</v>
      </c>
      <c r="AE10">
        <v>0</v>
      </c>
      <c r="AF10">
        <v>115.27</v>
      </c>
      <c r="AG10">
        <v>13.5</v>
      </c>
      <c r="AH10">
        <v>0</v>
      </c>
      <c r="AI10">
        <v>1</v>
      </c>
      <c r="AJ10">
        <v>14.42</v>
      </c>
      <c r="AK10">
        <v>39.33</v>
      </c>
      <c r="AL10">
        <v>1</v>
      </c>
      <c r="AM10">
        <v>4</v>
      </c>
      <c r="AN10">
        <v>0</v>
      </c>
      <c r="AO10">
        <v>1</v>
      </c>
      <c r="AP10">
        <v>0</v>
      </c>
      <c r="AQ10">
        <v>0</v>
      </c>
      <c r="AR10">
        <v>0</v>
      </c>
      <c r="AS10" t="s">
        <v>3</v>
      </c>
      <c r="AT10">
        <v>7.86</v>
      </c>
      <c r="AU10" t="s">
        <v>3</v>
      </c>
      <c r="AV10">
        <v>0</v>
      </c>
      <c r="AW10">
        <v>2</v>
      </c>
      <c r="AX10">
        <v>53362528</v>
      </c>
      <c r="AY10">
        <v>1</v>
      </c>
      <c r="AZ10">
        <v>0</v>
      </c>
      <c r="BA10">
        <v>10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CV10">
        <v>0</v>
      </c>
      <c r="CW10">
        <f>ROUND(Y10*Source!I31*DO10,7)</f>
        <v>0</v>
      </c>
      <c r="CX10">
        <f>ROUND(Y10*Source!I31,7)</f>
        <v>1.9650000000000001E-2</v>
      </c>
      <c r="CY10">
        <f>AB10</f>
        <v>1662.19</v>
      </c>
      <c r="CZ10">
        <f>AF10</f>
        <v>115.27</v>
      </c>
      <c r="DA10">
        <f>AJ10</f>
        <v>14.42</v>
      </c>
      <c r="DB10">
        <f t="shared" si="1"/>
        <v>906.02</v>
      </c>
      <c r="DC10">
        <f t="shared" si="2"/>
        <v>106.11</v>
      </c>
      <c r="DD10" t="s">
        <v>3</v>
      </c>
      <c r="DE10" t="s">
        <v>3</v>
      </c>
      <c r="DF10">
        <f>ROUND(ROUND(AE10,2)*CX10,2)</f>
        <v>0</v>
      </c>
      <c r="DG10">
        <f>ROUND(ROUND(AF10*AJ10,2)*CX10,2)</f>
        <v>32.659999999999997</v>
      </c>
      <c r="DH10">
        <f>ROUND(ROUND(AG10*AK10,2)*CX10,2)</f>
        <v>10.43</v>
      </c>
      <c r="DI10">
        <f>ROUND(ROUND(AH10,2)*CX10,2)</f>
        <v>0</v>
      </c>
      <c r="DJ10">
        <f>DG10</f>
        <v>32.659999999999997</v>
      </c>
      <c r="DK10">
        <v>0</v>
      </c>
      <c r="DL10" t="s">
        <v>3</v>
      </c>
      <c r="DM10">
        <v>0</v>
      </c>
      <c r="DN10" t="s">
        <v>3</v>
      </c>
      <c r="DO10">
        <v>0</v>
      </c>
    </row>
    <row r="11" spans="1:119" x14ac:dyDescent="0.2">
      <c r="A11">
        <f>ROW(Source!A31)</f>
        <v>31</v>
      </c>
      <c r="B11">
        <v>53360025</v>
      </c>
      <c r="C11">
        <v>53362518</v>
      </c>
      <c r="D11">
        <v>1091151593</v>
      </c>
      <c r="E11">
        <v>1</v>
      </c>
      <c r="F11">
        <v>1</v>
      </c>
      <c r="G11">
        <v>1</v>
      </c>
      <c r="H11">
        <v>2</v>
      </c>
      <c r="I11" t="s">
        <v>345</v>
      </c>
      <c r="J11" t="s">
        <v>346</v>
      </c>
      <c r="K11" t="s">
        <v>347</v>
      </c>
      <c r="L11">
        <v>1367</v>
      </c>
      <c r="N11">
        <v>1011</v>
      </c>
      <c r="O11" t="s">
        <v>330</v>
      </c>
      <c r="P11" t="s">
        <v>330</v>
      </c>
      <c r="Q11">
        <v>1</v>
      </c>
      <c r="W11">
        <v>0</v>
      </c>
      <c r="X11">
        <v>257130333</v>
      </c>
      <c r="Y11">
        <f t="shared" si="0"/>
        <v>1.98</v>
      </c>
      <c r="AA11">
        <v>0</v>
      </c>
      <c r="AB11">
        <v>115.36</v>
      </c>
      <c r="AC11">
        <v>0</v>
      </c>
      <c r="AD11">
        <v>0</v>
      </c>
      <c r="AE11">
        <v>0</v>
      </c>
      <c r="AF11">
        <v>8</v>
      </c>
      <c r="AG11">
        <v>0</v>
      </c>
      <c r="AH11">
        <v>0</v>
      </c>
      <c r="AI11">
        <v>1</v>
      </c>
      <c r="AJ11">
        <v>14.42</v>
      </c>
      <c r="AK11">
        <v>39.33</v>
      </c>
      <c r="AL11">
        <v>1</v>
      </c>
      <c r="AM11">
        <v>4</v>
      </c>
      <c r="AN11">
        <v>0</v>
      </c>
      <c r="AO11">
        <v>1</v>
      </c>
      <c r="AP11">
        <v>0</v>
      </c>
      <c r="AQ11">
        <v>0</v>
      </c>
      <c r="AR11">
        <v>0</v>
      </c>
      <c r="AS11" t="s">
        <v>3</v>
      </c>
      <c r="AT11">
        <v>1.98</v>
      </c>
      <c r="AU11" t="s">
        <v>3</v>
      </c>
      <c r="AV11">
        <v>0</v>
      </c>
      <c r="AW11">
        <v>2</v>
      </c>
      <c r="AX11">
        <v>53362529</v>
      </c>
      <c r="AY11">
        <v>1</v>
      </c>
      <c r="AZ11">
        <v>0</v>
      </c>
      <c r="BA11">
        <v>11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CV11">
        <v>0</v>
      </c>
      <c r="CW11">
        <f>ROUND(Y11*Source!I31*DO11,7)</f>
        <v>0</v>
      </c>
      <c r="CX11">
        <f>ROUND(Y11*Source!I31,7)</f>
        <v>4.9500000000000004E-3</v>
      </c>
      <c r="CY11">
        <f>AB11</f>
        <v>115.36</v>
      </c>
      <c r="CZ11">
        <f>AF11</f>
        <v>8</v>
      </c>
      <c r="DA11">
        <f>AJ11</f>
        <v>14.42</v>
      </c>
      <c r="DB11">
        <f t="shared" si="1"/>
        <v>15.84</v>
      </c>
      <c r="DC11">
        <f t="shared" si="2"/>
        <v>0</v>
      </c>
      <c r="DD11" t="s">
        <v>3</v>
      </c>
      <c r="DE11" t="s">
        <v>3</v>
      </c>
      <c r="DF11">
        <f>ROUND(ROUND(AE11,2)*CX11,2)</f>
        <v>0</v>
      </c>
      <c r="DG11">
        <f>ROUND(ROUND(AF11*AJ11,2)*CX11,2)</f>
        <v>0.56999999999999995</v>
      </c>
      <c r="DH11">
        <f>ROUND(ROUND(AG11*AK11,2)*CX11,2)</f>
        <v>0</v>
      </c>
      <c r="DI11">
        <f>ROUND(ROUND(AH11,2)*CX11,2)</f>
        <v>0</v>
      </c>
      <c r="DJ11">
        <f>DG11</f>
        <v>0.56999999999999995</v>
      </c>
      <c r="DK11">
        <v>0</v>
      </c>
      <c r="DL11" t="s">
        <v>3</v>
      </c>
      <c r="DM11">
        <v>0</v>
      </c>
      <c r="DN11" t="s">
        <v>3</v>
      </c>
      <c r="DO11">
        <v>0</v>
      </c>
    </row>
    <row r="12" spans="1:119" x14ac:dyDescent="0.2">
      <c r="A12">
        <f>ROW(Source!A31)</f>
        <v>31</v>
      </c>
      <c r="B12">
        <v>53360025</v>
      </c>
      <c r="C12">
        <v>53362518</v>
      </c>
      <c r="D12">
        <v>1090935418</v>
      </c>
      <c r="E12">
        <v>1</v>
      </c>
      <c r="F12">
        <v>1</v>
      </c>
      <c r="G12">
        <v>1</v>
      </c>
      <c r="H12">
        <v>3</v>
      </c>
      <c r="I12" t="s">
        <v>30</v>
      </c>
      <c r="J12" t="s">
        <v>3</v>
      </c>
      <c r="K12" t="s">
        <v>31</v>
      </c>
      <c r="L12">
        <v>1348</v>
      </c>
      <c r="N12">
        <v>1009</v>
      </c>
      <c r="O12" t="s">
        <v>32</v>
      </c>
      <c r="P12" t="s">
        <v>32</v>
      </c>
      <c r="Q12">
        <v>1000</v>
      </c>
      <c r="W12">
        <v>0</v>
      </c>
      <c r="X12">
        <v>2102561428</v>
      </c>
      <c r="Y12">
        <f t="shared" si="0"/>
        <v>240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8.7899999999999991</v>
      </c>
      <c r="AJ12">
        <v>1</v>
      </c>
      <c r="AK12">
        <v>1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 t="s">
        <v>3</v>
      </c>
      <c r="AT12">
        <v>240</v>
      </c>
      <c r="AU12" t="s">
        <v>3</v>
      </c>
      <c r="AV12">
        <v>0</v>
      </c>
      <c r="AW12">
        <v>1</v>
      </c>
      <c r="AX12">
        <v>-1</v>
      </c>
      <c r="AY12">
        <v>0</v>
      </c>
      <c r="AZ12">
        <v>0</v>
      </c>
      <c r="BA12" t="s">
        <v>3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CV12">
        <v>0</v>
      </c>
      <c r="CW12">
        <v>0</v>
      </c>
      <c r="CX12">
        <f>ROUND(Y12*Source!I31,7)</f>
        <v>0.6</v>
      </c>
      <c r="CY12">
        <f>AA12</f>
        <v>0</v>
      </c>
      <c r="CZ12">
        <f>AE12</f>
        <v>0</v>
      </c>
      <c r="DA12">
        <f>AI12</f>
        <v>8.7899999999999991</v>
      </c>
      <c r="DB12">
        <f t="shared" si="1"/>
        <v>0</v>
      </c>
      <c r="DC12">
        <f t="shared" si="2"/>
        <v>0</v>
      </c>
      <c r="DD12" t="s">
        <v>3</v>
      </c>
      <c r="DE12" t="s">
        <v>3</v>
      </c>
      <c r="DF12">
        <f>ROUND(ROUND(AE12*AI12,2)*CX12,2)</f>
        <v>0</v>
      </c>
      <c r="DG12">
        <f>ROUND(ROUND(AF12,2)*CX12,2)</f>
        <v>0</v>
      </c>
      <c r="DH12">
        <f>ROUND(ROUND(AG12,2)*CX12,2)</f>
        <v>0</v>
      </c>
      <c r="DI12">
        <f>ROUND(ROUND(AH12,2)*CX12,2)</f>
        <v>0</v>
      </c>
      <c r="DJ12">
        <f>DF12</f>
        <v>0</v>
      </c>
      <c r="DK12">
        <v>0</v>
      </c>
      <c r="DL12" t="s">
        <v>3</v>
      </c>
      <c r="DM12">
        <v>0</v>
      </c>
      <c r="DN12" t="s">
        <v>3</v>
      </c>
      <c r="DO12">
        <v>0</v>
      </c>
    </row>
    <row r="13" spans="1:119" x14ac:dyDescent="0.2">
      <c r="A13">
        <f>ROW(Source!A35)</f>
        <v>35</v>
      </c>
      <c r="B13">
        <v>53360025</v>
      </c>
      <c r="C13">
        <v>53362533</v>
      </c>
      <c r="D13">
        <v>37066739</v>
      </c>
      <c r="E13">
        <v>70</v>
      </c>
      <c r="F13">
        <v>1</v>
      </c>
      <c r="G13">
        <v>1</v>
      </c>
      <c r="H13">
        <v>1</v>
      </c>
      <c r="I13" t="s">
        <v>348</v>
      </c>
      <c r="J13" t="s">
        <v>3</v>
      </c>
      <c r="K13" t="s">
        <v>349</v>
      </c>
      <c r="L13">
        <v>1191</v>
      </c>
      <c r="N13">
        <v>1013</v>
      </c>
      <c r="O13" t="s">
        <v>324</v>
      </c>
      <c r="P13" t="s">
        <v>324</v>
      </c>
      <c r="Q13">
        <v>1</v>
      </c>
      <c r="W13">
        <v>0</v>
      </c>
      <c r="X13">
        <v>-961628416</v>
      </c>
      <c r="Y13">
        <f>(AT13*ROUND(1.15,7))</f>
        <v>101.19999999999999</v>
      </c>
      <c r="AA13">
        <v>0</v>
      </c>
      <c r="AB13">
        <v>0</v>
      </c>
      <c r="AC13">
        <v>0</v>
      </c>
      <c r="AD13">
        <v>332.73</v>
      </c>
      <c r="AE13">
        <v>0</v>
      </c>
      <c r="AF13">
        <v>0</v>
      </c>
      <c r="AG13">
        <v>0</v>
      </c>
      <c r="AH13">
        <v>8.4600000000000009</v>
      </c>
      <c r="AI13">
        <v>1</v>
      </c>
      <c r="AJ13">
        <v>1</v>
      </c>
      <c r="AK13">
        <v>1</v>
      </c>
      <c r="AL13">
        <v>39.33</v>
      </c>
      <c r="AM13">
        <v>4</v>
      </c>
      <c r="AN13">
        <v>0</v>
      </c>
      <c r="AO13">
        <v>1</v>
      </c>
      <c r="AP13">
        <v>1</v>
      </c>
      <c r="AQ13">
        <v>0</v>
      </c>
      <c r="AR13">
        <v>0</v>
      </c>
      <c r="AS13" t="s">
        <v>3</v>
      </c>
      <c r="AT13">
        <v>88</v>
      </c>
      <c r="AU13" t="s">
        <v>73</v>
      </c>
      <c r="AV13">
        <v>1</v>
      </c>
      <c r="AW13">
        <v>2</v>
      </c>
      <c r="AX13">
        <v>53362545</v>
      </c>
      <c r="AY13">
        <v>1</v>
      </c>
      <c r="AZ13">
        <v>0</v>
      </c>
      <c r="BA13">
        <v>12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CU13">
        <f>ROUND(AT13*Source!I35*AH13*AL13,2)</f>
        <v>550.47</v>
      </c>
      <c r="CV13">
        <f>ROUND(Y13*Source!I35,7)</f>
        <v>1.90256</v>
      </c>
      <c r="CW13">
        <v>0</v>
      </c>
      <c r="CX13">
        <f>ROUND(Y13*Source!I35,7)</f>
        <v>1.90256</v>
      </c>
      <c r="CY13">
        <f>AD13</f>
        <v>332.73</v>
      </c>
      <c r="CZ13">
        <f>AH13</f>
        <v>8.4600000000000009</v>
      </c>
      <c r="DA13">
        <f>AL13</f>
        <v>39.33</v>
      </c>
      <c r="DB13">
        <f>ROUND((ROUND(AT13*CZ13,2)*ROUND(1.15,7)),6)</f>
        <v>856.15200000000004</v>
      </c>
      <c r="DC13">
        <f>ROUND((ROUND(AT13*AG13,2)*ROUND(1.15,7)),6)</f>
        <v>0</v>
      </c>
      <c r="DD13" t="s">
        <v>3</v>
      </c>
      <c r="DE13" t="s">
        <v>3</v>
      </c>
      <c r="DF13">
        <f>ROUND(ROUND(AE13,2)*CX13,2)</f>
        <v>0</v>
      </c>
      <c r="DG13">
        <f>ROUND(ROUND(AF13,2)*CX13,2)</f>
        <v>0</v>
      </c>
      <c r="DH13">
        <f>ROUND(ROUND(AG13,2)*CX13,2)</f>
        <v>0</v>
      </c>
      <c r="DI13">
        <f>ROUND(ROUND(AH13*AL13,2)*CX13,2)</f>
        <v>633.04</v>
      </c>
      <c r="DJ13">
        <f>DI13</f>
        <v>633.04</v>
      </c>
      <c r="DK13">
        <v>0</v>
      </c>
      <c r="DL13" t="s">
        <v>3</v>
      </c>
      <c r="DM13">
        <v>0</v>
      </c>
      <c r="DN13" t="s">
        <v>3</v>
      </c>
      <c r="DO13">
        <v>0</v>
      </c>
    </row>
    <row r="14" spans="1:119" x14ac:dyDescent="0.2">
      <c r="A14">
        <f>ROW(Source!A35)</f>
        <v>35</v>
      </c>
      <c r="B14">
        <v>53360025</v>
      </c>
      <c r="C14">
        <v>53362533</v>
      </c>
      <c r="D14">
        <v>37064876</v>
      </c>
      <c r="E14">
        <v>70</v>
      </c>
      <c r="F14">
        <v>1</v>
      </c>
      <c r="G14">
        <v>1</v>
      </c>
      <c r="H14">
        <v>1</v>
      </c>
      <c r="I14" t="s">
        <v>325</v>
      </c>
      <c r="J14" t="s">
        <v>3</v>
      </c>
      <c r="K14" t="s">
        <v>326</v>
      </c>
      <c r="L14">
        <v>1191</v>
      </c>
      <c r="N14">
        <v>1013</v>
      </c>
      <c r="O14" t="s">
        <v>324</v>
      </c>
      <c r="P14" t="s">
        <v>324</v>
      </c>
      <c r="Q14">
        <v>1</v>
      </c>
      <c r="W14">
        <v>0</v>
      </c>
      <c r="X14">
        <v>-1417349443</v>
      </c>
      <c r="Y14">
        <f>(AT14*ROUND(1.25,7))</f>
        <v>0.55000000000000004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1</v>
      </c>
      <c r="AK14">
        <v>39.33</v>
      </c>
      <c r="AL14">
        <v>1</v>
      </c>
      <c r="AM14">
        <v>4</v>
      </c>
      <c r="AN14">
        <v>0</v>
      </c>
      <c r="AO14">
        <v>1</v>
      </c>
      <c r="AP14">
        <v>1</v>
      </c>
      <c r="AQ14">
        <v>0</v>
      </c>
      <c r="AR14">
        <v>0</v>
      </c>
      <c r="AS14" t="s">
        <v>3</v>
      </c>
      <c r="AT14">
        <v>0.44</v>
      </c>
      <c r="AU14" t="s">
        <v>72</v>
      </c>
      <c r="AV14">
        <v>2</v>
      </c>
      <c r="AW14">
        <v>2</v>
      </c>
      <c r="AX14">
        <v>53362546</v>
      </c>
      <c r="AY14">
        <v>1</v>
      </c>
      <c r="AZ14">
        <v>0</v>
      </c>
      <c r="BA14">
        <v>13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CV14">
        <v>0</v>
      </c>
      <c r="CW14">
        <v>0</v>
      </c>
      <c r="CX14">
        <f>ROUND(Y14*Source!I35,7)</f>
        <v>1.034E-2</v>
      </c>
      <c r="CY14">
        <f>AD14</f>
        <v>0</v>
      </c>
      <c r="CZ14">
        <f>AH14</f>
        <v>0</v>
      </c>
      <c r="DA14">
        <f>AL14</f>
        <v>1</v>
      </c>
      <c r="DB14">
        <f>ROUND((ROUND(AT14*CZ14,2)*ROUND(1.25,7)),6)</f>
        <v>0</v>
      </c>
      <c r="DC14">
        <f>ROUND((ROUND(AT14*AG14,2)*ROUND(1.25,7)),6)</f>
        <v>0</v>
      </c>
      <c r="DD14" t="s">
        <v>3</v>
      </c>
      <c r="DE14" t="s">
        <v>3</v>
      </c>
      <c r="DF14">
        <f>ROUND(ROUND(AE14,2)*CX14,2)</f>
        <v>0</v>
      </c>
      <c r="DG14">
        <f>ROUND(ROUND(AF14,2)*CX14,2)</f>
        <v>0</v>
      </c>
      <c r="DH14">
        <f>ROUND(ROUND(AG14*AK14,2)*CX14,2)</f>
        <v>0</v>
      </c>
      <c r="DI14">
        <f t="shared" ref="DI14:DI23" si="3">ROUND(ROUND(AH14,2)*CX14,2)</f>
        <v>0</v>
      </c>
      <c r="DJ14">
        <f>DI14</f>
        <v>0</v>
      </c>
      <c r="DK14">
        <v>0</v>
      </c>
      <c r="DL14" t="s">
        <v>3</v>
      </c>
      <c r="DM14">
        <v>0</v>
      </c>
      <c r="DN14" t="s">
        <v>3</v>
      </c>
      <c r="DO14">
        <v>0</v>
      </c>
    </row>
    <row r="15" spans="1:119" x14ac:dyDescent="0.2">
      <c r="A15">
        <f>ROW(Source!A35)</f>
        <v>35</v>
      </c>
      <c r="B15">
        <v>53360025</v>
      </c>
      <c r="C15">
        <v>53362533</v>
      </c>
      <c r="D15">
        <v>1091150729</v>
      </c>
      <c r="E15">
        <v>1</v>
      </c>
      <c r="F15">
        <v>1</v>
      </c>
      <c r="G15">
        <v>1</v>
      </c>
      <c r="H15">
        <v>2</v>
      </c>
      <c r="I15" t="s">
        <v>350</v>
      </c>
      <c r="J15" t="s">
        <v>351</v>
      </c>
      <c r="K15" t="s">
        <v>352</v>
      </c>
      <c r="L15">
        <v>1367</v>
      </c>
      <c r="N15">
        <v>1011</v>
      </c>
      <c r="O15" t="s">
        <v>330</v>
      </c>
      <c r="P15" t="s">
        <v>330</v>
      </c>
      <c r="Q15">
        <v>1</v>
      </c>
      <c r="W15">
        <v>0</v>
      </c>
      <c r="X15">
        <v>-430484415</v>
      </c>
      <c r="Y15">
        <f>(AT15*ROUND(1.25,7))</f>
        <v>8.7500000000000008E-2</v>
      </c>
      <c r="AA15">
        <v>0</v>
      </c>
      <c r="AB15">
        <v>1664.07</v>
      </c>
      <c r="AC15">
        <v>530.96</v>
      </c>
      <c r="AD15">
        <v>0</v>
      </c>
      <c r="AE15">
        <v>0</v>
      </c>
      <c r="AF15">
        <v>115.4</v>
      </c>
      <c r="AG15">
        <v>13.5</v>
      </c>
      <c r="AH15">
        <v>0</v>
      </c>
      <c r="AI15">
        <v>1</v>
      </c>
      <c r="AJ15">
        <v>14.42</v>
      </c>
      <c r="AK15">
        <v>39.33</v>
      </c>
      <c r="AL15">
        <v>1</v>
      </c>
      <c r="AM15">
        <v>4</v>
      </c>
      <c r="AN15">
        <v>0</v>
      </c>
      <c r="AO15">
        <v>1</v>
      </c>
      <c r="AP15">
        <v>1</v>
      </c>
      <c r="AQ15">
        <v>0</v>
      </c>
      <c r="AR15">
        <v>0</v>
      </c>
      <c r="AS15" t="s">
        <v>3</v>
      </c>
      <c r="AT15">
        <v>7.0000000000000007E-2</v>
      </c>
      <c r="AU15" t="s">
        <v>72</v>
      </c>
      <c r="AV15">
        <v>0</v>
      </c>
      <c r="AW15">
        <v>2</v>
      </c>
      <c r="AX15">
        <v>53362547</v>
      </c>
      <c r="AY15">
        <v>1</v>
      </c>
      <c r="AZ15">
        <v>0</v>
      </c>
      <c r="BA15">
        <v>14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CV15">
        <v>0</v>
      </c>
      <c r="CW15">
        <f>ROUND(Y15*Source!I35*DO15,7)</f>
        <v>0</v>
      </c>
      <c r="CX15">
        <f>ROUND(Y15*Source!I35,7)</f>
        <v>1.645E-3</v>
      </c>
      <c r="CY15">
        <f>AB15</f>
        <v>1664.07</v>
      </c>
      <c r="CZ15">
        <f>AF15</f>
        <v>115.4</v>
      </c>
      <c r="DA15">
        <f>AJ15</f>
        <v>14.42</v>
      </c>
      <c r="DB15">
        <f>ROUND((ROUND(AT15*CZ15,2)*ROUND(1.25,7)),6)</f>
        <v>10.1</v>
      </c>
      <c r="DC15">
        <f>ROUND((ROUND(AT15*AG15,2)*ROUND(1.25,7)),6)</f>
        <v>1.1875</v>
      </c>
      <c r="DD15" t="s">
        <v>3</v>
      </c>
      <c r="DE15" t="s">
        <v>3</v>
      </c>
      <c r="DF15">
        <f>ROUND(ROUND(AE15,2)*CX15,2)</f>
        <v>0</v>
      </c>
      <c r="DG15">
        <f>ROUND(ROUND(AF15*AJ15,2)*CX15,2)</f>
        <v>2.74</v>
      </c>
      <c r="DH15">
        <f>ROUND(ROUND(AG15*AK15,2)*CX15,2)</f>
        <v>0.87</v>
      </c>
      <c r="DI15">
        <f t="shared" si="3"/>
        <v>0</v>
      </c>
      <c r="DJ15">
        <f>DG15</f>
        <v>2.74</v>
      </c>
      <c r="DK15">
        <v>0</v>
      </c>
      <c r="DL15" t="s">
        <v>3</v>
      </c>
      <c r="DM15">
        <v>0</v>
      </c>
      <c r="DN15" t="s">
        <v>3</v>
      </c>
      <c r="DO15">
        <v>0</v>
      </c>
    </row>
    <row r="16" spans="1:119" x14ac:dyDescent="0.2">
      <c r="A16">
        <f>ROW(Source!A35)</f>
        <v>35</v>
      </c>
      <c r="B16">
        <v>53360025</v>
      </c>
      <c r="C16">
        <v>53362533</v>
      </c>
      <c r="D16">
        <v>1091150891</v>
      </c>
      <c r="E16">
        <v>1</v>
      </c>
      <c r="F16">
        <v>1</v>
      </c>
      <c r="G16">
        <v>1</v>
      </c>
      <c r="H16">
        <v>2</v>
      </c>
      <c r="I16" t="s">
        <v>353</v>
      </c>
      <c r="J16" t="s">
        <v>354</v>
      </c>
      <c r="K16" t="s">
        <v>355</v>
      </c>
      <c r="L16">
        <v>1367</v>
      </c>
      <c r="N16">
        <v>1011</v>
      </c>
      <c r="O16" t="s">
        <v>330</v>
      </c>
      <c r="P16" t="s">
        <v>330</v>
      </c>
      <c r="Q16">
        <v>1</v>
      </c>
      <c r="W16">
        <v>0</v>
      </c>
      <c r="X16">
        <v>-896236776</v>
      </c>
      <c r="Y16">
        <f>(AT16*ROUND(1.25,7))</f>
        <v>0.33750000000000002</v>
      </c>
      <c r="AA16">
        <v>0</v>
      </c>
      <c r="AB16">
        <v>1297.6600000000001</v>
      </c>
      <c r="AC16">
        <v>395.66</v>
      </c>
      <c r="AD16">
        <v>0</v>
      </c>
      <c r="AE16">
        <v>0</v>
      </c>
      <c r="AF16">
        <v>89.99</v>
      </c>
      <c r="AG16">
        <v>10.06</v>
      </c>
      <c r="AH16">
        <v>0</v>
      </c>
      <c r="AI16">
        <v>1</v>
      </c>
      <c r="AJ16">
        <v>14.42</v>
      </c>
      <c r="AK16">
        <v>39.33</v>
      </c>
      <c r="AL16">
        <v>1</v>
      </c>
      <c r="AM16">
        <v>4</v>
      </c>
      <c r="AN16">
        <v>0</v>
      </c>
      <c r="AO16">
        <v>1</v>
      </c>
      <c r="AP16">
        <v>1</v>
      </c>
      <c r="AQ16">
        <v>0</v>
      </c>
      <c r="AR16">
        <v>0</v>
      </c>
      <c r="AS16" t="s">
        <v>3</v>
      </c>
      <c r="AT16">
        <v>0.27</v>
      </c>
      <c r="AU16" t="s">
        <v>72</v>
      </c>
      <c r="AV16">
        <v>0</v>
      </c>
      <c r="AW16">
        <v>2</v>
      </c>
      <c r="AX16">
        <v>53362548</v>
      </c>
      <c r="AY16">
        <v>1</v>
      </c>
      <c r="AZ16">
        <v>0</v>
      </c>
      <c r="BA16">
        <v>15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CV16">
        <v>0</v>
      </c>
      <c r="CW16">
        <f>ROUND(Y16*Source!I35*DO16,7)</f>
        <v>0</v>
      </c>
      <c r="CX16">
        <f>ROUND(Y16*Source!I35,7)</f>
        <v>6.3449999999999999E-3</v>
      </c>
      <c r="CY16">
        <f>AB16</f>
        <v>1297.6600000000001</v>
      </c>
      <c r="CZ16">
        <f>AF16</f>
        <v>89.99</v>
      </c>
      <c r="DA16">
        <f>AJ16</f>
        <v>14.42</v>
      </c>
      <c r="DB16">
        <f>ROUND((ROUND(AT16*CZ16,2)*ROUND(1.25,7)),6)</f>
        <v>30.375</v>
      </c>
      <c r="DC16">
        <f>ROUND((ROUND(AT16*AG16,2)*ROUND(1.25,7)),6)</f>
        <v>3.4</v>
      </c>
      <c r="DD16" t="s">
        <v>3</v>
      </c>
      <c r="DE16" t="s">
        <v>3</v>
      </c>
      <c r="DF16">
        <f>ROUND(ROUND(AE16,2)*CX16,2)</f>
        <v>0</v>
      </c>
      <c r="DG16">
        <f>ROUND(ROUND(AF16*AJ16,2)*CX16,2)</f>
        <v>8.23</v>
      </c>
      <c r="DH16">
        <f>ROUND(ROUND(AG16*AK16,2)*CX16,2)</f>
        <v>2.5099999999999998</v>
      </c>
      <c r="DI16">
        <f t="shared" si="3"/>
        <v>0</v>
      </c>
      <c r="DJ16">
        <f>DG16</f>
        <v>8.23</v>
      </c>
      <c r="DK16">
        <v>0</v>
      </c>
      <c r="DL16" t="s">
        <v>3</v>
      </c>
      <c r="DM16">
        <v>0</v>
      </c>
      <c r="DN16" t="s">
        <v>3</v>
      </c>
      <c r="DO16">
        <v>0</v>
      </c>
    </row>
    <row r="17" spans="1:119" x14ac:dyDescent="0.2">
      <c r="A17">
        <f>ROW(Source!A35)</f>
        <v>35</v>
      </c>
      <c r="B17">
        <v>53360025</v>
      </c>
      <c r="C17">
        <v>53362533</v>
      </c>
      <c r="D17">
        <v>1091151703</v>
      </c>
      <c r="E17">
        <v>1</v>
      </c>
      <c r="F17">
        <v>1</v>
      </c>
      <c r="G17">
        <v>1</v>
      </c>
      <c r="H17">
        <v>2</v>
      </c>
      <c r="I17" t="s">
        <v>356</v>
      </c>
      <c r="J17" t="s">
        <v>357</v>
      </c>
      <c r="K17" t="s">
        <v>358</v>
      </c>
      <c r="L17">
        <v>1367</v>
      </c>
      <c r="N17">
        <v>1011</v>
      </c>
      <c r="O17" t="s">
        <v>330</v>
      </c>
      <c r="P17" t="s">
        <v>330</v>
      </c>
      <c r="Q17">
        <v>1</v>
      </c>
      <c r="W17">
        <v>0</v>
      </c>
      <c r="X17">
        <v>509054691</v>
      </c>
      <c r="Y17">
        <f>(AT17*ROUND(1.25,7))</f>
        <v>0.125</v>
      </c>
      <c r="AA17">
        <v>0</v>
      </c>
      <c r="AB17">
        <v>947.54</v>
      </c>
      <c r="AC17">
        <v>456.23</v>
      </c>
      <c r="AD17">
        <v>0</v>
      </c>
      <c r="AE17">
        <v>0</v>
      </c>
      <c r="AF17">
        <v>65.709999999999994</v>
      </c>
      <c r="AG17">
        <v>11.6</v>
      </c>
      <c r="AH17">
        <v>0</v>
      </c>
      <c r="AI17">
        <v>1</v>
      </c>
      <c r="AJ17">
        <v>14.42</v>
      </c>
      <c r="AK17">
        <v>39.33</v>
      </c>
      <c r="AL17">
        <v>1</v>
      </c>
      <c r="AM17">
        <v>4</v>
      </c>
      <c r="AN17">
        <v>0</v>
      </c>
      <c r="AO17">
        <v>1</v>
      </c>
      <c r="AP17">
        <v>1</v>
      </c>
      <c r="AQ17">
        <v>0</v>
      </c>
      <c r="AR17">
        <v>0</v>
      </c>
      <c r="AS17" t="s">
        <v>3</v>
      </c>
      <c r="AT17">
        <v>0.1</v>
      </c>
      <c r="AU17" t="s">
        <v>72</v>
      </c>
      <c r="AV17">
        <v>0</v>
      </c>
      <c r="AW17">
        <v>2</v>
      </c>
      <c r="AX17">
        <v>53362549</v>
      </c>
      <c r="AY17">
        <v>1</v>
      </c>
      <c r="AZ17">
        <v>0</v>
      </c>
      <c r="BA17">
        <v>16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CV17">
        <v>0</v>
      </c>
      <c r="CW17">
        <f>ROUND(Y17*Source!I35*DO17,7)</f>
        <v>0</v>
      </c>
      <c r="CX17">
        <f>ROUND(Y17*Source!I35,7)</f>
        <v>2.3500000000000001E-3</v>
      </c>
      <c r="CY17">
        <f>AB17</f>
        <v>947.54</v>
      </c>
      <c r="CZ17">
        <f>AF17</f>
        <v>65.709999999999994</v>
      </c>
      <c r="DA17">
        <f>AJ17</f>
        <v>14.42</v>
      </c>
      <c r="DB17">
        <f>ROUND((ROUND(AT17*CZ17,2)*ROUND(1.25,7)),6)</f>
        <v>8.2125000000000004</v>
      </c>
      <c r="DC17">
        <f>ROUND((ROUND(AT17*AG17,2)*ROUND(1.25,7)),6)</f>
        <v>1.45</v>
      </c>
      <c r="DD17" t="s">
        <v>3</v>
      </c>
      <c r="DE17" t="s">
        <v>3</v>
      </c>
      <c r="DF17">
        <f>ROUND(ROUND(AE17,2)*CX17,2)</f>
        <v>0</v>
      </c>
      <c r="DG17">
        <f>ROUND(ROUND(AF17*AJ17,2)*CX17,2)</f>
        <v>2.23</v>
      </c>
      <c r="DH17">
        <f>ROUND(ROUND(AG17*AK17,2)*CX17,2)</f>
        <v>1.07</v>
      </c>
      <c r="DI17">
        <f t="shared" si="3"/>
        <v>0</v>
      </c>
      <c r="DJ17">
        <f>DG17</f>
        <v>2.23</v>
      </c>
      <c r="DK17">
        <v>0</v>
      </c>
      <c r="DL17" t="s">
        <v>3</v>
      </c>
      <c r="DM17">
        <v>0</v>
      </c>
      <c r="DN17" t="s">
        <v>3</v>
      </c>
      <c r="DO17">
        <v>0</v>
      </c>
    </row>
    <row r="18" spans="1:119" x14ac:dyDescent="0.2">
      <c r="A18">
        <f>ROW(Source!A35)</f>
        <v>35</v>
      </c>
      <c r="B18">
        <v>53360025</v>
      </c>
      <c r="C18">
        <v>53362533</v>
      </c>
      <c r="D18">
        <v>1090945058</v>
      </c>
      <c r="E18">
        <v>1</v>
      </c>
      <c r="F18">
        <v>1</v>
      </c>
      <c r="G18">
        <v>1</v>
      </c>
      <c r="H18">
        <v>3</v>
      </c>
      <c r="I18" t="s">
        <v>359</v>
      </c>
      <c r="J18" t="s">
        <v>360</v>
      </c>
      <c r="K18" t="s">
        <v>361</v>
      </c>
      <c r="L18">
        <v>1339</v>
      </c>
      <c r="N18">
        <v>1007</v>
      </c>
      <c r="O18" t="s">
        <v>89</v>
      </c>
      <c r="P18" t="s">
        <v>89</v>
      </c>
      <c r="Q18">
        <v>1</v>
      </c>
      <c r="W18">
        <v>0</v>
      </c>
      <c r="X18">
        <v>-143474561</v>
      </c>
      <c r="Y18">
        <f t="shared" ref="Y18:Y23" si="4">AT18</f>
        <v>6.0999999999999999E-2</v>
      </c>
      <c r="AA18">
        <v>21.45</v>
      </c>
      <c r="AB18">
        <v>0</v>
      </c>
      <c r="AC18">
        <v>0</v>
      </c>
      <c r="AD18">
        <v>0</v>
      </c>
      <c r="AE18">
        <v>2.44</v>
      </c>
      <c r="AF18">
        <v>0</v>
      </c>
      <c r="AG18">
        <v>0</v>
      </c>
      <c r="AH18">
        <v>0</v>
      </c>
      <c r="AI18">
        <v>8.7899999999999991</v>
      </c>
      <c r="AJ18">
        <v>1</v>
      </c>
      <c r="AK18">
        <v>1</v>
      </c>
      <c r="AL18">
        <v>1</v>
      </c>
      <c r="AM18">
        <v>4</v>
      </c>
      <c r="AN18">
        <v>0</v>
      </c>
      <c r="AO18">
        <v>1</v>
      </c>
      <c r="AP18">
        <v>0</v>
      </c>
      <c r="AQ18">
        <v>0</v>
      </c>
      <c r="AR18">
        <v>0</v>
      </c>
      <c r="AS18" t="s">
        <v>3</v>
      </c>
      <c r="AT18">
        <v>6.0999999999999999E-2</v>
      </c>
      <c r="AU18" t="s">
        <v>3</v>
      </c>
      <c r="AV18">
        <v>0</v>
      </c>
      <c r="AW18">
        <v>2</v>
      </c>
      <c r="AX18">
        <v>53362550</v>
      </c>
      <c r="AY18">
        <v>1</v>
      </c>
      <c r="AZ18">
        <v>0</v>
      </c>
      <c r="BA18">
        <v>17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CV18">
        <v>0</v>
      </c>
      <c r="CW18">
        <v>0</v>
      </c>
      <c r="CX18">
        <f>ROUND(Y18*Source!I35,7)</f>
        <v>1.1467999999999999E-3</v>
      </c>
      <c r="CY18">
        <f t="shared" ref="CY18:CY23" si="5">AA18</f>
        <v>21.45</v>
      </c>
      <c r="CZ18">
        <f t="shared" ref="CZ18:CZ23" si="6">AE18</f>
        <v>2.44</v>
      </c>
      <c r="DA18">
        <f t="shared" ref="DA18:DA23" si="7">AI18</f>
        <v>8.7899999999999991</v>
      </c>
      <c r="DB18">
        <f t="shared" ref="DB18:DB23" si="8">ROUND(ROUND(AT18*CZ18,2),6)</f>
        <v>0.15</v>
      </c>
      <c r="DC18">
        <f t="shared" ref="DC18:DC23" si="9">ROUND(ROUND(AT18*AG18,2),6)</f>
        <v>0</v>
      </c>
      <c r="DD18" t="s">
        <v>3</v>
      </c>
      <c r="DE18" t="s">
        <v>3</v>
      </c>
      <c r="DF18">
        <f t="shared" ref="DF18:DF23" si="10">ROUND(ROUND(AE18*AI18,2)*CX18,2)</f>
        <v>0.02</v>
      </c>
      <c r="DG18">
        <f t="shared" ref="DG18:DG25" si="11">ROUND(ROUND(AF18,2)*CX18,2)</f>
        <v>0</v>
      </c>
      <c r="DH18">
        <f t="shared" ref="DH18:DH24" si="12">ROUND(ROUND(AG18,2)*CX18,2)</f>
        <v>0</v>
      </c>
      <c r="DI18">
        <f t="shared" si="3"/>
        <v>0</v>
      </c>
      <c r="DJ18">
        <f t="shared" ref="DJ18:DJ23" si="13">DF18</f>
        <v>0.02</v>
      </c>
      <c r="DK18">
        <v>0</v>
      </c>
      <c r="DL18" t="s">
        <v>3</v>
      </c>
      <c r="DM18">
        <v>0</v>
      </c>
      <c r="DN18" t="s">
        <v>3</v>
      </c>
      <c r="DO18">
        <v>0</v>
      </c>
    </row>
    <row r="19" spans="1:119" x14ac:dyDescent="0.2">
      <c r="A19">
        <f>ROW(Source!A35)</f>
        <v>35</v>
      </c>
      <c r="B19">
        <v>53360025</v>
      </c>
      <c r="C19">
        <v>53362533</v>
      </c>
      <c r="D19">
        <v>1090950364</v>
      </c>
      <c r="E19">
        <v>1</v>
      </c>
      <c r="F19">
        <v>1</v>
      </c>
      <c r="G19">
        <v>1</v>
      </c>
      <c r="H19">
        <v>3</v>
      </c>
      <c r="I19" t="s">
        <v>362</v>
      </c>
      <c r="J19" t="s">
        <v>363</v>
      </c>
      <c r="K19" t="s">
        <v>364</v>
      </c>
      <c r="L19">
        <v>1348</v>
      </c>
      <c r="N19">
        <v>1009</v>
      </c>
      <c r="O19" t="s">
        <v>32</v>
      </c>
      <c r="P19" t="s">
        <v>32</v>
      </c>
      <c r="Q19">
        <v>1000</v>
      </c>
      <c r="W19">
        <v>0</v>
      </c>
      <c r="X19">
        <v>-45966985</v>
      </c>
      <c r="Y19">
        <f t="shared" si="4"/>
        <v>1.47E-2</v>
      </c>
      <c r="AA19">
        <v>105286.62</v>
      </c>
      <c r="AB19">
        <v>0</v>
      </c>
      <c r="AC19">
        <v>0</v>
      </c>
      <c r="AD19">
        <v>0</v>
      </c>
      <c r="AE19">
        <v>11978</v>
      </c>
      <c r="AF19">
        <v>0</v>
      </c>
      <c r="AG19">
        <v>0</v>
      </c>
      <c r="AH19">
        <v>0</v>
      </c>
      <c r="AI19">
        <v>8.7899999999999991</v>
      </c>
      <c r="AJ19">
        <v>1</v>
      </c>
      <c r="AK19">
        <v>1</v>
      </c>
      <c r="AL19">
        <v>1</v>
      </c>
      <c r="AM19">
        <v>4</v>
      </c>
      <c r="AN19">
        <v>0</v>
      </c>
      <c r="AO19">
        <v>1</v>
      </c>
      <c r="AP19">
        <v>0</v>
      </c>
      <c r="AQ19">
        <v>0</v>
      </c>
      <c r="AR19">
        <v>0</v>
      </c>
      <c r="AS19" t="s">
        <v>3</v>
      </c>
      <c r="AT19">
        <v>1.47E-2</v>
      </c>
      <c r="AU19" t="s">
        <v>3</v>
      </c>
      <c r="AV19">
        <v>0</v>
      </c>
      <c r="AW19">
        <v>2</v>
      </c>
      <c r="AX19">
        <v>53362551</v>
      </c>
      <c r="AY19">
        <v>1</v>
      </c>
      <c r="AZ19">
        <v>0</v>
      </c>
      <c r="BA19">
        <v>18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CV19">
        <v>0</v>
      </c>
      <c r="CW19">
        <v>0</v>
      </c>
      <c r="CX19">
        <f>ROUND(Y19*Source!I35,7)</f>
        <v>2.764E-4</v>
      </c>
      <c r="CY19">
        <f t="shared" si="5"/>
        <v>105286.62</v>
      </c>
      <c r="CZ19">
        <f t="shared" si="6"/>
        <v>11978</v>
      </c>
      <c r="DA19">
        <f t="shared" si="7"/>
        <v>8.7899999999999991</v>
      </c>
      <c r="DB19">
        <f t="shared" si="8"/>
        <v>176.08</v>
      </c>
      <c r="DC19">
        <f t="shared" si="9"/>
        <v>0</v>
      </c>
      <c r="DD19" t="s">
        <v>3</v>
      </c>
      <c r="DE19" t="s">
        <v>3</v>
      </c>
      <c r="DF19">
        <f t="shared" si="10"/>
        <v>29.1</v>
      </c>
      <c r="DG19">
        <f t="shared" si="11"/>
        <v>0</v>
      </c>
      <c r="DH19">
        <f t="shared" si="12"/>
        <v>0</v>
      </c>
      <c r="DI19">
        <f t="shared" si="3"/>
        <v>0</v>
      </c>
      <c r="DJ19">
        <f t="shared" si="13"/>
        <v>29.1</v>
      </c>
      <c r="DK19">
        <v>0</v>
      </c>
      <c r="DL19" t="s">
        <v>3</v>
      </c>
      <c r="DM19">
        <v>0</v>
      </c>
      <c r="DN19" t="s">
        <v>3</v>
      </c>
      <c r="DO19">
        <v>0</v>
      </c>
    </row>
    <row r="20" spans="1:119" x14ac:dyDescent="0.2">
      <c r="A20">
        <f>ROW(Source!A35)</f>
        <v>35</v>
      </c>
      <c r="B20">
        <v>53360025</v>
      </c>
      <c r="C20">
        <v>53362533</v>
      </c>
      <c r="D20">
        <v>1090953109</v>
      </c>
      <c r="E20">
        <v>1</v>
      </c>
      <c r="F20">
        <v>1</v>
      </c>
      <c r="G20">
        <v>1</v>
      </c>
      <c r="H20">
        <v>3</v>
      </c>
      <c r="I20" t="s">
        <v>365</v>
      </c>
      <c r="J20" t="s">
        <v>366</v>
      </c>
      <c r="K20" t="s">
        <v>367</v>
      </c>
      <c r="L20">
        <v>1348</v>
      </c>
      <c r="N20">
        <v>1009</v>
      </c>
      <c r="O20" t="s">
        <v>32</v>
      </c>
      <c r="P20" t="s">
        <v>32</v>
      </c>
      <c r="Q20">
        <v>1000</v>
      </c>
      <c r="W20">
        <v>0</v>
      </c>
      <c r="X20">
        <v>1174253204</v>
      </c>
      <c r="Y20">
        <f t="shared" si="4"/>
        <v>2.1000000000000001E-2</v>
      </c>
      <c r="AA20">
        <v>6456.26</v>
      </c>
      <c r="AB20">
        <v>0</v>
      </c>
      <c r="AC20">
        <v>0</v>
      </c>
      <c r="AD20">
        <v>0</v>
      </c>
      <c r="AE20">
        <v>734.5</v>
      </c>
      <c r="AF20">
        <v>0</v>
      </c>
      <c r="AG20">
        <v>0</v>
      </c>
      <c r="AH20">
        <v>0</v>
      </c>
      <c r="AI20">
        <v>8.7899999999999991</v>
      </c>
      <c r="AJ20">
        <v>1</v>
      </c>
      <c r="AK20">
        <v>1</v>
      </c>
      <c r="AL20">
        <v>1</v>
      </c>
      <c r="AM20">
        <v>4</v>
      </c>
      <c r="AN20">
        <v>0</v>
      </c>
      <c r="AO20">
        <v>1</v>
      </c>
      <c r="AP20">
        <v>0</v>
      </c>
      <c r="AQ20">
        <v>0</v>
      </c>
      <c r="AR20">
        <v>0</v>
      </c>
      <c r="AS20" t="s">
        <v>3</v>
      </c>
      <c r="AT20">
        <v>2.1000000000000001E-2</v>
      </c>
      <c r="AU20" t="s">
        <v>3</v>
      </c>
      <c r="AV20">
        <v>0</v>
      </c>
      <c r="AW20">
        <v>2</v>
      </c>
      <c r="AX20">
        <v>53362552</v>
      </c>
      <c r="AY20">
        <v>1</v>
      </c>
      <c r="AZ20">
        <v>0</v>
      </c>
      <c r="BA20">
        <v>19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CV20">
        <v>0</v>
      </c>
      <c r="CW20">
        <v>0</v>
      </c>
      <c r="CX20">
        <f>ROUND(Y20*Source!I35,7)</f>
        <v>3.948E-4</v>
      </c>
      <c r="CY20">
        <f t="shared" si="5"/>
        <v>6456.26</v>
      </c>
      <c r="CZ20">
        <f t="shared" si="6"/>
        <v>734.5</v>
      </c>
      <c r="DA20">
        <f t="shared" si="7"/>
        <v>8.7899999999999991</v>
      </c>
      <c r="DB20">
        <f t="shared" si="8"/>
        <v>15.42</v>
      </c>
      <c r="DC20">
        <f t="shared" si="9"/>
        <v>0</v>
      </c>
      <c r="DD20" t="s">
        <v>3</v>
      </c>
      <c r="DE20" t="s">
        <v>3</v>
      </c>
      <c r="DF20">
        <f t="shared" si="10"/>
        <v>2.5499999999999998</v>
      </c>
      <c r="DG20">
        <f t="shared" si="11"/>
        <v>0</v>
      </c>
      <c r="DH20">
        <f t="shared" si="12"/>
        <v>0</v>
      </c>
      <c r="DI20">
        <f t="shared" si="3"/>
        <v>0</v>
      </c>
      <c r="DJ20">
        <f t="shared" si="13"/>
        <v>2.5499999999999998</v>
      </c>
      <c r="DK20">
        <v>0</v>
      </c>
      <c r="DL20" t="s">
        <v>3</v>
      </c>
      <c r="DM20">
        <v>0</v>
      </c>
      <c r="DN20" t="s">
        <v>3</v>
      </c>
      <c r="DO20">
        <v>0</v>
      </c>
    </row>
    <row r="21" spans="1:119" x14ac:dyDescent="0.2">
      <c r="A21">
        <f>ROW(Source!A35)</f>
        <v>35</v>
      </c>
      <c r="B21">
        <v>53360025</v>
      </c>
      <c r="C21">
        <v>53362533</v>
      </c>
      <c r="D21">
        <v>1090983437</v>
      </c>
      <c r="E21">
        <v>1</v>
      </c>
      <c r="F21">
        <v>1</v>
      </c>
      <c r="G21">
        <v>1</v>
      </c>
      <c r="H21">
        <v>3</v>
      </c>
      <c r="I21" t="s">
        <v>368</v>
      </c>
      <c r="J21" t="s">
        <v>369</v>
      </c>
      <c r="K21" t="s">
        <v>370</v>
      </c>
      <c r="L21">
        <v>1339</v>
      </c>
      <c r="N21">
        <v>1007</v>
      </c>
      <c r="O21" t="s">
        <v>89</v>
      </c>
      <c r="P21" t="s">
        <v>89</v>
      </c>
      <c r="Q21">
        <v>1</v>
      </c>
      <c r="W21">
        <v>0</v>
      </c>
      <c r="X21">
        <v>-896765309</v>
      </c>
      <c r="Y21">
        <f t="shared" si="4"/>
        <v>0.32</v>
      </c>
      <c r="AA21">
        <v>9669</v>
      </c>
      <c r="AB21">
        <v>0</v>
      </c>
      <c r="AC21">
        <v>0</v>
      </c>
      <c r="AD21">
        <v>0</v>
      </c>
      <c r="AE21">
        <v>1100</v>
      </c>
      <c r="AF21">
        <v>0</v>
      </c>
      <c r="AG21">
        <v>0</v>
      </c>
      <c r="AH21">
        <v>0</v>
      </c>
      <c r="AI21">
        <v>8.7899999999999991</v>
      </c>
      <c r="AJ21">
        <v>1</v>
      </c>
      <c r="AK21">
        <v>1</v>
      </c>
      <c r="AL21">
        <v>1</v>
      </c>
      <c r="AM21">
        <v>4</v>
      </c>
      <c r="AN21">
        <v>0</v>
      </c>
      <c r="AO21">
        <v>1</v>
      </c>
      <c r="AP21">
        <v>0</v>
      </c>
      <c r="AQ21">
        <v>0</v>
      </c>
      <c r="AR21">
        <v>0</v>
      </c>
      <c r="AS21" t="s">
        <v>3</v>
      </c>
      <c r="AT21">
        <v>0.32</v>
      </c>
      <c r="AU21" t="s">
        <v>3</v>
      </c>
      <c r="AV21">
        <v>0</v>
      </c>
      <c r="AW21">
        <v>2</v>
      </c>
      <c r="AX21">
        <v>53362553</v>
      </c>
      <c r="AY21">
        <v>1</v>
      </c>
      <c r="AZ21">
        <v>0</v>
      </c>
      <c r="BA21">
        <v>20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CV21">
        <v>0</v>
      </c>
      <c r="CW21">
        <v>0</v>
      </c>
      <c r="CX21">
        <f>ROUND(Y21*Source!I35,7)</f>
        <v>6.0159999999999996E-3</v>
      </c>
      <c r="CY21">
        <f t="shared" si="5"/>
        <v>9669</v>
      </c>
      <c r="CZ21">
        <f t="shared" si="6"/>
        <v>1100</v>
      </c>
      <c r="DA21">
        <f t="shared" si="7"/>
        <v>8.7899999999999991</v>
      </c>
      <c r="DB21">
        <f t="shared" si="8"/>
        <v>352</v>
      </c>
      <c r="DC21">
        <f t="shared" si="9"/>
        <v>0</v>
      </c>
      <c r="DD21" t="s">
        <v>3</v>
      </c>
      <c r="DE21" t="s">
        <v>3</v>
      </c>
      <c r="DF21">
        <f t="shared" si="10"/>
        <v>58.17</v>
      </c>
      <c r="DG21">
        <f t="shared" si="11"/>
        <v>0</v>
      </c>
      <c r="DH21">
        <f t="shared" si="12"/>
        <v>0</v>
      </c>
      <c r="DI21">
        <f t="shared" si="3"/>
        <v>0</v>
      </c>
      <c r="DJ21">
        <f t="shared" si="13"/>
        <v>58.17</v>
      </c>
      <c r="DK21">
        <v>0</v>
      </c>
      <c r="DL21" t="s">
        <v>3</v>
      </c>
      <c r="DM21">
        <v>0</v>
      </c>
      <c r="DN21" t="s">
        <v>3</v>
      </c>
      <c r="DO21">
        <v>0</v>
      </c>
    </row>
    <row r="22" spans="1:119" x14ac:dyDescent="0.2">
      <c r="A22">
        <f>ROW(Source!A35)</f>
        <v>35</v>
      </c>
      <c r="B22">
        <v>53360025</v>
      </c>
      <c r="C22">
        <v>53362533</v>
      </c>
      <c r="D22">
        <v>1090983445</v>
      </c>
      <c r="E22">
        <v>1</v>
      </c>
      <c r="F22">
        <v>1</v>
      </c>
      <c r="G22">
        <v>1</v>
      </c>
      <c r="H22">
        <v>3</v>
      </c>
      <c r="I22" t="s">
        <v>371</v>
      </c>
      <c r="J22" t="s">
        <v>372</v>
      </c>
      <c r="K22" t="s">
        <v>373</v>
      </c>
      <c r="L22">
        <v>1339</v>
      </c>
      <c r="N22">
        <v>1007</v>
      </c>
      <c r="O22" t="s">
        <v>89</v>
      </c>
      <c r="P22" t="s">
        <v>89</v>
      </c>
      <c r="Q22">
        <v>1</v>
      </c>
      <c r="W22">
        <v>0</v>
      </c>
      <c r="X22">
        <v>1125321039</v>
      </c>
      <c r="Y22">
        <f t="shared" si="4"/>
        <v>0.42</v>
      </c>
      <c r="AA22">
        <v>9282.24</v>
      </c>
      <c r="AB22">
        <v>0</v>
      </c>
      <c r="AC22">
        <v>0</v>
      </c>
      <c r="AD22">
        <v>0</v>
      </c>
      <c r="AE22">
        <v>1056</v>
      </c>
      <c r="AF22">
        <v>0</v>
      </c>
      <c r="AG22">
        <v>0</v>
      </c>
      <c r="AH22">
        <v>0</v>
      </c>
      <c r="AI22">
        <v>8.7899999999999991</v>
      </c>
      <c r="AJ22">
        <v>1</v>
      </c>
      <c r="AK22">
        <v>1</v>
      </c>
      <c r="AL22">
        <v>1</v>
      </c>
      <c r="AM22">
        <v>4</v>
      </c>
      <c r="AN22">
        <v>0</v>
      </c>
      <c r="AO22">
        <v>1</v>
      </c>
      <c r="AP22">
        <v>0</v>
      </c>
      <c r="AQ22">
        <v>0</v>
      </c>
      <c r="AR22">
        <v>0</v>
      </c>
      <c r="AS22" t="s">
        <v>3</v>
      </c>
      <c r="AT22">
        <v>0.42</v>
      </c>
      <c r="AU22" t="s">
        <v>3</v>
      </c>
      <c r="AV22">
        <v>0</v>
      </c>
      <c r="AW22">
        <v>2</v>
      </c>
      <c r="AX22">
        <v>53362554</v>
      </c>
      <c r="AY22">
        <v>1</v>
      </c>
      <c r="AZ22">
        <v>0</v>
      </c>
      <c r="BA22">
        <v>21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CV22">
        <v>0</v>
      </c>
      <c r="CW22">
        <v>0</v>
      </c>
      <c r="CX22">
        <f>ROUND(Y22*Source!I35,7)</f>
        <v>7.8960000000000002E-3</v>
      </c>
      <c r="CY22">
        <f t="shared" si="5"/>
        <v>9282.24</v>
      </c>
      <c r="CZ22">
        <f t="shared" si="6"/>
        <v>1056</v>
      </c>
      <c r="DA22">
        <f t="shared" si="7"/>
        <v>8.7899999999999991</v>
      </c>
      <c r="DB22">
        <f t="shared" si="8"/>
        <v>443.52</v>
      </c>
      <c r="DC22">
        <f t="shared" si="9"/>
        <v>0</v>
      </c>
      <c r="DD22" t="s">
        <v>3</v>
      </c>
      <c r="DE22" t="s">
        <v>3</v>
      </c>
      <c r="DF22">
        <f t="shared" si="10"/>
        <v>73.290000000000006</v>
      </c>
      <c r="DG22">
        <f t="shared" si="11"/>
        <v>0</v>
      </c>
      <c r="DH22">
        <f t="shared" si="12"/>
        <v>0</v>
      </c>
      <c r="DI22">
        <f t="shared" si="3"/>
        <v>0</v>
      </c>
      <c r="DJ22">
        <f t="shared" si="13"/>
        <v>73.290000000000006</v>
      </c>
      <c r="DK22">
        <v>0</v>
      </c>
      <c r="DL22" t="s">
        <v>3</v>
      </c>
      <c r="DM22">
        <v>0</v>
      </c>
      <c r="DN22" t="s">
        <v>3</v>
      </c>
      <c r="DO22">
        <v>0</v>
      </c>
    </row>
    <row r="23" spans="1:119" x14ac:dyDescent="0.2">
      <c r="A23">
        <f>ROW(Source!A35)</f>
        <v>35</v>
      </c>
      <c r="B23">
        <v>53360025</v>
      </c>
      <c r="C23">
        <v>53362533</v>
      </c>
      <c r="D23">
        <v>1090984638</v>
      </c>
      <c r="E23">
        <v>1</v>
      </c>
      <c r="F23">
        <v>1</v>
      </c>
      <c r="G23">
        <v>1</v>
      </c>
      <c r="H23">
        <v>3</v>
      </c>
      <c r="I23" t="s">
        <v>374</v>
      </c>
      <c r="J23" t="s">
        <v>375</v>
      </c>
      <c r="K23" t="s">
        <v>376</v>
      </c>
      <c r="L23">
        <v>1327</v>
      </c>
      <c r="N23">
        <v>1005</v>
      </c>
      <c r="O23" t="s">
        <v>101</v>
      </c>
      <c r="P23" t="s">
        <v>101</v>
      </c>
      <c r="Q23">
        <v>1</v>
      </c>
      <c r="W23">
        <v>0</v>
      </c>
      <c r="X23">
        <v>257670470</v>
      </c>
      <c r="Y23">
        <f t="shared" si="4"/>
        <v>5.44</v>
      </c>
      <c r="AA23">
        <v>506.57</v>
      </c>
      <c r="AB23">
        <v>0</v>
      </c>
      <c r="AC23">
        <v>0</v>
      </c>
      <c r="AD23">
        <v>0</v>
      </c>
      <c r="AE23">
        <v>57.63</v>
      </c>
      <c r="AF23">
        <v>0</v>
      </c>
      <c r="AG23">
        <v>0</v>
      </c>
      <c r="AH23">
        <v>0</v>
      </c>
      <c r="AI23">
        <v>8.7899999999999991</v>
      </c>
      <c r="AJ23">
        <v>1</v>
      </c>
      <c r="AK23">
        <v>1</v>
      </c>
      <c r="AL23">
        <v>1</v>
      </c>
      <c r="AM23">
        <v>4</v>
      </c>
      <c r="AN23">
        <v>0</v>
      </c>
      <c r="AO23">
        <v>1</v>
      </c>
      <c r="AP23">
        <v>0</v>
      </c>
      <c r="AQ23">
        <v>0</v>
      </c>
      <c r="AR23">
        <v>0</v>
      </c>
      <c r="AS23" t="s">
        <v>3</v>
      </c>
      <c r="AT23">
        <v>5.44</v>
      </c>
      <c r="AU23" t="s">
        <v>3</v>
      </c>
      <c r="AV23">
        <v>0</v>
      </c>
      <c r="AW23">
        <v>2</v>
      </c>
      <c r="AX23">
        <v>53362555</v>
      </c>
      <c r="AY23">
        <v>1</v>
      </c>
      <c r="AZ23">
        <v>0</v>
      </c>
      <c r="BA23">
        <v>22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CV23">
        <v>0</v>
      </c>
      <c r="CW23">
        <v>0</v>
      </c>
      <c r="CX23">
        <f>ROUND(Y23*Source!I35,7)</f>
        <v>0.102272</v>
      </c>
      <c r="CY23">
        <f t="shared" si="5"/>
        <v>506.57</v>
      </c>
      <c r="CZ23">
        <f t="shared" si="6"/>
        <v>57.63</v>
      </c>
      <c r="DA23">
        <f t="shared" si="7"/>
        <v>8.7899999999999991</v>
      </c>
      <c r="DB23">
        <f t="shared" si="8"/>
        <v>313.51</v>
      </c>
      <c r="DC23">
        <f t="shared" si="9"/>
        <v>0</v>
      </c>
      <c r="DD23" t="s">
        <v>3</v>
      </c>
      <c r="DE23" t="s">
        <v>3</v>
      </c>
      <c r="DF23">
        <f t="shared" si="10"/>
        <v>51.81</v>
      </c>
      <c r="DG23">
        <f t="shared" si="11"/>
        <v>0</v>
      </c>
      <c r="DH23">
        <f t="shared" si="12"/>
        <v>0</v>
      </c>
      <c r="DI23">
        <f t="shared" si="3"/>
        <v>0</v>
      </c>
      <c r="DJ23">
        <f t="shared" si="13"/>
        <v>51.81</v>
      </c>
      <c r="DK23">
        <v>0</v>
      </c>
      <c r="DL23" t="s">
        <v>3</v>
      </c>
      <c r="DM23">
        <v>0</v>
      </c>
      <c r="DN23" t="s">
        <v>3</v>
      </c>
      <c r="DO23">
        <v>0</v>
      </c>
    </row>
    <row r="24" spans="1:119" x14ac:dyDescent="0.2">
      <c r="A24">
        <f>ROW(Source!A36)</f>
        <v>36</v>
      </c>
      <c r="B24">
        <v>53360025</v>
      </c>
      <c r="C24">
        <v>53362556</v>
      </c>
      <c r="D24">
        <v>37064998</v>
      </c>
      <c r="E24">
        <v>70</v>
      </c>
      <c r="F24">
        <v>1</v>
      </c>
      <c r="G24">
        <v>1</v>
      </c>
      <c r="H24">
        <v>1</v>
      </c>
      <c r="I24" t="s">
        <v>377</v>
      </c>
      <c r="J24" t="s">
        <v>3</v>
      </c>
      <c r="K24" t="s">
        <v>378</v>
      </c>
      <c r="L24">
        <v>1191</v>
      </c>
      <c r="N24">
        <v>1013</v>
      </c>
      <c r="O24" t="s">
        <v>324</v>
      </c>
      <c r="P24" t="s">
        <v>324</v>
      </c>
      <c r="Q24">
        <v>1</v>
      </c>
      <c r="W24">
        <v>0</v>
      </c>
      <c r="X24">
        <v>2031828327</v>
      </c>
      <c r="Y24">
        <f>(AT24*ROUND(1.15,7))</f>
        <v>155.25</v>
      </c>
      <c r="AA24">
        <v>0</v>
      </c>
      <c r="AB24">
        <v>0</v>
      </c>
      <c r="AC24">
        <v>0</v>
      </c>
      <c r="AD24">
        <v>306.77</v>
      </c>
      <c r="AE24">
        <v>0</v>
      </c>
      <c r="AF24">
        <v>0</v>
      </c>
      <c r="AG24">
        <v>0</v>
      </c>
      <c r="AH24">
        <v>7.8</v>
      </c>
      <c r="AI24">
        <v>1</v>
      </c>
      <c r="AJ24">
        <v>1</v>
      </c>
      <c r="AK24">
        <v>1</v>
      </c>
      <c r="AL24">
        <v>39.33</v>
      </c>
      <c r="AM24">
        <v>4</v>
      </c>
      <c r="AN24">
        <v>0</v>
      </c>
      <c r="AO24">
        <v>1</v>
      </c>
      <c r="AP24">
        <v>1</v>
      </c>
      <c r="AQ24">
        <v>0</v>
      </c>
      <c r="AR24">
        <v>0</v>
      </c>
      <c r="AS24" t="s">
        <v>3</v>
      </c>
      <c r="AT24">
        <v>135</v>
      </c>
      <c r="AU24" t="s">
        <v>73</v>
      </c>
      <c r="AV24">
        <v>1</v>
      </c>
      <c r="AW24">
        <v>2</v>
      </c>
      <c r="AX24">
        <v>53362565</v>
      </c>
      <c r="AY24">
        <v>1</v>
      </c>
      <c r="AZ24">
        <v>0</v>
      </c>
      <c r="BA24">
        <v>23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CU24">
        <f>ROUND(AT24*Source!I36*AH24*AL24,2)</f>
        <v>103.54</v>
      </c>
      <c r="CV24">
        <f>ROUND(Y24*Source!I36,7)</f>
        <v>0.388125</v>
      </c>
      <c r="CW24">
        <v>0</v>
      </c>
      <c r="CX24">
        <f>ROUND(Y24*Source!I36,7)</f>
        <v>0.388125</v>
      </c>
      <c r="CY24">
        <f>AD24</f>
        <v>306.77</v>
      </c>
      <c r="CZ24">
        <f>AH24</f>
        <v>7.8</v>
      </c>
      <c r="DA24">
        <f>AL24</f>
        <v>39.33</v>
      </c>
      <c r="DB24">
        <f>ROUND((ROUND(AT24*CZ24,2)*ROUND(1.15,7)),6)</f>
        <v>1210.95</v>
      </c>
      <c r="DC24">
        <f>ROUND((ROUND(AT24*AG24,2)*ROUND(1.15,7)),6)</f>
        <v>0</v>
      </c>
      <c r="DD24" t="s">
        <v>3</v>
      </c>
      <c r="DE24" t="s">
        <v>3</v>
      </c>
      <c r="DF24">
        <f>ROUND(ROUND(AE24,2)*CX24,2)</f>
        <v>0</v>
      </c>
      <c r="DG24">
        <f t="shared" si="11"/>
        <v>0</v>
      </c>
      <c r="DH24">
        <f t="shared" si="12"/>
        <v>0</v>
      </c>
      <c r="DI24">
        <f>ROUND(ROUND(AH24*AL24,2)*CX24,2)</f>
        <v>119.07</v>
      </c>
      <c r="DJ24">
        <f>DI24</f>
        <v>119.07</v>
      </c>
      <c r="DK24">
        <v>0</v>
      </c>
      <c r="DL24" t="s">
        <v>3</v>
      </c>
      <c r="DM24">
        <v>0</v>
      </c>
      <c r="DN24" t="s">
        <v>3</v>
      </c>
      <c r="DO24">
        <v>0</v>
      </c>
    </row>
    <row r="25" spans="1:119" x14ac:dyDescent="0.2">
      <c r="A25">
        <f>ROW(Source!A36)</f>
        <v>36</v>
      </c>
      <c r="B25">
        <v>53360025</v>
      </c>
      <c r="C25">
        <v>53362556</v>
      </c>
      <c r="D25">
        <v>37064876</v>
      </c>
      <c r="E25">
        <v>70</v>
      </c>
      <c r="F25">
        <v>1</v>
      </c>
      <c r="G25">
        <v>1</v>
      </c>
      <c r="H25">
        <v>1</v>
      </c>
      <c r="I25" t="s">
        <v>325</v>
      </c>
      <c r="J25" t="s">
        <v>3</v>
      </c>
      <c r="K25" t="s">
        <v>326</v>
      </c>
      <c r="L25">
        <v>1191</v>
      </c>
      <c r="N25">
        <v>1013</v>
      </c>
      <c r="O25" t="s">
        <v>324</v>
      </c>
      <c r="P25" t="s">
        <v>324</v>
      </c>
      <c r="Q25">
        <v>1</v>
      </c>
      <c r="W25">
        <v>0</v>
      </c>
      <c r="X25">
        <v>-1417349443</v>
      </c>
      <c r="Y25">
        <f>(AT25*ROUND(1.25,7))</f>
        <v>22.650000000000002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1</v>
      </c>
      <c r="AK25">
        <v>39.33</v>
      </c>
      <c r="AL25">
        <v>1</v>
      </c>
      <c r="AM25">
        <v>4</v>
      </c>
      <c r="AN25">
        <v>0</v>
      </c>
      <c r="AO25">
        <v>1</v>
      </c>
      <c r="AP25">
        <v>1</v>
      </c>
      <c r="AQ25">
        <v>0</v>
      </c>
      <c r="AR25">
        <v>0</v>
      </c>
      <c r="AS25" t="s">
        <v>3</v>
      </c>
      <c r="AT25">
        <v>18.12</v>
      </c>
      <c r="AU25" t="s">
        <v>72</v>
      </c>
      <c r="AV25">
        <v>2</v>
      </c>
      <c r="AW25">
        <v>2</v>
      </c>
      <c r="AX25">
        <v>53362566</v>
      </c>
      <c r="AY25">
        <v>1</v>
      </c>
      <c r="AZ25">
        <v>0</v>
      </c>
      <c r="BA25">
        <v>24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CV25">
        <v>0</v>
      </c>
      <c r="CW25">
        <v>0</v>
      </c>
      <c r="CX25">
        <f>ROUND(Y25*Source!I36,7)</f>
        <v>5.6625000000000002E-2</v>
      </c>
      <c r="CY25">
        <f>AD25</f>
        <v>0</v>
      </c>
      <c r="CZ25">
        <f>AH25</f>
        <v>0</v>
      </c>
      <c r="DA25">
        <f>AL25</f>
        <v>1</v>
      </c>
      <c r="DB25">
        <f>ROUND((ROUND(AT25*CZ25,2)*ROUND(1.25,7)),6)</f>
        <v>0</v>
      </c>
      <c r="DC25">
        <f>ROUND((ROUND(AT25*AG25,2)*ROUND(1.25,7)),6)</f>
        <v>0</v>
      </c>
      <c r="DD25" t="s">
        <v>3</v>
      </c>
      <c r="DE25" t="s">
        <v>3</v>
      </c>
      <c r="DF25">
        <f>ROUND(ROUND(AE25,2)*CX25,2)</f>
        <v>0</v>
      </c>
      <c r="DG25">
        <f t="shared" si="11"/>
        <v>0</v>
      </c>
      <c r="DH25">
        <f>ROUND(ROUND(AG25*AK25,2)*CX25,2)</f>
        <v>0</v>
      </c>
      <c r="DI25">
        <f t="shared" ref="DI25:DI31" si="14">ROUND(ROUND(AH25,2)*CX25,2)</f>
        <v>0</v>
      </c>
      <c r="DJ25">
        <f>DI25</f>
        <v>0</v>
      </c>
      <c r="DK25">
        <v>0</v>
      </c>
      <c r="DL25" t="s">
        <v>3</v>
      </c>
      <c r="DM25">
        <v>0</v>
      </c>
      <c r="DN25" t="s">
        <v>3</v>
      </c>
      <c r="DO25">
        <v>0</v>
      </c>
    </row>
    <row r="26" spans="1:119" x14ac:dyDescent="0.2">
      <c r="A26">
        <f>ROW(Source!A36)</f>
        <v>36</v>
      </c>
      <c r="B26">
        <v>53360025</v>
      </c>
      <c r="C26">
        <v>53362556</v>
      </c>
      <c r="D26">
        <v>1091150666</v>
      </c>
      <c r="E26">
        <v>1</v>
      </c>
      <c r="F26">
        <v>1</v>
      </c>
      <c r="G26">
        <v>1</v>
      </c>
      <c r="H26">
        <v>2</v>
      </c>
      <c r="I26" t="s">
        <v>379</v>
      </c>
      <c r="J26" t="s">
        <v>380</v>
      </c>
      <c r="K26" t="s">
        <v>381</v>
      </c>
      <c r="L26">
        <v>1367</v>
      </c>
      <c r="N26">
        <v>1011</v>
      </c>
      <c r="O26" t="s">
        <v>330</v>
      </c>
      <c r="P26" t="s">
        <v>330</v>
      </c>
      <c r="Q26">
        <v>1</v>
      </c>
      <c r="W26">
        <v>0</v>
      </c>
      <c r="X26">
        <v>-130837057</v>
      </c>
      <c r="Y26">
        <f>(AT26*ROUND(1.25,7))</f>
        <v>22.5</v>
      </c>
      <c r="AA26">
        <v>0</v>
      </c>
      <c r="AB26">
        <v>1245.8900000000001</v>
      </c>
      <c r="AC26">
        <v>530.96</v>
      </c>
      <c r="AD26">
        <v>0</v>
      </c>
      <c r="AE26">
        <v>0</v>
      </c>
      <c r="AF26">
        <v>86.4</v>
      </c>
      <c r="AG26">
        <v>13.5</v>
      </c>
      <c r="AH26">
        <v>0</v>
      </c>
      <c r="AI26">
        <v>1</v>
      </c>
      <c r="AJ26">
        <v>14.42</v>
      </c>
      <c r="AK26">
        <v>39.33</v>
      </c>
      <c r="AL26">
        <v>1</v>
      </c>
      <c r="AM26">
        <v>4</v>
      </c>
      <c r="AN26">
        <v>0</v>
      </c>
      <c r="AO26">
        <v>1</v>
      </c>
      <c r="AP26">
        <v>1</v>
      </c>
      <c r="AQ26">
        <v>0</v>
      </c>
      <c r="AR26">
        <v>0</v>
      </c>
      <c r="AS26" t="s">
        <v>3</v>
      </c>
      <c r="AT26">
        <v>18</v>
      </c>
      <c r="AU26" t="s">
        <v>72</v>
      </c>
      <c r="AV26">
        <v>0</v>
      </c>
      <c r="AW26">
        <v>2</v>
      </c>
      <c r="AX26">
        <v>53362567</v>
      </c>
      <c r="AY26">
        <v>1</v>
      </c>
      <c r="AZ26">
        <v>0</v>
      </c>
      <c r="BA26">
        <v>25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CV26">
        <v>0</v>
      </c>
      <c r="CW26">
        <f>ROUND(Y26*Source!I36*DO26,7)</f>
        <v>0</v>
      </c>
      <c r="CX26">
        <f>ROUND(Y26*Source!I36,7)</f>
        <v>5.6250000000000001E-2</v>
      </c>
      <c r="CY26">
        <f>AB26</f>
        <v>1245.8900000000001</v>
      </c>
      <c r="CZ26">
        <f>AF26</f>
        <v>86.4</v>
      </c>
      <c r="DA26">
        <f>AJ26</f>
        <v>14.42</v>
      </c>
      <c r="DB26">
        <f>ROUND((ROUND(AT26*CZ26,2)*ROUND(1.25,7)),6)</f>
        <v>1944</v>
      </c>
      <c r="DC26">
        <f>ROUND((ROUND(AT26*AG26,2)*ROUND(1.25,7)),6)</f>
        <v>303.75</v>
      </c>
      <c r="DD26" t="s">
        <v>3</v>
      </c>
      <c r="DE26" t="s">
        <v>3</v>
      </c>
      <c r="DF26">
        <f>ROUND(ROUND(AE26,2)*CX26,2)</f>
        <v>0</v>
      </c>
      <c r="DG26">
        <f>ROUND(ROUND(AF26*AJ26,2)*CX26,2)</f>
        <v>70.08</v>
      </c>
      <c r="DH26">
        <f>ROUND(ROUND(AG26*AK26,2)*CX26,2)</f>
        <v>29.87</v>
      </c>
      <c r="DI26">
        <f t="shared" si="14"/>
        <v>0</v>
      </c>
      <c r="DJ26">
        <f>DG26</f>
        <v>70.08</v>
      </c>
      <c r="DK26">
        <v>0</v>
      </c>
      <c r="DL26" t="s">
        <v>3</v>
      </c>
      <c r="DM26">
        <v>0</v>
      </c>
      <c r="DN26" t="s">
        <v>3</v>
      </c>
      <c r="DO26">
        <v>0</v>
      </c>
    </row>
    <row r="27" spans="1:119" x14ac:dyDescent="0.2">
      <c r="A27">
        <f>ROW(Source!A36)</f>
        <v>36</v>
      </c>
      <c r="B27">
        <v>53360025</v>
      </c>
      <c r="C27">
        <v>53362556</v>
      </c>
      <c r="D27">
        <v>1091151021</v>
      </c>
      <c r="E27">
        <v>1</v>
      </c>
      <c r="F27">
        <v>1</v>
      </c>
      <c r="G27">
        <v>1</v>
      </c>
      <c r="H27">
        <v>2</v>
      </c>
      <c r="I27" t="s">
        <v>382</v>
      </c>
      <c r="J27" t="s">
        <v>383</v>
      </c>
      <c r="K27" t="s">
        <v>384</v>
      </c>
      <c r="L27">
        <v>1367</v>
      </c>
      <c r="N27">
        <v>1011</v>
      </c>
      <c r="O27" t="s">
        <v>330</v>
      </c>
      <c r="P27" t="s">
        <v>330</v>
      </c>
      <c r="Q27">
        <v>1</v>
      </c>
      <c r="W27">
        <v>0</v>
      </c>
      <c r="X27">
        <v>-1322498708</v>
      </c>
      <c r="Y27">
        <f>(AT27*ROUND(1.25,7))</f>
        <v>7.4124999999999996</v>
      </c>
      <c r="AA27">
        <v>0</v>
      </c>
      <c r="AB27">
        <v>7.21</v>
      </c>
      <c r="AC27">
        <v>0</v>
      </c>
      <c r="AD27">
        <v>0</v>
      </c>
      <c r="AE27">
        <v>0</v>
      </c>
      <c r="AF27">
        <v>0.5</v>
      </c>
      <c r="AG27">
        <v>0</v>
      </c>
      <c r="AH27">
        <v>0</v>
      </c>
      <c r="AI27">
        <v>1</v>
      </c>
      <c r="AJ27">
        <v>14.42</v>
      </c>
      <c r="AK27">
        <v>39.33</v>
      </c>
      <c r="AL27">
        <v>1</v>
      </c>
      <c r="AM27">
        <v>4</v>
      </c>
      <c r="AN27">
        <v>0</v>
      </c>
      <c r="AO27">
        <v>1</v>
      </c>
      <c r="AP27">
        <v>1</v>
      </c>
      <c r="AQ27">
        <v>0</v>
      </c>
      <c r="AR27">
        <v>0</v>
      </c>
      <c r="AS27" t="s">
        <v>3</v>
      </c>
      <c r="AT27">
        <v>5.93</v>
      </c>
      <c r="AU27" t="s">
        <v>72</v>
      </c>
      <c r="AV27">
        <v>0</v>
      </c>
      <c r="AW27">
        <v>2</v>
      </c>
      <c r="AX27">
        <v>53362568</v>
      </c>
      <c r="AY27">
        <v>1</v>
      </c>
      <c r="AZ27">
        <v>0</v>
      </c>
      <c r="BA27">
        <v>26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CV27">
        <v>0</v>
      </c>
      <c r="CW27">
        <f>ROUND(Y27*Source!I36*DO27,7)</f>
        <v>0</v>
      </c>
      <c r="CX27">
        <f>ROUND(Y27*Source!I36,7)</f>
        <v>1.8531300000000001E-2</v>
      </c>
      <c r="CY27">
        <f>AB27</f>
        <v>7.21</v>
      </c>
      <c r="CZ27">
        <f>AF27</f>
        <v>0.5</v>
      </c>
      <c r="DA27">
        <f>AJ27</f>
        <v>14.42</v>
      </c>
      <c r="DB27">
        <f>ROUND((ROUND(AT27*CZ27,2)*ROUND(1.25,7)),6)</f>
        <v>3.7124999999999999</v>
      </c>
      <c r="DC27">
        <f>ROUND((ROUND(AT27*AG27,2)*ROUND(1.25,7)),6)</f>
        <v>0</v>
      </c>
      <c r="DD27" t="s">
        <v>3</v>
      </c>
      <c r="DE27" t="s">
        <v>3</v>
      </c>
      <c r="DF27">
        <f>ROUND(ROUND(AE27,2)*CX27,2)</f>
        <v>0</v>
      </c>
      <c r="DG27">
        <f>ROUND(ROUND(AF27*AJ27,2)*CX27,2)</f>
        <v>0.13</v>
      </c>
      <c r="DH27">
        <f>ROUND(ROUND(AG27*AK27,2)*CX27,2)</f>
        <v>0</v>
      </c>
      <c r="DI27">
        <f t="shared" si="14"/>
        <v>0</v>
      </c>
      <c r="DJ27">
        <f>DG27</f>
        <v>0.13</v>
      </c>
      <c r="DK27">
        <v>0</v>
      </c>
      <c r="DL27" t="s">
        <v>3</v>
      </c>
      <c r="DM27">
        <v>0</v>
      </c>
      <c r="DN27" t="s">
        <v>3</v>
      </c>
      <c r="DO27">
        <v>0</v>
      </c>
    </row>
    <row r="28" spans="1:119" x14ac:dyDescent="0.2">
      <c r="A28">
        <f>ROW(Source!A36)</f>
        <v>36</v>
      </c>
      <c r="B28">
        <v>53360025</v>
      </c>
      <c r="C28">
        <v>53362556</v>
      </c>
      <c r="D28">
        <v>1091151703</v>
      </c>
      <c r="E28">
        <v>1</v>
      </c>
      <c r="F28">
        <v>1</v>
      </c>
      <c r="G28">
        <v>1</v>
      </c>
      <c r="H28">
        <v>2</v>
      </c>
      <c r="I28" t="s">
        <v>356</v>
      </c>
      <c r="J28" t="s">
        <v>357</v>
      </c>
      <c r="K28" t="s">
        <v>358</v>
      </c>
      <c r="L28">
        <v>1367</v>
      </c>
      <c r="N28">
        <v>1011</v>
      </c>
      <c r="O28" t="s">
        <v>330</v>
      </c>
      <c r="P28" t="s">
        <v>330</v>
      </c>
      <c r="Q28">
        <v>1</v>
      </c>
      <c r="W28">
        <v>0</v>
      </c>
      <c r="X28">
        <v>509054691</v>
      </c>
      <c r="Y28">
        <f>(AT28*ROUND(1.25,7))</f>
        <v>0.15</v>
      </c>
      <c r="AA28">
        <v>0</v>
      </c>
      <c r="AB28">
        <v>947.54</v>
      </c>
      <c r="AC28">
        <v>456.23</v>
      </c>
      <c r="AD28">
        <v>0</v>
      </c>
      <c r="AE28">
        <v>0</v>
      </c>
      <c r="AF28">
        <v>65.709999999999994</v>
      </c>
      <c r="AG28">
        <v>11.6</v>
      </c>
      <c r="AH28">
        <v>0</v>
      </c>
      <c r="AI28">
        <v>1</v>
      </c>
      <c r="AJ28">
        <v>14.42</v>
      </c>
      <c r="AK28">
        <v>39.33</v>
      </c>
      <c r="AL28">
        <v>1</v>
      </c>
      <c r="AM28">
        <v>4</v>
      </c>
      <c r="AN28">
        <v>0</v>
      </c>
      <c r="AO28">
        <v>1</v>
      </c>
      <c r="AP28">
        <v>1</v>
      </c>
      <c r="AQ28">
        <v>0</v>
      </c>
      <c r="AR28">
        <v>0</v>
      </c>
      <c r="AS28" t="s">
        <v>3</v>
      </c>
      <c r="AT28">
        <v>0.12</v>
      </c>
      <c r="AU28" t="s">
        <v>72</v>
      </c>
      <c r="AV28">
        <v>0</v>
      </c>
      <c r="AW28">
        <v>2</v>
      </c>
      <c r="AX28">
        <v>53362569</v>
      </c>
      <c r="AY28">
        <v>1</v>
      </c>
      <c r="AZ28">
        <v>0</v>
      </c>
      <c r="BA28">
        <v>27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CV28">
        <v>0</v>
      </c>
      <c r="CW28">
        <f>ROUND(Y28*Source!I36*DO28,7)</f>
        <v>0</v>
      </c>
      <c r="CX28">
        <f>ROUND(Y28*Source!I36,7)</f>
        <v>3.7500000000000001E-4</v>
      </c>
      <c r="CY28">
        <f>AB28</f>
        <v>947.54</v>
      </c>
      <c r="CZ28">
        <f>AF28</f>
        <v>65.709999999999994</v>
      </c>
      <c r="DA28">
        <f>AJ28</f>
        <v>14.42</v>
      </c>
      <c r="DB28">
        <f>ROUND((ROUND(AT28*CZ28,2)*ROUND(1.25,7)),6)</f>
        <v>9.8625000000000007</v>
      </c>
      <c r="DC28">
        <f>ROUND((ROUND(AT28*AG28,2)*ROUND(1.25,7)),6)</f>
        <v>1.7375</v>
      </c>
      <c r="DD28" t="s">
        <v>3</v>
      </c>
      <c r="DE28" t="s">
        <v>3</v>
      </c>
      <c r="DF28">
        <f>ROUND(ROUND(AE28,2)*CX28,2)</f>
        <v>0</v>
      </c>
      <c r="DG28">
        <f>ROUND(ROUND(AF28*AJ28,2)*CX28,2)</f>
        <v>0.36</v>
      </c>
      <c r="DH28">
        <f>ROUND(ROUND(AG28*AK28,2)*CX28,2)</f>
        <v>0.17</v>
      </c>
      <c r="DI28">
        <f t="shared" si="14"/>
        <v>0</v>
      </c>
      <c r="DJ28">
        <f>DG28</f>
        <v>0.36</v>
      </c>
      <c r="DK28">
        <v>0</v>
      </c>
      <c r="DL28" t="s">
        <v>3</v>
      </c>
      <c r="DM28">
        <v>0</v>
      </c>
      <c r="DN28" t="s">
        <v>3</v>
      </c>
      <c r="DO28">
        <v>0</v>
      </c>
    </row>
    <row r="29" spans="1:119" x14ac:dyDescent="0.2">
      <c r="A29">
        <f>ROW(Source!A36)</f>
        <v>36</v>
      </c>
      <c r="B29">
        <v>53360025</v>
      </c>
      <c r="C29">
        <v>53362556</v>
      </c>
      <c r="D29">
        <v>1090945058</v>
      </c>
      <c r="E29">
        <v>1</v>
      </c>
      <c r="F29">
        <v>1</v>
      </c>
      <c r="G29">
        <v>1</v>
      </c>
      <c r="H29">
        <v>3</v>
      </c>
      <c r="I29" t="s">
        <v>359</v>
      </c>
      <c r="J29" t="s">
        <v>360</v>
      </c>
      <c r="K29" t="s">
        <v>361</v>
      </c>
      <c r="L29">
        <v>1339</v>
      </c>
      <c r="N29">
        <v>1007</v>
      </c>
      <c r="O29" t="s">
        <v>89</v>
      </c>
      <c r="P29" t="s">
        <v>89</v>
      </c>
      <c r="Q29">
        <v>1</v>
      </c>
      <c r="W29">
        <v>0</v>
      </c>
      <c r="X29">
        <v>-143474561</v>
      </c>
      <c r="Y29">
        <f>AT29</f>
        <v>1.75</v>
      </c>
      <c r="AA29">
        <v>21.45</v>
      </c>
      <c r="AB29">
        <v>0</v>
      </c>
      <c r="AC29">
        <v>0</v>
      </c>
      <c r="AD29">
        <v>0</v>
      </c>
      <c r="AE29">
        <v>2.44</v>
      </c>
      <c r="AF29">
        <v>0</v>
      </c>
      <c r="AG29">
        <v>0</v>
      </c>
      <c r="AH29">
        <v>0</v>
      </c>
      <c r="AI29">
        <v>8.7899999999999991</v>
      </c>
      <c r="AJ29">
        <v>1</v>
      </c>
      <c r="AK29">
        <v>1</v>
      </c>
      <c r="AL29">
        <v>1</v>
      </c>
      <c r="AM29">
        <v>4</v>
      </c>
      <c r="AN29">
        <v>0</v>
      </c>
      <c r="AO29">
        <v>1</v>
      </c>
      <c r="AP29">
        <v>0</v>
      </c>
      <c r="AQ29">
        <v>0</v>
      </c>
      <c r="AR29">
        <v>0</v>
      </c>
      <c r="AS29" t="s">
        <v>3</v>
      </c>
      <c r="AT29">
        <v>1.75</v>
      </c>
      <c r="AU29" t="s">
        <v>3</v>
      </c>
      <c r="AV29">
        <v>0</v>
      </c>
      <c r="AW29">
        <v>2</v>
      </c>
      <c r="AX29">
        <v>53362570</v>
      </c>
      <c r="AY29">
        <v>1</v>
      </c>
      <c r="AZ29">
        <v>0</v>
      </c>
      <c r="BA29">
        <v>28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CV29">
        <v>0</v>
      </c>
      <c r="CW29">
        <v>0</v>
      </c>
      <c r="CX29">
        <f>ROUND(Y29*Source!I36,7)</f>
        <v>4.3750000000000004E-3</v>
      </c>
      <c r="CY29">
        <f>AA29</f>
        <v>21.45</v>
      </c>
      <c r="CZ29">
        <f>AE29</f>
        <v>2.44</v>
      </c>
      <c r="DA29">
        <f>AI29</f>
        <v>8.7899999999999991</v>
      </c>
      <c r="DB29">
        <f>ROUND(ROUND(AT29*CZ29,2),6)</f>
        <v>4.2699999999999996</v>
      </c>
      <c r="DC29">
        <f>ROUND(ROUND(AT29*AG29,2),6)</f>
        <v>0</v>
      </c>
      <c r="DD29" t="s">
        <v>3</v>
      </c>
      <c r="DE29" t="s">
        <v>3</v>
      </c>
      <c r="DF29">
        <f>ROUND(ROUND(AE29*AI29,2)*CX29,2)</f>
        <v>0.09</v>
      </c>
      <c r="DG29">
        <f>ROUND(ROUND(AF29,2)*CX29,2)</f>
        <v>0</v>
      </c>
      <c r="DH29">
        <f>ROUND(ROUND(AG29,2)*CX29,2)</f>
        <v>0</v>
      </c>
      <c r="DI29">
        <f t="shared" si="14"/>
        <v>0</v>
      </c>
      <c r="DJ29">
        <f>DF29</f>
        <v>0.09</v>
      </c>
      <c r="DK29">
        <v>0</v>
      </c>
      <c r="DL29" t="s">
        <v>3</v>
      </c>
      <c r="DM29">
        <v>0</v>
      </c>
      <c r="DN29" t="s">
        <v>3</v>
      </c>
      <c r="DO29">
        <v>0</v>
      </c>
    </row>
    <row r="30" spans="1:119" x14ac:dyDescent="0.2">
      <c r="A30">
        <f>ROW(Source!A36)</f>
        <v>36</v>
      </c>
      <c r="B30">
        <v>53360025</v>
      </c>
      <c r="C30">
        <v>53362556</v>
      </c>
      <c r="D30">
        <v>1090945912</v>
      </c>
      <c r="E30">
        <v>1</v>
      </c>
      <c r="F30">
        <v>1</v>
      </c>
      <c r="G30">
        <v>1</v>
      </c>
      <c r="H30">
        <v>3</v>
      </c>
      <c r="I30" t="s">
        <v>385</v>
      </c>
      <c r="J30" t="s">
        <v>386</v>
      </c>
      <c r="K30" t="s">
        <v>387</v>
      </c>
      <c r="L30">
        <v>1327</v>
      </c>
      <c r="N30">
        <v>1005</v>
      </c>
      <c r="O30" t="s">
        <v>101</v>
      </c>
      <c r="P30" t="s">
        <v>101</v>
      </c>
      <c r="Q30">
        <v>1</v>
      </c>
      <c r="W30">
        <v>0</v>
      </c>
      <c r="X30">
        <v>1300369369</v>
      </c>
      <c r="Y30">
        <f>AT30</f>
        <v>250</v>
      </c>
      <c r="AA30">
        <v>31.82</v>
      </c>
      <c r="AB30">
        <v>0</v>
      </c>
      <c r="AC30">
        <v>0</v>
      </c>
      <c r="AD30">
        <v>0</v>
      </c>
      <c r="AE30">
        <v>3.62</v>
      </c>
      <c r="AF30">
        <v>0</v>
      </c>
      <c r="AG30">
        <v>0</v>
      </c>
      <c r="AH30">
        <v>0</v>
      </c>
      <c r="AI30">
        <v>8.7899999999999991</v>
      </c>
      <c r="AJ30">
        <v>1</v>
      </c>
      <c r="AK30">
        <v>1</v>
      </c>
      <c r="AL30">
        <v>1</v>
      </c>
      <c r="AM30">
        <v>4</v>
      </c>
      <c r="AN30">
        <v>0</v>
      </c>
      <c r="AO30">
        <v>1</v>
      </c>
      <c r="AP30">
        <v>0</v>
      </c>
      <c r="AQ30">
        <v>0</v>
      </c>
      <c r="AR30">
        <v>0</v>
      </c>
      <c r="AS30" t="s">
        <v>3</v>
      </c>
      <c r="AT30">
        <v>250</v>
      </c>
      <c r="AU30" t="s">
        <v>3</v>
      </c>
      <c r="AV30">
        <v>0</v>
      </c>
      <c r="AW30">
        <v>2</v>
      </c>
      <c r="AX30">
        <v>53362571</v>
      </c>
      <c r="AY30">
        <v>1</v>
      </c>
      <c r="AZ30">
        <v>0</v>
      </c>
      <c r="BA30">
        <v>29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CV30">
        <v>0</v>
      </c>
      <c r="CW30">
        <v>0</v>
      </c>
      <c r="CX30">
        <f>ROUND(Y30*Source!I36,7)</f>
        <v>0.625</v>
      </c>
      <c r="CY30">
        <f>AA30</f>
        <v>31.82</v>
      </c>
      <c r="CZ30">
        <f>AE30</f>
        <v>3.62</v>
      </c>
      <c r="DA30">
        <f>AI30</f>
        <v>8.7899999999999991</v>
      </c>
      <c r="DB30">
        <f>ROUND(ROUND(AT30*CZ30,2),6)</f>
        <v>905</v>
      </c>
      <c r="DC30">
        <f>ROUND(ROUND(AT30*AG30,2),6)</f>
        <v>0</v>
      </c>
      <c r="DD30" t="s">
        <v>3</v>
      </c>
      <c r="DE30" t="s">
        <v>3</v>
      </c>
      <c r="DF30">
        <f>ROUND(ROUND(AE30*AI30,2)*CX30,2)</f>
        <v>19.89</v>
      </c>
      <c r="DG30">
        <f>ROUND(ROUND(AF30,2)*CX30,2)</f>
        <v>0</v>
      </c>
      <c r="DH30">
        <f>ROUND(ROUND(AG30,2)*CX30,2)</f>
        <v>0</v>
      </c>
      <c r="DI30">
        <f t="shared" si="14"/>
        <v>0</v>
      </c>
      <c r="DJ30">
        <f>DF30</f>
        <v>19.89</v>
      </c>
      <c r="DK30">
        <v>0</v>
      </c>
      <c r="DL30" t="s">
        <v>3</v>
      </c>
      <c r="DM30">
        <v>0</v>
      </c>
      <c r="DN30" t="s">
        <v>3</v>
      </c>
      <c r="DO30">
        <v>0</v>
      </c>
    </row>
    <row r="31" spans="1:119" x14ac:dyDescent="0.2">
      <c r="A31">
        <f>ROW(Source!A36)</f>
        <v>36</v>
      </c>
      <c r="B31">
        <v>53360025</v>
      </c>
      <c r="C31">
        <v>53362556</v>
      </c>
      <c r="D31">
        <v>1090953672</v>
      </c>
      <c r="E31">
        <v>1</v>
      </c>
      <c r="F31">
        <v>1</v>
      </c>
      <c r="G31">
        <v>1</v>
      </c>
      <c r="H31">
        <v>3</v>
      </c>
      <c r="I31" t="s">
        <v>87</v>
      </c>
      <c r="J31" t="s">
        <v>90</v>
      </c>
      <c r="K31" t="s">
        <v>88</v>
      </c>
      <c r="L31">
        <v>1339</v>
      </c>
      <c r="N31">
        <v>1007</v>
      </c>
      <c r="O31" t="s">
        <v>89</v>
      </c>
      <c r="P31" t="s">
        <v>89</v>
      </c>
      <c r="Q31">
        <v>1</v>
      </c>
      <c r="W31">
        <v>0</v>
      </c>
      <c r="X31">
        <v>-1590786868</v>
      </c>
      <c r="Y31">
        <f>AT31</f>
        <v>102</v>
      </c>
      <c r="AA31">
        <v>5845.35</v>
      </c>
      <c r="AB31">
        <v>0</v>
      </c>
      <c r="AC31">
        <v>0</v>
      </c>
      <c r="AD31">
        <v>0</v>
      </c>
      <c r="AE31">
        <v>665</v>
      </c>
      <c r="AF31">
        <v>0</v>
      </c>
      <c r="AG31">
        <v>0</v>
      </c>
      <c r="AH31">
        <v>0</v>
      </c>
      <c r="AI31">
        <v>8.7899999999999991</v>
      </c>
      <c r="AJ31">
        <v>1</v>
      </c>
      <c r="AK31">
        <v>1</v>
      </c>
      <c r="AL31">
        <v>1</v>
      </c>
      <c r="AM31">
        <v>0</v>
      </c>
      <c r="AN31">
        <v>0</v>
      </c>
      <c r="AO31">
        <v>0</v>
      </c>
      <c r="AP31">
        <v>1</v>
      </c>
      <c r="AQ31">
        <v>0</v>
      </c>
      <c r="AR31">
        <v>0</v>
      </c>
      <c r="AS31" t="s">
        <v>3</v>
      </c>
      <c r="AT31">
        <v>102</v>
      </c>
      <c r="AU31" t="s">
        <v>3</v>
      </c>
      <c r="AV31">
        <v>0</v>
      </c>
      <c r="AW31">
        <v>1</v>
      </c>
      <c r="AX31">
        <v>-1</v>
      </c>
      <c r="AY31">
        <v>0</v>
      </c>
      <c r="AZ31">
        <v>0</v>
      </c>
      <c r="BA31" t="s">
        <v>3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CV31">
        <v>0</v>
      </c>
      <c r="CW31">
        <v>0</v>
      </c>
      <c r="CX31">
        <f>ROUND(Y31*Source!I36,7)</f>
        <v>0.255</v>
      </c>
      <c r="CY31">
        <f>AA31</f>
        <v>5845.35</v>
      </c>
      <c r="CZ31">
        <f>AE31</f>
        <v>665</v>
      </c>
      <c r="DA31">
        <f>AI31</f>
        <v>8.7899999999999991</v>
      </c>
      <c r="DB31">
        <f>ROUND(ROUND(AT31*CZ31,2),6)</f>
        <v>67830</v>
      </c>
      <c r="DC31">
        <f>ROUND(ROUND(AT31*AG31,2),6)</f>
        <v>0</v>
      </c>
      <c r="DD31" t="s">
        <v>3</v>
      </c>
      <c r="DE31" t="s">
        <v>3</v>
      </c>
      <c r="DF31">
        <f>ROUND(ROUND(AE31*AI31,2)*CX31,2)</f>
        <v>1490.56</v>
      </c>
      <c r="DG31">
        <f>ROUND(ROUND(AF31,2)*CX31,2)</f>
        <v>0</v>
      </c>
      <c r="DH31">
        <f>ROUND(ROUND(AG31,2)*CX31,2)</f>
        <v>0</v>
      </c>
      <c r="DI31">
        <f t="shared" si="14"/>
        <v>0</v>
      </c>
      <c r="DJ31">
        <f>DF31</f>
        <v>1490.56</v>
      </c>
      <c r="DK31">
        <v>0</v>
      </c>
      <c r="DL31" t="s">
        <v>3</v>
      </c>
      <c r="DM31">
        <v>0</v>
      </c>
      <c r="DN31" t="s">
        <v>3</v>
      </c>
      <c r="DO31">
        <v>0</v>
      </c>
    </row>
    <row r="32" spans="1:119" x14ac:dyDescent="0.2">
      <c r="A32">
        <f>ROW(Source!A38)</f>
        <v>38</v>
      </c>
      <c r="B32">
        <v>53360025</v>
      </c>
      <c r="C32">
        <v>53362574</v>
      </c>
      <c r="D32">
        <v>37070495</v>
      </c>
      <c r="E32">
        <v>70</v>
      </c>
      <c r="F32">
        <v>1</v>
      </c>
      <c r="G32">
        <v>1</v>
      </c>
      <c r="H32">
        <v>1</v>
      </c>
      <c r="I32" t="s">
        <v>388</v>
      </c>
      <c r="J32" t="s">
        <v>3</v>
      </c>
      <c r="K32" t="s">
        <v>389</v>
      </c>
      <c r="L32">
        <v>1191</v>
      </c>
      <c r="N32">
        <v>1013</v>
      </c>
      <c r="O32" t="s">
        <v>324</v>
      </c>
      <c r="P32" t="s">
        <v>324</v>
      </c>
      <c r="Q32">
        <v>1</v>
      </c>
      <c r="W32">
        <v>0</v>
      </c>
      <c r="X32">
        <v>784619160</v>
      </c>
      <c r="Y32">
        <f>(AT32*ROUND(1.15,7))</f>
        <v>121.89999999999999</v>
      </c>
      <c r="AA32">
        <v>0</v>
      </c>
      <c r="AB32">
        <v>0</v>
      </c>
      <c r="AC32">
        <v>0</v>
      </c>
      <c r="AD32">
        <v>343.74</v>
      </c>
      <c r="AE32">
        <v>0</v>
      </c>
      <c r="AF32">
        <v>0</v>
      </c>
      <c r="AG32">
        <v>0</v>
      </c>
      <c r="AH32">
        <v>8.74</v>
      </c>
      <c r="AI32">
        <v>1</v>
      </c>
      <c r="AJ32">
        <v>1</v>
      </c>
      <c r="AK32">
        <v>1</v>
      </c>
      <c r="AL32">
        <v>39.33</v>
      </c>
      <c r="AM32">
        <v>4</v>
      </c>
      <c r="AN32">
        <v>0</v>
      </c>
      <c r="AO32">
        <v>1</v>
      </c>
      <c r="AP32">
        <v>1</v>
      </c>
      <c r="AQ32">
        <v>0</v>
      </c>
      <c r="AR32">
        <v>0</v>
      </c>
      <c r="AS32" t="s">
        <v>3</v>
      </c>
      <c r="AT32">
        <v>106</v>
      </c>
      <c r="AU32" t="s">
        <v>73</v>
      </c>
      <c r="AV32">
        <v>1</v>
      </c>
      <c r="AW32">
        <v>2</v>
      </c>
      <c r="AX32">
        <v>53362587</v>
      </c>
      <c r="AY32">
        <v>1</v>
      </c>
      <c r="AZ32">
        <v>0</v>
      </c>
      <c r="BA32">
        <v>31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CU32">
        <f>ROUND(AT32*Source!I38*AH32*AL32,2)</f>
        <v>1792.69</v>
      </c>
      <c r="CV32">
        <f>ROUND(Y32*Source!I38,7)</f>
        <v>5.9974800000000004</v>
      </c>
      <c r="CW32">
        <v>0</v>
      </c>
      <c r="CX32">
        <f>ROUND(Y32*Source!I38,7)</f>
        <v>5.9974800000000004</v>
      </c>
      <c r="CY32">
        <f>AD32</f>
        <v>343.74</v>
      </c>
      <c r="CZ32">
        <f>AH32</f>
        <v>8.74</v>
      </c>
      <c r="DA32">
        <f>AL32</f>
        <v>39.33</v>
      </c>
      <c r="DB32">
        <f>ROUND((ROUND(AT32*CZ32,2)*ROUND(1.15,7)),6)</f>
        <v>1065.4059999999999</v>
      </c>
      <c r="DC32">
        <f>ROUND((ROUND(AT32*AG32,2)*ROUND(1.15,7)),6)</f>
        <v>0</v>
      </c>
      <c r="DD32" t="s">
        <v>3</v>
      </c>
      <c r="DE32" t="s">
        <v>3</v>
      </c>
      <c r="DF32">
        <f>ROUND(ROUND(AE32,2)*CX32,2)</f>
        <v>0</v>
      </c>
      <c r="DG32">
        <f>ROUND(ROUND(AF32,2)*CX32,2)</f>
        <v>0</v>
      </c>
      <c r="DH32">
        <f>ROUND(ROUND(AG32,2)*CX32,2)</f>
        <v>0</v>
      </c>
      <c r="DI32">
        <f>ROUND(ROUND(AH32*AL32,2)*CX32,2)</f>
        <v>2061.5700000000002</v>
      </c>
      <c r="DJ32">
        <f>DI32</f>
        <v>2061.5700000000002</v>
      </c>
      <c r="DK32">
        <v>0</v>
      </c>
      <c r="DL32" t="s">
        <v>3</v>
      </c>
      <c r="DM32">
        <v>0</v>
      </c>
      <c r="DN32" t="s">
        <v>3</v>
      </c>
      <c r="DO32">
        <v>0</v>
      </c>
    </row>
    <row r="33" spans="1:119" x14ac:dyDescent="0.2">
      <c r="A33">
        <f>ROW(Source!A38)</f>
        <v>38</v>
      </c>
      <c r="B33">
        <v>53360025</v>
      </c>
      <c r="C33">
        <v>53362574</v>
      </c>
      <c r="D33">
        <v>37064876</v>
      </c>
      <c r="E33">
        <v>70</v>
      </c>
      <c r="F33">
        <v>1</v>
      </c>
      <c r="G33">
        <v>1</v>
      </c>
      <c r="H33">
        <v>1</v>
      </c>
      <c r="I33" t="s">
        <v>325</v>
      </c>
      <c r="J33" t="s">
        <v>3</v>
      </c>
      <c r="K33" t="s">
        <v>326</v>
      </c>
      <c r="L33">
        <v>1191</v>
      </c>
      <c r="N33">
        <v>1013</v>
      </c>
      <c r="O33" t="s">
        <v>324</v>
      </c>
      <c r="P33" t="s">
        <v>324</v>
      </c>
      <c r="Q33">
        <v>1</v>
      </c>
      <c r="W33">
        <v>0</v>
      </c>
      <c r="X33">
        <v>-1417349443</v>
      </c>
      <c r="Y33">
        <f>(AT33*ROUND(1.25,7))</f>
        <v>3.6749999999999998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1</v>
      </c>
      <c r="AK33">
        <v>39.33</v>
      </c>
      <c r="AL33">
        <v>1</v>
      </c>
      <c r="AM33">
        <v>4</v>
      </c>
      <c r="AN33">
        <v>0</v>
      </c>
      <c r="AO33">
        <v>1</v>
      </c>
      <c r="AP33">
        <v>1</v>
      </c>
      <c r="AQ33">
        <v>0</v>
      </c>
      <c r="AR33">
        <v>0</v>
      </c>
      <c r="AS33" t="s">
        <v>3</v>
      </c>
      <c r="AT33">
        <v>2.94</v>
      </c>
      <c r="AU33" t="s">
        <v>72</v>
      </c>
      <c r="AV33">
        <v>2</v>
      </c>
      <c r="AW33">
        <v>2</v>
      </c>
      <c r="AX33">
        <v>53362588</v>
      </c>
      <c r="AY33">
        <v>1</v>
      </c>
      <c r="AZ33">
        <v>0</v>
      </c>
      <c r="BA33">
        <v>32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CV33">
        <v>0</v>
      </c>
      <c r="CW33">
        <v>0</v>
      </c>
      <c r="CX33">
        <f>ROUND(Y33*Source!I38,7)</f>
        <v>0.18081</v>
      </c>
      <c r="CY33">
        <f>AD33</f>
        <v>0</v>
      </c>
      <c r="CZ33">
        <f>AH33</f>
        <v>0</v>
      </c>
      <c r="DA33">
        <f>AL33</f>
        <v>1</v>
      </c>
      <c r="DB33">
        <f>ROUND((ROUND(AT33*CZ33,2)*ROUND(1.25,7)),6)</f>
        <v>0</v>
      </c>
      <c r="DC33">
        <f>ROUND((ROUND(AT33*AG33,2)*ROUND(1.25,7)),6)</f>
        <v>0</v>
      </c>
      <c r="DD33" t="s">
        <v>3</v>
      </c>
      <c r="DE33" t="s">
        <v>3</v>
      </c>
      <c r="DF33">
        <f>ROUND(ROUND(AE33,2)*CX33,2)</f>
        <v>0</v>
      </c>
      <c r="DG33">
        <f>ROUND(ROUND(AF33,2)*CX33,2)</f>
        <v>0</v>
      </c>
      <c r="DH33">
        <f>ROUND(ROUND(AG33*AK33,2)*CX33,2)</f>
        <v>0</v>
      </c>
      <c r="DI33">
        <f t="shared" ref="DI33:DI42" si="15">ROUND(ROUND(AH33,2)*CX33,2)</f>
        <v>0</v>
      </c>
      <c r="DJ33">
        <f>DI33</f>
        <v>0</v>
      </c>
      <c r="DK33">
        <v>0</v>
      </c>
      <c r="DL33" t="s">
        <v>3</v>
      </c>
      <c r="DM33">
        <v>0</v>
      </c>
      <c r="DN33" t="s">
        <v>3</v>
      </c>
      <c r="DO33">
        <v>0</v>
      </c>
    </row>
    <row r="34" spans="1:119" x14ac:dyDescent="0.2">
      <c r="A34">
        <f>ROW(Source!A38)</f>
        <v>38</v>
      </c>
      <c r="B34">
        <v>53360025</v>
      </c>
      <c r="C34">
        <v>53362574</v>
      </c>
      <c r="D34">
        <v>1091150891</v>
      </c>
      <c r="E34">
        <v>1</v>
      </c>
      <c r="F34">
        <v>1</v>
      </c>
      <c r="G34">
        <v>1</v>
      </c>
      <c r="H34">
        <v>2</v>
      </c>
      <c r="I34" t="s">
        <v>353</v>
      </c>
      <c r="J34" t="s">
        <v>354</v>
      </c>
      <c r="K34" t="s">
        <v>355</v>
      </c>
      <c r="L34">
        <v>1367</v>
      </c>
      <c r="N34">
        <v>1011</v>
      </c>
      <c r="O34" t="s">
        <v>330</v>
      </c>
      <c r="P34" t="s">
        <v>330</v>
      </c>
      <c r="Q34">
        <v>1</v>
      </c>
      <c r="W34">
        <v>0</v>
      </c>
      <c r="X34">
        <v>-896236776</v>
      </c>
      <c r="Y34">
        <f>(AT34*ROUND(1.25,7))</f>
        <v>0.44999999999999996</v>
      </c>
      <c r="AA34">
        <v>0</v>
      </c>
      <c r="AB34">
        <v>1297.6600000000001</v>
      </c>
      <c r="AC34">
        <v>395.66</v>
      </c>
      <c r="AD34">
        <v>0</v>
      </c>
      <c r="AE34">
        <v>0</v>
      </c>
      <c r="AF34">
        <v>89.99</v>
      </c>
      <c r="AG34">
        <v>10.06</v>
      </c>
      <c r="AH34">
        <v>0</v>
      </c>
      <c r="AI34">
        <v>1</v>
      </c>
      <c r="AJ34">
        <v>14.42</v>
      </c>
      <c r="AK34">
        <v>39.33</v>
      </c>
      <c r="AL34">
        <v>1</v>
      </c>
      <c r="AM34">
        <v>4</v>
      </c>
      <c r="AN34">
        <v>0</v>
      </c>
      <c r="AO34">
        <v>1</v>
      </c>
      <c r="AP34">
        <v>1</v>
      </c>
      <c r="AQ34">
        <v>0</v>
      </c>
      <c r="AR34">
        <v>0</v>
      </c>
      <c r="AS34" t="s">
        <v>3</v>
      </c>
      <c r="AT34">
        <v>0.36</v>
      </c>
      <c r="AU34" t="s">
        <v>72</v>
      </c>
      <c r="AV34">
        <v>0</v>
      </c>
      <c r="AW34">
        <v>2</v>
      </c>
      <c r="AX34">
        <v>53362589</v>
      </c>
      <c r="AY34">
        <v>1</v>
      </c>
      <c r="AZ34">
        <v>0</v>
      </c>
      <c r="BA34">
        <v>33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CV34">
        <v>0</v>
      </c>
      <c r="CW34">
        <f>ROUND(Y34*Source!I38*DO34,7)</f>
        <v>0</v>
      </c>
      <c r="CX34">
        <f>ROUND(Y34*Source!I38,7)</f>
        <v>2.214E-2</v>
      </c>
      <c r="CY34">
        <f>AB34</f>
        <v>1297.6600000000001</v>
      </c>
      <c r="CZ34">
        <f>AF34</f>
        <v>89.99</v>
      </c>
      <c r="DA34">
        <f>AJ34</f>
        <v>14.42</v>
      </c>
      <c r="DB34">
        <f>ROUND((ROUND(AT34*CZ34,2)*ROUND(1.25,7)),6)</f>
        <v>40.5</v>
      </c>
      <c r="DC34">
        <f>ROUND((ROUND(AT34*AG34,2)*ROUND(1.25,7)),6)</f>
        <v>4.5250000000000004</v>
      </c>
      <c r="DD34" t="s">
        <v>3</v>
      </c>
      <c r="DE34" t="s">
        <v>3</v>
      </c>
      <c r="DF34">
        <f>ROUND(ROUND(AE34,2)*CX34,2)</f>
        <v>0</v>
      </c>
      <c r="DG34">
        <f>ROUND(ROUND(AF34*AJ34,2)*CX34,2)</f>
        <v>28.73</v>
      </c>
      <c r="DH34">
        <f>ROUND(ROUND(AG34*AK34,2)*CX34,2)</f>
        <v>8.76</v>
      </c>
      <c r="DI34">
        <f t="shared" si="15"/>
        <v>0</v>
      </c>
      <c r="DJ34">
        <f>DG34</f>
        <v>28.73</v>
      </c>
      <c r="DK34">
        <v>0</v>
      </c>
      <c r="DL34" t="s">
        <v>3</v>
      </c>
      <c r="DM34">
        <v>0</v>
      </c>
      <c r="DN34" t="s">
        <v>3</v>
      </c>
      <c r="DO34">
        <v>0</v>
      </c>
    </row>
    <row r="35" spans="1:119" x14ac:dyDescent="0.2">
      <c r="A35">
        <f>ROW(Source!A38)</f>
        <v>38</v>
      </c>
      <c r="B35">
        <v>53360025</v>
      </c>
      <c r="C35">
        <v>53362574</v>
      </c>
      <c r="D35">
        <v>1091150933</v>
      </c>
      <c r="E35">
        <v>1</v>
      </c>
      <c r="F35">
        <v>1</v>
      </c>
      <c r="G35">
        <v>1</v>
      </c>
      <c r="H35">
        <v>2</v>
      </c>
      <c r="I35" t="s">
        <v>327</v>
      </c>
      <c r="J35" t="s">
        <v>328</v>
      </c>
      <c r="K35" t="s">
        <v>329</v>
      </c>
      <c r="L35">
        <v>1367</v>
      </c>
      <c r="N35">
        <v>1011</v>
      </c>
      <c r="O35" t="s">
        <v>330</v>
      </c>
      <c r="P35" t="s">
        <v>330</v>
      </c>
      <c r="Q35">
        <v>1</v>
      </c>
      <c r="W35">
        <v>0</v>
      </c>
      <c r="X35">
        <v>1232162608</v>
      </c>
      <c r="Y35">
        <f>(AT35*ROUND(1.25,7))</f>
        <v>2.875</v>
      </c>
      <c r="AA35">
        <v>0</v>
      </c>
      <c r="AB35">
        <v>450.77</v>
      </c>
      <c r="AC35">
        <v>530.96</v>
      </c>
      <c r="AD35">
        <v>0</v>
      </c>
      <c r="AE35">
        <v>0</v>
      </c>
      <c r="AF35">
        <v>31.26</v>
      </c>
      <c r="AG35">
        <v>13.5</v>
      </c>
      <c r="AH35">
        <v>0</v>
      </c>
      <c r="AI35">
        <v>1</v>
      </c>
      <c r="AJ35">
        <v>14.42</v>
      </c>
      <c r="AK35">
        <v>39.33</v>
      </c>
      <c r="AL35">
        <v>1</v>
      </c>
      <c r="AM35">
        <v>4</v>
      </c>
      <c r="AN35">
        <v>0</v>
      </c>
      <c r="AO35">
        <v>1</v>
      </c>
      <c r="AP35">
        <v>1</v>
      </c>
      <c r="AQ35">
        <v>0</v>
      </c>
      <c r="AR35">
        <v>0</v>
      </c>
      <c r="AS35" t="s">
        <v>3</v>
      </c>
      <c r="AT35">
        <v>2.2999999999999998</v>
      </c>
      <c r="AU35" t="s">
        <v>72</v>
      </c>
      <c r="AV35">
        <v>0</v>
      </c>
      <c r="AW35">
        <v>2</v>
      </c>
      <c r="AX35">
        <v>53362590</v>
      </c>
      <c r="AY35">
        <v>1</v>
      </c>
      <c r="AZ35">
        <v>0</v>
      </c>
      <c r="BA35">
        <v>34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CV35">
        <v>0</v>
      </c>
      <c r="CW35">
        <f>ROUND(Y35*Source!I38*DO35,7)</f>
        <v>0</v>
      </c>
      <c r="CX35">
        <f>ROUND(Y35*Source!I38,7)</f>
        <v>0.14144999999999999</v>
      </c>
      <c r="CY35">
        <f>AB35</f>
        <v>450.77</v>
      </c>
      <c r="CZ35">
        <f>AF35</f>
        <v>31.26</v>
      </c>
      <c r="DA35">
        <f>AJ35</f>
        <v>14.42</v>
      </c>
      <c r="DB35">
        <f>ROUND((ROUND(AT35*CZ35,2)*ROUND(1.25,7)),6)</f>
        <v>89.875</v>
      </c>
      <c r="DC35">
        <f>ROUND((ROUND(AT35*AG35,2)*ROUND(1.25,7)),6)</f>
        <v>38.8125</v>
      </c>
      <c r="DD35" t="s">
        <v>3</v>
      </c>
      <c r="DE35" t="s">
        <v>3</v>
      </c>
      <c r="DF35">
        <f>ROUND(ROUND(AE35,2)*CX35,2)</f>
        <v>0</v>
      </c>
      <c r="DG35">
        <f>ROUND(ROUND(AF35*AJ35,2)*CX35,2)</f>
        <v>63.76</v>
      </c>
      <c r="DH35">
        <f>ROUND(ROUND(AG35*AK35,2)*CX35,2)</f>
        <v>75.099999999999994</v>
      </c>
      <c r="DI35">
        <f t="shared" si="15"/>
        <v>0</v>
      </c>
      <c r="DJ35">
        <f>DG35</f>
        <v>63.76</v>
      </c>
      <c r="DK35">
        <v>0</v>
      </c>
      <c r="DL35" t="s">
        <v>3</v>
      </c>
      <c r="DM35">
        <v>0</v>
      </c>
      <c r="DN35" t="s">
        <v>3</v>
      </c>
      <c r="DO35">
        <v>0</v>
      </c>
    </row>
    <row r="36" spans="1:119" x14ac:dyDescent="0.2">
      <c r="A36">
        <f>ROW(Source!A38)</f>
        <v>38</v>
      </c>
      <c r="B36">
        <v>53360025</v>
      </c>
      <c r="C36">
        <v>53362574</v>
      </c>
      <c r="D36">
        <v>1091151703</v>
      </c>
      <c r="E36">
        <v>1</v>
      </c>
      <c r="F36">
        <v>1</v>
      </c>
      <c r="G36">
        <v>1</v>
      </c>
      <c r="H36">
        <v>2</v>
      </c>
      <c r="I36" t="s">
        <v>356</v>
      </c>
      <c r="J36" t="s">
        <v>357</v>
      </c>
      <c r="K36" t="s">
        <v>358</v>
      </c>
      <c r="L36">
        <v>1367</v>
      </c>
      <c r="N36">
        <v>1011</v>
      </c>
      <c r="O36" t="s">
        <v>330</v>
      </c>
      <c r="P36" t="s">
        <v>330</v>
      </c>
      <c r="Q36">
        <v>1</v>
      </c>
      <c r="W36">
        <v>0</v>
      </c>
      <c r="X36">
        <v>509054691</v>
      </c>
      <c r="Y36">
        <f>(AT36*ROUND(1.25,7))</f>
        <v>0.35000000000000003</v>
      </c>
      <c r="AA36">
        <v>0</v>
      </c>
      <c r="AB36">
        <v>947.54</v>
      </c>
      <c r="AC36">
        <v>456.23</v>
      </c>
      <c r="AD36">
        <v>0</v>
      </c>
      <c r="AE36">
        <v>0</v>
      </c>
      <c r="AF36">
        <v>65.709999999999994</v>
      </c>
      <c r="AG36">
        <v>11.6</v>
      </c>
      <c r="AH36">
        <v>0</v>
      </c>
      <c r="AI36">
        <v>1</v>
      </c>
      <c r="AJ36">
        <v>14.42</v>
      </c>
      <c r="AK36">
        <v>39.33</v>
      </c>
      <c r="AL36">
        <v>1</v>
      </c>
      <c r="AM36">
        <v>4</v>
      </c>
      <c r="AN36">
        <v>0</v>
      </c>
      <c r="AO36">
        <v>1</v>
      </c>
      <c r="AP36">
        <v>1</v>
      </c>
      <c r="AQ36">
        <v>0</v>
      </c>
      <c r="AR36">
        <v>0</v>
      </c>
      <c r="AS36" t="s">
        <v>3</v>
      </c>
      <c r="AT36">
        <v>0.28000000000000003</v>
      </c>
      <c r="AU36" t="s">
        <v>72</v>
      </c>
      <c r="AV36">
        <v>0</v>
      </c>
      <c r="AW36">
        <v>2</v>
      </c>
      <c r="AX36">
        <v>53362591</v>
      </c>
      <c r="AY36">
        <v>1</v>
      </c>
      <c r="AZ36">
        <v>0</v>
      </c>
      <c r="BA36">
        <v>35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CV36">
        <v>0</v>
      </c>
      <c r="CW36">
        <f>ROUND(Y36*Source!I38*DO36,7)</f>
        <v>0</v>
      </c>
      <c r="CX36">
        <f>ROUND(Y36*Source!I38,7)</f>
        <v>1.7219999999999999E-2</v>
      </c>
      <c r="CY36">
        <f>AB36</f>
        <v>947.54</v>
      </c>
      <c r="CZ36">
        <f>AF36</f>
        <v>65.709999999999994</v>
      </c>
      <c r="DA36">
        <f>AJ36</f>
        <v>14.42</v>
      </c>
      <c r="DB36">
        <f>ROUND((ROUND(AT36*CZ36,2)*ROUND(1.25,7)),6)</f>
        <v>23</v>
      </c>
      <c r="DC36">
        <f>ROUND((ROUND(AT36*AG36,2)*ROUND(1.25,7)),6)</f>
        <v>4.0625</v>
      </c>
      <c r="DD36" t="s">
        <v>3</v>
      </c>
      <c r="DE36" t="s">
        <v>3</v>
      </c>
      <c r="DF36">
        <f>ROUND(ROUND(AE36,2)*CX36,2)</f>
        <v>0</v>
      </c>
      <c r="DG36">
        <f>ROUND(ROUND(AF36*AJ36,2)*CX36,2)</f>
        <v>16.32</v>
      </c>
      <c r="DH36">
        <f>ROUND(ROUND(AG36*AK36,2)*CX36,2)</f>
        <v>7.86</v>
      </c>
      <c r="DI36">
        <f t="shared" si="15"/>
        <v>0</v>
      </c>
      <c r="DJ36">
        <f>DG36</f>
        <v>16.32</v>
      </c>
      <c r="DK36">
        <v>0</v>
      </c>
      <c r="DL36" t="s">
        <v>3</v>
      </c>
      <c r="DM36">
        <v>0</v>
      </c>
      <c r="DN36" t="s">
        <v>3</v>
      </c>
      <c r="DO36">
        <v>0</v>
      </c>
    </row>
    <row r="37" spans="1:119" x14ac:dyDescent="0.2">
      <c r="A37">
        <f>ROW(Source!A38)</f>
        <v>38</v>
      </c>
      <c r="B37">
        <v>53360025</v>
      </c>
      <c r="C37">
        <v>53362574</v>
      </c>
      <c r="D37">
        <v>1090945058</v>
      </c>
      <c r="E37">
        <v>1</v>
      </c>
      <c r="F37">
        <v>1</v>
      </c>
      <c r="G37">
        <v>1</v>
      </c>
      <c r="H37">
        <v>3</v>
      </c>
      <c r="I37" t="s">
        <v>359</v>
      </c>
      <c r="J37" t="s">
        <v>360</v>
      </c>
      <c r="K37" t="s">
        <v>361</v>
      </c>
      <c r="L37">
        <v>1339</v>
      </c>
      <c r="N37">
        <v>1007</v>
      </c>
      <c r="O37" t="s">
        <v>89</v>
      </c>
      <c r="P37" t="s">
        <v>89</v>
      </c>
      <c r="Q37">
        <v>1</v>
      </c>
      <c r="W37">
        <v>0</v>
      </c>
      <c r="X37">
        <v>-143474561</v>
      </c>
      <c r="Y37">
        <f t="shared" ref="Y37:Y42" si="16">AT37</f>
        <v>3.85</v>
      </c>
      <c r="AA37">
        <v>21.45</v>
      </c>
      <c r="AB37">
        <v>0</v>
      </c>
      <c r="AC37">
        <v>0</v>
      </c>
      <c r="AD37">
        <v>0</v>
      </c>
      <c r="AE37">
        <v>2.44</v>
      </c>
      <c r="AF37">
        <v>0</v>
      </c>
      <c r="AG37">
        <v>0</v>
      </c>
      <c r="AH37">
        <v>0</v>
      </c>
      <c r="AI37">
        <v>8.7899999999999991</v>
      </c>
      <c r="AJ37">
        <v>1</v>
      </c>
      <c r="AK37">
        <v>1</v>
      </c>
      <c r="AL37">
        <v>1</v>
      </c>
      <c r="AM37">
        <v>4</v>
      </c>
      <c r="AN37">
        <v>0</v>
      </c>
      <c r="AO37">
        <v>1</v>
      </c>
      <c r="AP37">
        <v>0</v>
      </c>
      <c r="AQ37">
        <v>0</v>
      </c>
      <c r="AR37">
        <v>0</v>
      </c>
      <c r="AS37" t="s">
        <v>3</v>
      </c>
      <c r="AT37">
        <v>3.85</v>
      </c>
      <c r="AU37" t="s">
        <v>3</v>
      </c>
      <c r="AV37">
        <v>0</v>
      </c>
      <c r="AW37">
        <v>2</v>
      </c>
      <c r="AX37">
        <v>53362592</v>
      </c>
      <c r="AY37">
        <v>1</v>
      </c>
      <c r="AZ37">
        <v>0</v>
      </c>
      <c r="BA37">
        <v>36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CV37">
        <v>0</v>
      </c>
      <c r="CW37">
        <v>0</v>
      </c>
      <c r="CX37">
        <f>ROUND(Y37*Source!I38,7)</f>
        <v>0.18942000000000001</v>
      </c>
      <c r="CY37">
        <f t="shared" ref="CY37:CY42" si="17">AA37</f>
        <v>21.45</v>
      </c>
      <c r="CZ37">
        <f t="shared" ref="CZ37:CZ42" si="18">AE37</f>
        <v>2.44</v>
      </c>
      <c r="DA37">
        <f t="shared" ref="DA37:DA42" si="19">AI37</f>
        <v>8.7899999999999991</v>
      </c>
      <c r="DB37">
        <f t="shared" ref="DB37:DB42" si="20">ROUND(ROUND(AT37*CZ37,2),6)</f>
        <v>9.39</v>
      </c>
      <c r="DC37">
        <f t="shared" ref="DC37:DC42" si="21">ROUND(ROUND(AT37*AG37,2),6)</f>
        <v>0</v>
      </c>
      <c r="DD37" t="s">
        <v>3</v>
      </c>
      <c r="DE37" t="s">
        <v>3</v>
      </c>
      <c r="DF37">
        <f t="shared" ref="DF37:DF42" si="22">ROUND(ROUND(AE37*AI37,2)*CX37,2)</f>
        <v>4.0599999999999996</v>
      </c>
      <c r="DG37">
        <f t="shared" ref="DG37:DG44" si="23">ROUND(ROUND(AF37,2)*CX37,2)</f>
        <v>0</v>
      </c>
      <c r="DH37">
        <f t="shared" ref="DH37:DH43" si="24">ROUND(ROUND(AG37,2)*CX37,2)</f>
        <v>0</v>
      </c>
      <c r="DI37">
        <f t="shared" si="15"/>
        <v>0</v>
      </c>
      <c r="DJ37">
        <f t="shared" ref="DJ37:DJ42" si="25">DF37</f>
        <v>4.0599999999999996</v>
      </c>
      <c r="DK37">
        <v>0</v>
      </c>
      <c r="DL37" t="s">
        <v>3</v>
      </c>
      <c r="DM37">
        <v>0</v>
      </c>
      <c r="DN37" t="s">
        <v>3</v>
      </c>
      <c r="DO37">
        <v>0</v>
      </c>
    </row>
    <row r="38" spans="1:119" x14ac:dyDescent="0.2">
      <c r="A38">
        <f>ROW(Source!A38)</f>
        <v>38</v>
      </c>
      <c r="B38">
        <v>53360025</v>
      </c>
      <c r="C38">
        <v>53362574</v>
      </c>
      <c r="D38">
        <v>1090946337</v>
      </c>
      <c r="E38">
        <v>1</v>
      </c>
      <c r="F38">
        <v>1</v>
      </c>
      <c r="G38">
        <v>1</v>
      </c>
      <c r="H38">
        <v>3</v>
      </c>
      <c r="I38" t="s">
        <v>390</v>
      </c>
      <c r="J38" t="s">
        <v>391</v>
      </c>
      <c r="K38" t="s">
        <v>392</v>
      </c>
      <c r="L38">
        <v>1339</v>
      </c>
      <c r="N38">
        <v>1007</v>
      </c>
      <c r="O38" t="s">
        <v>89</v>
      </c>
      <c r="P38" t="s">
        <v>89</v>
      </c>
      <c r="Q38">
        <v>1</v>
      </c>
      <c r="W38">
        <v>0</v>
      </c>
      <c r="X38">
        <v>-1053408311</v>
      </c>
      <c r="Y38">
        <f t="shared" si="16"/>
        <v>3.06</v>
      </c>
      <c r="AA38">
        <v>306.95</v>
      </c>
      <c r="AB38">
        <v>0</v>
      </c>
      <c r="AC38">
        <v>0</v>
      </c>
      <c r="AD38">
        <v>0</v>
      </c>
      <c r="AE38">
        <v>34.92</v>
      </c>
      <c r="AF38">
        <v>0</v>
      </c>
      <c r="AG38">
        <v>0</v>
      </c>
      <c r="AH38">
        <v>0</v>
      </c>
      <c r="AI38">
        <v>8.7899999999999991</v>
      </c>
      <c r="AJ38">
        <v>1</v>
      </c>
      <c r="AK38">
        <v>1</v>
      </c>
      <c r="AL38">
        <v>1</v>
      </c>
      <c r="AM38">
        <v>4</v>
      </c>
      <c r="AN38">
        <v>0</v>
      </c>
      <c r="AO38">
        <v>1</v>
      </c>
      <c r="AP38">
        <v>0</v>
      </c>
      <c r="AQ38">
        <v>0</v>
      </c>
      <c r="AR38">
        <v>0</v>
      </c>
      <c r="AS38" t="s">
        <v>3</v>
      </c>
      <c r="AT38">
        <v>3.06</v>
      </c>
      <c r="AU38" t="s">
        <v>3</v>
      </c>
      <c r="AV38">
        <v>0</v>
      </c>
      <c r="AW38">
        <v>2</v>
      </c>
      <c r="AX38">
        <v>53362593</v>
      </c>
      <c r="AY38">
        <v>1</v>
      </c>
      <c r="AZ38">
        <v>0</v>
      </c>
      <c r="BA38">
        <v>37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CV38">
        <v>0</v>
      </c>
      <c r="CW38">
        <v>0</v>
      </c>
      <c r="CX38">
        <f>ROUND(Y38*Source!I38,7)</f>
        <v>0.15055199999999999</v>
      </c>
      <c r="CY38">
        <f t="shared" si="17"/>
        <v>306.95</v>
      </c>
      <c r="CZ38">
        <f t="shared" si="18"/>
        <v>34.92</v>
      </c>
      <c r="DA38">
        <f t="shared" si="19"/>
        <v>8.7899999999999991</v>
      </c>
      <c r="DB38">
        <f t="shared" si="20"/>
        <v>106.86</v>
      </c>
      <c r="DC38">
        <f t="shared" si="21"/>
        <v>0</v>
      </c>
      <c r="DD38" t="s">
        <v>3</v>
      </c>
      <c r="DE38" t="s">
        <v>3</v>
      </c>
      <c r="DF38">
        <f t="shared" si="22"/>
        <v>46.21</v>
      </c>
      <c r="DG38">
        <f t="shared" si="23"/>
        <v>0</v>
      </c>
      <c r="DH38">
        <f t="shared" si="24"/>
        <v>0</v>
      </c>
      <c r="DI38">
        <f t="shared" si="15"/>
        <v>0</v>
      </c>
      <c r="DJ38">
        <f t="shared" si="25"/>
        <v>46.21</v>
      </c>
      <c r="DK38">
        <v>0</v>
      </c>
      <c r="DL38" t="s">
        <v>3</v>
      </c>
      <c r="DM38">
        <v>0</v>
      </c>
      <c r="DN38" t="s">
        <v>3</v>
      </c>
      <c r="DO38">
        <v>0</v>
      </c>
    </row>
    <row r="39" spans="1:119" x14ac:dyDescent="0.2">
      <c r="A39">
        <f>ROW(Source!A38)</f>
        <v>38</v>
      </c>
      <c r="B39">
        <v>53360025</v>
      </c>
      <c r="C39">
        <v>53362574</v>
      </c>
      <c r="D39">
        <v>1090953912</v>
      </c>
      <c r="E39">
        <v>1</v>
      </c>
      <c r="F39">
        <v>1</v>
      </c>
      <c r="G39">
        <v>1</v>
      </c>
      <c r="H39">
        <v>3</v>
      </c>
      <c r="I39" t="s">
        <v>104</v>
      </c>
      <c r="J39" t="s">
        <v>106</v>
      </c>
      <c r="K39" t="s">
        <v>105</v>
      </c>
      <c r="L39">
        <v>1339</v>
      </c>
      <c r="N39">
        <v>1007</v>
      </c>
      <c r="O39" t="s">
        <v>89</v>
      </c>
      <c r="P39" t="s">
        <v>89</v>
      </c>
      <c r="Q39">
        <v>1</v>
      </c>
      <c r="W39">
        <v>1</v>
      </c>
      <c r="X39">
        <v>1129920326</v>
      </c>
      <c r="Y39">
        <f t="shared" si="16"/>
        <v>-1.3</v>
      </c>
      <c r="AA39">
        <v>5274</v>
      </c>
      <c r="AB39">
        <v>0</v>
      </c>
      <c r="AC39">
        <v>0</v>
      </c>
      <c r="AD39">
        <v>0</v>
      </c>
      <c r="AE39">
        <v>600</v>
      </c>
      <c r="AF39">
        <v>0</v>
      </c>
      <c r="AG39">
        <v>0</v>
      </c>
      <c r="AH39">
        <v>0</v>
      </c>
      <c r="AI39">
        <v>8.7899999999999991</v>
      </c>
      <c r="AJ39">
        <v>1</v>
      </c>
      <c r="AK39">
        <v>1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 t="s">
        <v>3</v>
      </c>
      <c r="AT39">
        <v>-1.3</v>
      </c>
      <c r="AU39" t="s">
        <v>3</v>
      </c>
      <c r="AV39">
        <v>0</v>
      </c>
      <c r="AW39">
        <v>2</v>
      </c>
      <c r="AX39">
        <v>53362594</v>
      </c>
      <c r="AY39">
        <v>1</v>
      </c>
      <c r="AZ39">
        <v>6144</v>
      </c>
      <c r="BA39">
        <v>38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CV39">
        <v>0</v>
      </c>
      <c r="CW39">
        <v>0</v>
      </c>
      <c r="CX39">
        <f>ROUND(Y39*Source!I38,7)</f>
        <v>-6.3960000000000003E-2</v>
      </c>
      <c r="CY39">
        <f t="shared" si="17"/>
        <v>5274</v>
      </c>
      <c r="CZ39">
        <f t="shared" si="18"/>
        <v>600</v>
      </c>
      <c r="DA39">
        <f t="shared" si="19"/>
        <v>8.7899999999999991</v>
      </c>
      <c r="DB39">
        <f t="shared" si="20"/>
        <v>-780</v>
      </c>
      <c r="DC39">
        <f t="shared" si="21"/>
        <v>0</v>
      </c>
      <c r="DD39" t="s">
        <v>3</v>
      </c>
      <c r="DE39" t="s">
        <v>3</v>
      </c>
      <c r="DF39">
        <f t="shared" si="22"/>
        <v>-337.33</v>
      </c>
      <c r="DG39">
        <f t="shared" si="23"/>
        <v>0</v>
      </c>
      <c r="DH39">
        <f t="shared" si="24"/>
        <v>0</v>
      </c>
      <c r="DI39">
        <f t="shared" si="15"/>
        <v>0</v>
      </c>
      <c r="DJ39">
        <f t="shared" si="25"/>
        <v>-337.33</v>
      </c>
      <c r="DK39">
        <v>0</v>
      </c>
      <c r="DL39" t="s">
        <v>3</v>
      </c>
      <c r="DM39">
        <v>0</v>
      </c>
      <c r="DN39" t="s">
        <v>3</v>
      </c>
      <c r="DO39">
        <v>0</v>
      </c>
    </row>
    <row r="40" spans="1:119" x14ac:dyDescent="0.2">
      <c r="A40">
        <f>ROW(Source!A38)</f>
        <v>38</v>
      </c>
      <c r="B40">
        <v>53360025</v>
      </c>
      <c r="C40">
        <v>53362574</v>
      </c>
      <c r="D40">
        <v>1090969540</v>
      </c>
      <c r="E40">
        <v>1</v>
      </c>
      <c r="F40">
        <v>1</v>
      </c>
      <c r="G40">
        <v>1</v>
      </c>
      <c r="H40">
        <v>3</v>
      </c>
      <c r="I40" t="s">
        <v>99</v>
      </c>
      <c r="J40" t="s">
        <v>102</v>
      </c>
      <c r="K40" t="s">
        <v>100</v>
      </c>
      <c r="L40">
        <v>1327</v>
      </c>
      <c r="N40">
        <v>1005</v>
      </c>
      <c r="O40" t="s">
        <v>101</v>
      </c>
      <c r="P40" t="s">
        <v>101</v>
      </c>
      <c r="Q40">
        <v>1</v>
      </c>
      <c r="W40">
        <v>1</v>
      </c>
      <c r="X40">
        <v>-581727036</v>
      </c>
      <c r="Y40">
        <f t="shared" si="16"/>
        <v>-102</v>
      </c>
      <c r="AA40">
        <v>595.96</v>
      </c>
      <c r="AB40">
        <v>0</v>
      </c>
      <c r="AC40">
        <v>0</v>
      </c>
      <c r="AD40">
        <v>0</v>
      </c>
      <c r="AE40">
        <v>67.8</v>
      </c>
      <c r="AF40">
        <v>0</v>
      </c>
      <c r="AG40">
        <v>0</v>
      </c>
      <c r="AH40">
        <v>0</v>
      </c>
      <c r="AI40">
        <v>8.7899999999999991</v>
      </c>
      <c r="AJ40">
        <v>1</v>
      </c>
      <c r="AK40">
        <v>1</v>
      </c>
      <c r="AL40">
        <v>1</v>
      </c>
      <c r="AM40">
        <v>4</v>
      </c>
      <c r="AN40">
        <v>0</v>
      </c>
      <c r="AO40">
        <v>1</v>
      </c>
      <c r="AP40">
        <v>0</v>
      </c>
      <c r="AQ40">
        <v>0</v>
      </c>
      <c r="AR40">
        <v>0</v>
      </c>
      <c r="AS40" t="s">
        <v>3</v>
      </c>
      <c r="AT40">
        <v>-102</v>
      </c>
      <c r="AU40" t="s">
        <v>3</v>
      </c>
      <c r="AV40">
        <v>0</v>
      </c>
      <c r="AW40">
        <v>2</v>
      </c>
      <c r="AX40">
        <v>53362595</v>
      </c>
      <c r="AY40">
        <v>1</v>
      </c>
      <c r="AZ40">
        <v>6144</v>
      </c>
      <c r="BA40">
        <v>39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CV40">
        <v>0</v>
      </c>
      <c r="CW40">
        <v>0</v>
      </c>
      <c r="CX40">
        <f>ROUND(Y40*Source!I38,7)</f>
        <v>-5.0183999999999997</v>
      </c>
      <c r="CY40">
        <f t="shared" si="17"/>
        <v>595.96</v>
      </c>
      <c r="CZ40">
        <f t="shared" si="18"/>
        <v>67.8</v>
      </c>
      <c r="DA40">
        <f t="shared" si="19"/>
        <v>8.7899999999999991</v>
      </c>
      <c r="DB40">
        <f t="shared" si="20"/>
        <v>-6915.6</v>
      </c>
      <c r="DC40">
        <f t="shared" si="21"/>
        <v>0</v>
      </c>
      <c r="DD40" t="s">
        <v>3</v>
      </c>
      <c r="DE40" t="s">
        <v>3</v>
      </c>
      <c r="DF40">
        <f t="shared" si="22"/>
        <v>-2990.77</v>
      </c>
      <c r="DG40">
        <f t="shared" si="23"/>
        <v>0</v>
      </c>
      <c r="DH40">
        <f t="shared" si="24"/>
        <v>0</v>
      </c>
      <c r="DI40">
        <f t="shared" si="15"/>
        <v>0</v>
      </c>
      <c r="DJ40">
        <f t="shared" si="25"/>
        <v>-2990.77</v>
      </c>
      <c r="DK40">
        <v>0</v>
      </c>
      <c r="DL40" t="s">
        <v>3</v>
      </c>
      <c r="DM40">
        <v>0</v>
      </c>
      <c r="DN40" t="s">
        <v>3</v>
      </c>
      <c r="DO40">
        <v>0</v>
      </c>
    </row>
    <row r="41" spans="1:119" x14ac:dyDescent="0.2">
      <c r="A41">
        <f>ROW(Source!A38)</f>
        <v>38</v>
      </c>
      <c r="B41">
        <v>53360025</v>
      </c>
      <c r="C41">
        <v>53362574</v>
      </c>
      <c r="D41">
        <v>1090969611</v>
      </c>
      <c r="E41">
        <v>1</v>
      </c>
      <c r="F41">
        <v>1</v>
      </c>
      <c r="G41">
        <v>1</v>
      </c>
      <c r="H41">
        <v>3</v>
      </c>
      <c r="I41" t="s">
        <v>113</v>
      </c>
      <c r="J41" t="s">
        <v>115</v>
      </c>
      <c r="K41" t="s">
        <v>114</v>
      </c>
      <c r="L41">
        <v>1327</v>
      </c>
      <c r="N41">
        <v>1005</v>
      </c>
      <c r="O41" t="s">
        <v>101</v>
      </c>
      <c r="P41" t="s">
        <v>101</v>
      </c>
      <c r="Q41">
        <v>1</v>
      </c>
      <c r="W41">
        <v>0</v>
      </c>
      <c r="X41">
        <v>-773684841</v>
      </c>
      <c r="Y41">
        <f t="shared" si="16"/>
        <v>102</v>
      </c>
      <c r="AA41">
        <v>420.43</v>
      </c>
      <c r="AB41">
        <v>0</v>
      </c>
      <c r="AC41">
        <v>0</v>
      </c>
      <c r="AD41">
        <v>0</v>
      </c>
      <c r="AE41">
        <v>47.83</v>
      </c>
      <c r="AF41">
        <v>0</v>
      </c>
      <c r="AG41">
        <v>0</v>
      </c>
      <c r="AH41">
        <v>0</v>
      </c>
      <c r="AI41">
        <v>8.7899999999999991</v>
      </c>
      <c r="AJ41">
        <v>1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 t="s">
        <v>3</v>
      </c>
      <c r="AT41">
        <v>102</v>
      </c>
      <c r="AU41" t="s">
        <v>3</v>
      </c>
      <c r="AV41">
        <v>0</v>
      </c>
      <c r="AW41">
        <v>1</v>
      </c>
      <c r="AX41">
        <v>-1</v>
      </c>
      <c r="AY41">
        <v>0</v>
      </c>
      <c r="AZ41">
        <v>0</v>
      </c>
      <c r="BA41" t="s">
        <v>3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CV41">
        <v>0</v>
      </c>
      <c r="CW41">
        <v>0</v>
      </c>
      <c r="CX41">
        <f>ROUND(Y41*Source!I38,7)</f>
        <v>5.0183999999999997</v>
      </c>
      <c r="CY41">
        <f t="shared" si="17"/>
        <v>420.43</v>
      </c>
      <c r="CZ41">
        <f t="shared" si="18"/>
        <v>47.83</v>
      </c>
      <c r="DA41">
        <f t="shared" si="19"/>
        <v>8.7899999999999991</v>
      </c>
      <c r="DB41">
        <f t="shared" si="20"/>
        <v>4878.66</v>
      </c>
      <c r="DC41">
        <f t="shared" si="21"/>
        <v>0</v>
      </c>
      <c r="DD41" t="s">
        <v>3</v>
      </c>
      <c r="DE41" t="s">
        <v>3</v>
      </c>
      <c r="DF41">
        <f t="shared" si="22"/>
        <v>2109.89</v>
      </c>
      <c r="DG41">
        <f t="shared" si="23"/>
        <v>0</v>
      </c>
      <c r="DH41">
        <f t="shared" si="24"/>
        <v>0</v>
      </c>
      <c r="DI41">
        <f t="shared" si="15"/>
        <v>0</v>
      </c>
      <c r="DJ41">
        <f t="shared" si="25"/>
        <v>2109.89</v>
      </c>
      <c r="DK41">
        <v>0</v>
      </c>
      <c r="DL41" t="s">
        <v>3</v>
      </c>
      <c r="DM41">
        <v>0</v>
      </c>
      <c r="DN41" t="s">
        <v>3</v>
      </c>
      <c r="DO41">
        <v>0</v>
      </c>
    </row>
    <row r="42" spans="1:119" x14ac:dyDescent="0.2">
      <c r="A42">
        <f>ROW(Source!A38)</f>
        <v>38</v>
      </c>
      <c r="B42">
        <v>53360025</v>
      </c>
      <c r="C42">
        <v>53362574</v>
      </c>
      <c r="D42">
        <v>1090990550</v>
      </c>
      <c r="E42">
        <v>1</v>
      </c>
      <c r="F42">
        <v>1</v>
      </c>
      <c r="G42">
        <v>1</v>
      </c>
      <c r="H42">
        <v>3</v>
      </c>
      <c r="I42" t="s">
        <v>108</v>
      </c>
      <c r="J42" t="s">
        <v>111</v>
      </c>
      <c r="K42" t="s">
        <v>109</v>
      </c>
      <c r="L42">
        <v>1346</v>
      </c>
      <c r="N42">
        <v>1009</v>
      </c>
      <c r="O42" t="s">
        <v>110</v>
      </c>
      <c r="P42" t="s">
        <v>110</v>
      </c>
      <c r="Q42">
        <v>1</v>
      </c>
      <c r="W42">
        <v>0</v>
      </c>
      <c r="X42">
        <v>272805291</v>
      </c>
      <c r="Y42">
        <f t="shared" si="16"/>
        <v>1524.3902439000001</v>
      </c>
      <c r="AA42">
        <v>43.33</v>
      </c>
      <c r="AB42">
        <v>0</v>
      </c>
      <c r="AC42">
        <v>0</v>
      </c>
      <c r="AD42">
        <v>0</v>
      </c>
      <c r="AE42">
        <v>4.93</v>
      </c>
      <c r="AF42">
        <v>0</v>
      </c>
      <c r="AG42">
        <v>0</v>
      </c>
      <c r="AH42">
        <v>0</v>
      </c>
      <c r="AI42">
        <v>8.7899999999999991</v>
      </c>
      <c r="AJ42">
        <v>1</v>
      </c>
      <c r="AK42">
        <v>1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 t="s">
        <v>3</v>
      </c>
      <c r="AT42">
        <v>1524.3902439000001</v>
      </c>
      <c r="AU42" t="s">
        <v>3</v>
      </c>
      <c r="AV42">
        <v>0</v>
      </c>
      <c r="AW42">
        <v>1</v>
      </c>
      <c r="AX42">
        <v>-1</v>
      </c>
      <c r="AY42">
        <v>0</v>
      </c>
      <c r="AZ42">
        <v>0</v>
      </c>
      <c r="BA42" t="s">
        <v>3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CV42">
        <v>0</v>
      </c>
      <c r="CW42">
        <v>0</v>
      </c>
      <c r="CX42">
        <f>ROUND(Y42*Source!I38,7)</f>
        <v>75</v>
      </c>
      <c r="CY42">
        <f t="shared" si="17"/>
        <v>43.33</v>
      </c>
      <c r="CZ42">
        <f t="shared" si="18"/>
        <v>4.93</v>
      </c>
      <c r="DA42">
        <f t="shared" si="19"/>
        <v>8.7899999999999991</v>
      </c>
      <c r="DB42">
        <f t="shared" si="20"/>
        <v>7515.24</v>
      </c>
      <c r="DC42">
        <f t="shared" si="21"/>
        <v>0</v>
      </c>
      <c r="DD42" t="s">
        <v>3</v>
      </c>
      <c r="DE42" t="s">
        <v>3</v>
      </c>
      <c r="DF42">
        <f t="shared" si="22"/>
        <v>3249.75</v>
      </c>
      <c r="DG42">
        <f t="shared" si="23"/>
        <v>0</v>
      </c>
      <c r="DH42">
        <f t="shared" si="24"/>
        <v>0</v>
      </c>
      <c r="DI42">
        <f t="shared" si="15"/>
        <v>0</v>
      </c>
      <c r="DJ42">
        <f t="shared" si="25"/>
        <v>3249.75</v>
      </c>
      <c r="DK42">
        <v>0</v>
      </c>
      <c r="DL42" t="s">
        <v>3</v>
      </c>
      <c r="DM42">
        <v>0</v>
      </c>
      <c r="DN42" t="s">
        <v>3</v>
      </c>
      <c r="DO42">
        <v>0</v>
      </c>
    </row>
    <row r="43" spans="1:119" x14ac:dyDescent="0.2">
      <c r="A43">
        <f>ROW(Source!A43)</f>
        <v>43</v>
      </c>
      <c r="B43">
        <v>53360025</v>
      </c>
      <c r="C43">
        <v>53362640</v>
      </c>
      <c r="D43">
        <v>47607792</v>
      </c>
      <c r="E43">
        <v>58</v>
      </c>
      <c r="F43">
        <v>1</v>
      </c>
      <c r="G43">
        <v>1</v>
      </c>
      <c r="H43">
        <v>1</v>
      </c>
      <c r="I43" t="s">
        <v>393</v>
      </c>
      <c r="J43" t="s">
        <v>3</v>
      </c>
      <c r="K43" t="s">
        <v>394</v>
      </c>
      <c r="L43">
        <v>1191</v>
      </c>
      <c r="N43">
        <v>1013</v>
      </c>
      <c r="O43" t="s">
        <v>324</v>
      </c>
      <c r="P43" t="s">
        <v>324</v>
      </c>
      <c r="Q43">
        <v>1</v>
      </c>
      <c r="W43">
        <v>0</v>
      </c>
      <c r="X43">
        <v>1145761654</v>
      </c>
      <c r="Y43">
        <f>(AT43*ROUND(1.15,7))</f>
        <v>632.5</v>
      </c>
      <c r="AA43">
        <v>0</v>
      </c>
      <c r="AB43">
        <v>0</v>
      </c>
      <c r="AC43">
        <v>0</v>
      </c>
      <c r="AD43">
        <v>418.86</v>
      </c>
      <c r="AE43">
        <v>0</v>
      </c>
      <c r="AF43">
        <v>0</v>
      </c>
      <c r="AG43">
        <v>0</v>
      </c>
      <c r="AH43">
        <v>10.65</v>
      </c>
      <c r="AI43">
        <v>1</v>
      </c>
      <c r="AJ43">
        <v>1</v>
      </c>
      <c r="AK43">
        <v>1</v>
      </c>
      <c r="AL43">
        <v>39.33</v>
      </c>
      <c r="AM43">
        <v>4</v>
      </c>
      <c r="AN43">
        <v>0</v>
      </c>
      <c r="AO43">
        <v>1</v>
      </c>
      <c r="AP43">
        <v>1</v>
      </c>
      <c r="AQ43">
        <v>0</v>
      </c>
      <c r="AR43">
        <v>0</v>
      </c>
      <c r="AS43" t="s">
        <v>3</v>
      </c>
      <c r="AT43">
        <v>550</v>
      </c>
      <c r="AU43" t="s">
        <v>73</v>
      </c>
      <c r="AV43">
        <v>1</v>
      </c>
      <c r="AW43">
        <v>2</v>
      </c>
      <c r="AX43">
        <v>53362641</v>
      </c>
      <c r="AY43">
        <v>1</v>
      </c>
      <c r="AZ43">
        <v>0</v>
      </c>
      <c r="BA43">
        <v>40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CU43">
        <f>ROUND(AT43*Source!I43*AH43*AL43,2)</f>
        <v>30916.39</v>
      </c>
      <c r="CV43">
        <f>ROUND(Y43*Source!I43,7)</f>
        <v>84.881500000000003</v>
      </c>
      <c r="CW43">
        <v>0</v>
      </c>
      <c r="CX43">
        <f>ROUND(Y43*Source!I43,7)</f>
        <v>84.881500000000003</v>
      </c>
      <c r="CY43">
        <f>AD43</f>
        <v>418.86</v>
      </c>
      <c r="CZ43">
        <f>AH43</f>
        <v>10.65</v>
      </c>
      <c r="DA43">
        <f>AL43</f>
        <v>39.33</v>
      </c>
      <c r="DB43">
        <f>ROUND((ROUND(AT43*CZ43,2)*ROUND(1.15,7)),6)</f>
        <v>6736.125</v>
      </c>
      <c r="DC43">
        <f>ROUND((ROUND(AT43*AG43,2)*ROUND(1.15,7)),6)</f>
        <v>0</v>
      </c>
      <c r="DD43" t="s">
        <v>3</v>
      </c>
      <c r="DE43" t="s">
        <v>3</v>
      </c>
      <c r="DF43">
        <f>ROUND(ROUND(AE43,2)*CX43,2)</f>
        <v>0</v>
      </c>
      <c r="DG43">
        <f t="shared" si="23"/>
        <v>0</v>
      </c>
      <c r="DH43">
        <f t="shared" si="24"/>
        <v>0</v>
      </c>
      <c r="DI43">
        <f>ROUND(ROUND(AH43*AL43,2)*CX43,2)</f>
        <v>35553.47</v>
      </c>
      <c r="DJ43">
        <f>DI43</f>
        <v>35553.47</v>
      </c>
      <c r="DK43">
        <v>0</v>
      </c>
      <c r="DL43" t="s">
        <v>3</v>
      </c>
      <c r="DM43">
        <v>0</v>
      </c>
      <c r="DN43" t="s">
        <v>3</v>
      </c>
      <c r="DO43">
        <v>0</v>
      </c>
    </row>
    <row r="44" spans="1:119" x14ac:dyDescent="0.2">
      <c r="A44">
        <f>ROW(Source!A43)</f>
        <v>43</v>
      </c>
      <c r="B44">
        <v>53360025</v>
      </c>
      <c r="C44">
        <v>53362640</v>
      </c>
      <c r="D44">
        <v>47607910</v>
      </c>
      <c r="E44">
        <v>58</v>
      </c>
      <c r="F44">
        <v>1</v>
      </c>
      <c r="G44">
        <v>1</v>
      </c>
      <c r="H44">
        <v>1</v>
      </c>
      <c r="I44" t="s">
        <v>395</v>
      </c>
      <c r="J44" t="s">
        <v>3</v>
      </c>
      <c r="K44" t="s">
        <v>326</v>
      </c>
      <c r="L44">
        <v>1191</v>
      </c>
      <c r="N44">
        <v>1013</v>
      </c>
      <c r="O44" t="s">
        <v>324</v>
      </c>
      <c r="P44" t="s">
        <v>324</v>
      </c>
      <c r="Q44">
        <v>1</v>
      </c>
      <c r="W44">
        <v>0</v>
      </c>
      <c r="X44">
        <v>-1173606021</v>
      </c>
      <c r="Y44">
        <f>(AT44*ROUND(1.25,7))</f>
        <v>3.2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1</v>
      </c>
      <c r="AK44">
        <v>39.33</v>
      </c>
      <c r="AL44">
        <v>1</v>
      </c>
      <c r="AM44">
        <v>4</v>
      </c>
      <c r="AN44">
        <v>0</v>
      </c>
      <c r="AO44">
        <v>1</v>
      </c>
      <c r="AP44">
        <v>1</v>
      </c>
      <c r="AQ44">
        <v>0</v>
      </c>
      <c r="AR44">
        <v>0</v>
      </c>
      <c r="AS44" t="s">
        <v>3</v>
      </c>
      <c r="AT44">
        <v>2.56</v>
      </c>
      <c r="AU44" t="s">
        <v>72</v>
      </c>
      <c r="AV44">
        <v>2</v>
      </c>
      <c r="AW44">
        <v>2</v>
      </c>
      <c r="AX44">
        <v>53362642</v>
      </c>
      <c r="AY44">
        <v>1</v>
      </c>
      <c r="AZ44">
        <v>0</v>
      </c>
      <c r="BA44">
        <v>41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CV44">
        <v>0</v>
      </c>
      <c r="CW44">
        <v>0</v>
      </c>
      <c r="CX44">
        <f>ROUND(Y44*Source!I43,7)</f>
        <v>0.42943999999999999</v>
      </c>
      <c r="CY44">
        <f>AD44</f>
        <v>0</v>
      </c>
      <c r="CZ44">
        <f>AH44</f>
        <v>0</v>
      </c>
      <c r="DA44">
        <f>AL44</f>
        <v>1</v>
      </c>
      <c r="DB44">
        <f>ROUND((ROUND(AT44*CZ44,2)*ROUND(1.25,7)),6)</f>
        <v>0</v>
      </c>
      <c r="DC44">
        <f>ROUND((ROUND(AT44*AG44,2)*ROUND(1.25,7)),6)</f>
        <v>0</v>
      </c>
      <c r="DD44" t="s">
        <v>3</v>
      </c>
      <c r="DE44" t="s">
        <v>3</v>
      </c>
      <c r="DF44">
        <f>ROUND(ROUND(AE44,2)*CX44,2)</f>
        <v>0</v>
      </c>
      <c r="DG44">
        <f t="shared" si="23"/>
        <v>0</v>
      </c>
      <c r="DH44">
        <f>ROUND(ROUND(AG44*AK44,2)*CX44,2)</f>
        <v>0</v>
      </c>
      <c r="DI44">
        <f t="shared" ref="DI44:DI57" si="26">ROUND(ROUND(AH44,2)*CX44,2)</f>
        <v>0</v>
      </c>
      <c r="DJ44">
        <f>DI44</f>
        <v>0</v>
      </c>
      <c r="DK44">
        <v>0</v>
      </c>
      <c r="DL44" t="s">
        <v>3</v>
      </c>
      <c r="DM44">
        <v>0</v>
      </c>
      <c r="DN44" t="s">
        <v>3</v>
      </c>
      <c r="DO44">
        <v>0</v>
      </c>
    </row>
    <row r="45" spans="1:119" x14ac:dyDescent="0.2">
      <c r="A45">
        <f>ROW(Source!A43)</f>
        <v>43</v>
      </c>
      <c r="B45">
        <v>53360025</v>
      </c>
      <c r="C45">
        <v>53362640</v>
      </c>
      <c r="D45">
        <v>47784519</v>
      </c>
      <c r="E45">
        <v>1</v>
      </c>
      <c r="F45">
        <v>1</v>
      </c>
      <c r="G45">
        <v>1</v>
      </c>
      <c r="H45">
        <v>2</v>
      </c>
      <c r="I45" t="s">
        <v>353</v>
      </c>
      <c r="J45" t="s">
        <v>354</v>
      </c>
      <c r="K45" t="s">
        <v>355</v>
      </c>
      <c r="L45">
        <v>1368</v>
      </c>
      <c r="N45">
        <v>1011</v>
      </c>
      <c r="O45" t="s">
        <v>396</v>
      </c>
      <c r="P45" t="s">
        <v>396</v>
      </c>
      <c r="Q45">
        <v>1</v>
      </c>
      <c r="W45">
        <v>0</v>
      </c>
      <c r="X45">
        <v>-1845589996</v>
      </c>
      <c r="Y45">
        <f>(AT45*ROUND(1.25,7))</f>
        <v>0.48750000000000004</v>
      </c>
      <c r="AA45">
        <v>0</v>
      </c>
      <c r="AB45">
        <v>1297.6600000000001</v>
      </c>
      <c r="AC45">
        <v>395.66</v>
      </c>
      <c r="AD45">
        <v>0</v>
      </c>
      <c r="AE45">
        <v>0</v>
      </c>
      <c r="AF45">
        <v>89.99</v>
      </c>
      <c r="AG45">
        <v>10.06</v>
      </c>
      <c r="AH45">
        <v>0</v>
      </c>
      <c r="AI45">
        <v>1</v>
      </c>
      <c r="AJ45">
        <v>14.42</v>
      </c>
      <c r="AK45">
        <v>39.33</v>
      </c>
      <c r="AL45">
        <v>1</v>
      </c>
      <c r="AM45">
        <v>4</v>
      </c>
      <c r="AN45">
        <v>0</v>
      </c>
      <c r="AO45">
        <v>1</v>
      </c>
      <c r="AP45">
        <v>1</v>
      </c>
      <c r="AQ45">
        <v>0</v>
      </c>
      <c r="AR45">
        <v>0</v>
      </c>
      <c r="AS45" t="s">
        <v>3</v>
      </c>
      <c r="AT45">
        <v>0.39</v>
      </c>
      <c r="AU45" t="s">
        <v>72</v>
      </c>
      <c r="AV45">
        <v>0</v>
      </c>
      <c r="AW45">
        <v>2</v>
      </c>
      <c r="AX45">
        <v>53362643</v>
      </c>
      <c r="AY45">
        <v>1</v>
      </c>
      <c r="AZ45">
        <v>0</v>
      </c>
      <c r="BA45">
        <v>42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CV45">
        <v>0</v>
      </c>
      <c r="CW45">
        <f>ROUND(Y45*Source!I43*DO45,7)</f>
        <v>0</v>
      </c>
      <c r="CX45">
        <f>ROUND(Y45*Source!I43,7)</f>
        <v>6.5422499999999995E-2</v>
      </c>
      <c r="CY45">
        <f>AB45</f>
        <v>1297.6600000000001</v>
      </c>
      <c r="CZ45">
        <f>AF45</f>
        <v>89.99</v>
      </c>
      <c r="DA45">
        <f>AJ45</f>
        <v>14.42</v>
      </c>
      <c r="DB45">
        <f>ROUND((ROUND(AT45*CZ45,2)*ROUND(1.25,7)),6)</f>
        <v>43.875</v>
      </c>
      <c r="DC45">
        <f>ROUND((ROUND(AT45*AG45,2)*ROUND(1.25,7)),6)</f>
        <v>4.9000000000000004</v>
      </c>
      <c r="DD45" t="s">
        <v>3</v>
      </c>
      <c r="DE45" t="s">
        <v>3</v>
      </c>
      <c r="DF45">
        <f>ROUND(ROUND(AE45,2)*CX45,2)</f>
        <v>0</v>
      </c>
      <c r="DG45">
        <f>ROUND(ROUND(AF45*AJ45,2)*CX45,2)</f>
        <v>84.9</v>
      </c>
      <c r="DH45">
        <f>ROUND(ROUND(AG45*AK45,2)*CX45,2)</f>
        <v>25.89</v>
      </c>
      <c r="DI45">
        <f t="shared" si="26"/>
        <v>0</v>
      </c>
      <c r="DJ45">
        <f>DG45</f>
        <v>84.9</v>
      </c>
      <c r="DK45">
        <v>0</v>
      </c>
      <c r="DL45" t="s">
        <v>3</v>
      </c>
      <c r="DM45">
        <v>0</v>
      </c>
      <c r="DN45" t="s">
        <v>3</v>
      </c>
      <c r="DO45">
        <v>0</v>
      </c>
    </row>
    <row r="46" spans="1:119" x14ac:dyDescent="0.2">
      <c r="A46">
        <f>ROW(Source!A43)</f>
        <v>43</v>
      </c>
      <c r="B46">
        <v>53360025</v>
      </c>
      <c r="C46">
        <v>53362640</v>
      </c>
      <c r="D46">
        <v>47784561</v>
      </c>
      <c r="E46">
        <v>1</v>
      </c>
      <c r="F46">
        <v>1</v>
      </c>
      <c r="G46">
        <v>1</v>
      </c>
      <c r="H46">
        <v>2</v>
      </c>
      <c r="I46" t="s">
        <v>327</v>
      </c>
      <c r="J46" t="s">
        <v>328</v>
      </c>
      <c r="K46" t="s">
        <v>329</v>
      </c>
      <c r="L46">
        <v>1368</v>
      </c>
      <c r="N46">
        <v>1011</v>
      </c>
      <c r="O46" t="s">
        <v>396</v>
      </c>
      <c r="P46" t="s">
        <v>396</v>
      </c>
      <c r="Q46">
        <v>1</v>
      </c>
      <c r="W46">
        <v>0</v>
      </c>
      <c r="X46">
        <v>-1360328220</v>
      </c>
      <c r="Y46">
        <f>(AT46*ROUND(1.25,7))</f>
        <v>2.7124999999999999</v>
      </c>
      <c r="AA46">
        <v>0</v>
      </c>
      <c r="AB46">
        <v>450.77</v>
      </c>
      <c r="AC46">
        <v>530.96</v>
      </c>
      <c r="AD46">
        <v>0</v>
      </c>
      <c r="AE46">
        <v>0</v>
      </c>
      <c r="AF46">
        <v>31.26</v>
      </c>
      <c r="AG46">
        <v>13.5</v>
      </c>
      <c r="AH46">
        <v>0</v>
      </c>
      <c r="AI46">
        <v>1</v>
      </c>
      <c r="AJ46">
        <v>14.42</v>
      </c>
      <c r="AK46">
        <v>39.33</v>
      </c>
      <c r="AL46">
        <v>1</v>
      </c>
      <c r="AM46">
        <v>4</v>
      </c>
      <c r="AN46">
        <v>0</v>
      </c>
      <c r="AO46">
        <v>1</v>
      </c>
      <c r="AP46">
        <v>1</v>
      </c>
      <c r="AQ46">
        <v>0</v>
      </c>
      <c r="AR46">
        <v>0</v>
      </c>
      <c r="AS46" t="s">
        <v>3</v>
      </c>
      <c r="AT46">
        <v>2.17</v>
      </c>
      <c r="AU46" t="s">
        <v>72</v>
      </c>
      <c r="AV46">
        <v>0</v>
      </c>
      <c r="AW46">
        <v>2</v>
      </c>
      <c r="AX46">
        <v>53362644</v>
      </c>
      <c r="AY46">
        <v>1</v>
      </c>
      <c r="AZ46">
        <v>0</v>
      </c>
      <c r="BA46">
        <v>43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CV46">
        <v>0</v>
      </c>
      <c r="CW46">
        <f>ROUND(Y46*Source!I43*DO46,7)</f>
        <v>0</v>
      </c>
      <c r="CX46">
        <f>ROUND(Y46*Source!I43,7)</f>
        <v>0.36401749999999999</v>
      </c>
      <c r="CY46">
        <f>AB46</f>
        <v>450.77</v>
      </c>
      <c r="CZ46">
        <f>AF46</f>
        <v>31.26</v>
      </c>
      <c r="DA46">
        <f>AJ46</f>
        <v>14.42</v>
      </c>
      <c r="DB46">
        <f>ROUND((ROUND(AT46*CZ46,2)*ROUND(1.25,7)),6)</f>
        <v>84.787499999999994</v>
      </c>
      <c r="DC46">
        <f>ROUND((ROUND(AT46*AG46,2)*ROUND(1.25,7)),6)</f>
        <v>36.625</v>
      </c>
      <c r="DD46" t="s">
        <v>3</v>
      </c>
      <c r="DE46" t="s">
        <v>3</v>
      </c>
      <c r="DF46">
        <f>ROUND(ROUND(AE46,2)*CX46,2)</f>
        <v>0</v>
      </c>
      <c r="DG46">
        <f>ROUND(ROUND(AF46*AJ46,2)*CX46,2)</f>
        <v>164.09</v>
      </c>
      <c r="DH46">
        <f>ROUND(ROUND(AG46*AK46,2)*CX46,2)</f>
        <v>193.28</v>
      </c>
      <c r="DI46">
        <f t="shared" si="26"/>
        <v>0</v>
      </c>
      <c r="DJ46">
        <f>DG46</f>
        <v>164.09</v>
      </c>
      <c r="DK46">
        <v>0</v>
      </c>
      <c r="DL46" t="s">
        <v>3</v>
      </c>
      <c r="DM46">
        <v>0</v>
      </c>
      <c r="DN46" t="s">
        <v>3</v>
      </c>
      <c r="DO46">
        <v>0</v>
      </c>
    </row>
    <row r="47" spans="1:119" x14ac:dyDescent="0.2">
      <c r="A47">
        <f>ROW(Source!A43)</f>
        <v>43</v>
      </c>
      <c r="B47">
        <v>53360025</v>
      </c>
      <c r="C47">
        <v>53362640</v>
      </c>
      <c r="D47">
        <v>47620019</v>
      </c>
      <c r="E47">
        <v>1</v>
      </c>
      <c r="F47">
        <v>1</v>
      </c>
      <c r="G47">
        <v>1</v>
      </c>
      <c r="H47">
        <v>3</v>
      </c>
      <c r="I47" t="s">
        <v>397</v>
      </c>
      <c r="J47" t="s">
        <v>398</v>
      </c>
      <c r="K47" t="s">
        <v>399</v>
      </c>
      <c r="L47">
        <v>1348</v>
      </c>
      <c r="N47">
        <v>1009</v>
      </c>
      <c r="O47" t="s">
        <v>32</v>
      </c>
      <c r="P47" t="s">
        <v>32</v>
      </c>
      <c r="Q47">
        <v>1000</v>
      </c>
      <c r="W47">
        <v>0</v>
      </c>
      <c r="X47">
        <v>503531831</v>
      </c>
      <c r="Y47">
        <f t="shared" ref="Y47:Y57" si="27">AT47</f>
        <v>7.0000000000000001E-3</v>
      </c>
      <c r="AA47">
        <v>49663.5</v>
      </c>
      <c r="AB47">
        <v>0</v>
      </c>
      <c r="AC47">
        <v>0</v>
      </c>
      <c r="AD47">
        <v>0</v>
      </c>
      <c r="AE47">
        <v>5650</v>
      </c>
      <c r="AF47">
        <v>0</v>
      </c>
      <c r="AG47">
        <v>0</v>
      </c>
      <c r="AH47">
        <v>0</v>
      </c>
      <c r="AI47">
        <v>8.7899999999999991</v>
      </c>
      <c r="AJ47">
        <v>1</v>
      </c>
      <c r="AK47">
        <v>1</v>
      </c>
      <c r="AL47">
        <v>1</v>
      </c>
      <c r="AM47">
        <v>4</v>
      </c>
      <c r="AN47">
        <v>0</v>
      </c>
      <c r="AO47">
        <v>1</v>
      </c>
      <c r="AP47">
        <v>1</v>
      </c>
      <c r="AQ47">
        <v>0</v>
      </c>
      <c r="AR47">
        <v>0</v>
      </c>
      <c r="AS47" t="s">
        <v>3</v>
      </c>
      <c r="AT47">
        <v>7.0000000000000001E-3</v>
      </c>
      <c r="AU47" t="s">
        <v>3</v>
      </c>
      <c r="AV47">
        <v>0</v>
      </c>
      <c r="AW47">
        <v>2</v>
      </c>
      <c r="AX47">
        <v>53362645</v>
      </c>
      <c r="AY47">
        <v>1</v>
      </c>
      <c r="AZ47">
        <v>0</v>
      </c>
      <c r="BA47">
        <v>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CV47">
        <v>0</v>
      </c>
      <c r="CW47">
        <v>0</v>
      </c>
      <c r="CX47">
        <f>ROUND(Y47*Source!I43,7)</f>
        <v>9.3939999999999996E-4</v>
      </c>
      <c r="CY47">
        <f t="shared" ref="CY47:CY57" si="28">AA47</f>
        <v>49663.5</v>
      </c>
      <c r="CZ47">
        <f t="shared" ref="CZ47:CZ57" si="29">AE47</f>
        <v>5650</v>
      </c>
      <c r="DA47">
        <f t="shared" ref="DA47:DA57" si="30">AI47</f>
        <v>8.7899999999999991</v>
      </c>
      <c r="DB47">
        <f t="shared" ref="DB47:DB57" si="31">ROUND(ROUND(AT47*CZ47,2),6)</f>
        <v>39.549999999999997</v>
      </c>
      <c r="DC47">
        <f t="shared" ref="DC47:DC57" si="32">ROUND(ROUND(AT47*AG47,2),6)</f>
        <v>0</v>
      </c>
      <c r="DD47" t="s">
        <v>3</v>
      </c>
      <c r="DE47" t="s">
        <v>3</v>
      </c>
      <c r="DF47">
        <f t="shared" ref="DF47:DF57" si="33">ROUND(ROUND(AE47*AI47,2)*CX47,2)</f>
        <v>46.65</v>
      </c>
      <c r="DG47">
        <f t="shared" ref="DG47:DG59" si="34">ROUND(ROUND(AF47,2)*CX47,2)</f>
        <v>0</v>
      </c>
      <c r="DH47">
        <f t="shared" ref="DH47:DH58" si="35">ROUND(ROUND(AG47,2)*CX47,2)</f>
        <v>0</v>
      </c>
      <c r="DI47">
        <f t="shared" si="26"/>
        <v>0</v>
      </c>
      <c r="DJ47">
        <f t="shared" ref="DJ47:DJ57" si="36">DF47</f>
        <v>46.65</v>
      </c>
      <c r="DK47">
        <v>0</v>
      </c>
      <c r="DL47" t="s">
        <v>3</v>
      </c>
      <c r="DM47">
        <v>0</v>
      </c>
      <c r="DN47" t="s">
        <v>3</v>
      </c>
      <c r="DO47">
        <v>0</v>
      </c>
    </row>
    <row r="48" spans="1:119" x14ac:dyDescent="0.2">
      <c r="A48">
        <f>ROW(Source!A43)</f>
        <v>43</v>
      </c>
      <c r="B48">
        <v>53360025</v>
      </c>
      <c r="C48">
        <v>53362640</v>
      </c>
      <c r="D48">
        <v>47620028</v>
      </c>
      <c r="E48">
        <v>1</v>
      </c>
      <c r="F48">
        <v>1</v>
      </c>
      <c r="G48">
        <v>1</v>
      </c>
      <c r="H48">
        <v>3</v>
      </c>
      <c r="I48" t="s">
        <v>359</v>
      </c>
      <c r="J48" t="s">
        <v>360</v>
      </c>
      <c r="K48" t="s">
        <v>361</v>
      </c>
      <c r="L48">
        <v>1339</v>
      </c>
      <c r="N48">
        <v>1007</v>
      </c>
      <c r="O48" t="s">
        <v>89</v>
      </c>
      <c r="P48" t="s">
        <v>89</v>
      </c>
      <c r="Q48">
        <v>1</v>
      </c>
      <c r="W48">
        <v>0</v>
      </c>
      <c r="X48">
        <v>-1033255509</v>
      </c>
      <c r="Y48">
        <f t="shared" si="27"/>
        <v>1.61</v>
      </c>
      <c r="AA48">
        <v>21.45</v>
      </c>
      <c r="AB48">
        <v>0</v>
      </c>
      <c r="AC48">
        <v>0</v>
      </c>
      <c r="AD48">
        <v>0</v>
      </c>
      <c r="AE48">
        <v>2.44</v>
      </c>
      <c r="AF48">
        <v>0</v>
      </c>
      <c r="AG48">
        <v>0</v>
      </c>
      <c r="AH48">
        <v>0</v>
      </c>
      <c r="AI48">
        <v>8.7899999999999991</v>
      </c>
      <c r="AJ48">
        <v>1</v>
      </c>
      <c r="AK48">
        <v>1</v>
      </c>
      <c r="AL48">
        <v>1</v>
      </c>
      <c r="AM48">
        <v>4</v>
      </c>
      <c r="AN48">
        <v>0</v>
      </c>
      <c r="AO48">
        <v>1</v>
      </c>
      <c r="AP48">
        <v>1</v>
      </c>
      <c r="AQ48">
        <v>0</v>
      </c>
      <c r="AR48">
        <v>0</v>
      </c>
      <c r="AS48" t="s">
        <v>3</v>
      </c>
      <c r="AT48">
        <v>1.61</v>
      </c>
      <c r="AU48" t="s">
        <v>3</v>
      </c>
      <c r="AV48">
        <v>0</v>
      </c>
      <c r="AW48">
        <v>2</v>
      </c>
      <c r="AX48">
        <v>53362646</v>
      </c>
      <c r="AY48">
        <v>1</v>
      </c>
      <c r="AZ48">
        <v>0</v>
      </c>
      <c r="BA48">
        <v>45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CV48">
        <v>0</v>
      </c>
      <c r="CW48">
        <v>0</v>
      </c>
      <c r="CX48">
        <f>ROUND(Y48*Source!I43,7)</f>
        <v>0.216062</v>
      </c>
      <c r="CY48">
        <f t="shared" si="28"/>
        <v>21.45</v>
      </c>
      <c r="CZ48">
        <f t="shared" si="29"/>
        <v>2.44</v>
      </c>
      <c r="DA48">
        <f t="shared" si="30"/>
        <v>8.7899999999999991</v>
      </c>
      <c r="DB48">
        <f t="shared" si="31"/>
        <v>3.93</v>
      </c>
      <c r="DC48">
        <f t="shared" si="32"/>
        <v>0</v>
      </c>
      <c r="DD48" t="s">
        <v>3</v>
      </c>
      <c r="DE48" t="s">
        <v>3</v>
      </c>
      <c r="DF48">
        <f t="shared" si="33"/>
        <v>4.63</v>
      </c>
      <c r="DG48">
        <f t="shared" si="34"/>
        <v>0</v>
      </c>
      <c r="DH48">
        <f t="shared" si="35"/>
        <v>0</v>
      </c>
      <c r="DI48">
        <f t="shared" si="26"/>
        <v>0</v>
      </c>
      <c r="DJ48">
        <f t="shared" si="36"/>
        <v>4.63</v>
      </c>
      <c r="DK48">
        <v>0</v>
      </c>
      <c r="DL48" t="s">
        <v>3</v>
      </c>
      <c r="DM48">
        <v>0</v>
      </c>
      <c r="DN48" t="s">
        <v>3</v>
      </c>
      <c r="DO48">
        <v>0</v>
      </c>
    </row>
    <row r="49" spans="1:119" x14ac:dyDescent="0.2">
      <c r="A49">
        <f>ROW(Source!A43)</f>
        <v>43</v>
      </c>
      <c r="B49">
        <v>53360025</v>
      </c>
      <c r="C49">
        <v>53362640</v>
      </c>
      <c r="D49">
        <v>47620550</v>
      </c>
      <c r="E49">
        <v>1</v>
      </c>
      <c r="F49">
        <v>1</v>
      </c>
      <c r="G49">
        <v>1</v>
      </c>
      <c r="H49">
        <v>3</v>
      </c>
      <c r="I49" t="s">
        <v>400</v>
      </c>
      <c r="J49" t="s">
        <v>401</v>
      </c>
      <c r="K49" t="s">
        <v>402</v>
      </c>
      <c r="L49">
        <v>1348</v>
      </c>
      <c r="N49">
        <v>1009</v>
      </c>
      <c r="O49" t="s">
        <v>32</v>
      </c>
      <c r="P49" t="s">
        <v>32</v>
      </c>
      <c r="Q49">
        <v>1000</v>
      </c>
      <c r="W49">
        <v>0</v>
      </c>
      <c r="X49">
        <v>-1258424839</v>
      </c>
      <c r="Y49">
        <f t="shared" si="27"/>
        <v>4.4999999999999997E-3</v>
      </c>
      <c r="AA49">
        <v>6054.55</v>
      </c>
      <c r="AB49">
        <v>0</v>
      </c>
      <c r="AC49">
        <v>0</v>
      </c>
      <c r="AD49">
        <v>0</v>
      </c>
      <c r="AE49">
        <v>688.8</v>
      </c>
      <c r="AF49">
        <v>0</v>
      </c>
      <c r="AG49">
        <v>0</v>
      </c>
      <c r="AH49">
        <v>0</v>
      </c>
      <c r="AI49">
        <v>8.7899999999999991</v>
      </c>
      <c r="AJ49">
        <v>1</v>
      </c>
      <c r="AK49">
        <v>1</v>
      </c>
      <c r="AL49">
        <v>1</v>
      </c>
      <c r="AM49">
        <v>4</v>
      </c>
      <c r="AN49">
        <v>0</v>
      </c>
      <c r="AO49">
        <v>1</v>
      </c>
      <c r="AP49">
        <v>1</v>
      </c>
      <c r="AQ49">
        <v>0</v>
      </c>
      <c r="AR49">
        <v>0</v>
      </c>
      <c r="AS49" t="s">
        <v>3</v>
      </c>
      <c r="AT49">
        <v>4.4999999999999997E-3</v>
      </c>
      <c r="AU49" t="s">
        <v>3</v>
      </c>
      <c r="AV49">
        <v>0</v>
      </c>
      <c r="AW49">
        <v>2</v>
      </c>
      <c r="AX49">
        <v>53362647</v>
      </c>
      <c r="AY49">
        <v>1</v>
      </c>
      <c r="AZ49">
        <v>0</v>
      </c>
      <c r="BA49">
        <v>46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CV49">
        <v>0</v>
      </c>
      <c r="CW49">
        <v>0</v>
      </c>
      <c r="CX49">
        <f>ROUND(Y49*Source!I43,7)</f>
        <v>6.0389999999999999E-4</v>
      </c>
      <c r="CY49">
        <f t="shared" si="28"/>
        <v>6054.55</v>
      </c>
      <c r="CZ49">
        <f t="shared" si="29"/>
        <v>688.8</v>
      </c>
      <c r="DA49">
        <f t="shared" si="30"/>
        <v>8.7899999999999991</v>
      </c>
      <c r="DB49">
        <f t="shared" si="31"/>
        <v>3.1</v>
      </c>
      <c r="DC49">
        <f t="shared" si="32"/>
        <v>0</v>
      </c>
      <c r="DD49" t="s">
        <v>3</v>
      </c>
      <c r="DE49" t="s">
        <v>3</v>
      </c>
      <c r="DF49">
        <f t="shared" si="33"/>
        <v>3.66</v>
      </c>
      <c r="DG49">
        <f t="shared" si="34"/>
        <v>0</v>
      </c>
      <c r="DH49">
        <f t="shared" si="35"/>
        <v>0</v>
      </c>
      <c r="DI49">
        <f t="shared" si="26"/>
        <v>0</v>
      </c>
      <c r="DJ49">
        <f t="shared" si="36"/>
        <v>3.66</v>
      </c>
      <c r="DK49">
        <v>0</v>
      </c>
      <c r="DL49" t="s">
        <v>3</v>
      </c>
      <c r="DM49">
        <v>0</v>
      </c>
      <c r="DN49" t="s">
        <v>3</v>
      </c>
      <c r="DO49">
        <v>0</v>
      </c>
    </row>
    <row r="50" spans="1:119" x14ac:dyDescent="0.2">
      <c r="A50">
        <f>ROW(Source!A43)</f>
        <v>43</v>
      </c>
      <c r="B50">
        <v>53360025</v>
      </c>
      <c r="C50">
        <v>53362640</v>
      </c>
      <c r="D50">
        <v>47623421</v>
      </c>
      <c r="E50">
        <v>1</v>
      </c>
      <c r="F50">
        <v>1</v>
      </c>
      <c r="G50">
        <v>1</v>
      </c>
      <c r="H50">
        <v>3</v>
      </c>
      <c r="I50" t="s">
        <v>403</v>
      </c>
      <c r="J50" t="s">
        <v>404</v>
      </c>
      <c r="K50" t="s">
        <v>405</v>
      </c>
      <c r="L50">
        <v>1346</v>
      </c>
      <c r="N50">
        <v>1009</v>
      </c>
      <c r="O50" t="s">
        <v>110</v>
      </c>
      <c r="P50" t="s">
        <v>110</v>
      </c>
      <c r="Q50">
        <v>1</v>
      </c>
      <c r="W50">
        <v>0</v>
      </c>
      <c r="X50">
        <v>571635844</v>
      </c>
      <c r="Y50">
        <f t="shared" si="27"/>
        <v>7.44</v>
      </c>
      <c r="AA50">
        <v>50.19</v>
      </c>
      <c r="AB50">
        <v>0</v>
      </c>
      <c r="AC50">
        <v>0</v>
      </c>
      <c r="AD50">
        <v>0</v>
      </c>
      <c r="AE50">
        <v>5.71</v>
      </c>
      <c r="AF50">
        <v>0</v>
      </c>
      <c r="AG50">
        <v>0</v>
      </c>
      <c r="AH50">
        <v>0</v>
      </c>
      <c r="AI50">
        <v>8.7899999999999991</v>
      </c>
      <c r="AJ50">
        <v>1</v>
      </c>
      <c r="AK50">
        <v>1</v>
      </c>
      <c r="AL50">
        <v>1</v>
      </c>
      <c r="AM50">
        <v>4</v>
      </c>
      <c r="AN50">
        <v>0</v>
      </c>
      <c r="AO50">
        <v>1</v>
      </c>
      <c r="AP50">
        <v>1</v>
      </c>
      <c r="AQ50">
        <v>0</v>
      </c>
      <c r="AR50">
        <v>0</v>
      </c>
      <c r="AS50" t="s">
        <v>3</v>
      </c>
      <c r="AT50">
        <v>7.44</v>
      </c>
      <c r="AU50" t="s">
        <v>3</v>
      </c>
      <c r="AV50">
        <v>0</v>
      </c>
      <c r="AW50">
        <v>2</v>
      </c>
      <c r="AX50">
        <v>53362648</v>
      </c>
      <c r="AY50">
        <v>1</v>
      </c>
      <c r="AZ50">
        <v>0</v>
      </c>
      <c r="BA50">
        <v>47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CV50">
        <v>0</v>
      </c>
      <c r="CW50">
        <v>0</v>
      </c>
      <c r="CX50">
        <f>ROUND(Y50*Source!I43,7)</f>
        <v>0.998448</v>
      </c>
      <c r="CY50">
        <f t="shared" si="28"/>
        <v>50.19</v>
      </c>
      <c r="CZ50">
        <f t="shared" si="29"/>
        <v>5.71</v>
      </c>
      <c r="DA50">
        <f t="shared" si="30"/>
        <v>8.7899999999999991</v>
      </c>
      <c r="DB50">
        <f t="shared" si="31"/>
        <v>42.48</v>
      </c>
      <c r="DC50">
        <f t="shared" si="32"/>
        <v>0</v>
      </c>
      <c r="DD50" t="s">
        <v>3</v>
      </c>
      <c r="DE50" t="s">
        <v>3</v>
      </c>
      <c r="DF50">
        <f t="shared" si="33"/>
        <v>50.11</v>
      </c>
      <c r="DG50">
        <f t="shared" si="34"/>
        <v>0</v>
      </c>
      <c r="DH50">
        <f t="shared" si="35"/>
        <v>0</v>
      </c>
      <c r="DI50">
        <f t="shared" si="26"/>
        <v>0</v>
      </c>
      <c r="DJ50">
        <f t="shared" si="36"/>
        <v>50.11</v>
      </c>
      <c r="DK50">
        <v>0</v>
      </c>
      <c r="DL50" t="s">
        <v>3</v>
      </c>
      <c r="DM50">
        <v>0</v>
      </c>
      <c r="DN50" t="s">
        <v>3</v>
      </c>
      <c r="DO50">
        <v>0</v>
      </c>
    </row>
    <row r="51" spans="1:119" x14ac:dyDescent="0.2">
      <c r="A51">
        <f>ROW(Source!A43)</f>
        <v>43</v>
      </c>
      <c r="B51">
        <v>53360025</v>
      </c>
      <c r="C51">
        <v>53362640</v>
      </c>
      <c r="D51">
        <v>47624028</v>
      </c>
      <c r="E51">
        <v>1</v>
      </c>
      <c r="F51">
        <v>1</v>
      </c>
      <c r="G51">
        <v>1</v>
      </c>
      <c r="H51">
        <v>3</v>
      </c>
      <c r="I51" t="s">
        <v>406</v>
      </c>
      <c r="J51" t="s">
        <v>407</v>
      </c>
      <c r="K51" t="s">
        <v>408</v>
      </c>
      <c r="L51">
        <v>1346</v>
      </c>
      <c r="N51">
        <v>1009</v>
      </c>
      <c r="O51" t="s">
        <v>110</v>
      </c>
      <c r="P51" t="s">
        <v>110</v>
      </c>
      <c r="Q51">
        <v>1</v>
      </c>
      <c r="W51">
        <v>0</v>
      </c>
      <c r="X51">
        <v>-1877867608</v>
      </c>
      <c r="Y51">
        <f t="shared" si="27"/>
        <v>5</v>
      </c>
      <c r="AA51">
        <v>16</v>
      </c>
      <c r="AB51">
        <v>0</v>
      </c>
      <c r="AC51">
        <v>0</v>
      </c>
      <c r="AD51">
        <v>0</v>
      </c>
      <c r="AE51">
        <v>1.82</v>
      </c>
      <c r="AF51">
        <v>0</v>
      </c>
      <c r="AG51">
        <v>0</v>
      </c>
      <c r="AH51">
        <v>0</v>
      </c>
      <c r="AI51">
        <v>8.7899999999999991</v>
      </c>
      <c r="AJ51">
        <v>1</v>
      </c>
      <c r="AK51">
        <v>1</v>
      </c>
      <c r="AL51">
        <v>1</v>
      </c>
      <c r="AM51">
        <v>4</v>
      </c>
      <c r="AN51">
        <v>0</v>
      </c>
      <c r="AO51">
        <v>1</v>
      </c>
      <c r="AP51">
        <v>1</v>
      </c>
      <c r="AQ51">
        <v>0</v>
      </c>
      <c r="AR51">
        <v>0</v>
      </c>
      <c r="AS51" t="s">
        <v>3</v>
      </c>
      <c r="AT51">
        <v>5</v>
      </c>
      <c r="AU51" t="s">
        <v>3</v>
      </c>
      <c r="AV51">
        <v>0</v>
      </c>
      <c r="AW51">
        <v>2</v>
      </c>
      <c r="AX51">
        <v>53362649</v>
      </c>
      <c r="AY51">
        <v>1</v>
      </c>
      <c r="AZ51">
        <v>0</v>
      </c>
      <c r="BA51">
        <v>48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CV51">
        <v>0</v>
      </c>
      <c r="CW51">
        <v>0</v>
      </c>
      <c r="CX51">
        <f>ROUND(Y51*Source!I43,7)</f>
        <v>0.67100000000000004</v>
      </c>
      <c r="CY51">
        <f t="shared" si="28"/>
        <v>16</v>
      </c>
      <c r="CZ51">
        <f t="shared" si="29"/>
        <v>1.82</v>
      </c>
      <c r="DA51">
        <f t="shared" si="30"/>
        <v>8.7899999999999991</v>
      </c>
      <c r="DB51">
        <f t="shared" si="31"/>
        <v>9.1</v>
      </c>
      <c r="DC51">
        <f t="shared" si="32"/>
        <v>0</v>
      </c>
      <c r="DD51" t="s">
        <v>3</v>
      </c>
      <c r="DE51" t="s">
        <v>3</v>
      </c>
      <c r="DF51">
        <f t="shared" si="33"/>
        <v>10.74</v>
      </c>
      <c r="DG51">
        <f t="shared" si="34"/>
        <v>0</v>
      </c>
      <c r="DH51">
        <f t="shared" si="35"/>
        <v>0</v>
      </c>
      <c r="DI51">
        <f t="shared" si="26"/>
        <v>0</v>
      </c>
      <c r="DJ51">
        <f t="shared" si="36"/>
        <v>10.74</v>
      </c>
      <c r="DK51">
        <v>0</v>
      </c>
      <c r="DL51" t="s">
        <v>3</v>
      </c>
      <c r="DM51">
        <v>0</v>
      </c>
      <c r="DN51" t="s">
        <v>3</v>
      </c>
      <c r="DO51">
        <v>0</v>
      </c>
    </row>
    <row r="52" spans="1:119" x14ac:dyDescent="0.2">
      <c r="A52">
        <f>ROW(Source!A43)</f>
        <v>43</v>
      </c>
      <c r="B52">
        <v>53360025</v>
      </c>
      <c r="C52">
        <v>53362640</v>
      </c>
      <c r="D52">
        <v>47625209</v>
      </c>
      <c r="E52">
        <v>1</v>
      </c>
      <c r="F52">
        <v>1</v>
      </c>
      <c r="G52">
        <v>1</v>
      </c>
      <c r="H52">
        <v>3</v>
      </c>
      <c r="I52" t="s">
        <v>409</v>
      </c>
      <c r="J52" t="s">
        <v>410</v>
      </c>
      <c r="K52" t="s">
        <v>411</v>
      </c>
      <c r="L52">
        <v>1339</v>
      </c>
      <c r="N52">
        <v>1007</v>
      </c>
      <c r="O52" t="s">
        <v>89</v>
      </c>
      <c r="P52" t="s">
        <v>89</v>
      </c>
      <c r="Q52">
        <v>1</v>
      </c>
      <c r="W52">
        <v>0</v>
      </c>
      <c r="X52">
        <v>116102337</v>
      </c>
      <c r="Y52">
        <f t="shared" si="27"/>
        <v>7.0000000000000001E-3</v>
      </c>
      <c r="AA52">
        <v>655.56</v>
      </c>
      <c r="AB52">
        <v>0</v>
      </c>
      <c r="AC52">
        <v>0</v>
      </c>
      <c r="AD52">
        <v>0</v>
      </c>
      <c r="AE52">
        <v>74.58</v>
      </c>
      <c r="AF52">
        <v>0</v>
      </c>
      <c r="AG52">
        <v>0</v>
      </c>
      <c r="AH52">
        <v>0</v>
      </c>
      <c r="AI52">
        <v>8.7899999999999991</v>
      </c>
      <c r="AJ52">
        <v>1</v>
      </c>
      <c r="AK52">
        <v>1</v>
      </c>
      <c r="AL52">
        <v>1</v>
      </c>
      <c r="AM52">
        <v>4</v>
      </c>
      <c r="AN52">
        <v>0</v>
      </c>
      <c r="AO52">
        <v>1</v>
      </c>
      <c r="AP52">
        <v>1</v>
      </c>
      <c r="AQ52">
        <v>0</v>
      </c>
      <c r="AR52">
        <v>0</v>
      </c>
      <c r="AS52" t="s">
        <v>3</v>
      </c>
      <c r="AT52">
        <v>7.0000000000000001E-3</v>
      </c>
      <c r="AU52" t="s">
        <v>3</v>
      </c>
      <c r="AV52">
        <v>0</v>
      </c>
      <c r="AW52">
        <v>2</v>
      </c>
      <c r="AX52">
        <v>53362650</v>
      </c>
      <c r="AY52">
        <v>1</v>
      </c>
      <c r="AZ52">
        <v>0</v>
      </c>
      <c r="BA52">
        <v>49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CV52">
        <v>0</v>
      </c>
      <c r="CW52">
        <v>0</v>
      </c>
      <c r="CX52">
        <f>ROUND(Y52*Source!I43,7)</f>
        <v>9.3939999999999996E-4</v>
      </c>
      <c r="CY52">
        <f t="shared" si="28"/>
        <v>655.56</v>
      </c>
      <c r="CZ52">
        <f t="shared" si="29"/>
        <v>74.58</v>
      </c>
      <c r="DA52">
        <f t="shared" si="30"/>
        <v>8.7899999999999991</v>
      </c>
      <c r="DB52">
        <f t="shared" si="31"/>
        <v>0.52</v>
      </c>
      <c r="DC52">
        <f t="shared" si="32"/>
        <v>0</v>
      </c>
      <c r="DD52" t="s">
        <v>3</v>
      </c>
      <c r="DE52" t="s">
        <v>3</v>
      </c>
      <c r="DF52">
        <f t="shared" si="33"/>
        <v>0.62</v>
      </c>
      <c r="DG52">
        <f t="shared" si="34"/>
        <v>0</v>
      </c>
      <c r="DH52">
        <f t="shared" si="35"/>
        <v>0</v>
      </c>
      <c r="DI52">
        <f t="shared" si="26"/>
        <v>0</v>
      </c>
      <c r="DJ52">
        <f t="shared" si="36"/>
        <v>0.62</v>
      </c>
      <c r="DK52">
        <v>0</v>
      </c>
      <c r="DL52" t="s">
        <v>3</v>
      </c>
      <c r="DM52">
        <v>0</v>
      </c>
      <c r="DN52" t="s">
        <v>3</v>
      </c>
      <c r="DO52">
        <v>0</v>
      </c>
    </row>
    <row r="53" spans="1:119" x14ac:dyDescent="0.2">
      <c r="A53">
        <f>ROW(Source!A43)</f>
        <v>43</v>
      </c>
      <c r="B53">
        <v>53360025</v>
      </c>
      <c r="C53">
        <v>53362640</v>
      </c>
      <c r="D53">
        <v>47626343</v>
      </c>
      <c r="E53">
        <v>1</v>
      </c>
      <c r="F53">
        <v>1</v>
      </c>
      <c r="G53">
        <v>1</v>
      </c>
      <c r="H53">
        <v>3</v>
      </c>
      <c r="I53" t="s">
        <v>412</v>
      </c>
      <c r="J53" t="s">
        <v>413</v>
      </c>
      <c r="K53" t="s">
        <v>414</v>
      </c>
      <c r="L53">
        <v>1339</v>
      </c>
      <c r="N53">
        <v>1007</v>
      </c>
      <c r="O53" t="s">
        <v>89</v>
      </c>
      <c r="P53" t="s">
        <v>89</v>
      </c>
      <c r="Q53">
        <v>1</v>
      </c>
      <c r="W53">
        <v>0</v>
      </c>
      <c r="X53">
        <v>-2007109984</v>
      </c>
      <c r="Y53">
        <f t="shared" si="27"/>
        <v>2</v>
      </c>
      <c r="AA53">
        <v>4552.43</v>
      </c>
      <c r="AB53">
        <v>0</v>
      </c>
      <c r="AC53">
        <v>0</v>
      </c>
      <c r="AD53">
        <v>0</v>
      </c>
      <c r="AE53">
        <v>517.91</v>
      </c>
      <c r="AF53">
        <v>0</v>
      </c>
      <c r="AG53">
        <v>0</v>
      </c>
      <c r="AH53">
        <v>0</v>
      </c>
      <c r="AI53">
        <v>8.7899999999999991</v>
      </c>
      <c r="AJ53">
        <v>1</v>
      </c>
      <c r="AK53">
        <v>1</v>
      </c>
      <c r="AL53">
        <v>1</v>
      </c>
      <c r="AM53">
        <v>4</v>
      </c>
      <c r="AN53">
        <v>0</v>
      </c>
      <c r="AO53">
        <v>1</v>
      </c>
      <c r="AP53">
        <v>1</v>
      </c>
      <c r="AQ53">
        <v>0</v>
      </c>
      <c r="AR53">
        <v>0</v>
      </c>
      <c r="AS53" t="s">
        <v>3</v>
      </c>
      <c r="AT53">
        <v>2</v>
      </c>
      <c r="AU53" t="s">
        <v>3</v>
      </c>
      <c r="AV53">
        <v>0</v>
      </c>
      <c r="AW53">
        <v>2</v>
      </c>
      <c r="AX53">
        <v>53362651</v>
      </c>
      <c r="AY53">
        <v>1</v>
      </c>
      <c r="AZ53">
        <v>0</v>
      </c>
      <c r="BA53">
        <v>50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CV53">
        <v>0</v>
      </c>
      <c r="CW53">
        <v>0</v>
      </c>
      <c r="CX53">
        <f>ROUND(Y53*Source!I43,7)</f>
        <v>0.26840000000000003</v>
      </c>
      <c r="CY53">
        <f t="shared" si="28"/>
        <v>4552.43</v>
      </c>
      <c r="CZ53">
        <f t="shared" si="29"/>
        <v>517.91</v>
      </c>
      <c r="DA53">
        <f t="shared" si="30"/>
        <v>8.7899999999999991</v>
      </c>
      <c r="DB53">
        <f t="shared" si="31"/>
        <v>1035.82</v>
      </c>
      <c r="DC53">
        <f t="shared" si="32"/>
        <v>0</v>
      </c>
      <c r="DD53" t="s">
        <v>3</v>
      </c>
      <c r="DE53" t="s">
        <v>3</v>
      </c>
      <c r="DF53">
        <f t="shared" si="33"/>
        <v>1221.8699999999999</v>
      </c>
      <c r="DG53">
        <f t="shared" si="34"/>
        <v>0</v>
      </c>
      <c r="DH53">
        <f t="shared" si="35"/>
        <v>0</v>
      </c>
      <c r="DI53">
        <f t="shared" si="26"/>
        <v>0</v>
      </c>
      <c r="DJ53">
        <f t="shared" si="36"/>
        <v>1221.8699999999999</v>
      </c>
      <c r="DK53">
        <v>0</v>
      </c>
      <c r="DL53" t="s">
        <v>3</v>
      </c>
      <c r="DM53">
        <v>0</v>
      </c>
      <c r="DN53" t="s">
        <v>3</v>
      </c>
      <c r="DO53">
        <v>0</v>
      </c>
    </row>
    <row r="54" spans="1:119" x14ac:dyDescent="0.2">
      <c r="A54">
        <f>ROW(Source!A43)</f>
        <v>43</v>
      </c>
      <c r="B54">
        <v>53360025</v>
      </c>
      <c r="C54">
        <v>53362640</v>
      </c>
      <c r="D54">
        <v>1090969611</v>
      </c>
      <c r="E54">
        <v>1</v>
      </c>
      <c r="F54">
        <v>1</v>
      </c>
      <c r="G54">
        <v>1</v>
      </c>
      <c r="H54">
        <v>3</v>
      </c>
      <c r="I54" t="s">
        <v>113</v>
      </c>
      <c r="J54" t="s">
        <v>115</v>
      </c>
      <c r="K54" t="s">
        <v>114</v>
      </c>
      <c r="L54">
        <v>1327</v>
      </c>
      <c r="N54">
        <v>1005</v>
      </c>
      <c r="O54" t="s">
        <v>101</v>
      </c>
      <c r="P54" t="s">
        <v>101</v>
      </c>
      <c r="Q54">
        <v>1</v>
      </c>
      <c r="W54">
        <v>0</v>
      </c>
      <c r="X54">
        <v>-773684841</v>
      </c>
      <c r="Y54">
        <f t="shared" si="27"/>
        <v>101</v>
      </c>
      <c r="AA54">
        <v>420.43</v>
      </c>
      <c r="AB54">
        <v>0</v>
      </c>
      <c r="AC54">
        <v>0</v>
      </c>
      <c r="AD54">
        <v>0</v>
      </c>
      <c r="AE54">
        <v>47.83</v>
      </c>
      <c r="AF54">
        <v>0</v>
      </c>
      <c r="AG54">
        <v>0</v>
      </c>
      <c r="AH54">
        <v>0</v>
      </c>
      <c r="AI54">
        <v>8.7899999999999991</v>
      </c>
      <c r="AJ54">
        <v>1</v>
      </c>
      <c r="AK54">
        <v>1</v>
      </c>
      <c r="AL54">
        <v>1</v>
      </c>
      <c r="AM54">
        <v>0</v>
      </c>
      <c r="AN54">
        <v>0</v>
      </c>
      <c r="AO54">
        <v>0</v>
      </c>
      <c r="AP54">
        <v>1</v>
      </c>
      <c r="AQ54">
        <v>0</v>
      </c>
      <c r="AR54">
        <v>0</v>
      </c>
      <c r="AS54" t="s">
        <v>3</v>
      </c>
      <c r="AT54">
        <v>101</v>
      </c>
      <c r="AU54" t="s">
        <v>3</v>
      </c>
      <c r="AV54">
        <v>0</v>
      </c>
      <c r="AW54">
        <v>1</v>
      </c>
      <c r="AX54">
        <v>-1</v>
      </c>
      <c r="AY54">
        <v>0</v>
      </c>
      <c r="AZ54">
        <v>0</v>
      </c>
      <c r="BA54" t="s">
        <v>3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CV54">
        <v>0</v>
      </c>
      <c r="CW54">
        <v>0</v>
      </c>
      <c r="CX54">
        <f>ROUND(Y54*Source!I43,7)</f>
        <v>13.5542</v>
      </c>
      <c r="CY54">
        <f t="shared" si="28"/>
        <v>420.43</v>
      </c>
      <c r="CZ54">
        <f t="shared" si="29"/>
        <v>47.83</v>
      </c>
      <c r="DA54">
        <f t="shared" si="30"/>
        <v>8.7899999999999991</v>
      </c>
      <c r="DB54">
        <f t="shared" si="31"/>
        <v>4830.83</v>
      </c>
      <c r="DC54">
        <f t="shared" si="32"/>
        <v>0</v>
      </c>
      <c r="DD54" t="s">
        <v>3</v>
      </c>
      <c r="DE54" t="s">
        <v>3</v>
      </c>
      <c r="DF54">
        <f t="shared" si="33"/>
        <v>5698.59</v>
      </c>
      <c r="DG54">
        <f t="shared" si="34"/>
        <v>0</v>
      </c>
      <c r="DH54">
        <f t="shared" si="35"/>
        <v>0</v>
      </c>
      <c r="DI54">
        <f t="shared" si="26"/>
        <v>0</v>
      </c>
      <c r="DJ54">
        <f t="shared" si="36"/>
        <v>5698.59</v>
      </c>
      <c r="DK54">
        <v>0</v>
      </c>
      <c r="DL54" t="s">
        <v>3</v>
      </c>
      <c r="DM54">
        <v>0</v>
      </c>
      <c r="DN54" t="s">
        <v>3</v>
      </c>
      <c r="DO54">
        <v>0</v>
      </c>
    </row>
    <row r="55" spans="1:119" x14ac:dyDescent="0.2">
      <c r="A55">
        <f>ROW(Source!A43)</f>
        <v>43</v>
      </c>
      <c r="B55">
        <v>53360025</v>
      </c>
      <c r="C55">
        <v>53362640</v>
      </c>
      <c r="D55">
        <v>47641640</v>
      </c>
      <c r="E55">
        <v>1</v>
      </c>
      <c r="F55">
        <v>1</v>
      </c>
      <c r="G55">
        <v>1</v>
      </c>
      <c r="H55">
        <v>3</v>
      </c>
      <c r="I55" t="s">
        <v>415</v>
      </c>
      <c r="J55" t="s">
        <v>416</v>
      </c>
      <c r="K55" t="s">
        <v>417</v>
      </c>
      <c r="L55">
        <v>1348</v>
      </c>
      <c r="N55">
        <v>1009</v>
      </c>
      <c r="O55" t="s">
        <v>32</v>
      </c>
      <c r="P55" t="s">
        <v>32</v>
      </c>
      <c r="Q55">
        <v>1000</v>
      </c>
      <c r="W55">
        <v>0</v>
      </c>
      <c r="X55">
        <v>1354244301</v>
      </c>
      <c r="Y55">
        <f t="shared" si="27"/>
        <v>0.02</v>
      </c>
      <c r="AA55">
        <v>107607.18</v>
      </c>
      <c r="AB55">
        <v>0</v>
      </c>
      <c r="AC55">
        <v>0</v>
      </c>
      <c r="AD55">
        <v>0</v>
      </c>
      <c r="AE55">
        <v>12242</v>
      </c>
      <c r="AF55">
        <v>0</v>
      </c>
      <c r="AG55">
        <v>0</v>
      </c>
      <c r="AH55">
        <v>0</v>
      </c>
      <c r="AI55">
        <v>8.7899999999999991</v>
      </c>
      <c r="AJ55">
        <v>1</v>
      </c>
      <c r="AK55">
        <v>1</v>
      </c>
      <c r="AL55">
        <v>1</v>
      </c>
      <c r="AM55">
        <v>4</v>
      </c>
      <c r="AN55">
        <v>0</v>
      </c>
      <c r="AO55">
        <v>1</v>
      </c>
      <c r="AP55">
        <v>1</v>
      </c>
      <c r="AQ55">
        <v>0</v>
      </c>
      <c r="AR55">
        <v>0</v>
      </c>
      <c r="AS55" t="s">
        <v>3</v>
      </c>
      <c r="AT55">
        <v>0.02</v>
      </c>
      <c r="AU55" t="s">
        <v>3</v>
      </c>
      <c r="AV55">
        <v>0</v>
      </c>
      <c r="AW55">
        <v>2</v>
      </c>
      <c r="AX55">
        <v>53362652</v>
      </c>
      <c r="AY55">
        <v>1</v>
      </c>
      <c r="AZ55">
        <v>0</v>
      </c>
      <c r="BA55">
        <v>51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CV55">
        <v>0</v>
      </c>
      <c r="CW55">
        <v>0</v>
      </c>
      <c r="CX55">
        <f>ROUND(Y55*Source!I43,7)</f>
        <v>2.6840000000000002E-3</v>
      </c>
      <c r="CY55">
        <f t="shared" si="28"/>
        <v>107607.18</v>
      </c>
      <c r="CZ55">
        <f t="shared" si="29"/>
        <v>12242</v>
      </c>
      <c r="DA55">
        <f t="shared" si="30"/>
        <v>8.7899999999999991</v>
      </c>
      <c r="DB55">
        <f t="shared" si="31"/>
        <v>244.84</v>
      </c>
      <c r="DC55">
        <f t="shared" si="32"/>
        <v>0</v>
      </c>
      <c r="DD55" t="s">
        <v>3</v>
      </c>
      <c r="DE55" t="s">
        <v>3</v>
      </c>
      <c r="DF55">
        <f t="shared" si="33"/>
        <v>288.82</v>
      </c>
      <c r="DG55">
        <f t="shared" si="34"/>
        <v>0</v>
      </c>
      <c r="DH55">
        <f t="shared" si="35"/>
        <v>0</v>
      </c>
      <c r="DI55">
        <f t="shared" si="26"/>
        <v>0</v>
      </c>
      <c r="DJ55">
        <f t="shared" si="36"/>
        <v>288.82</v>
      </c>
      <c r="DK55">
        <v>0</v>
      </c>
      <c r="DL55" t="s">
        <v>3</v>
      </c>
      <c r="DM55">
        <v>0</v>
      </c>
      <c r="DN55" t="s">
        <v>3</v>
      </c>
      <c r="DO55">
        <v>0</v>
      </c>
    </row>
    <row r="56" spans="1:119" x14ac:dyDescent="0.2">
      <c r="A56">
        <f>ROW(Source!A43)</f>
        <v>43</v>
      </c>
      <c r="B56">
        <v>53360025</v>
      </c>
      <c r="C56">
        <v>53362640</v>
      </c>
      <c r="D56">
        <v>47610530</v>
      </c>
      <c r="E56">
        <v>58</v>
      </c>
      <c r="F56">
        <v>1</v>
      </c>
      <c r="G56">
        <v>1</v>
      </c>
      <c r="H56">
        <v>3</v>
      </c>
      <c r="I56" t="s">
        <v>125</v>
      </c>
      <c r="J56" t="s">
        <v>3</v>
      </c>
      <c r="K56" t="s">
        <v>126</v>
      </c>
      <c r="L56">
        <v>1327</v>
      </c>
      <c r="N56">
        <v>1005</v>
      </c>
      <c r="O56" t="s">
        <v>101</v>
      </c>
      <c r="P56" t="s">
        <v>101</v>
      </c>
      <c r="Q56">
        <v>1</v>
      </c>
      <c r="W56">
        <v>0</v>
      </c>
      <c r="X56">
        <v>-924750407</v>
      </c>
      <c r="Y56">
        <f t="shared" si="27"/>
        <v>20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8.7899999999999991</v>
      </c>
      <c r="AJ56">
        <v>1</v>
      </c>
      <c r="AK56">
        <v>1</v>
      </c>
      <c r="AL56">
        <v>1</v>
      </c>
      <c r="AM56">
        <v>0</v>
      </c>
      <c r="AN56">
        <v>0</v>
      </c>
      <c r="AO56">
        <v>0</v>
      </c>
      <c r="AP56">
        <v>1</v>
      </c>
      <c r="AQ56">
        <v>0</v>
      </c>
      <c r="AR56">
        <v>0</v>
      </c>
      <c r="AS56" t="s">
        <v>3</v>
      </c>
      <c r="AT56">
        <v>20</v>
      </c>
      <c r="AU56" t="s">
        <v>3</v>
      </c>
      <c r="AV56">
        <v>0</v>
      </c>
      <c r="AW56">
        <v>2</v>
      </c>
      <c r="AX56">
        <v>53362653</v>
      </c>
      <c r="AY56">
        <v>1</v>
      </c>
      <c r="AZ56">
        <v>0</v>
      </c>
      <c r="BA56">
        <v>52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CV56">
        <v>0</v>
      </c>
      <c r="CW56">
        <v>0</v>
      </c>
      <c r="CX56">
        <f>ROUND(Y56*Source!I43,7)</f>
        <v>2.6840000000000002</v>
      </c>
      <c r="CY56">
        <f t="shared" si="28"/>
        <v>0</v>
      </c>
      <c r="CZ56">
        <f t="shared" si="29"/>
        <v>0</v>
      </c>
      <c r="DA56">
        <f t="shared" si="30"/>
        <v>8.7899999999999991</v>
      </c>
      <c r="DB56">
        <f t="shared" si="31"/>
        <v>0</v>
      </c>
      <c r="DC56">
        <f t="shared" si="32"/>
        <v>0</v>
      </c>
      <c r="DD56" t="s">
        <v>3</v>
      </c>
      <c r="DE56" t="s">
        <v>3</v>
      </c>
      <c r="DF56">
        <f t="shared" si="33"/>
        <v>0</v>
      </c>
      <c r="DG56">
        <f t="shared" si="34"/>
        <v>0</v>
      </c>
      <c r="DH56">
        <f t="shared" si="35"/>
        <v>0</v>
      </c>
      <c r="DI56">
        <f t="shared" si="26"/>
        <v>0</v>
      </c>
      <c r="DJ56">
        <f t="shared" si="36"/>
        <v>0</v>
      </c>
      <c r="DK56">
        <v>0</v>
      </c>
      <c r="DL56" t="s">
        <v>3</v>
      </c>
      <c r="DM56">
        <v>0</v>
      </c>
      <c r="DN56" t="s">
        <v>3</v>
      </c>
      <c r="DO56">
        <v>0</v>
      </c>
    </row>
    <row r="57" spans="1:119" x14ac:dyDescent="0.2">
      <c r="A57">
        <f>ROW(Source!A43)</f>
        <v>43</v>
      </c>
      <c r="B57">
        <v>53360025</v>
      </c>
      <c r="C57">
        <v>53362640</v>
      </c>
      <c r="D57">
        <v>47610531</v>
      </c>
      <c r="E57">
        <v>58</v>
      </c>
      <c r="F57">
        <v>1</v>
      </c>
      <c r="G57">
        <v>1</v>
      </c>
      <c r="H57">
        <v>3</v>
      </c>
      <c r="I57" t="s">
        <v>125</v>
      </c>
      <c r="J57" t="s">
        <v>3</v>
      </c>
      <c r="K57" t="s">
        <v>128</v>
      </c>
      <c r="L57">
        <v>1327</v>
      </c>
      <c r="N57">
        <v>1005</v>
      </c>
      <c r="O57" t="s">
        <v>101</v>
      </c>
      <c r="P57" t="s">
        <v>101</v>
      </c>
      <c r="Q57">
        <v>1</v>
      </c>
      <c r="W57">
        <v>0</v>
      </c>
      <c r="X57">
        <v>1478736296</v>
      </c>
      <c r="Y57">
        <f t="shared" si="27"/>
        <v>81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8.7899999999999991</v>
      </c>
      <c r="AJ57">
        <v>1</v>
      </c>
      <c r="AK57">
        <v>1</v>
      </c>
      <c r="AL57">
        <v>1</v>
      </c>
      <c r="AM57">
        <v>0</v>
      </c>
      <c r="AN57">
        <v>0</v>
      </c>
      <c r="AO57">
        <v>0</v>
      </c>
      <c r="AP57">
        <v>1</v>
      </c>
      <c r="AQ57">
        <v>0</v>
      </c>
      <c r="AR57">
        <v>0</v>
      </c>
      <c r="AS57" t="s">
        <v>3</v>
      </c>
      <c r="AT57">
        <v>81</v>
      </c>
      <c r="AU57" t="s">
        <v>3</v>
      </c>
      <c r="AV57">
        <v>0</v>
      </c>
      <c r="AW57">
        <v>2</v>
      </c>
      <c r="AX57">
        <v>53362654</v>
      </c>
      <c r="AY57">
        <v>1</v>
      </c>
      <c r="AZ57">
        <v>0</v>
      </c>
      <c r="BA57">
        <v>53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CV57">
        <v>0</v>
      </c>
      <c r="CW57">
        <v>0</v>
      </c>
      <c r="CX57">
        <f>ROUND(Y57*Source!I43,7)</f>
        <v>10.870200000000001</v>
      </c>
      <c r="CY57">
        <f t="shared" si="28"/>
        <v>0</v>
      </c>
      <c r="CZ57">
        <f t="shared" si="29"/>
        <v>0</v>
      </c>
      <c r="DA57">
        <f t="shared" si="30"/>
        <v>8.7899999999999991</v>
      </c>
      <c r="DB57">
        <f t="shared" si="31"/>
        <v>0</v>
      </c>
      <c r="DC57">
        <f t="shared" si="32"/>
        <v>0</v>
      </c>
      <c r="DD57" t="s">
        <v>3</v>
      </c>
      <c r="DE57" t="s">
        <v>3</v>
      </c>
      <c r="DF57">
        <f t="shared" si="33"/>
        <v>0</v>
      </c>
      <c r="DG57">
        <f t="shared" si="34"/>
        <v>0</v>
      </c>
      <c r="DH57">
        <f t="shared" si="35"/>
        <v>0</v>
      </c>
      <c r="DI57">
        <f t="shared" si="26"/>
        <v>0</v>
      </c>
      <c r="DJ57">
        <f t="shared" si="36"/>
        <v>0</v>
      </c>
      <c r="DK57">
        <v>0</v>
      </c>
      <c r="DL57" t="s">
        <v>3</v>
      </c>
      <c r="DM57">
        <v>0</v>
      </c>
      <c r="DN57" t="s">
        <v>3</v>
      </c>
      <c r="DO57">
        <v>0</v>
      </c>
    </row>
    <row r="58" spans="1:119" x14ac:dyDescent="0.2">
      <c r="A58">
        <f>ROW(Source!A47)</f>
        <v>47</v>
      </c>
      <c r="B58">
        <v>53360025</v>
      </c>
      <c r="C58">
        <v>53362662</v>
      </c>
      <c r="D58">
        <v>37064878</v>
      </c>
      <c r="E58">
        <v>70</v>
      </c>
      <c r="F58">
        <v>1</v>
      </c>
      <c r="G58">
        <v>1</v>
      </c>
      <c r="H58">
        <v>1</v>
      </c>
      <c r="I58" t="s">
        <v>418</v>
      </c>
      <c r="J58" t="s">
        <v>3</v>
      </c>
      <c r="K58" t="s">
        <v>419</v>
      </c>
      <c r="L58">
        <v>1191</v>
      </c>
      <c r="N58">
        <v>1013</v>
      </c>
      <c r="O58" t="s">
        <v>324</v>
      </c>
      <c r="P58" t="s">
        <v>324</v>
      </c>
      <c r="Q58">
        <v>1</v>
      </c>
      <c r="W58">
        <v>0</v>
      </c>
      <c r="X58">
        <v>-2012709214</v>
      </c>
      <c r="Y58">
        <f>(AT58*ROUND(1.15,7))</f>
        <v>310.5</v>
      </c>
      <c r="AA58">
        <v>0</v>
      </c>
      <c r="AB58">
        <v>0</v>
      </c>
      <c r="AC58">
        <v>0</v>
      </c>
      <c r="AD58">
        <v>369.7</v>
      </c>
      <c r="AE58">
        <v>0</v>
      </c>
      <c r="AF58">
        <v>0</v>
      </c>
      <c r="AG58">
        <v>0</v>
      </c>
      <c r="AH58">
        <v>9.4</v>
      </c>
      <c r="AI58">
        <v>1</v>
      </c>
      <c r="AJ58">
        <v>1</v>
      </c>
      <c r="AK58">
        <v>1</v>
      </c>
      <c r="AL58">
        <v>39.33</v>
      </c>
      <c r="AM58">
        <v>4</v>
      </c>
      <c r="AN58">
        <v>0</v>
      </c>
      <c r="AO58">
        <v>1</v>
      </c>
      <c r="AP58">
        <v>1</v>
      </c>
      <c r="AQ58">
        <v>0</v>
      </c>
      <c r="AR58">
        <v>0</v>
      </c>
      <c r="AS58" t="s">
        <v>3</v>
      </c>
      <c r="AT58">
        <v>270</v>
      </c>
      <c r="AU58" t="s">
        <v>73</v>
      </c>
      <c r="AV58">
        <v>1</v>
      </c>
      <c r="AW58">
        <v>2</v>
      </c>
      <c r="AX58">
        <v>53362676</v>
      </c>
      <c r="AY58">
        <v>1</v>
      </c>
      <c r="AZ58">
        <v>0</v>
      </c>
      <c r="BA58">
        <v>54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CU58">
        <f>ROUND(AT58*Source!I47*AH58*AL58,2)</f>
        <v>8085.38</v>
      </c>
      <c r="CV58">
        <f>ROUND(Y58*Source!I47,7)</f>
        <v>25.150500000000001</v>
      </c>
      <c r="CW58">
        <v>0</v>
      </c>
      <c r="CX58">
        <f>ROUND(Y58*Source!I47,7)</f>
        <v>25.150500000000001</v>
      </c>
      <c r="CY58">
        <f>AD58</f>
        <v>369.7</v>
      </c>
      <c r="CZ58">
        <f>AH58</f>
        <v>9.4</v>
      </c>
      <c r="DA58">
        <f>AL58</f>
        <v>39.33</v>
      </c>
      <c r="DB58">
        <f>ROUND((ROUND(AT58*CZ58,2)*ROUND(1.15,7)),6)</f>
        <v>2918.7</v>
      </c>
      <c r="DC58">
        <f>ROUND((ROUND(AT58*AG58,2)*ROUND(1.15,7)),6)</f>
        <v>0</v>
      </c>
      <c r="DD58" t="s">
        <v>3</v>
      </c>
      <c r="DE58" t="s">
        <v>3</v>
      </c>
      <c r="DF58">
        <f>ROUND(ROUND(AE58,2)*CX58,2)</f>
        <v>0</v>
      </c>
      <c r="DG58">
        <f t="shared" si="34"/>
        <v>0</v>
      </c>
      <c r="DH58">
        <f t="shared" si="35"/>
        <v>0</v>
      </c>
      <c r="DI58">
        <f>ROUND(ROUND(AH58*AL58,2)*CX58,2)</f>
        <v>9298.14</v>
      </c>
      <c r="DJ58">
        <f>DI58</f>
        <v>9298.14</v>
      </c>
      <c r="DK58">
        <v>0</v>
      </c>
      <c r="DL58" t="s">
        <v>3</v>
      </c>
      <c r="DM58">
        <v>0</v>
      </c>
      <c r="DN58" t="s">
        <v>3</v>
      </c>
      <c r="DO58">
        <v>0</v>
      </c>
    </row>
    <row r="59" spans="1:119" x14ac:dyDescent="0.2">
      <c r="A59">
        <f>ROW(Source!A47)</f>
        <v>47</v>
      </c>
      <c r="B59">
        <v>53360025</v>
      </c>
      <c r="C59">
        <v>53362662</v>
      </c>
      <c r="D59">
        <v>37064876</v>
      </c>
      <c r="E59">
        <v>70</v>
      </c>
      <c r="F59">
        <v>1</v>
      </c>
      <c r="G59">
        <v>1</v>
      </c>
      <c r="H59">
        <v>1</v>
      </c>
      <c r="I59" t="s">
        <v>325</v>
      </c>
      <c r="J59" t="s">
        <v>3</v>
      </c>
      <c r="K59" t="s">
        <v>326</v>
      </c>
      <c r="L59">
        <v>1191</v>
      </c>
      <c r="N59">
        <v>1013</v>
      </c>
      <c r="O59" t="s">
        <v>324</v>
      </c>
      <c r="P59" t="s">
        <v>324</v>
      </c>
      <c r="Q59">
        <v>1</v>
      </c>
      <c r="W59">
        <v>0</v>
      </c>
      <c r="X59">
        <v>-1417349443</v>
      </c>
      <c r="Y59">
        <f>(AT59*ROUND(1.25,7))</f>
        <v>1.6500000000000001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1</v>
      </c>
      <c r="AK59">
        <v>39.33</v>
      </c>
      <c r="AL59">
        <v>1</v>
      </c>
      <c r="AM59">
        <v>4</v>
      </c>
      <c r="AN59">
        <v>0</v>
      </c>
      <c r="AO59">
        <v>1</v>
      </c>
      <c r="AP59">
        <v>1</v>
      </c>
      <c r="AQ59">
        <v>0</v>
      </c>
      <c r="AR59">
        <v>0</v>
      </c>
      <c r="AS59" t="s">
        <v>3</v>
      </c>
      <c r="AT59">
        <v>1.32</v>
      </c>
      <c r="AU59" t="s">
        <v>72</v>
      </c>
      <c r="AV59">
        <v>2</v>
      </c>
      <c r="AW59">
        <v>2</v>
      </c>
      <c r="AX59">
        <v>53362677</v>
      </c>
      <c r="AY59">
        <v>1</v>
      </c>
      <c r="AZ59">
        <v>0</v>
      </c>
      <c r="BA59">
        <v>55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CV59">
        <v>0</v>
      </c>
      <c r="CW59">
        <v>0</v>
      </c>
      <c r="CX59">
        <f>ROUND(Y59*Source!I47,7)</f>
        <v>0.13364999999999999</v>
      </c>
      <c r="CY59">
        <f>AD59</f>
        <v>0</v>
      </c>
      <c r="CZ59">
        <f>AH59</f>
        <v>0</v>
      </c>
      <c r="DA59">
        <f>AL59</f>
        <v>1</v>
      </c>
      <c r="DB59">
        <f>ROUND((ROUND(AT59*CZ59,2)*ROUND(1.25,7)),6)</f>
        <v>0</v>
      </c>
      <c r="DC59">
        <f>ROUND((ROUND(AT59*AG59,2)*ROUND(1.25,7)),6)</f>
        <v>0</v>
      </c>
      <c r="DD59" t="s">
        <v>3</v>
      </c>
      <c r="DE59" t="s">
        <v>3</v>
      </c>
      <c r="DF59">
        <f>ROUND(ROUND(AE59,2)*CX59,2)</f>
        <v>0</v>
      </c>
      <c r="DG59">
        <f t="shared" si="34"/>
        <v>0</v>
      </c>
      <c r="DH59">
        <f>ROUND(ROUND(AG59*AK59,2)*CX59,2)</f>
        <v>0</v>
      </c>
      <c r="DI59">
        <f t="shared" ref="DI59:DI70" si="37">ROUND(ROUND(AH59,2)*CX59,2)</f>
        <v>0</v>
      </c>
      <c r="DJ59">
        <f>DI59</f>
        <v>0</v>
      </c>
      <c r="DK59">
        <v>0</v>
      </c>
      <c r="DL59" t="s">
        <v>3</v>
      </c>
      <c r="DM59">
        <v>0</v>
      </c>
      <c r="DN59" t="s">
        <v>3</v>
      </c>
      <c r="DO59">
        <v>0</v>
      </c>
    </row>
    <row r="60" spans="1:119" x14ac:dyDescent="0.2">
      <c r="A60">
        <f>ROW(Source!A47)</f>
        <v>47</v>
      </c>
      <c r="B60">
        <v>53360025</v>
      </c>
      <c r="C60">
        <v>53362662</v>
      </c>
      <c r="D60">
        <v>1091150891</v>
      </c>
      <c r="E60">
        <v>1</v>
      </c>
      <c r="F60">
        <v>1</v>
      </c>
      <c r="G60">
        <v>1</v>
      </c>
      <c r="H60">
        <v>2</v>
      </c>
      <c r="I60" t="s">
        <v>353</v>
      </c>
      <c r="J60" t="s">
        <v>354</v>
      </c>
      <c r="K60" t="s">
        <v>355</v>
      </c>
      <c r="L60">
        <v>1367</v>
      </c>
      <c r="N60">
        <v>1011</v>
      </c>
      <c r="O60" t="s">
        <v>330</v>
      </c>
      <c r="P60" t="s">
        <v>330</v>
      </c>
      <c r="Q60">
        <v>1</v>
      </c>
      <c r="W60">
        <v>0</v>
      </c>
      <c r="X60">
        <v>-896236776</v>
      </c>
      <c r="Y60">
        <f>(AT60*ROUND(1.25,7))</f>
        <v>0.13750000000000001</v>
      </c>
      <c r="AA60">
        <v>0</v>
      </c>
      <c r="AB60">
        <v>1297.6600000000001</v>
      </c>
      <c r="AC60">
        <v>395.66</v>
      </c>
      <c r="AD60">
        <v>0</v>
      </c>
      <c r="AE60">
        <v>0</v>
      </c>
      <c r="AF60">
        <v>89.99</v>
      </c>
      <c r="AG60">
        <v>10.06</v>
      </c>
      <c r="AH60">
        <v>0</v>
      </c>
      <c r="AI60">
        <v>1</v>
      </c>
      <c r="AJ60">
        <v>14.42</v>
      </c>
      <c r="AK60">
        <v>39.33</v>
      </c>
      <c r="AL60">
        <v>1</v>
      </c>
      <c r="AM60">
        <v>4</v>
      </c>
      <c r="AN60">
        <v>0</v>
      </c>
      <c r="AO60">
        <v>1</v>
      </c>
      <c r="AP60">
        <v>1</v>
      </c>
      <c r="AQ60">
        <v>0</v>
      </c>
      <c r="AR60">
        <v>0</v>
      </c>
      <c r="AS60" t="s">
        <v>3</v>
      </c>
      <c r="AT60">
        <v>0.11</v>
      </c>
      <c r="AU60" t="s">
        <v>72</v>
      </c>
      <c r="AV60">
        <v>0</v>
      </c>
      <c r="AW60">
        <v>2</v>
      </c>
      <c r="AX60">
        <v>53362678</v>
      </c>
      <c r="AY60">
        <v>1</v>
      </c>
      <c r="AZ60">
        <v>0</v>
      </c>
      <c r="BA60">
        <v>56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CV60">
        <v>0</v>
      </c>
      <c r="CW60">
        <f>ROUND(Y60*Source!I47*DO60,7)</f>
        <v>0</v>
      </c>
      <c r="CX60">
        <f>ROUND(Y60*Source!I47,7)</f>
        <v>1.11375E-2</v>
      </c>
      <c r="CY60">
        <f>AB60</f>
        <v>1297.6600000000001</v>
      </c>
      <c r="CZ60">
        <f>AF60</f>
        <v>89.99</v>
      </c>
      <c r="DA60">
        <f>AJ60</f>
        <v>14.42</v>
      </c>
      <c r="DB60">
        <f>ROUND((ROUND(AT60*CZ60,2)*ROUND(1.25,7)),6)</f>
        <v>12.375</v>
      </c>
      <c r="DC60">
        <f>ROUND((ROUND(AT60*AG60,2)*ROUND(1.25,7)),6)</f>
        <v>1.3875</v>
      </c>
      <c r="DD60" t="s">
        <v>3</v>
      </c>
      <c r="DE60" t="s">
        <v>3</v>
      </c>
      <c r="DF60">
        <f>ROUND(ROUND(AE60,2)*CX60,2)</f>
        <v>0</v>
      </c>
      <c r="DG60">
        <f>ROUND(ROUND(AF60*AJ60,2)*CX60,2)</f>
        <v>14.45</v>
      </c>
      <c r="DH60">
        <f>ROUND(ROUND(AG60*AK60,2)*CX60,2)</f>
        <v>4.41</v>
      </c>
      <c r="DI60">
        <f t="shared" si="37"/>
        <v>0</v>
      </c>
      <c r="DJ60">
        <f>DG60</f>
        <v>14.45</v>
      </c>
      <c r="DK60">
        <v>0</v>
      </c>
      <c r="DL60" t="s">
        <v>3</v>
      </c>
      <c r="DM60">
        <v>0</v>
      </c>
      <c r="DN60" t="s">
        <v>3</v>
      </c>
      <c r="DO60">
        <v>0</v>
      </c>
    </row>
    <row r="61" spans="1:119" x14ac:dyDescent="0.2">
      <c r="A61">
        <f>ROW(Source!A47)</f>
        <v>47</v>
      </c>
      <c r="B61">
        <v>53360025</v>
      </c>
      <c r="C61">
        <v>53362662</v>
      </c>
      <c r="D61">
        <v>1091150933</v>
      </c>
      <c r="E61">
        <v>1</v>
      </c>
      <c r="F61">
        <v>1</v>
      </c>
      <c r="G61">
        <v>1</v>
      </c>
      <c r="H61">
        <v>2</v>
      </c>
      <c r="I61" t="s">
        <v>327</v>
      </c>
      <c r="J61" t="s">
        <v>328</v>
      </c>
      <c r="K61" t="s">
        <v>329</v>
      </c>
      <c r="L61">
        <v>1367</v>
      </c>
      <c r="N61">
        <v>1011</v>
      </c>
      <c r="O61" t="s">
        <v>330</v>
      </c>
      <c r="P61" t="s">
        <v>330</v>
      </c>
      <c r="Q61">
        <v>1</v>
      </c>
      <c r="W61">
        <v>0</v>
      </c>
      <c r="X61">
        <v>1232162608</v>
      </c>
      <c r="Y61">
        <f>(AT61*ROUND(1.25,7))</f>
        <v>1.5125</v>
      </c>
      <c r="AA61">
        <v>0</v>
      </c>
      <c r="AB61">
        <v>450.77</v>
      </c>
      <c r="AC61">
        <v>530.96</v>
      </c>
      <c r="AD61">
        <v>0</v>
      </c>
      <c r="AE61">
        <v>0</v>
      </c>
      <c r="AF61">
        <v>31.26</v>
      </c>
      <c r="AG61">
        <v>13.5</v>
      </c>
      <c r="AH61">
        <v>0</v>
      </c>
      <c r="AI61">
        <v>1</v>
      </c>
      <c r="AJ61">
        <v>14.42</v>
      </c>
      <c r="AK61">
        <v>39.33</v>
      </c>
      <c r="AL61">
        <v>1</v>
      </c>
      <c r="AM61">
        <v>4</v>
      </c>
      <c r="AN61">
        <v>0</v>
      </c>
      <c r="AO61">
        <v>1</v>
      </c>
      <c r="AP61">
        <v>1</v>
      </c>
      <c r="AQ61">
        <v>0</v>
      </c>
      <c r="AR61">
        <v>0</v>
      </c>
      <c r="AS61" t="s">
        <v>3</v>
      </c>
      <c r="AT61">
        <v>1.21</v>
      </c>
      <c r="AU61" t="s">
        <v>72</v>
      </c>
      <c r="AV61">
        <v>0</v>
      </c>
      <c r="AW61">
        <v>2</v>
      </c>
      <c r="AX61">
        <v>53362679</v>
      </c>
      <c r="AY61">
        <v>1</v>
      </c>
      <c r="AZ61">
        <v>0</v>
      </c>
      <c r="BA61">
        <v>57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CV61">
        <v>0</v>
      </c>
      <c r="CW61">
        <f>ROUND(Y61*Source!I47*DO61,7)</f>
        <v>0</v>
      </c>
      <c r="CX61">
        <f>ROUND(Y61*Source!I47,7)</f>
        <v>0.1225125</v>
      </c>
      <c r="CY61">
        <f>AB61</f>
        <v>450.77</v>
      </c>
      <c r="CZ61">
        <f>AF61</f>
        <v>31.26</v>
      </c>
      <c r="DA61">
        <f>AJ61</f>
        <v>14.42</v>
      </c>
      <c r="DB61">
        <f>ROUND((ROUND(AT61*CZ61,2)*ROUND(1.25,7)),6)</f>
        <v>47.274999999999999</v>
      </c>
      <c r="DC61">
        <f>ROUND((ROUND(AT61*AG61,2)*ROUND(1.25,7)),6)</f>
        <v>20.425000000000001</v>
      </c>
      <c r="DD61" t="s">
        <v>3</v>
      </c>
      <c r="DE61" t="s">
        <v>3</v>
      </c>
      <c r="DF61">
        <f>ROUND(ROUND(AE61,2)*CX61,2)</f>
        <v>0</v>
      </c>
      <c r="DG61">
        <f>ROUND(ROUND(AF61*AJ61,2)*CX61,2)</f>
        <v>55.22</v>
      </c>
      <c r="DH61">
        <f>ROUND(ROUND(AG61*AK61,2)*CX61,2)</f>
        <v>65.05</v>
      </c>
      <c r="DI61">
        <f t="shared" si="37"/>
        <v>0</v>
      </c>
      <c r="DJ61">
        <f>DG61</f>
        <v>55.22</v>
      </c>
      <c r="DK61">
        <v>0</v>
      </c>
      <c r="DL61" t="s">
        <v>3</v>
      </c>
      <c r="DM61">
        <v>0</v>
      </c>
      <c r="DN61" t="s">
        <v>3</v>
      </c>
      <c r="DO61">
        <v>0</v>
      </c>
    </row>
    <row r="62" spans="1:119" x14ac:dyDescent="0.2">
      <c r="A62">
        <f>ROW(Source!A47)</f>
        <v>47</v>
      </c>
      <c r="B62">
        <v>53360025</v>
      </c>
      <c r="C62">
        <v>53362662</v>
      </c>
      <c r="D62">
        <v>1090945058</v>
      </c>
      <c r="E62">
        <v>1</v>
      </c>
      <c r="F62">
        <v>1</v>
      </c>
      <c r="G62">
        <v>1</v>
      </c>
      <c r="H62">
        <v>3</v>
      </c>
      <c r="I62" t="s">
        <v>359</v>
      </c>
      <c r="J62" t="s">
        <v>360</v>
      </c>
      <c r="K62" t="s">
        <v>361</v>
      </c>
      <c r="L62">
        <v>1339</v>
      </c>
      <c r="N62">
        <v>1007</v>
      </c>
      <c r="O62" t="s">
        <v>89</v>
      </c>
      <c r="P62" t="s">
        <v>89</v>
      </c>
      <c r="Q62">
        <v>1</v>
      </c>
      <c r="W62">
        <v>0</v>
      </c>
      <c r="X62">
        <v>-143474561</v>
      </c>
      <c r="Y62">
        <f t="shared" ref="Y62:Y70" si="38">AT62</f>
        <v>0.5</v>
      </c>
      <c r="AA62">
        <v>21.45</v>
      </c>
      <c r="AB62">
        <v>0</v>
      </c>
      <c r="AC62">
        <v>0</v>
      </c>
      <c r="AD62">
        <v>0</v>
      </c>
      <c r="AE62">
        <v>2.44</v>
      </c>
      <c r="AF62">
        <v>0</v>
      </c>
      <c r="AG62">
        <v>0</v>
      </c>
      <c r="AH62">
        <v>0</v>
      </c>
      <c r="AI62">
        <v>8.7899999999999991</v>
      </c>
      <c r="AJ62">
        <v>1</v>
      </c>
      <c r="AK62">
        <v>1</v>
      </c>
      <c r="AL62">
        <v>1</v>
      </c>
      <c r="AM62">
        <v>4</v>
      </c>
      <c r="AN62">
        <v>0</v>
      </c>
      <c r="AO62">
        <v>1</v>
      </c>
      <c r="AP62">
        <v>0</v>
      </c>
      <c r="AQ62">
        <v>0</v>
      </c>
      <c r="AR62">
        <v>0</v>
      </c>
      <c r="AS62" t="s">
        <v>3</v>
      </c>
      <c r="AT62">
        <v>0.5</v>
      </c>
      <c r="AU62" t="s">
        <v>3</v>
      </c>
      <c r="AV62">
        <v>0</v>
      </c>
      <c r="AW62">
        <v>2</v>
      </c>
      <c r="AX62">
        <v>53362680</v>
      </c>
      <c r="AY62">
        <v>1</v>
      </c>
      <c r="AZ62">
        <v>0</v>
      </c>
      <c r="BA62">
        <v>58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CV62">
        <v>0</v>
      </c>
      <c r="CW62">
        <v>0</v>
      </c>
      <c r="CX62">
        <f>ROUND(Y62*Source!I47,7)</f>
        <v>4.0500000000000001E-2</v>
      </c>
      <c r="CY62">
        <f t="shared" ref="CY62:CY70" si="39">AA62</f>
        <v>21.45</v>
      </c>
      <c r="CZ62">
        <f t="shared" ref="CZ62:CZ70" si="40">AE62</f>
        <v>2.44</v>
      </c>
      <c r="DA62">
        <f t="shared" ref="DA62:DA70" si="41">AI62</f>
        <v>8.7899999999999991</v>
      </c>
      <c r="DB62">
        <f t="shared" ref="DB62:DB70" si="42">ROUND(ROUND(AT62*CZ62,2),6)</f>
        <v>1.22</v>
      </c>
      <c r="DC62">
        <f t="shared" ref="DC62:DC70" si="43">ROUND(ROUND(AT62*AG62,2),6)</f>
        <v>0</v>
      </c>
      <c r="DD62" t="s">
        <v>3</v>
      </c>
      <c r="DE62" t="s">
        <v>3</v>
      </c>
      <c r="DF62">
        <f t="shared" ref="DF62:DF70" si="44">ROUND(ROUND(AE62*AI62,2)*CX62,2)</f>
        <v>0.87</v>
      </c>
      <c r="DG62">
        <f t="shared" ref="DG62:DG72" si="45">ROUND(ROUND(AF62,2)*CX62,2)</f>
        <v>0</v>
      </c>
      <c r="DH62">
        <f t="shared" ref="DH62:DH71" si="46">ROUND(ROUND(AG62,2)*CX62,2)</f>
        <v>0</v>
      </c>
      <c r="DI62">
        <f t="shared" si="37"/>
        <v>0</v>
      </c>
      <c r="DJ62">
        <f t="shared" ref="DJ62:DJ70" si="47">DF62</f>
        <v>0.87</v>
      </c>
      <c r="DK62">
        <v>0</v>
      </c>
      <c r="DL62" t="s">
        <v>3</v>
      </c>
      <c r="DM62">
        <v>0</v>
      </c>
      <c r="DN62" t="s">
        <v>3</v>
      </c>
      <c r="DO62">
        <v>0</v>
      </c>
    </row>
    <row r="63" spans="1:119" x14ac:dyDescent="0.2">
      <c r="A63">
        <f>ROW(Source!A47)</f>
        <v>47</v>
      </c>
      <c r="B63">
        <v>53360025</v>
      </c>
      <c r="C63">
        <v>53362662</v>
      </c>
      <c r="D63">
        <v>1090952063</v>
      </c>
      <c r="E63">
        <v>1</v>
      </c>
      <c r="F63">
        <v>1</v>
      </c>
      <c r="G63">
        <v>1</v>
      </c>
      <c r="H63">
        <v>3</v>
      </c>
      <c r="I63" t="s">
        <v>406</v>
      </c>
      <c r="J63" t="s">
        <v>407</v>
      </c>
      <c r="K63" t="s">
        <v>408</v>
      </c>
      <c r="L63">
        <v>1346</v>
      </c>
      <c r="N63">
        <v>1009</v>
      </c>
      <c r="O63" t="s">
        <v>110</v>
      </c>
      <c r="P63" t="s">
        <v>110</v>
      </c>
      <c r="Q63">
        <v>1</v>
      </c>
      <c r="W63">
        <v>0</v>
      </c>
      <c r="X63">
        <v>1052716416</v>
      </c>
      <c r="Y63">
        <f t="shared" si="38"/>
        <v>0.5</v>
      </c>
      <c r="AA63">
        <v>16</v>
      </c>
      <c r="AB63">
        <v>0</v>
      </c>
      <c r="AC63">
        <v>0</v>
      </c>
      <c r="AD63">
        <v>0</v>
      </c>
      <c r="AE63">
        <v>1.82</v>
      </c>
      <c r="AF63">
        <v>0</v>
      </c>
      <c r="AG63">
        <v>0</v>
      </c>
      <c r="AH63">
        <v>0</v>
      </c>
      <c r="AI63">
        <v>8.7899999999999991</v>
      </c>
      <c r="AJ63">
        <v>1</v>
      </c>
      <c r="AK63">
        <v>1</v>
      </c>
      <c r="AL63">
        <v>1</v>
      </c>
      <c r="AM63">
        <v>4</v>
      </c>
      <c r="AN63">
        <v>0</v>
      </c>
      <c r="AO63">
        <v>1</v>
      </c>
      <c r="AP63">
        <v>0</v>
      </c>
      <c r="AQ63">
        <v>0</v>
      </c>
      <c r="AR63">
        <v>0</v>
      </c>
      <c r="AS63" t="s">
        <v>3</v>
      </c>
      <c r="AT63">
        <v>0.5</v>
      </c>
      <c r="AU63" t="s">
        <v>3</v>
      </c>
      <c r="AV63">
        <v>0</v>
      </c>
      <c r="AW63">
        <v>2</v>
      </c>
      <c r="AX63">
        <v>53362681</v>
      </c>
      <c r="AY63">
        <v>1</v>
      </c>
      <c r="AZ63">
        <v>0</v>
      </c>
      <c r="BA63">
        <v>59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CV63">
        <v>0</v>
      </c>
      <c r="CW63">
        <v>0</v>
      </c>
      <c r="CX63">
        <f>ROUND(Y63*Source!I47,7)</f>
        <v>4.0500000000000001E-2</v>
      </c>
      <c r="CY63">
        <f t="shared" si="39"/>
        <v>16</v>
      </c>
      <c r="CZ63">
        <f t="shared" si="40"/>
        <v>1.82</v>
      </c>
      <c r="DA63">
        <f t="shared" si="41"/>
        <v>8.7899999999999991</v>
      </c>
      <c r="DB63">
        <f t="shared" si="42"/>
        <v>0.91</v>
      </c>
      <c r="DC63">
        <f t="shared" si="43"/>
        <v>0</v>
      </c>
      <c r="DD63" t="s">
        <v>3</v>
      </c>
      <c r="DE63" t="s">
        <v>3</v>
      </c>
      <c r="DF63">
        <f t="shared" si="44"/>
        <v>0.65</v>
      </c>
      <c r="DG63">
        <f t="shared" si="45"/>
        <v>0</v>
      </c>
      <c r="DH63">
        <f t="shared" si="46"/>
        <v>0</v>
      </c>
      <c r="DI63">
        <f t="shared" si="37"/>
        <v>0</v>
      </c>
      <c r="DJ63">
        <f t="shared" si="47"/>
        <v>0.65</v>
      </c>
      <c r="DK63">
        <v>0</v>
      </c>
      <c r="DL63" t="s">
        <v>3</v>
      </c>
      <c r="DM63">
        <v>0</v>
      </c>
      <c r="DN63" t="s">
        <v>3</v>
      </c>
      <c r="DO63">
        <v>0</v>
      </c>
    </row>
    <row r="64" spans="1:119" x14ac:dyDescent="0.2">
      <c r="A64">
        <f>ROW(Source!A47)</f>
        <v>47</v>
      </c>
      <c r="B64">
        <v>53360025</v>
      </c>
      <c r="C64">
        <v>53362662</v>
      </c>
      <c r="D64">
        <v>1090953152</v>
      </c>
      <c r="E64">
        <v>1</v>
      </c>
      <c r="F64">
        <v>1</v>
      </c>
      <c r="G64">
        <v>1</v>
      </c>
      <c r="H64">
        <v>3</v>
      </c>
      <c r="I64" t="s">
        <v>143</v>
      </c>
      <c r="J64" t="s">
        <v>145</v>
      </c>
      <c r="K64" t="s">
        <v>144</v>
      </c>
      <c r="L64">
        <v>1348</v>
      </c>
      <c r="N64">
        <v>1009</v>
      </c>
      <c r="O64" t="s">
        <v>32</v>
      </c>
      <c r="P64" t="s">
        <v>32</v>
      </c>
      <c r="Q64">
        <v>1000</v>
      </c>
      <c r="W64">
        <v>0</v>
      </c>
      <c r="X64">
        <v>-1326156508</v>
      </c>
      <c r="Y64">
        <f t="shared" si="38"/>
        <v>0.04</v>
      </c>
      <c r="AA64">
        <v>3621.48</v>
      </c>
      <c r="AB64">
        <v>0</v>
      </c>
      <c r="AC64">
        <v>0</v>
      </c>
      <c r="AD64">
        <v>0</v>
      </c>
      <c r="AE64">
        <v>412</v>
      </c>
      <c r="AF64">
        <v>0</v>
      </c>
      <c r="AG64">
        <v>0</v>
      </c>
      <c r="AH64">
        <v>0</v>
      </c>
      <c r="AI64">
        <v>8.7899999999999991</v>
      </c>
      <c r="AJ64">
        <v>1</v>
      </c>
      <c r="AK64">
        <v>1</v>
      </c>
      <c r="AL64">
        <v>1</v>
      </c>
      <c r="AM64">
        <v>4</v>
      </c>
      <c r="AN64">
        <v>0</v>
      </c>
      <c r="AO64">
        <v>1</v>
      </c>
      <c r="AP64">
        <v>0</v>
      </c>
      <c r="AQ64">
        <v>0</v>
      </c>
      <c r="AR64">
        <v>0</v>
      </c>
      <c r="AS64" t="s">
        <v>3</v>
      </c>
      <c r="AT64">
        <v>0.04</v>
      </c>
      <c r="AU64" t="s">
        <v>3</v>
      </c>
      <c r="AV64">
        <v>0</v>
      </c>
      <c r="AW64">
        <v>2</v>
      </c>
      <c r="AX64">
        <v>53362682</v>
      </c>
      <c r="AY64">
        <v>1</v>
      </c>
      <c r="AZ64">
        <v>0</v>
      </c>
      <c r="BA64">
        <v>60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CV64">
        <v>0</v>
      </c>
      <c r="CW64">
        <v>0</v>
      </c>
      <c r="CX64">
        <f>ROUND(Y64*Source!I47,7)</f>
        <v>3.2399999999999998E-3</v>
      </c>
      <c r="CY64">
        <f t="shared" si="39"/>
        <v>3621.48</v>
      </c>
      <c r="CZ64">
        <f t="shared" si="40"/>
        <v>412</v>
      </c>
      <c r="DA64">
        <f t="shared" si="41"/>
        <v>8.7899999999999991</v>
      </c>
      <c r="DB64">
        <f t="shared" si="42"/>
        <v>16.48</v>
      </c>
      <c r="DC64">
        <f t="shared" si="43"/>
        <v>0</v>
      </c>
      <c r="DD64" t="s">
        <v>3</v>
      </c>
      <c r="DE64" t="s">
        <v>3</v>
      </c>
      <c r="DF64">
        <f t="shared" si="44"/>
        <v>11.73</v>
      </c>
      <c r="DG64">
        <f t="shared" si="45"/>
        <v>0</v>
      </c>
      <c r="DH64">
        <f t="shared" si="46"/>
        <v>0</v>
      </c>
      <c r="DI64">
        <f t="shared" si="37"/>
        <v>0</v>
      </c>
      <c r="DJ64">
        <f t="shared" si="47"/>
        <v>11.73</v>
      </c>
      <c r="DK64">
        <v>0</v>
      </c>
      <c r="DL64" t="s">
        <v>3</v>
      </c>
      <c r="DM64">
        <v>0</v>
      </c>
      <c r="DN64" t="s">
        <v>3</v>
      </c>
      <c r="DO64">
        <v>0</v>
      </c>
    </row>
    <row r="65" spans="1:119" x14ac:dyDescent="0.2">
      <c r="A65">
        <f>ROW(Source!A47)</f>
        <v>47</v>
      </c>
      <c r="B65">
        <v>53360025</v>
      </c>
      <c r="C65">
        <v>53362662</v>
      </c>
      <c r="D65">
        <v>1090953152</v>
      </c>
      <c r="E65">
        <v>1</v>
      </c>
      <c r="F65">
        <v>1</v>
      </c>
      <c r="G65">
        <v>1</v>
      </c>
      <c r="H65">
        <v>3</v>
      </c>
      <c r="I65" t="s">
        <v>143</v>
      </c>
      <c r="J65" t="s">
        <v>145</v>
      </c>
      <c r="K65" t="s">
        <v>144</v>
      </c>
      <c r="L65">
        <v>1348</v>
      </c>
      <c r="N65">
        <v>1009</v>
      </c>
      <c r="O65" t="s">
        <v>32</v>
      </c>
      <c r="P65" t="s">
        <v>32</v>
      </c>
      <c r="Q65">
        <v>1000</v>
      </c>
      <c r="W65">
        <v>0</v>
      </c>
      <c r="X65">
        <v>-1326156508</v>
      </c>
      <c r="Y65">
        <f t="shared" si="38"/>
        <v>0</v>
      </c>
      <c r="AA65">
        <v>3621.48</v>
      </c>
      <c r="AB65">
        <v>0</v>
      </c>
      <c r="AC65">
        <v>0</v>
      </c>
      <c r="AD65">
        <v>0</v>
      </c>
      <c r="AE65">
        <v>412</v>
      </c>
      <c r="AF65">
        <v>0</v>
      </c>
      <c r="AG65">
        <v>0</v>
      </c>
      <c r="AH65">
        <v>0</v>
      </c>
      <c r="AI65">
        <v>8.7899999999999991</v>
      </c>
      <c r="AJ65">
        <v>1</v>
      </c>
      <c r="AK65">
        <v>1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 t="s">
        <v>3</v>
      </c>
      <c r="AT65">
        <v>0</v>
      </c>
      <c r="AU65" t="s">
        <v>3</v>
      </c>
      <c r="AV65">
        <v>0</v>
      </c>
      <c r="AW65">
        <v>1</v>
      </c>
      <c r="AX65">
        <v>-1</v>
      </c>
      <c r="AY65">
        <v>0</v>
      </c>
      <c r="AZ65">
        <v>0</v>
      </c>
      <c r="BA65" t="s">
        <v>3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CV65">
        <v>0</v>
      </c>
      <c r="CW65">
        <v>0</v>
      </c>
      <c r="CX65">
        <f>ROUND(Y65*Source!I47,7)</f>
        <v>0</v>
      </c>
      <c r="CY65">
        <f t="shared" si="39"/>
        <v>3621.48</v>
      </c>
      <c r="CZ65">
        <f t="shared" si="40"/>
        <v>412</v>
      </c>
      <c r="DA65">
        <f t="shared" si="41"/>
        <v>8.7899999999999991</v>
      </c>
      <c r="DB65">
        <f t="shared" si="42"/>
        <v>0</v>
      </c>
      <c r="DC65">
        <f t="shared" si="43"/>
        <v>0</v>
      </c>
      <c r="DD65" t="s">
        <v>3</v>
      </c>
      <c r="DE65" t="s">
        <v>3</v>
      </c>
      <c r="DF65">
        <f t="shared" si="44"/>
        <v>0</v>
      </c>
      <c r="DG65">
        <f t="shared" si="45"/>
        <v>0</v>
      </c>
      <c r="DH65">
        <f t="shared" si="46"/>
        <v>0</v>
      </c>
      <c r="DI65">
        <f t="shared" si="37"/>
        <v>0</v>
      </c>
      <c r="DJ65">
        <f t="shared" si="47"/>
        <v>0</v>
      </c>
      <c r="DK65">
        <v>0</v>
      </c>
      <c r="DL65" t="s">
        <v>3</v>
      </c>
      <c r="DM65">
        <v>0</v>
      </c>
      <c r="DN65" t="s">
        <v>3</v>
      </c>
      <c r="DO65">
        <v>0</v>
      </c>
    </row>
    <row r="66" spans="1:119" x14ac:dyDescent="0.2">
      <c r="A66">
        <f>ROW(Source!A47)</f>
        <v>47</v>
      </c>
      <c r="B66">
        <v>53360025</v>
      </c>
      <c r="C66">
        <v>53362662</v>
      </c>
      <c r="D66">
        <v>1090953918</v>
      </c>
      <c r="E66">
        <v>1</v>
      </c>
      <c r="F66">
        <v>1</v>
      </c>
      <c r="G66">
        <v>1</v>
      </c>
      <c r="H66">
        <v>3</v>
      </c>
      <c r="I66" t="s">
        <v>139</v>
      </c>
      <c r="J66" t="s">
        <v>141</v>
      </c>
      <c r="K66" t="s">
        <v>140</v>
      </c>
      <c r="L66">
        <v>1339</v>
      </c>
      <c r="N66">
        <v>1007</v>
      </c>
      <c r="O66" t="s">
        <v>89</v>
      </c>
      <c r="P66" t="s">
        <v>89</v>
      </c>
      <c r="Q66">
        <v>1</v>
      </c>
      <c r="W66">
        <v>0</v>
      </c>
      <c r="X66">
        <v>940109158</v>
      </c>
      <c r="Y66">
        <f t="shared" si="38"/>
        <v>2</v>
      </c>
      <c r="AA66">
        <v>4368.63</v>
      </c>
      <c r="AB66">
        <v>0</v>
      </c>
      <c r="AC66">
        <v>0</v>
      </c>
      <c r="AD66">
        <v>0</v>
      </c>
      <c r="AE66">
        <v>497</v>
      </c>
      <c r="AF66">
        <v>0</v>
      </c>
      <c r="AG66">
        <v>0</v>
      </c>
      <c r="AH66">
        <v>0</v>
      </c>
      <c r="AI66">
        <v>8.7899999999999991</v>
      </c>
      <c r="AJ66">
        <v>1</v>
      </c>
      <c r="AK66">
        <v>1</v>
      </c>
      <c r="AL66">
        <v>1</v>
      </c>
      <c r="AM66">
        <v>4</v>
      </c>
      <c r="AN66">
        <v>0</v>
      </c>
      <c r="AO66">
        <v>1</v>
      </c>
      <c r="AP66">
        <v>0</v>
      </c>
      <c r="AQ66">
        <v>0</v>
      </c>
      <c r="AR66">
        <v>0</v>
      </c>
      <c r="AS66" t="s">
        <v>3</v>
      </c>
      <c r="AT66">
        <v>2</v>
      </c>
      <c r="AU66" t="s">
        <v>3</v>
      </c>
      <c r="AV66">
        <v>0</v>
      </c>
      <c r="AW66">
        <v>2</v>
      </c>
      <c r="AX66">
        <v>53362683</v>
      </c>
      <c r="AY66">
        <v>1</v>
      </c>
      <c r="AZ66">
        <v>0</v>
      </c>
      <c r="BA66">
        <v>61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CV66">
        <v>0</v>
      </c>
      <c r="CW66">
        <v>0</v>
      </c>
      <c r="CX66">
        <f>ROUND(Y66*Source!I47,7)</f>
        <v>0.16200000000000001</v>
      </c>
      <c r="CY66">
        <f t="shared" si="39"/>
        <v>4368.63</v>
      </c>
      <c r="CZ66">
        <f t="shared" si="40"/>
        <v>497</v>
      </c>
      <c r="DA66">
        <f t="shared" si="41"/>
        <v>8.7899999999999991</v>
      </c>
      <c r="DB66">
        <f t="shared" si="42"/>
        <v>994</v>
      </c>
      <c r="DC66">
        <f t="shared" si="43"/>
        <v>0</v>
      </c>
      <c r="DD66" t="s">
        <v>3</v>
      </c>
      <c r="DE66" t="s">
        <v>3</v>
      </c>
      <c r="DF66">
        <f t="shared" si="44"/>
        <v>707.72</v>
      </c>
      <c r="DG66">
        <f t="shared" si="45"/>
        <v>0</v>
      </c>
      <c r="DH66">
        <f t="shared" si="46"/>
        <v>0</v>
      </c>
      <c r="DI66">
        <f t="shared" si="37"/>
        <v>0</v>
      </c>
      <c r="DJ66">
        <f t="shared" si="47"/>
        <v>707.72</v>
      </c>
      <c r="DK66">
        <v>0</v>
      </c>
      <c r="DL66" t="s">
        <v>3</v>
      </c>
      <c r="DM66">
        <v>0</v>
      </c>
      <c r="DN66" t="s">
        <v>3</v>
      </c>
      <c r="DO66">
        <v>0</v>
      </c>
    </row>
    <row r="67" spans="1:119" x14ac:dyDescent="0.2">
      <c r="A67">
        <f>ROW(Source!A47)</f>
        <v>47</v>
      </c>
      <c r="B67">
        <v>53360025</v>
      </c>
      <c r="C67">
        <v>53362662</v>
      </c>
      <c r="D67">
        <v>1090953918</v>
      </c>
      <c r="E67">
        <v>1</v>
      </c>
      <c r="F67">
        <v>1</v>
      </c>
      <c r="G67">
        <v>1</v>
      </c>
      <c r="H67">
        <v>3</v>
      </c>
      <c r="I67" t="s">
        <v>139</v>
      </c>
      <c r="J67" t="s">
        <v>141</v>
      </c>
      <c r="K67" t="s">
        <v>140</v>
      </c>
      <c r="L67">
        <v>1339</v>
      </c>
      <c r="N67">
        <v>1007</v>
      </c>
      <c r="O67" t="s">
        <v>89</v>
      </c>
      <c r="P67" t="s">
        <v>89</v>
      </c>
      <c r="Q67">
        <v>1</v>
      </c>
      <c r="W67">
        <v>0</v>
      </c>
      <c r="X67">
        <v>940109158</v>
      </c>
      <c r="Y67">
        <f t="shared" si="38"/>
        <v>0</v>
      </c>
      <c r="AA67">
        <v>4368.63</v>
      </c>
      <c r="AB67">
        <v>0</v>
      </c>
      <c r="AC67">
        <v>0</v>
      </c>
      <c r="AD67">
        <v>0</v>
      </c>
      <c r="AE67">
        <v>497</v>
      </c>
      <c r="AF67">
        <v>0</v>
      </c>
      <c r="AG67">
        <v>0</v>
      </c>
      <c r="AH67">
        <v>0</v>
      </c>
      <c r="AI67">
        <v>8.7899999999999991</v>
      </c>
      <c r="AJ67">
        <v>1</v>
      </c>
      <c r="AK67">
        <v>1</v>
      </c>
      <c r="AL67">
        <v>1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 t="s">
        <v>3</v>
      </c>
      <c r="AT67">
        <v>0</v>
      </c>
      <c r="AU67" t="s">
        <v>3</v>
      </c>
      <c r="AV67">
        <v>0</v>
      </c>
      <c r="AW67">
        <v>1</v>
      </c>
      <c r="AX67">
        <v>-1</v>
      </c>
      <c r="AY67">
        <v>0</v>
      </c>
      <c r="AZ67">
        <v>0</v>
      </c>
      <c r="BA67" t="s">
        <v>3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CV67">
        <v>0</v>
      </c>
      <c r="CW67">
        <v>0</v>
      </c>
      <c r="CX67">
        <f>ROUND(Y67*Source!I47,7)</f>
        <v>0</v>
      </c>
      <c r="CY67">
        <f t="shared" si="39"/>
        <v>4368.63</v>
      </c>
      <c r="CZ67">
        <f t="shared" si="40"/>
        <v>497</v>
      </c>
      <c r="DA67">
        <f t="shared" si="41"/>
        <v>8.7899999999999991</v>
      </c>
      <c r="DB67">
        <f t="shared" si="42"/>
        <v>0</v>
      </c>
      <c r="DC67">
        <f t="shared" si="43"/>
        <v>0</v>
      </c>
      <c r="DD67" t="s">
        <v>3</v>
      </c>
      <c r="DE67" t="s">
        <v>3</v>
      </c>
      <c r="DF67">
        <f t="shared" si="44"/>
        <v>0</v>
      </c>
      <c r="DG67">
        <f t="shared" si="45"/>
        <v>0</v>
      </c>
      <c r="DH67">
        <f t="shared" si="46"/>
        <v>0</v>
      </c>
      <c r="DI67">
        <f t="shared" si="37"/>
        <v>0</v>
      </c>
      <c r="DJ67">
        <f t="shared" si="47"/>
        <v>0</v>
      </c>
      <c r="DK67">
        <v>0</v>
      </c>
      <c r="DL67" t="s">
        <v>3</v>
      </c>
      <c r="DM67">
        <v>0</v>
      </c>
      <c r="DN67" t="s">
        <v>3</v>
      </c>
      <c r="DO67">
        <v>0</v>
      </c>
    </row>
    <row r="68" spans="1:119" x14ac:dyDescent="0.2">
      <c r="A68">
        <f>ROW(Source!A47)</f>
        <v>47</v>
      </c>
      <c r="B68">
        <v>53360025</v>
      </c>
      <c r="C68">
        <v>53362662</v>
      </c>
      <c r="D68">
        <v>1090930340</v>
      </c>
      <c r="E68">
        <v>1</v>
      </c>
      <c r="F68">
        <v>1</v>
      </c>
      <c r="G68">
        <v>1</v>
      </c>
      <c r="H68">
        <v>3</v>
      </c>
      <c r="I68" t="s">
        <v>136</v>
      </c>
      <c r="J68" t="s">
        <v>3</v>
      </c>
      <c r="K68" t="s">
        <v>137</v>
      </c>
      <c r="L68">
        <v>1327</v>
      </c>
      <c r="N68">
        <v>1005</v>
      </c>
      <c r="O68" t="s">
        <v>101</v>
      </c>
      <c r="P68" t="s">
        <v>101</v>
      </c>
      <c r="Q68">
        <v>1</v>
      </c>
      <c r="W68">
        <v>0</v>
      </c>
      <c r="X68">
        <v>-1894982187</v>
      </c>
      <c r="Y68">
        <f t="shared" si="38"/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8.7899999999999991</v>
      </c>
      <c r="AJ68">
        <v>1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 t="s">
        <v>3</v>
      </c>
      <c r="AT68">
        <v>0</v>
      </c>
      <c r="AU68" t="s">
        <v>3</v>
      </c>
      <c r="AV68">
        <v>0</v>
      </c>
      <c r="AW68">
        <v>2</v>
      </c>
      <c r="AX68">
        <v>53362684</v>
      </c>
      <c r="AY68">
        <v>1</v>
      </c>
      <c r="AZ68">
        <v>6144</v>
      </c>
      <c r="BA68">
        <v>62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CV68">
        <v>0</v>
      </c>
      <c r="CW68">
        <v>0</v>
      </c>
      <c r="CX68">
        <f>ROUND(Y68*Source!I47,7)</f>
        <v>0</v>
      </c>
      <c r="CY68">
        <f t="shared" si="39"/>
        <v>0</v>
      </c>
      <c r="CZ68">
        <f t="shared" si="40"/>
        <v>0</v>
      </c>
      <c r="DA68">
        <f t="shared" si="41"/>
        <v>8.7899999999999991</v>
      </c>
      <c r="DB68">
        <f t="shared" si="42"/>
        <v>0</v>
      </c>
      <c r="DC68">
        <f t="shared" si="43"/>
        <v>0</v>
      </c>
      <c r="DD68" t="s">
        <v>3</v>
      </c>
      <c r="DE68" t="s">
        <v>3</v>
      </c>
      <c r="DF68">
        <f t="shared" si="44"/>
        <v>0</v>
      </c>
      <c r="DG68">
        <f t="shared" si="45"/>
        <v>0</v>
      </c>
      <c r="DH68">
        <f t="shared" si="46"/>
        <v>0</v>
      </c>
      <c r="DI68">
        <f t="shared" si="37"/>
        <v>0</v>
      </c>
      <c r="DJ68">
        <f t="shared" si="47"/>
        <v>0</v>
      </c>
      <c r="DK68">
        <v>0</v>
      </c>
      <c r="DL68" t="s">
        <v>3</v>
      </c>
      <c r="DM68">
        <v>0</v>
      </c>
      <c r="DN68" t="s">
        <v>3</v>
      </c>
      <c r="DO68">
        <v>0</v>
      </c>
    </row>
    <row r="69" spans="1:119" x14ac:dyDescent="0.2">
      <c r="A69">
        <f>ROW(Source!A47)</f>
        <v>47</v>
      </c>
      <c r="B69">
        <v>53360025</v>
      </c>
      <c r="C69">
        <v>53362662</v>
      </c>
      <c r="D69">
        <v>1090969611</v>
      </c>
      <c r="E69">
        <v>1</v>
      </c>
      <c r="F69">
        <v>1</v>
      </c>
      <c r="G69">
        <v>1</v>
      </c>
      <c r="H69">
        <v>3</v>
      </c>
      <c r="I69" t="s">
        <v>113</v>
      </c>
      <c r="J69" t="s">
        <v>115</v>
      </c>
      <c r="K69" t="s">
        <v>114</v>
      </c>
      <c r="L69">
        <v>1327</v>
      </c>
      <c r="N69">
        <v>1005</v>
      </c>
      <c r="O69" t="s">
        <v>101</v>
      </c>
      <c r="P69" t="s">
        <v>101</v>
      </c>
      <c r="Q69">
        <v>1</v>
      </c>
      <c r="W69">
        <v>0</v>
      </c>
      <c r="X69">
        <v>-773684841</v>
      </c>
      <c r="Y69">
        <f t="shared" si="38"/>
        <v>100</v>
      </c>
      <c r="AA69">
        <v>420.43</v>
      </c>
      <c r="AB69">
        <v>0</v>
      </c>
      <c r="AC69">
        <v>0</v>
      </c>
      <c r="AD69">
        <v>0</v>
      </c>
      <c r="AE69">
        <v>47.83</v>
      </c>
      <c r="AF69">
        <v>0</v>
      </c>
      <c r="AG69">
        <v>0</v>
      </c>
      <c r="AH69">
        <v>0</v>
      </c>
      <c r="AI69">
        <v>8.7899999999999991</v>
      </c>
      <c r="AJ69">
        <v>1</v>
      </c>
      <c r="AK69">
        <v>1</v>
      </c>
      <c r="AL69">
        <v>1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 t="s">
        <v>3</v>
      </c>
      <c r="AT69">
        <v>100</v>
      </c>
      <c r="AU69" t="s">
        <v>3</v>
      </c>
      <c r="AV69">
        <v>0</v>
      </c>
      <c r="AW69">
        <v>1</v>
      </c>
      <c r="AX69">
        <v>-1</v>
      </c>
      <c r="AY69">
        <v>0</v>
      </c>
      <c r="AZ69">
        <v>0</v>
      </c>
      <c r="BA69" t="s">
        <v>3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CV69">
        <v>0</v>
      </c>
      <c r="CW69">
        <v>0</v>
      </c>
      <c r="CX69">
        <f>ROUND(Y69*Source!I47,7)</f>
        <v>8.1</v>
      </c>
      <c r="CY69">
        <f t="shared" si="39"/>
        <v>420.43</v>
      </c>
      <c r="CZ69">
        <f t="shared" si="40"/>
        <v>47.83</v>
      </c>
      <c r="DA69">
        <f t="shared" si="41"/>
        <v>8.7899999999999991</v>
      </c>
      <c r="DB69">
        <f t="shared" si="42"/>
        <v>4783</v>
      </c>
      <c r="DC69">
        <f t="shared" si="43"/>
        <v>0</v>
      </c>
      <c r="DD69" t="s">
        <v>3</v>
      </c>
      <c r="DE69" t="s">
        <v>3</v>
      </c>
      <c r="DF69">
        <f t="shared" si="44"/>
        <v>3405.48</v>
      </c>
      <c r="DG69">
        <f t="shared" si="45"/>
        <v>0</v>
      </c>
      <c r="DH69">
        <f t="shared" si="46"/>
        <v>0</v>
      </c>
      <c r="DI69">
        <f t="shared" si="37"/>
        <v>0</v>
      </c>
      <c r="DJ69">
        <f t="shared" si="47"/>
        <v>3405.48</v>
      </c>
      <c r="DK69">
        <v>0</v>
      </c>
      <c r="DL69" t="s">
        <v>3</v>
      </c>
      <c r="DM69">
        <v>0</v>
      </c>
      <c r="DN69" t="s">
        <v>3</v>
      </c>
      <c r="DO69">
        <v>0</v>
      </c>
    </row>
    <row r="70" spans="1:119" x14ac:dyDescent="0.2">
      <c r="A70">
        <f>ROW(Source!A47)</f>
        <v>47</v>
      </c>
      <c r="B70">
        <v>53360025</v>
      </c>
      <c r="C70">
        <v>53362662</v>
      </c>
      <c r="D70">
        <v>1090990550</v>
      </c>
      <c r="E70">
        <v>1</v>
      </c>
      <c r="F70">
        <v>1</v>
      </c>
      <c r="G70">
        <v>1</v>
      </c>
      <c r="H70">
        <v>3</v>
      </c>
      <c r="I70" t="s">
        <v>108</v>
      </c>
      <c r="J70" t="s">
        <v>111</v>
      </c>
      <c r="K70" t="s">
        <v>109</v>
      </c>
      <c r="L70">
        <v>1346</v>
      </c>
      <c r="N70">
        <v>1009</v>
      </c>
      <c r="O70" t="s">
        <v>110</v>
      </c>
      <c r="P70" t="s">
        <v>110</v>
      </c>
      <c r="Q70">
        <v>1</v>
      </c>
      <c r="W70">
        <v>0</v>
      </c>
      <c r="X70">
        <v>272805291</v>
      </c>
      <c r="Y70">
        <f t="shared" si="38"/>
        <v>0</v>
      </c>
      <c r="AA70">
        <v>43.33</v>
      </c>
      <c r="AB70">
        <v>0</v>
      </c>
      <c r="AC70">
        <v>0</v>
      </c>
      <c r="AD70">
        <v>0</v>
      </c>
      <c r="AE70">
        <v>4.93</v>
      </c>
      <c r="AF70">
        <v>0</v>
      </c>
      <c r="AG70">
        <v>0</v>
      </c>
      <c r="AH70">
        <v>0</v>
      </c>
      <c r="AI70">
        <v>8.7899999999999991</v>
      </c>
      <c r="AJ70">
        <v>1</v>
      </c>
      <c r="AK70">
        <v>1</v>
      </c>
      <c r="AL70">
        <v>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 t="s">
        <v>3</v>
      </c>
      <c r="AT70">
        <v>0</v>
      </c>
      <c r="AU70" t="s">
        <v>3</v>
      </c>
      <c r="AV70">
        <v>0</v>
      </c>
      <c r="AW70">
        <v>1</v>
      </c>
      <c r="AX70">
        <v>-1</v>
      </c>
      <c r="AY70">
        <v>0</v>
      </c>
      <c r="AZ70">
        <v>0</v>
      </c>
      <c r="BA70" t="s">
        <v>3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CV70">
        <v>0</v>
      </c>
      <c r="CW70">
        <v>0</v>
      </c>
      <c r="CX70">
        <f>ROUND(Y70*Source!I47,7)</f>
        <v>0</v>
      </c>
      <c r="CY70">
        <f t="shared" si="39"/>
        <v>43.33</v>
      </c>
      <c r="CZ70">
        <f t="shared" si="40"/>
        <v>4.93</v>
      </c>
      <c r="DA70">
        <f t="shared" si="41"/>
        <v>8.7899999999999991</v>
      </c>
      <c r="DB70">
        <f t="shared" si="42"/>
        <v>0</v>
      </c>
      <c r="DC70">
        <f t="shared" si="43"/>
        <v>0</v>
      </c>
      <c r="DD70" t="s">
        <v>3</v>
      </c>
      <c r="DE70" t="s">
        <v>3</v>
      </c>
      <c r="DF70">
        <f t="shared" si="44"/>
        <v>0</v>
      </c>
      <c r="DG70">
        <f t="shared" si="45"/>
        <v>0</v>
      </c>
      <c r="DH70">
        <f t="shared" si="46"/>
        <v>0</v>
      </c>
      <c r="DI70">
        <f t="shared" si="37"/>
        <v>0</v>
      </c>
      <c r="DJ70">
        <f t="shared" si="47"/>
        <v>0</v>
      </c>
      <c r="DK70">
        <v>0</v>
      </c>
      <c r="DL70" t="s">
        <v>3</v>
      </c>
      <c r="DM70">
        <v>0</v>
      </c>
      <c r="DN70" t="s">
        <v>3</v>
      </c>
      <c r="DO70">
        <v>0</v>
      </c>
    </row>
    <row r="71" spans="1:119" x14ac:dyDescent="0.2">
      <c r="A71">
        <f>ROW(Source!A53)</f>
        <v>53</v>
      </c>
      <c r="B71">
        <v>53360025</v>
      </c>
      <c r="C71">
        <v>53362690</v>
      </c>
      <c r="D71">
        <v>37070164</v>
      </c>
      <c r="E71">
        <v>70</v>
      </c>
      <c r="F71">
        <v>1</v>
      </c>
      <c r="G71">
        <v>1</v>
      </c>
      <c r="H71">
        <v>1</v>
      </c>
      <c r="I71" t="s">
        <v>420</v>
      </c>
      <c r="J71" t="s">
        <v>3</v>
      </c>
      <c r="K71" t="s">
        <v>421</v>
      </c>
      <c r="L71">
        <v>1191</v>
      </c>
      <c r="N71">
        <v>1013</v>
      </c>
      <c r="O71" t="s">
        <v>324</v>
      </c>
      <c r="P71" t="s">
        <v>324</v>
      </c>
      <c r="Q71">
        <v>1</v>
      </c>
      <c r="W71">
        <v>0</v>
      </c>
      <c r="X71">
        <v>-881424154</v>
      </c>
      <c r="Y71">
        <f>(AT71*ROUND(1.15,7))</f>
        <v>14.512999999999998</v>
      </c>
      <c r="AA71">
        <v>0</v>
      </c>
      <c r="AB71">
        <v>0</v>
      </c>
      <c r="AC71">
        <v>0</v>
      </c>
      <c r="AD71">
        <v>365.38</v>
      </c>
      <c r="AE71">
        <v>0</v>
      </c>
      <c r="AF71">
        <v>0</v>
      </c>
      <c r="AG71">
        <v>0</v>
      </c>
      <c r="AH71">
        <v>9.2899999999999991</v>
      </c>
      <c r="AI71">
        <v>1</v>
      </c>
      <c r="AJ71">
        <v>1</v>
      </c>
      <c r="AK71">
        <v>1</v>
      </c>
      <c r="AL71">
        <v>39.33</v>
      </c>
      <c r="AM71">
        <v>4</v>
      </c>
      <c r="AN71">
        <v>0</v>
      </c>
      <c r="AO71">
        <v>1</v>
      </c>
      <c r="AP71">
        <v>1</v>
      </c>
      <c r="AQ71">
        <v>0</v>
      </c>
      <c r="AR71">
        <v>0</v>
      </c>
      <c r="AS71" t="s">
        <v>3</v>
      </c>
      <c r="AT71">
        <v>12.62</v>
      </c>
      <c r="AU71" t="s">
        <v>73</v>
      </c>
      <c r="AV71">
        <v>1</v>
      </c>
      <c r="AW71">
        <v>2</v>
      </c>
      <c r="AX71">
        <v>53362698</v>
      </c>
      <c r="AY71">
        <v>1</v>
      </c>
      <c r="AZ71">
        <v>0</v>
      </c>
      <c r="BA71">
        <v>63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CU71">
        <f>ROUND(AT71*Source!I53*AH71*AL71,2)</f>
        <v>1125.0899999999999</v>
      </c>
      <c r="CV71">
        <f>ROUND(Y71*Source!I53,7)</f>
        <v>3.541172</v>
      </c>
      <c r="CW71">
        <v>0</v>
      </c>
      <c r="CX71">
        <f>ROUND(Y71*Source!I53,7)</f>
        <v>3.541172</v>
      </c>
      <c r="CY71">
        <f>AD71</f>
        <v>365.38</v>
      </c>
      <c r="CZ71">
        <f>AH71</f>
        <v>9.2899999999999991</v>
      </c>
      <c r="DA71">
        <f>AL71</f>
        <v>39.33</v>
      </c>
      <c r="DB71">
        <f>ROUND((ROUND(AT71*CZ71,2)*ROUND(1.15,7)),6)</f>
        <v>134.82599999999999</v>
      </c>
      <c r="DC71">
        <f>ROUND((ROUND(AT71*AG71,2)*ROUND(1.15,7)),6)</f>
        <v>0</v>
      </c>
      <c r="DD71" t="s">
        <v>3</v>
      </c>
      <c r="DE71" t="s">
        <v>3</v>
      </c>
      <c r="DF71">
        <f>ROUND(ROUND(AE71,2)*CX71,2)</f>
        <v>0</v>
      </c>
      <c r="DG71">
        <f t="shared" si="45"/>
        <v>0</v>
      </c>
      <c r="DH71">
        <f t="shared" si="46"/>
        <v>0</v>
      </c>
      <c r="DI71">
        <f>ROUND(ROUND(AH71*AL71,2)*CX71,2)</f>
        <v>1293.8699999999999</v>
      </c>
      <c r="DJ71">
        <f>DI71</f>
        <v>1293.8699999999999</v>
      </c>
      <c r="DK71">
        <v>0</v>
      </c>
      <c r="DL71" t="s">
        <v>3</v>
      </c>
      <c r="DM71">
        <v>0</v>
      </c>
      <c r="DN71" t="s">
        <v>3</v>
      </c>
      <c r="DO71">
        <v>0</v>
      </c>
    </row>
    <row r="72" spans="1:119" x14ac:dyDescent="0.2">
      <c r="A72">
        <f>ROW(Source!A53)</f>
        <v>53</v>
      </c>
      <c r="B72">
        <v>53360025</v>
      </c>
      <c r="C72">
        <v>53362690</v>
      </c>
      <c r="D72">
        <v>37064876</v>
      </c>
      <c r="E72">
        <v>70</v>
      </c>
      <c r="F72">
        <v>1</v>
      </c>
      <c r="G72">
        <v>1</v>
      </c>
      <c r="H72">
        <v>1</v>
      </c>
      <c r="I72" t="s">
        <v>325</v>
      </c>
      <c r="J72" t="s">
        <v>3</v>
      </c>
      <c r="K72" t="s">
        <v>326</v>
      </c>
      <c r="L72">
        <v>1191</v>
      </c>
      <c r="N72">
        <v>1013</v>
      </c>
      <c r="O72" t="s">
        <v>324</v>
      </c>
      <c r="P72" t="s">
        <v>324</v>
      </c>
      <c r="Q72">
        <v>1</v>
      </c>
      <c r="W72">
        <v>0</v>
      </c>
      <c r="X72">
        <v>-1417349443</v>
      </c>
      <c r="Y72">
        <f>(AT72*ROUND(1.25,7))</f>
        <v>6.25E-2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1</v>
      </c>
      <c r="AJ72">
        <v>1</v>
      </c>
      <c r="AK72">
        <v>39.33</v>
      </c>
      <c r="AL72">
        <v>1</v>
      </c>
      <c r="AM72">
        <v>4</v>
      </c>
      <c r="AN72">
        <v>0</v>
      </c>
      <c r="AO72">
        <v>1</v>
      </c>
      <c r="AP72">
        <v>1</v>
      </c>
      <c r="AQ72">
        <v>0</v>
      </c>
      <c r="AR72">
        <v>0</v>
      </c>
      <c r="AS72" t="s">
        <v>3</v>
      </c>
      <c r="AT72">
        <v>0.05</v>
      </c>
      <c r="AU72" t="s">
        <v>72</v>
      </c>
      <c r="AV72">
        <v>2</v>
      </c>
      <c r="AW72">
        <v>2</v>
      </c>
      <c r="AX72">
        <v>53362699</v>
      </c>
      <c r="AY72">
        <v>1</v>
      </c>
      <c r="AZ72">
        <v>0</v>
      </c>
      <c r="BA72">
        <v>64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CV72">
        <v>0</v>
      </c>
      <c r="CW72">
        <v>0</v>
      </c>
      <c r="CX72">
        <f>ROUND(Y72*Source!I53,7)</f>
        <v>1.525E-2</v>
      </c>
      <c r="CY72">
        <f>AD72</f>
        <v>0</v>
      </c>
      <c r="CZ72">
        <f>AH72</f>
        <v>0</v>
      </c>
      <c r="DA72">
        <f>AL72</f>
        <v>1</v>
      </c>
      <c r="DB72">
        <f>ROUND((ROUND(AT72*CZ72,2)*ROUND(1.25,7)),6)</f>
        <v>0</v>
      </c>
      <c r="DC72">
        <f>ROUND((ROUND(AT72*AG72,2)*ROUND(1.25,7)),6)</f>
        <v>0</v>
      </c>
      <c r="DD72" t="s">
        <v>3</v>
      </c>
      <c r="DE72" t="s">
        <v>3</v>
      </c>
      <c r="DF72">
        <f>ROUND(ROUND(AE72,2)*CX72,2)</f>
        <v>0</v>
      </c>
      <c r="DG72">
        <f t="shared" si="45"/>
        <v>0</v>
      </c>
      <c r="DH72">
        <f>ROUND(ROUND(AG72*AK72,2)*CX72,2)</f>
        <v>0</v>
      </c>
      <c r="DI72">
        <f t="shared" ref="DI72:DI77" si="48">ROUND(ROUND(AH72,2)*CX72,2)</f>
        <v>0</v>
      </c>
      <c r="DJ72">
        <f>DI72</f>
        <v>0</v>
      </c>
      <c r="DK72">
        <v>0</v>
      </c>
      <c r="DL72" t="s">
        <v>3</v>
      </c>
      <c r="DM72">
        <v>0</v>
      </c>
      <c r="DN72" t="s">
        <v>3</v>
      </c>
      <c r="DO72">
        <v>0</v>
      </c>
    </row>
    <row r="73" spans="1:119" x14ac:dyDescent="0.2">
      <c r="A73">
        <f>ROW(Source!A53)</f>
        <v>53</v>
      </c>
      <c r="B73">
        <v>53360025</v>
      </c>
      <c r="C73">
        <v>53362690</v>
      </c>
      <c r="D73">
        <v>1091151703</v>
      </c>
      <c r="E73">
        <v>1</v>
      </c>
      <c r="F73">
        <v>1</v>
      </c>
      <c r="G73">
        <v>1</v>
      </c>
      <c r="H73">
        <v>2</v>
      </c>
      <c r="I73" t="s">
        <v>356</v>
      </c>
      <c r="J73" t="s">
        <v>357</v>
      </c>
      <c r="K73" t="s">
        <v>358</v>
      </c>
      <c r="L73">
        <v>1367</v>
      </c>
      <c r="N73">
        <v>1011</v>
      </c>
      <c r="O73" t="s">
        <v>330</v>
      </c>
      <c r="P73" t="s">
        <v>330</v>
      </c>
      <c r="Q73">
        <v>1</v>
      </c>
      <c r="W73">
        <v>0</v>
      </c>
      <c r="X73">
        <v>509054691</v>
      </c>
      <c r="Y73">
        <f>(AT73*ROUND(1.25,7))</f>
        <v>6.25E-2</v>
      </c>
      <c r="AA73">
        <v>0</v>
      </c>
      <c r="AB73">
        <v>947.54</v>
      </c>
      <c r="AC73">
        <v>456.23</v>
      </c>
      <c r="AD73">
        <v>0</v>
      </c>
      <c r="AE73">
        <v>0</v>
      </c>
      <c r="AF73">
        <v>65.709999999999994</v>
      </c>
      <c r="AG73">
        <v>11.6</v>
      </c>
      <c r="AH73">
        <v>0</v>
      </c>
      <c r="AI73">
        <v>1</v>
      </c>
      <c r="AJ73">
        <v>14.42</v>
      </c>
      <c r="AK73">
        <v>39.33</v>
      </c>
      <c r="AL73">
        <v>1</v>
      </c>
      <c r="AM73">
        <v>4</v>
      </c>
      <c r="AN73">
        <v>0</v>
      </c>
      <c r="AO73">
        <v>1</v>
      </c>
      <c r="AP73">
        <v>1</v>
      </c>
      <c r="AQ73">
        <v>0</v>
      </c>
      <c r="AR73">
        <v>0</v>
      </c>
      <c r="AS73" t="s">
        <v>3</v>
      </c>
      <c r="AT73">
        <v>0.05</v>
      </c>
      <c r="AU73" t="s">
        <v>72</v>
      </c>
      <c r="AV73">
        <v>0</v>
      </c>
      <c r="AW73">
        <v>2</v>
      </c>
      <c r="AX73">
        <v>53362700</v>
      </c>
      <c r="AY73">
        <v>1</v>
      </c>
      <c r="AZ73">
        <v>0</v>
      </c>
      <c r="BA73">
        <v>65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CV73">
        <v>0</v>
      </c>
      <c r="CW73">
        <f>ROUND(Y73*Source!I53*DO73,7)</f>
        <v>0</v>
      </c>
      <c r="CX73">
        <f>ROUND(Y73*Source!I53,7)</f>
        <v>1.525E-2</v>
      </c>
      <c r="CY73">
        <f>AB73</f>
        <v>947.54</v>
      </c>
      <c r="CZ73">
        <f>AF73</f>
        <v>65.709999999999994</v>
      </c>
      <c r="DA73">
        <f>AJ73</f>
        <v>14.42</v>
      </c>
      <c r="DB73">
        <f>ROUND((ROUND(AT73*CZ73,2)*ROUND(1.25,7)),6)</f>
        <v>4.1124999999999998</v>
      </c>
      <c r="DC73">
        <f>ROUND((ROUND(AT73*AG73,2)*ROUND(1.25,7)),6)</f>
        <v>0.72499999999999998</v>
      </c>
      <c r="DD73" t="s">
        <v>3</v>
      </c>
      <c r="DE73" t="s">
        <v>3</v>
      </c>
      <c r="DF73">
        <f>ROUND(ROUND(AE73,2)*CX73,2)</f>
        <v>0</v>
      </c>
      <c r="DG73">
        <f>ROUND(ROUND(AF73*AJ73,2)*CX73,2)</f>
        <v>14.45</v>
      </c>
      <c r="DH73">
        <f>ROUND(ROUND(AG73*AK73,2)*CX73,2)</f>
        <v>6.96</v>
      </c>
      <c r="DI73">
        <f t="shared" si="48"/>
        <v>0</v>
      </c>
      <c r="DJ73">
        <f>DG73</f>
        <v>14.45</v>
      </c>
      <c r="DK73">
        <v>0</v>
      </c>
      <c r="DL73" t="s">
        <v>3</v>
      </c>
      <c r="DM73">
        <v>0</v>
      </c>
      <c r="DN73" t="s">
        <v>3</v>
      </c>
      <c r="DO73">
        <v>0</v>
      </c>
    </row>
    <row r="74" spans="1:119" x14ac:dyDescent="0.2">
      <c r="A74">
        <f>ROW(Source!A53)</f>
        <v>53</v>
      </c>
      <c r="B74">
        <v>53360025</v>
      </c>
      <c r="C74">
        <v>53362690</v>
      </c>
      <c r="D74">
        <v>1090951379</v>
      </c>
      <c r="E74">
        <v>1</v>
      </c>
      <c r="F74">
        <v>1</v>
      </c>
      <c r="G74">
        <v>1</v>
      </c>
      <c r="H74">
        <v>3</v>
      </c>
      <c r="I74" t="s">
        <v>422</v>
      </c>
      <c r="J74" t="s">
        <v>423</v>
      </c>
      <c r="K74" t="s">
        <v>424</v>
      </c>
      <c r="L74">
        <v>1348</v>
      </c>
      <c r="N74">
        <v>1009</v>
      </c>
      <c r="O74" t="s">
        <v>32</v>
      </c>
      <c r="P74" t="s">
        <v>32</v>
      </c>
      <c r="Q74">
        <v>1000</v>
      </c>
      <c r="W74">
        <v>0</v>
      </c>
      <c r="X74">
        <v>-1574380220</v>
      </c>
      <c r="Y74">
        <f>AT74</f>
        <v>7.5000000000000002E-4</v>
      </c>
      <c r="AA74">
        <v>109259.7</v>
      </c>
      <c r="AB74">
        <v>0</v>
      </c>
      <c r="AC74">
        <v>0</v>
      </c>
      <c r="AD74">
        <v>0</v>
      </c>
      <c r="AE74">
        <v>12430</v>
      </c>
      <c r="AF74">
        <v>0</v>
      </c>
      <c r="AG74">
        <v>0</v>
      </c>
      <c r="AH74">
        <v>0</v>
      </c>
      <c r="AI74">
        <v>8.7899999999999991</v>
      </c>
      <c r="AJ74">
        <v>1</v>
      </c>
      <c r="AK74">
        <v>1</v>
      </c>
      <c r="AL74">
        <v>1</v>
      </c>
      <c r="AM74">
        <v>4</v>
      </c>
      <c r="AN74">
        <v>0</v>
      </c>
      <c r="AO74">
        <v>1</v>
      </c>
      <c r="AP74">
        <v>0</v>
      </c>
      <c r="AQ74">
        <v>0</v>
      </c>
      <c r="AR74">
        <v>0</v>
      </c>
      <c r="AS74" t="s">
        <v>3</v>
      </c>
      <c r="AT74">
        <v>7.5000000000000002E-4</v>
      </c>
      <c r="AU74" t="s">
        <v>3</v>
      </c>
      <c r="AV74">
        <v>0</v>
      </c>
      <c r="AW74">
        <v>2</v>
      </c>
      <c r="AX74">
        <v>53362701</v>
      </c>
      <c r="AY74">
        <v>1</v>
      </c>
      <c r="AZ74">
        <v>0</v>
      </c>
      <c r="BA74">
        <v>66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CV74">
        <v>0</v>
      </c>
      <c r="CW74">
        <v>0</v>
      </c>
      <c r="CX74">
        <f>ROUND(Y74*Source!I53,7)</f>
        <v>1.83E-4</v>
      </c>
      <c r="CY74">
        <f>AA74</f>
        <v>109259.7</v>
      </c>
      <c r="CZ74">
        <f>AE74</f>
        <v>12430</v>
      </c>
      <c r="DA74">
        <f>AI74</f>
        <v>8.7899999999999991</v>
      </c>
      <c r="DB74">
        <f>ROUND(ROUND(AT74*CZ74,2),6)</f>
        <v>9.32</v>
      </c>
      <c r="DC74">
        <f>ROUND(ROUND(AT74*AG74,2),6)</f>
        <v>0</v>
      </c>
      <c r="DD74" t="s">
        <v>3</v>
      </c>
      <c r="DE74" t="s">
        <v>3</v>
      </c>
      <c r="DF74">
        <f>ROUND(ROUND(AE74*AI74,2)*CX74,2)</f>
        <v>19.989999999999998</v>
      </c>
      <c r="DG74">
        <f t="shared" ref="DG74:DG80" si="49">ROUND(ROUND(AF74,2)*CX74,2)</f>
        <v>0</v>
      </c>
      <c r="DH74">
        <f t="shared" ref="DH74:DH79" si="50">ROUND(ROUND(AG74,2)*CX74,2)</f>
        <v>0</v>
      </c>
      <c r="DI74">
        <f t="shared" si="48"/>
        <v>0</v>
      </c>
      <c r="DJ74">
        <f>DF74</f>
        <v>19.989999999999998</v>
      </c>
      <c r="DK74">
        <v>0</v>
      </c>
      <c r="DL74" t="s">
        <v>3</v>
      </c>
      <c r="DM74">
        <v>0</v>
      </c>
      <c r="DN74" t="s">
        <v>3</v>
      </c>
      <c r="DO74">
        <v>0</v>
      </c>
    </row>
    <row r="75" spans="1:119" x14ac:dyDescent="0.2">
      <c r="A75">
        <f>ROW(Source!A53)</f>
        <v>53</v>
      </c>
      <c r="B75">
        <v>53360025</v>
      </c>
      <c r="C75">
        <v>53362690</v>
      </c>
      <c r="D75">
        <v>1090971012</v>
      </c>
      <c r="E75">
        <v>1</v>
      </c>
      <c r="F75">
        <v>1</v>
      </c>
      <c r="G75">
        <v>1</v>
      </c>
      <c r="H75">
        <v>3</v>
      </c>
      <c r="I75" t="s">
        <v>163</v>
      </c>
      <c r="J75" t="s">
        <v>166</v>
      </c>
      <c r="K75" t="s">
        <v>164</v>
      </c>
      <c r="L75">
        <v>1301</v>
      </c>
      <c r="N75">
        <v>1003</v>
      </c>
      <c r="O75" t="s">
        <v>165</v>
      </c>
      <c r="P75" t="s">
        <v>165</v>
      </c>
      <c r="Q75">
        <v>1</v>
      </c>
      <c r="W75">
        <v>0</v>
      </c>
      <c r="X75">
        <v>771637963</v>
      </c>
      <c r="Y75">
        <f>AT75</f>
        <v>100</v>
      </c>
      <c r="AA75">
        <v>44.04</v>
      </c>
      <c r="AB75">
        <v>0</v>
      </c>
      <c r="AC75">
        <v>0</v>
      </c>
      <c r="AD75">
        <v>0</v>
      </c>
      <c r="AE75">
        <v>5.01</v>
      </c>
      <c r="AF75">
        <v>0</v>
      </c>
      <c r="AG75">
        <v>0</v>
      </c>
      <c r="AH75">
        <v>0</v>
      </c>
      <c r="AI75">
        <v>8.7899999999999991</v>
      </c>
      <c r="AJ75">
        <v>1</v>
      </c>
      <c r="AK75">
        <v>1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 t="s">
        <v>3</v>
      </c>
      <c r="AT75">
        <v>100</v>
      </c>
      <c r="AU75" t="s">
        <v>3</v>
      </c>
      <c r="AV75">
        <v>0</v>
      </c>
      <c r="AW75">
        <v>1</v>
      </c>
      <c r="AX75">
        <v>-1</v>
      </c>
      <c r="AY75">
        <v>0</v>
      </c>
      <c r="AZ75">
        <v>0</v>
      </c>
      <c r="BA75" t="s">
        <v>3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CV75">
        <v>0</v>
      </c>
      <c r="CW75">
        <v>0</v>
      </c>
      <c r="CX75">
        <f>ROUND(Y75*Source!I53,7)</f>
        <v>24.4</v>
      </c>
      <c r="CY75">
        <f>AA75</f>
        <v>44.04</v>
      </c>
      <c r="CZ75">
        <f>AE75</f>
        <v>5.01</v>
      </c>
      <c r="DA75">
        <f>AI75</f>
        <v>8.7899999999999991</v>
      </c>
      <c r="DB75">
        <f>ROUND(ROUND(AT75*CZ75,2),6)</f>
        <v>501</v>
      </c>
      <c r="DC75">
        <f>ROUND(ROUND(AT75*AG75,2),6)</f>
        <v>0</v>
      </c>
      <c r="DD75" t="s">
        <v>3</v>
      </c>
      <c r="DE75" t="s">
        <v>3</v>
      </c>
      <c r="DF75">
        <f>ROUND(ROUND(AE75*AI75,2)*CX75,2)</f>
        <v>1074.58</v>
      </c>
      <c r="DG75">
        <f t="shared" si="49"/>
        <v>0</v>
      </c>
      <c r="DH75">
        <f t="shared" si="50"/>
        <v>0</v>
      </c>
      <c r="DI75">
        <f t="shared" si="48"/>
        <v>0</v>
      </c>
      <c r="DJ75">
        <f>DF75</f>
        <v>1074.58</v>
      </c>
      <c r="DK75">
        <v>0</v>
      </c>
      <c r="DL75" t="s">
        <v>3</v>
      </c>
      <c r="DM75">
        <v>0</v>
      </c>
      <c r="DN75" t="s">
        <v>3</v>
      </c>
      <c r="DO75">
        <v>0</v>
      </c>
    </row>
    <row r="76" spans="1:119" x14ac:dyDescent="0.2">
      <c r="A76">
        <f>ROW(Source!A53)</f>
        <v>53</v>
      </c>
      <c r="B76">
        <v>53360025</v>
      </c>
      <c r="C76">
        <v>53362690</v>
      </c>
      <c r="D76">
        <v>1090930739</v>
      </c>
      <c r="E76">
        <v>1</v>
      </c>
      <c r="F76">
        <v>1</v>
      </c>
      <c r="G76">
        <v>1</v>
      </c>
      <c r="H76">
        <v>3</v>
      </c>
      <c r="I76" t="s">
        <v>157</v>
      </c>
      <c r="J76" t="s">
        <v>3</v>
      </c>
      <c r="K76" t="s">
        <v>158</v>
      </c>
      <c r="L76">
        <v>1348</v>
      </c>
      <c r="N76">
        <v>1009</v>
      </c>
      <c r="O76" t="s">
        <v>32</v>
      </c>
      <c r="P76" t="s">
        <v>32</v>
      </c>
      <c r="Q76">
        <v>1000</v>
      </c>
      <c r="W76">
        <v>0</v>
      </c>
      <c r="X76">
        <v>1763388316</v>
      </c>
      <c r="Y76">
        <f>AT76</f>
        <v>4.0000000000000001E-3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8.7899999999999991</v>
      </c>
      <c r="AJ76">
        <v>1</v>
      </c>
      <c r="AK76">
        <v>1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 t="s">
        <v>3</v>
      </c>
      <c r="AT76">
        <v>4.0000000000000001E-3</v>
      </c>
      <c r="AU76" t="s">
        <v>3</v>
      </c>
      <c r="AV76">
        <v>0</v>
      </c>
      <c r="AW76">
        <v>2</v>
      </c>
      <c r="AX76">
        <v>53362702</v>
      </c>
      <c r="AY76">
        <v>1</v>
      </c>
      <c r="AZ76">
        <v>0</v>
      </c>
      <c r="BA76">
        <v>67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CV76">
        <v>0</v>
      </c>
      <c r="CW76">
        <v>0</v>
      </c>
      <c r="CX76">
        <f>ROUND(Y76*Source!I53,7)</f>
        <v>9.7599999999999998E-4</v>
      </c>
      <c r="CY76">
        <f>AA76</f>
        <v>0</v>
      </c>
      <c r="CZ76">
        <f>AE76</f>
        <v>0</v>
      </c>
      <c r="DA76">
        <f>AI76</f>
        <v>8.7899999999999991</v>
      </c>
      <c r="DB76">
        <f>ROUND(ROUND(AT76*CZ76,2),6)</f>
        <v>0</v>
      </c>
      <c r="DC76">
        <f>ROUND(ROUND(AT76*AG76,2),6)</f>
        <v>0</v>
      </c>
      <c r="DD76" t="s">
        <v>3</v>
      </c>
      <c r="DE76" t="s">
        <v>3</v>
      </c>
      <c r="DF76">
        <f>ROUND(ROUND(AE76*AI76,2)*CX76,2)</f>
        <v>0</v>
      </c>
      <c r="DG76">
        <f t="shared" si="49"/>
        <v>0</v>
      </c>
      <c r="DH76">
        <f t="shared" si="50"/>
        <v>0</v>
      </c>
      <c r="DI76">
        <f t="shared" si="48"/>
        <v>0</v>
      </c>
      <c r="DJ76">
        <f>DF76</f>
        <v>0</v>
      </c>
      <c r="DK76">
        <v>0</v>
      </c>
      <c r="DL76" t="s">
        <v>3</v>
      </c>
      <c r="DM76">
        <v>0</v>
      </c>
      <c r="DN76" t="s">
        <v>3</v>
      </c>
      <c r="DO76">
        <v>0</v>
      </c>
    </row>
    <row r="77" spans="1:119" x14ac:dyDescent="0.2">
      <c r="A77">
        <f>ROW(Source!A53)</f>
        <v>53</v>
      </c>
      <c r="B77">
        <v>53360025</v>
      </c>
      <c r="C77">
        <v>53362690</v>
      </c>
      <c r="D77">
        <v>1090931353</v>
      </c>
      <c r="E77">
        <v>1</v>
      </c>
      <c r="F77">
        <v>1</v>
      </c>
      <c r="G77">
        <v>1</v>
      </c>
      <c r="H77">
        <v>3</v>
      </c>
      <c r="I77" t="s">
        <v>160</v>
      </c>
      <c r="J77" t="s">
        <v>3</v>
      </c>
      <c r="K77" t="s">
        <v>161</v>
      </c>
      <c r="L77">
        <v>1348</v>
      </c>
      <c r="N77">
        <v>1009</v>
      </c>
      <c r="O77" t="s">
        <v>32</v>
      </c>
      <c r="P77" t="s">
        <v>32</v>
      </c>
      <c r="Q77">
        <v>1000</v>
      </c>
      <c r="W77">
        <v>0</v>
      </c>
      <c r="X77">
        <v>69843047</v>
      </c>
      <c r="Y77">
        <f>AT77</f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8.7899999999999991</v>
      </c>
      <c r="AJ77">
        <v>1</v>
      </c>
      <c r="AK77">
        <v>1</v>
      </c>
      <c r="AL77">
        <v>1</v>
      </c>
      <c r="AM77">
        <v>0</v>
      </c>
      <c r="AN77">
        <v>1</v>
      </c>
      <c r="AO77">
        <v>0</v>
      </c>
      <c r="AP77">
        <v>0</v>
      </c>
      <c r="AQ77">
        <v>0</v>
      </c>
      <c r="AR77">
        <v>0</v>
      </c>
      <c r="AS77" t="s">
        <v>3</v>
      </c>
      <c r="AT77">
        <v>0</v>
      </c>
      <c r="AU77" t="s">
        <v>3</v>
      </c>
      <c r="AV77">
        <v>0</v>
      </c>
      <c r="AW77">
        <v>2</v>
      </c>
      <c r="AX77">
        <v>53362703</v>
      </c>
      <c r="AY77">
        <v>1</v>
      </c>
      <c r="AZ77">
        <v>0</v>
      </c>
      <c r="BA77">
        <v>68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CV77">
        <v>0</v>
      </c>
      <c r="CW77">
        <v>0</v>
      </c>
      <c r="CX77">
        <f>ROUND(Y77*Source!I53,7)</f>
        <v>0</v>
      </c>
      <c r="CY77">
        <f>AA77</f>
        <v>0</v>
      </c>
      <c r="CZ77">
        <f>AE77</f>
        <v>0</v>
      </c>
      <c r="DA77">
        <f>AI77</f>
        <v>8.7899999999999991</v>
      </c>
      <c r="DB77">
        <f>ROUND(ROUND(AT77*CZ77,2),6)</f>
        <v>0</v>
      </c>
      <c r="DC77">
        <f>ROUND(ROUND(AT77*AG77,2),6)</f>
        <v>0</v>
      </c>
      <c r="DD77" t="s">
        <v>3</v>
      </c>
      <c r="DE77" t="s">
        <v>3</v>
      </c>
      <c r="DF77">
        <f>ROUND(ROUND(AE77*AI77,2)*CX77,2)</f>
        <v>0</v>
      </c>
      <c r="DG77">
        <f t="shared" si="49"/>
        <v>0</v>
      </c>
      <c r="DH77">
        <f t="shared" si="50"/>
        <v>0</v>
      </c>
      <c r="DI77">
        <f t="shared" si="48"/>
        <v>0</v>
      </c>
      <c r="DJ77">
        <f>DF77</f>
        <v>0</v>
      </c>
      <c r="DK77">
        <v>0</v>
      </c>
      <c r="DL77" t="s">
        <v>3</v>
      </c>
      <c r="DM77">
        <v>0</v>
      </c>
      <c r="DN77" t="s">
        <v>3</v>
      </c>
      <c r="DO77">
        <v>0</v>
      </c>
    </row>
    <row r="78" spans="1:119" x14ac:dyDescent="0.2">
      <c r="A78">
        <f>ROW(Source!A57)</f>
        <v>57</v>
      </c>
      <c r="B78">
        <v>53360025</v>
      </c>
      <c r="C78">
        <v>53362707</v>
      </c>
      <c r="D78">
        <v>37065248</v>
      </c>
      <c r="E78">
        <v>70</v>
      </c>
      <c r="F78">
        <v>1</v>
      </c>
      <c r="G78">
        <v>1</v>
      </c>
      <c r="H78">
        <v>1</v>
      </c>
      <c r="I78" t="s">
        <v>322</v>
      </c>
      <c r="J78" t="s">
        <v>3</v>
      </c>
      <c r="K78" t="s">
        <v>323</v>
      </c>
      <c r="L78">
        <v>1191</v>
      </c>
      <c r="N78">
        <v>1013</v>
      </c>
      <c r="O78" t="s">
        <v>324</v>
      </c>
      <c r="P78" t="s">
        <v>324</v>
      </c>
      <c r="Q78">
        <v>1</v>
      </c>
      <c r="W78">
        <v>0</v>
      </c>
      <c r="X78">
        <v>1049124552</v>
      </c>
      <c r="Y78">
        <f>(AT78*ROUND(1.15,7))</f>
        <v>1.0349999999999999</v>
      </c>
      <c r="AA78">
        <v>0</v>
      </c>
      <c r="AB78">
        <v>0</v>
      </c>
      <c r="AC78">
        <v>0</v>
      </c>
      <c r="AD78">
        <v>335.48</v>
      </c>
      <c r="AE78">
        <v>0</v>
      </c>
      <c r="AF78">
        <v>0</v>
      </c>
      <c r="AG78">
        <v>0</v>
      </c>
      <c r="AH78">
        <v>8.5299999999999994</v>
      </c>
      <c r="AI78">
        <v>1</v>
      </c>
      <c r="AJ78">
        <v>1</v>
      </c>
      <c r="AK78">
        <v>1</v>
      </c>
      <c r="AL78">
        <v>39.33</v>
      </c>
      <c r="AM78">
        <v>4</v>
      </c>
      <c r="AN78">
        <v>0</v>
      </c>
      <c r="AO78">
        <v>1</v>
      </c>
      <c r="AP78">
        <v>1</v>
      </c>
      <c r="AQ78">
        <v>0</v>
      </c>
      <c r="AR78">
        <v>0</v>
      </c>
      <c r="AS78" t="s">
        <v>3</v>
      </c>
      <c r="AT78">
        <v>0.9</v>
      </c>
      <c r="AU78" t="s">
        <v>73</v>
      </c>
      <c r="AV78">
        <v>1</v>
      </c>
      <c r="AW78">
        <v>2</v>
      </c>
      <c r="AX78">
        <v>53362709</v>
      </c>
      <c r="AY78">
        <v>1</v>
      </c>
      <c r="AZ78">
        <v>0</v>
      </c>
      <c r="BA78">
        <v>69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CU78">
        <f>ROUND(AT78*Source!I57*AH78*AL78,2)</f>
        <v>3623.24</v>
      </c>
      <c r="CV78">
        <f>ROUND(Y78*Source!I57,7)</f>
        <v>12.42</v>
      </c>
      <c r="CW78">
        <v>0</v>
      </c>
      <c r="CX78">
        <f>ROUND(Y78*Source!I57,7)</f>
        <v>12.42</v>
      </c>
      <c r="CY78">
        <f>AD78</f>
        <v>335.48</v>
      </c>
      <c r="CZ78">
        <f>AH78</f>
        <v>8.5299999999999994</v>
      </c>
      <c r="DA78">
        <f>AL78</f>
        <v>39.33</v>
      </c>
      <c r="DB78">
        <f>ROUND((ROUND(AT78*CZ78,2)*ROUND(1.15,7)),6)</f>
        <v>8.8320000000000007</v>
      </c>
      <c r="DC78">
        <f>ROUND((ROUND(AT78*AG78,2)*ROUND(1.15,7)),6)</f>
        <v>0</v>
      </c>
      <c r="DD78" t="s">
        <v>3</v>
      </c>
      <c r="DE78" t="s">
        <v>3</v>
      </c>
      <c r="DF78">
        <f t="shared" ref="DF78:DF84" si="51">ROUND(ROUND(AE78,2)*CX78,2)</f>
        <v>0</v>
      </c>
      <c r="DG78">
        <f t="shared" si="49"/>
        <v>0</v>
      </c>
      <c r="DH78">
        <f t="shared" si="50"/>
        <v>0</v>
      </c>
      <c r="DI78">
        <f>ROUND(ROUND(AH78*AL78,2)*CX78,2)</f>
        <v>4166.66</v>
      </c>
      <c r="DJ78">
        <f>DI78</f>
        <v>4166.66</v>
      </c>
      <c r="DK78">
        <v>0</v>
      </c>
      <c r="DL78" t="s">
        <v>3</v>
      </c>
      <c r="DM78">
        <v>0</v>
      </c>
      <c r="DN78" t="s">
        <v>3</v>
      </c>
      <c r="DO78">
        <v>0</v>
      </c>
    </row>
    <row r="79" spans="1:119" x14ac:dyDescent="0.2">
      <c r="A79">
        <f>ROW(Source!A58)</f>
        <v>58</v>
      </c>
      <c r="B79">
        <v>53360025</v>
      </c>
      <c r="C79">
        <v>53362710</v>
      </c>
      <c r="D79">
        <v>37070176</v>
      </c>
      <c r="E79">
        <v>70</v>
      </c>
      <c r="F79">
        <v>1</v>
      </c>
      <c r="G79">
        <v>1</v>
      </c>
      <c r="H79">
        <v>1</v>
      </c>
      <c r="I79" t="s">
        <v>425</v>
      </c>
      <c r="J79" t="s">
        <v>3</v>
      </c>
      <c r="K79" t="s">
        <v>426</v>
      </c>
      <c r="L79">
        <v>1191</v>
      </c>
      <c r="N79">
        <v>1013</v>
      </c>
      <c r="O79" t="s">
        <v>324</v>
      </c>
      <c r="P79" t="s">
        <v>324</v>
      </c>
      <c r="Q79">
        <v>1</v>
      </c>
      <c r="W79">
        <v>0</v>
      </c>
      <c r="X79">
        <v>1423317190</v>
      </c>
      <c r="Y79">
        <f>(AT79*ROUND(1.15,7))</f>
        <v>5.3359999999999994</v>
      </c>
      <c r="AA79">
        <v>0</v>
      </c>
      <c r="AB79">
        <v>0</v>
      </c>
      <c r="AC79">
        <v>0</v>
      </c>
      <c r="AD79">
        <v>430.27</v>
      </c>
      <c r="AE79">
        <v>0</v>
      </c>
      <c r="AF79">
        <v>0</v>
      </c>
      <c r="AG79">
        <v>0</v>
      </c>
      <c r="AH79">
        <v>10.94</v>
      </c>
      <c r="AI79">
        <v>1</v>
      </c>
      <c r="AJ79">
        <v>1</v>
      </c>
      <c r="AK79">
        <v>1</v>
      </c>
      <c r="AL79">
        <v>39.33</v>
      </c>
      <c r="AM79">
        <v>4</v>
      </c>
      <c r="AN79">
        <v>0</v>
      </c>
      <c r="AO79">
        <v>1</v>
      </c>
      <c r="AP79">
        <v>1</v>
      </c>
      <c r="AQ79">
        <v>0</v>
      </c>
      <c r="AR79">
        <v>0</v>
      </c>
      <c r="AS79" t="s">
        <v>3</v>
      </c>
      <c r="AT79">
        <v>4.6399999999999997</v>
      </c>
      <c r="AU79" t="s">
        <v>73</v>
      </c>
      <c r="AV79">
        <v>1</v>
      </c>
      <c r="AW79">
        <v>2</v>
      </c>
      <c r="AX79">
        <v>53362722</v>
      </c>
      <c r="AY79">
        <v>1</v>
      </c>
      <c r="AZ79">
        <v>0</v>
      </c>
      <c r="BA79">
        <v>70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CU79">
        <f>ROUND(AT79*Source!I58*AH79*AL79,2)</f>
        <v>239.57</v>
      </c>
      <c r="CV79">
        <f>ROUND(Y79*Source!I58,7)</f>
        <v>0.64032</v>
      </c>
      <c r="CW79">
        <v>0</v>
      </c>
      <c r="CX79">
        <f>ROUND(Y79*Source!I58,7)</f>
        <v>0.64032</v>
      </c>
      <c r="CY79">
        <f>AD79</f>
        <v>430.27</v>
      </c>
      <c r="CZ79">
        <f>AH79</f>
        <v>10.94</v>
      </c>
      <c r="DA79">
        <f>AL79</f>
        <v>39.33</v>
      </c>
      <c r="DB79">
        <f>ROUND((ROUND(AT79*CZ79,2)*ROUND(1.15,7)),6)</f>
        <v>58.374000000000002</v>
      </c>
      <c r="DC79">
        <f>ROUND((ROUND(AT79*AG79,2)*ROUND(1.15,7)),6)</f>
        <v>0</v>
      </c>
      <c r="DD79" t="s">
        <v>3</v>
      </c>
      <c r="DE79" t="s">
        <v>3</v>
      </c>
      <c r="DF79">
        <f t="shared" si="51"/>
        <v>0</v>
      </c>
      <c r="DG79">
        <f t="shared" si="49"/>
        <v>0</v>
      </c>
      <c r="DH79">
        <f t="shared" si="50"/>
        <v>0</v>
      </c>
      <c r="DI79">
        <f>ROUND(ROUND(AH79*AL79,2)*CX79,2)</f>
        <v>275.51</v>
      </c>
      <c r="DJ79">
        <f>DI79</f>
        <v>275.51</v>
      </c>
      <c r="DK79">
        <v>0</v>
      </c>
      <c r="DL79" t="s">
        <v>3</v>
      </c>
      <c r="DM79">
        <v>0</v>
      </c>
      <c r="DN79" t="s">
        <v>3</v>
      </c>
      <c r="DO79">
        <v>0</v>
      </c>
    </row>
    <row r="80" spans="1:119" x14ac:dyDescent="0.2">
      <c r="A80">
        <f>ROW(Source!A58)</f>
        <v>58</v>
      </c>
      <c r="B80">
        <v>53360025</v>
      </c>
      <c r="C80">
        <v>53362710</v>
      </c>
      <c r="D80">
        <v>37064876</v>
      </c>
      <c r="E80">
        <v>70</v>
      </c>
      <c r="F80">
        <v>1</v>
      </c>
      <c r="G80">
        <v>1</v>
      </c>
      <c r="H80">
        <v>1</v>
      </c>
      <c r="I80" t="s">
        <v>325</v>
      </c>
      <c r="J80" t="s">
        <v>3</v>
      </c>
      <c r="K80" t="s">
        <v>326</v>
      </c>
      <c r="L80">
        <v>1191</v>
      </c>
      <c r="N80">
        <v>1013</v>
      </c>
      <c r="O80" t="s">
        <v>324</v>
      </c>
      <c r="P80" t="s">
        <v>324</v>
      </c>
      <c r="Q80">
        <v>1</v>
      </c>
      <c r="W80">
        <v>0</v>
      </c>
      <c r="X80">
        <v>-1417349443</v>
      </c>
      <c r="Y80">
        <f>(AT80*ROUND(1.25,7))</f>
        <v>2.5000000000000001E-2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1</v>
      </c>
      <c r="AK80">
        <v>39.33</v>
      </c>
      <c r="AL80">
        <v>1</v>
      </c>
      <c r="AM80">
        <v>4</v>
      </c>
      <c r="AN80">
        <v>0</v>
      </c>
      <c r="AO80">
        <v>1</v>
      </c>
      <c r="AP80">
        <v>1</v>
      </c>
      <c r="AQ80">
        <v>0</v>
      </c>
      <c r="AR80">
        <v>0</v>
      </c>
      <c r="AS80" t="s">
        <v>3</v>
      </c>
      <c r="AT80">
        <v>0.02</v>
      </c>
      <c r="AU80" t="s">
        <v>72</v>
      </c>
      <c r="AV80">
        <v>2</v>
      </c>
      <c r="AW80">
        <v>2</v>
      </c>
      <c r="AX80">
        <v>53362723</v>
      </c>
      <c r="AY80">
        <v>1</v>
      </c>
      <c r="AZ80">
        <v>0</v>
      </c>
      <c r="BA80">
        <v>71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CV80">
        <v>0</v>
      </c>
      <c r="CW80">
        <v>0</v>
      </c>
      <c r="CX80">
        <f>ROUND(Y80*Source!I58,7)</f>
        <v>3.0000000000000001E-3</v>
      </c>
      <c r="CY80">
        <f>AD80</f>
        <v>0</v>
      </c>
      <c r="CZ80">
        <f>AH80</f>
        <v>0</v>
      </c>
      <c r="DA80">
        <f>AL80</f>
        <v>1</v>
      </c>
      <c r="DB80">
        <f>ROUND((ROUND(AT80*CZ80,2)*ROUND(1.25,7)),6)</f>
        <v>0</v>
      </c>
      <c r="DC80">
        <f>ROUND((ROUND(AT80*AG80,2)*ROUND(1.25,7)),6)</f>
        <v>0</v>
      </c>
      <c r="DD80" t="s">
        <v>3</v>
      </c>
      <c r="DE80" t="s">
        <v>3</v>
      </c>
      <c r="DF80">
        <f t="shared" si="51"/>
        <v>0</v>
      </c>
      <c r="DG80">
        <f t="shared" si="49"/>
        <v>0</v>
      </c>
      <c r="DH80">
        <f>ROUND(ROUND(AG80*AK80,2)*CX80,2)</f>
        <v>0</v>
      </c>
      <c r="DI80">
        <f t="shared" ref="DI80:DI89" si="52">ROUND(ROUND(AH80,2)*CX80,2)</f>
        <v>0</v>
      </c>
      <c r="DJ80">
        <f>DI80</f>
        <v>0</v>
      </c>
      <c r="DK80">
        <v>0</v>
      </c>
      <c r="DL80" t="s">
        <v>3</v>
      </c>
      <c r="DM80">
        <v>0</v>
      </c>
      <c r="DN80" t="s">
        <v>3</v>
      </c>
      <c r="DO80">
        <v>0</v>
      </c>
    </row>
    <row r="81" spans="1:119" x14ac:dyDescent="0.2">
      <c r="A81">
        <f>ROW(Source!A58)</f>
        <v>58</v>
      </c>
      <c r="B81">
        <v>53360025</v>
      </c>
      <c r="C81">
        <v>53362710</v>
      </c>
      <c r="D81">
        <v>1091150871</v>
      </c>
      <c r="E81">
        <v>1</v>
      </c>
      <c r="F81">
        <v>1</v>
      </c>
      <c r="G81">
        <v>1</v>
      </c>
      <c r="H81">
        <v>2</v>
      </c>
      <c r="I81" t="s">
        <v>427</v>
      </c>
      <c r="J81" t="s">
        <v>428</v>
      </c>
      <c r="K81" t="s">
        <v>429</v>
      </c>
      <c r="L81">
        <v>1367</v>
      </c>
      <c r="N81">
        <v>1011</v>
      </c>
      <c r="O81" t="s">
        <v>330</v>
      </c>
      <c r="P81" t="s">
        <v>330</v>
      </c>
      <c r="Q81">
        <v>1</v>
      </c>
      <c r="W81">
        <v>0</v>
      </c>
      <c r="X81">
        <v>208619310</v>
      </c>
      <c r="Y81">
        <f>(AT81*ROUND(1.25,7))</f>
        <v>1.2500000000000001E-2</v>
      </c>
      <c r="AA81">
        <v>0</v>
      </c>
      <c r="AB81">
        <v>24.51</v>
      </c>
      <c r="AC81">
        <v>0</v>
      </c>
      <c r="AD81">
        <v>0</v>
      </c>
      <c r="AE81">
        <v>0</v>
      </c>
      <c r="AF81">
        <v>1.7</v>
      </c>
      <c r="AG81">
        <v>0</v>
      </c>
      <c r="AH81">
        <v>0</v>
      </c>
      <c r="AI81">
        <v>1</v>
      </c>
      <c r="AJ81">
        <v>14.42</v>
      </c>
      <c r="AK81">
        <v>39.33</v>
      </c>
      <c r="AL81">
        <v>1</v>
      </c>
      <c r="AM81">
        <v>4</v>
      </c>
      <c r="AN81">
        <v>0</v>
      </c>
      <c r="AO81">
        <v>1</v>
      </c>
      <c r="AP81">
        <v>1</v>
      </c>
      <c r="AQ81">
        <v>0</v>
      </c>
      <c r="AR81">
        <v>0</v>
      </c>
      <c r="AS81" t="s">
        <v>3</v>
      </c>
      <c r="AT81">
        <v>0.01</v>
      </c>
      <c r="AU81" t="s">
        <v>72</v>
      </c>
      <c r="AV81">
        <v>0</v>
      </c>
      <c r="AW81">
        <v>2</v>
      </c>
      <c r="AX81">
        <v>53362724</v>
      </c>
      <c r="AY81">
        <v>1</v>
      </c>
      <c r="AZ81">
        <v>0</v>
      </c>
      <c r="BA81">
        <v>72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CV81">
        <v>0</v>
      </c>
      <c r="CW81">
        <f>ROUND(Y81*Source!I58*DO81,7)</f>
        <v>0</v>
      </c>
      <c r="CX81">
        <f>ROUND(Y81*Source!I58,7)</f>
        <v>1.5E-3</v>
      </c>
      <c r="CY81">
        <f>AB81</f>
        <v>24.51</v>
      </c>
      <c r="CZ81">
        <f>AF81</f>
        <v>1.7</v>
      </c>
      <c r="DA81">
        <f>AJ81</f>
        <v>14.42</v>
      </c>
      <c r="DB81">
        <f>ROUND((ROUND(AT81*CZ81,2)*ROUND(1.25,7)),6)</f>
        <v>2.5000000000000001E-2</v>
      </c>
      <c r="DC81">
        <f>ROUND((ROUND(AT81*AG81,2)*ROUND(1.25,7)),6)</f>
        <v>0</v>
      </c>
      <c r="DD81" t="s">
        <v>3</v>
      </c>
      <c r="DE81" t="s">
        <v>3</v>
      </c>
      <c r="DF81">
        <f t="shared" si="51"/>
        <v>0</v>
      </c>
      <c r="DG81">
        <f>ROUND(ROUND(AF81*AJ81,2)*CX81,2)</f>
        <v>0.04</v>
      </c>
      <c r="DH81">
        <f>ROUND(ROUND(AG81*AK81,2)*CX81,2)</f>
        <v>0</v>
      </c>
      <c r="DI81">
        <f t="shared" si="52"/>
        <v>0</v>
      </c>
      <c r="DJ81">
        <f>DG81</f>
        <v>0.04</v>
      </c>
      <c r="DK81">
        <v>0</v>
      </c>
      <c r="DL81" t="s">
        <v>3</v>
      </c>
      <c r="DM81">
        <v>0</v>
      </c>
      <c r="DN81" t="s">
        <v>3</v>
      </c>
      <c r="DO81">
        <v>0</v>
      </c>
    </row>
    <row r="82" spans="1:119" x14ac:dyDescent="0.2">
      <c r="A82">
        <f>ROW(Source!A58)</f>
        <v>58</v>
      </c>
      <c r="B82">
        <v>53360025</v>
      </c>
      <c r="C82">
        <v>53362710</v>
      </c>
      <c r="D82">
        <v>1091150891</v>
      </c>
      <c r="E82">
        <v>1</v>
      </c>
      <c r="F82">
        <v>1</v>
      </c>
      <c r="G82">
        <v>1</v>
      </c>
      <c r="H82">
        <v>2</v>
      </c>
      <c r="I82" t="s">
        <v>353</v>
      </c>
      <c r="J82" t="s">
        <v>354</v>
      </c>
      <c r="K82" t="s">
        <v>355</v>
      </c>
      <c r="L82">
        <v>1367</v>
      </c>
      <c r="N82">
        <v>1011</v>
      </c>
      <c r="O82" t="s">
        <v>330</v>
      </c>
      <c r="P82" t="s">
        <v>330</v>
      </c>
      <c r="Q82">
        <v>1</v>
      </c>
      <c r="W82">
        <v>0</v>
      </c>
      <c r="X82">
        <v>-896236776</v>
      </c>
      <c r="Y82">
        <f>(AT82*ROUND(1.25,7))</f>
        <v>1.2500000000000001E-2</v>
      </c>
      <c r="AA82">
        <v>0</v>
      </c>
      <c r="AB82">
        <v>1297.6600000000001</v>
      </c>
      <c r="AC82">
        <v>395.66</v>
      </c>
      <c r="AD82">
        <v>0</v>
      </c>
      <c r="AE82">
        <v>0</v>
      </c>
      <c r="AF82">
        <v>89.99</v>
      </c>
      <c r="AG82">
        <v>10.06</v>
      </c>
      <c r="AH82">
        <v>0</v>
      </c>
      <c r="AI82">
        <v>1</v>
      </c>
      <c r="AJ82">
        <v>14.42</v>
      </c>
      <c r="AK82">
        <v>39.33</v>
      </c>
      <c r="AL82">
        <v>1</v>
      </c>
      <c r="AM82">
        <v>4</v>
      </c>
      <c r="AN82">
        <v>0</v>
      </c>
      <c r="AO82">
        <v>1</v>
      </c>
      <c r="AP82">
        <v>1</v>
      </c>
      <c r="AQ82">
        <v>0</v>
      </c>
      <c r="AR82">
        <v>0</v>
      </c>
      <c r="AS82" t="s">
        <v>3</v>
      </c>
      <c r="AT82">
        <v>0.01</v>
      </c>
      <c r="AU82" t="s">
        <v>72</v>
      </c>
      <c r="AV82">
        <v>0</v>
      </c>
      <c r="AW82">
        <v>2</v>
      </c>
      <c r="AX82">
        <v>53362725</v>
      </c>
      <c r="AY82">
        <v>1</v>
      </c>
      <c r="AZ82">
        <v>0</v>
      </c>
      <c r="BA82">
        <v>73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CV82">
        <v>0</v>
      </c>
      <c r="CW82">
        <f>ROUND(Y82*Source!I58*DO82,7)</f>
        <v>0</v>
      </c>
      <c r="CX82">
        <f>ROUND(Y82*Source!I58,7)</f>
        <v>1.5E-3</v>
      </c>
      <c r="CY82">
        <f>AB82</f>
        <v>1297.6600000000001</v>
      </c>
      <c r="CZ82">
        <f>AF82</f>
        <v>89.99</v>
      </c>
      <c r="DA82">
        <f>AJ82</f>
        <v>14.42</v>
      </c>
      <c r="DB82">
        <f>ROUND((ROUND(AT82*CZ82,2)*ROUND(1.25,7)),6)</f>
        <v>1.125</v>
      </c>
      <c r="DC82">
        <f>ROUND((ROUND(AT82*AG82,2)*ROUND(1.25,7)),6)</f>
        <v>0.125</v>
      </c>
      <c r="DD82" t="s">
        <v>3</v>
      </c>
      <c r="DE82" t="s">
        <v>3</v>
      </c>
      <c r="DF82">
        <f t="shared" si="51"/>
        <v>0</v>
      </c>
      <c r="DG82">
        <f>ROUND(ROUND(AF82*AJ82,2)*CX82,2)</f>
        <v>1.95</v>
      </c>
      <c r="DH82">
        <f>ROUND(ROUND(AG82*AK82,2)*CX82,2)</f>
        <v>0.59</v>
      </c>
      <c r="DI82">
        <f t="shared" si="52"/>
        <v>0</v>
      </c>
      <c r="DJ82">
        <f>DG82</f>
        <v>1.95</v>
      </c>
      <c r="DK82">
        <v>0</v>
      </c>
      <c r="DL82" t="s">
        <v>3</v>
      </c>
      <c r="DM82">
        <v>0</v>
      </c>
      <c r="DN82" t="s">
        <v>3</v>
      </c>
      <c r="DO82">
        <v>0</v>
      </c>
    </row>
    <row r="83" spans="1:119" x14ac:dyDescent="0.2">
      <c r="A83">
        <f>ROW(Source!A58)</f>
        <v>58</v>
      </c>
      <c r="B83">
        <v>53360025</v>
      </c>
      <c r="C83">
        <v>53362710</v>
      </c>
      <c r="D83">
        <v>1091151703</v>
      </c>
      <c r="E83">
        <v>1</v>
      </c>
      <c r="F83">
        <v>1</v>
      </c>
      <c r="G83">
        <v>1</v>
      </c>
      <c r="H83">
        <v>2</v>
      </c>
      <c r="I83" t="s">
        <v>356</v>
      </c>
      <c r="J83" t="s">
        <v>357</v>
      </c>
      <c r="K83" t="s">
        <v>358</v>
      </c>
      <c r="L83">
        <v>1367</v>
      </c>
      <c r="N83">
        <v>1011</v>
      </c>
      <c r="O83" t="s">
        <v>330</v>
      </c>
      <c r="P83" t="s">
        <v>330</v>
      </c>
      <c r="Q83">
        <v>1</v>
      </c>
      <c r="W83">
        <v>0</v>
      </c>
      <c r="X83">
        <v>509054691</v>
      </c>
      <c r="Y83">
        <f>(AT83*ROUND(1.25,7))</f>
        <v>1.2500000000000001E-2</v>
      </c>
      <c r="AA83">
        <v>0</v>
      </c>
      <c r="AB83">
        <v>947.54</v>
      </c>
      <c r="AC83">
        <v>456.23</v>
      </c>
      <c r="AD83">
        <v>0</v>
      </c>
      <c r="AE83">
        <v>0</v>
      </c>
      <c r="AF83">
        <v>65.709999999999994</v>
      </c>
      <c r="AG83">
        <v>11.6</v>
      </c>
      <c r="AH83">
        <v>0</v>
      </c>
      <c r="AI83">
        <v>1</v>
      </c>
      <c r="AJ83">
        <v>14.42</v>
      </c>
      <c r="AK83">
        <v>39.33</v>
      </c>
      <c r="AL83">
        <v>1</v>
      </c>
      <c r="AM83">
        <v>4</v>
      </c>
      <c r="AN83">
        <v>0</v>
      </c>
      <c r="AO83">
        <v>1</v>
      </c>
      <c r="AP83">
        <v>1</v>
      </c>
      <c r="AQ83">
        <v>0</v>
      </c>
      <c r="AR83">
        <v>0</v>
      </c>
      <c r="AS83" t="s">
        <v>3</v>
      </c>
      <c r="AT83">
        <v>0.01</v>
      </c>
      <c r="AU83" t="s">
        <v>72</v>
      </c>
      <c r="AV83">
        <v>0</v>
      </c>
      <c r="AW83">
        <v>2</v>
      </c>
      <c r="AX83">
        <v>53362726</v>
      </c>
      <c r="AY83">
        <v>1</v>
      </c>
      <c r="AZ83">
        <v>0</v>
      </c>
      <c r="BA83">
        <v>74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CV83">
        <v>0</v>
      </c>
      <c r="CW83">
        <f>ROUND(Y83*Source!I58*DO83,7)</f>
        <v>0</v>
      </c>
      <c r="CX83">
        <f>ROUND(Y83*Source!I58,7)</f>
        <v>1.5E-3</v>
      </c>
      <c r="CY83">
        <f>AB83</f>
        <v>947.54</v>
      </c>
      <c r="CZ83">
        <f>AF83</f>
        <v>65.709999999999994</v>
      </c>
      <c r="DA83">
        <f>AJ83</f>
        <v>14.42</v>
      </c>
      <c r="DB83">
        <f>ROUND((ROUND(AT83*CZ83,2)*ROUND(1.25,7)),6)</f>
        <v>0.82499999999999996</v>
      </c>
      <c r="DC83">
        <f>ROUND((ROUND(AT83*AG83,2)*ROUND(1.25,7)),6)</f>
        <v>0.15</v>
      </c>
      <c r="DD83" t="s">
        <v>3</v>
      </c>
      <c r="DE83" t="s">
        <v>3</v>
      </c>
      <c r="DF83">
        <f t="shared" si="51"/>
        <v>0</v>
      </c>
      <c r="DG83">
        <f>ROUND(ROUND(AF83*AJ83,2)*CX83,2)</f>
        <v>1.42</v>
      </c>
      <c r="DH83">
        <f>ROUND(ROUND(AG83*AK83,2)*CX83,2)</f>
        <v>0.68</v>
      </c>
      <c r="DI83">
        <f t="shared" si="52"/>
        <v>0</v>
      </c>
      <c r="DJ83">
        <f>DG83</f>
        <v>1.42</v>
      </c>
      <c r="DK83">
        <v>0</v>
      </c>
      <c r="DL83" t="s">
        <v>3</v>
      </c>
      <c r="DM83">
        <v>0</v>
      </c>
      <c r="DN83" t="s">
        <v>3</v>
      </c>
      <c r="DO83">
        <v>0</v>
      </c>
    </row>
    <row r="84" spans="1:119" x14ac:dyDescent="0.2">
      <c r="A84">
        <f>ROW(Source!A58)</f>
        <v>58</v>
      </c>
      <c r="B84">
        <v>53360025</v>
      </c>
      <c r="C84">
        <v>53362710</v>
      </c>
      <c r="D84">
        <v>1091152374</v>
      </c>
      <c r="E84">
        <v>1</v>
      </c>
      <c r="F84">
        <v>1</v>
      </c>
      <c r="G84">
        <v>1</v>
      </c>
      <c r="H84">
        <v>2</v>
      </c>
      <c r="I84" t="s">
        <v>430</v>
      </c>
      <c r="J84" t="s">
        <v>431</v>
      </c>
      <c r="K84" t="s">
        <v>432</v>
      </c>
      <c r="L84">
        <v>1367</v>
      </c>
      <c r="N84">
        <v>1011</v>
      </c>
      <c r="O84" t="s">
        <v>330</v>
      </c>
      <c r="P84" t="s">
        <v>330</v>
      </c>
      <c r="Q84">
        <v>1</v>
      </c>
      <c r="W84">
        <v>0</v>
      </c>
      <c r="X84">
        <v>-1745017968</v>
      </c>
      <c r="Y84">
        <f>(AT84*ROUND(1.25,7))</f>
        <v>1.4000000000000001</v>
      </c>
      <c r="AA84">
        <v>0</v>
      </c>
      <c r="AB84">
        <v>98.34</v>
      </c>
      <c r="AC84">
        <v>0</v>
      </c>
      <c r="AD84">
        <v>0</v>
      </c>
      <c r="AE84">
        <v>0</v>
      </c>
      <c r="AF84">
        <v>6.82</v>
      </c>
      <c r="AG84">
        <v>0</v>
      </c>
      <c r="AH84">
        <v>0</v>
      </c>
      <c r="AI84">
        <v>1</v>
      </c>
      <c r="AJ84">
        <v>14.42</v>
      </c>
      <c r="AK84">
        <v>39.33</v>
      </c>
      <c r="AL84">
        <v>1</v>
      </c>
      <c r="AM84">
        <v>4</v>
      </c>
      <c r="AN84">
        <v>0</v>
      </c>
      <c r="AO84">
        <v>1</v>
      </c>
      <c r="AP84">
        <v>1</v>
      </c>
      <c r="AQ84">
        <v>0</v>
      </c>
      <c r="AR84">
        <v>0</v>
      </c>
      <c r="AS84" t="s">
        <v>3</v>
      </c>
      <c r="AT84">
        <v>1.1200000000000001</v>
      </c>
      <c r="AU84" t="s">
        <v>72</v>
      </c>
      <c r="AV84">
        <v>0</v>
      </c>
      <c r="AW84">
        <v>2</v>
      </c>
      <c r="AX84">
        <v>53362727</v>
      </c>
      <c r="AY84">
        <v>1</v>
      </c>
      <c r="AZ84">
        <v>0</v>
      </c>
      <c r="BA84">
        <v>75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CV84">
        <v>0</v>
      </c>
      <c r="CW84">
        <f>ROUND(Y84*Source!I58*DO84,7)</f>
        <v>0</v>
      </c>
      <c r="CX84">
        <f>ROUND(Y84*Source!I58,7)</f>
        <v>0.16800000000000001</v>
      </c>
      <c r="CY84">
        <f>AB84</f>
        <v>98.34</v>
      </c>
      <c r="CZ84">
        <f>AF84</f>
        <v>6.82</v>
      </c>
      <c r="DA84">
        <f>AJ84</f>
        <v>14.42</v>
      </c>
      <c r="DB84">
        <f>ROUND((ROUND(AT84*CZ84,2)*ROUND(1.25,7)),6)</f>
        <v>9.5500000000000007</v>
      </c>
      <c r="DC84">
        <f>ROUND((ROUND(AT84*AG84,2)*ROUND(1.25,7)),6)</f>
        <v>0</v>
      </c>
      <c r="DD84" t="s">
        <v>3</v>
      </c>
      <c r="DE84" t="s">
        <v>3</v>
      </c>
      <c r="DF84">
        <f t="shared" si="51"/>
        <v>0</v>
      </c>
      <c r="DG84">
        <f>ROUND(ROUND(AF84*AJ84,2)*CX84,2)</f>
        <v>16.52</v>
      </c>
      <c r="DH84">
        <f>ROUND(ROUND(AG84*AK84,2)*CX84,2)</f>
        <v>0</v>
      </c>
      <c r="DI84">
        <f t="shared" si="52"/>
        <v>0</v>
      </c>
      <c r="DJ84">
        <f>DG84</f>
        <v>16.52</v>
      </c>
      <c r="DK84">
        <v>0</v>
      </c>
      <c r="DL84" t="s">
        <v>3</v>
      </c>
      <c r="DM84">
        <v>0</v>
      </c>
      <c r="DN84" t="s">
        <v>3</v>
      </c>
      <c r="DO84">
        <v>0</v>
      </c>
    </row>
    <row r="85" spans="1:119" x14ac:dyDescent="0.2">
      <c r="A85">
        <f>ROW(Source!A58)</f>
        <v>58</v>
      </c>
      <c r="B85">
        <v>53360025</v>
      </c>
      <c r="C85">
        <v>53362710</v>
      </c>
      <c r="D85">
        <v>1090991451</v>
      </c>
      <c r="E85">
        <v>1</v>
      </c>
      <c r="F85">
        <v>1</v>
      </c>
      <c r="G85">
        <v>1</v>
      </c>
      <c r="H85">
        <v>3</v>
      </c>
      <c r="I85" t="s">
        <v>181</v>
      </c>
      <c r="J85" t="s">
        <v>183</v>
      </c>
      <c r="K85" t="s">
        <v>182</v>
      </c>
      <c r="L85">
        <v>1346</v>
      </c>
      <c r="N85">
        <v>1009</v>
      </c>
      <c r="O85" t="s">
        <v>110</v>
      </c>
      <c r="P85" t="s">
        <v>110</v>
      </c>
      <c r="Q85">
        <v>1</v>
      </c>
      <c r="W85">
        <v>0</v>
      </c>
      <c r="X85">
        <v>-1740917497</v>
      </c>
      <c r="Y85">
        <f>AT85</f>
        <v>0</v>
      </c>
      <c r="AA85">
        <v>1483.31</v>
      </c>
      <c r="AB85">
        <v>0</v>
      </c>
      <c r="AC85">
        <v>0</v>
      </c>
      <c r="AD85">
        <v>0</v>
      </c>
      <c r="AE85">
        <v>168.75</v>
      </c>
      <c r="AF85">
        <v>0</v>
      </c>
      <c r="AG85">
        <v>0</v>
      </c>
      <c r="AH85">
        <v>0</v>
      </c>
      <c r="AI85">
        <v>8.7899999999999991</v>
      </c>
      <c r="AJ85">
        <v>1</v>
      </c>
      <c r="AK85">
        <v>1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 t="s">
        <v>3</v>
      </c>
      <c r="AT85">
        <v>0</v>
      </c>
      <c r="AU85" t="s">
        <v>3</v>
      </c>
      <c r="AV85">
        <v>0</v>
      </c>
      <c r="AW85">
        <v>1</v>
      </c>
      <c r="AX85">
        <v>-1</v>
      </c>
      <c r="AY85">
        <v>0</v>
      </c>
      <c r="AZ85">
        <v>0</v>
      </c>
      <c r="BA85" t="s">
        <v>3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CV85">
        <v>0</v>
      </c>
      <c r="CW85">
        <v>0</v>
      </c>
      <c r="CX85">
        <f>ROUND(Y85*Source!I58,7)</f>
        <v>0</v>
      </c>
      <c r="CY85">
        <f>AA85</f>
        <v>1483.31</v>
      </c>
      <c r="CZ85">
        <f>AE85</f>
        <v>168.75</v>
      </c>
      <c r="DA85">
        <f>AI85</f>
        <v>8.7899999999999991</v>
      </c>
      <c r="DB85">
        <f>ROUND(ROUND(AT85*CZ85,2),6)</f>
        <v>0</v>
      </c>
      <c r="DC85">
        <f>ROUND(ROUND(AT85*AG85,2),6)</f>
        <v>0</v>
      </c>
      <c r="DD85" t="s">
        <v>3</v>
      </c>
      <c r="DE85" t="s">
        <v>3</v>
      </c>
      <c r="DF85">
        <f>ROUND(ROUND(AE85*AI85,2)*CX85,2)</f>
        <v>0</v>
      </c>
      <c r="DG85">
        <f t="shared" ref="DG85:DG91" si="53">ROUND(ROUND(AF85,2)*CX85,2)</f>
        <v>0</v>
      </c>
      <c r="DH85">
        <f t="shared" ref="DH85:DH90" si="54">ROUND(ROUND(AG85,2)*CX85,2)</f>
        <v>0</v>
      </c>
      <c r="DI85">
        <f t="shared" si="52"/>
        <v>0</v>
      </c>
      <c r="DJ85">
        <f>DF85</f>
        <v>0</v>
      </c>
      <c r="DK85">
        <v>0</v>
      </c>
      <c r="DL85" t="s">
        <v>3</v>
      </c>
      <c r="DM85">
        <v>0</v>
      </c>
      <c r="DN85" t="s">
        <v>3</v>
      </c>
      <c r="DO85">
        <v>0</v>
      </c>
    </row>
    <row r="86" spans="1:119" x14ac:dyDescent="0.2">
      <c r="A86">
        <f>ROW(Source!A58)</f>
        <v>58</v>
      </c>
      <c r="B86">
        <v>53360025</v>
      </c>
      <c r="C86">
        <v>53362710</v>
      </c>
      <c r="D86">
        <v>1090991461</v>
      </c>
      <c r="E86">
        <v>1</v>
      </c>
      <c r="F86">
        <v>1</v>
      </c>
      <c r="G86">
        <v>1</v>
      </c>
      <c r="H86">
        <v>3</v>
      </c>
      <c r="I86" t="s">
        <v>185</v>
      </c>
      <c r="J86" t="s">
        <v>187</v>
      </c>
      <c r="K86" t="s">
        <v>186</v>
      </c>
      <c r="L86">
        <v>1348</v>
      </c>
      <c r="N86">
        <v>1009</v>
      </c>
      <c r="O86" t="s">
        <v>32</v>
      </c>
      <c r="P86" t="s">
        <v>32</v>
      </c>
      <c r="Q86">
        <v>1000</v>
      </c>
      <c r="W86">
        <v>0</v>
      </c>
      <c r="X86">
        <v>748289543</v>
      </c>
      <c r="Y86">
        <f>AT86</f>
        <v>0</v>
      </c>
      <c r="AA86">
        <v>591918.6</v>
      </c>
      <c r="AB86">
        <v>0</v>
      </c>
      <c r="AC86">
        <v>0</v>
      </c>
      <c r="AD86">
        <v>0</v>
      </c>
      <c r="AE86">
        <v>67340</v>
      </c>
      <c r="AF86">
        <v>0</v>
      </c>
      <c r="AG86">
        <v>0</v>
      </c>
      <c r="AH86">
        <v>0</v>
      </c>
      <c r="AI86">
        <v>8.7899999999999991</v>
      </c>
      <c r="AJ86">
        <v>1</v>
      </c>
      <c r="AK86">
        <v>1</v>
      </c>
      <c r="AL86">
        <v>1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 t="s">
        <v>3</v>
      </c>
      <c r="AT86">
        <v>0</v>
      </c>
      <c r="AU86" t="s">
        <v>3</v>
      </c>
      <c r="AV86">
        <v>0</v>
      </c>
      <c r="AW86">
        <v>1</v>
      </c>
      <c r="AX86">
        <v>-1</v>
      </c>
      <c r="AY86">
        <v>0</v>
      </c>
      <c r="AZ86">
        <v>0</v>
      </c>
      <c r="BA86" t="s">
        <v>3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CV86">
        <v>0</v>
      </c>
      <c r="CW86">
        <v>0</v>
      </c>
      <c r="CX86">
        <f>ROUND(Y86*Source!I58,7)</f>
        <v>0</v>
      </c>
      <c r="CY86">
        <f>AA86</f>
        <v>591918.6</v>
      </c>
      <c r="CZ86">
        <f>AE86</f>
        <v>67340</v>
      </c>
      <c r="DA86">
        <f>AI86</f>
        <v>8.7899999999999991</v>
      </c>
      <c r="DB86">
        <f>ROUND(ROUND(AT86*CZ86,2),6)</f>
        <v>0</v>
      </c>
      <c r="DC86">
        <f>ROUND(ROUND(AT86*AG86,2),6)</f>
        <v>0</v>
      </c>
      <c r="DD86" t="s">
        <v>3</v>
      </c>
      <c r="DE86" t="s">
        <v>3</v>
      </c>
      <c r="DF86">
        <f>ROUND(ROUND(AE86*AI86,2)*CX86,2)</f>
        <v>0</v>
      </c>
      <c r="DG86">
        <f t="shared" si="53"/>
        <v>0</v>
      </c>
      <c r="DH86">
        <f t="shared" si="54"/>
        <v>0</v>
      </c>
      <c r="DI86">
        <f t="shared" si="52"/>
        <v>0</v>
      </c>
      <c r="DJ86">
        <f>DF86</f>
        <v>0</v>
      </c>
      <c r="DK86">
        <v>0</v>
      </c>
      <c r="DL86" t="s">
        <v>3</v>
      </c>
      <c r="DM86">
        <v>0</v>
      </c>
      <c r="DN86" t="s">
        <v>3</v>
      </c>
      <c r="DO86">
        <v>0</v>
      </c>
    </row>
    <row r="87" spans="1:119" x14ac:dyDescent="0.2">
      <c r="A87">
        <f>ROW(Source!A58)</f>
        <v>58</v>
      </c>
      <c r="B87">
        <v>53360025</v>
      </c>
      <c r="C87">
        <v>53362710</v>
      </c>
      <c r="D87">
        <v>1090991463</v>
      </c>
      <c r="E87">
        <v>1</v>
      </c>
      <c r="F87">
        <v>1</v>
      </c>
      <c r="G87">
        <v>1</v>
      </c>
      <c r="H87">
        <v>3</v>
      </c>
      <c r="I87" t="s">
        <v>433</v>
      </c>
      <c r="J87" t="s">
        <v>434</v>
      </c>
      <c r="K87" t="s">
        <v>435</v>
      </c>
      <c r="L87">
        <v>1348</v>
      </c>
      <c r="N87">
        <v>1009</v>
      </c>
      <c r="O87" t="s">
        <v>32</v>
      </c>
      <c r="P87" t="s">
        <v>32</v>
      </c>
      <c r="Q87">
        <v>1000</v>
      </c>
      <c r="W87">
        <v>0</v>
      </c>
      <c r="X87">
        <v>-1217403070</v>
      </c>
      <c r="Y87">
        <f>AT87</f>
        <v>0.02</v>
      </c>
      <c r="AA87">
        <v>468682.8</v>
      </c>
      <c r="AB87">
        <v>0</v>
      </c>
      <c r="AC87">
        <v>0</v>
      </c>
      <c r="AD87">
        <v>0</v>
      </c>
      <c r="AE87">
        <v>53320</v>
      </c>
      <c r="AF87">
        <v>0</v>
      </c>
      <c r="AG87">
        <v>0</v>
      </c>
      <c r="AH87">
        <v>0</v>
      </c>
      <c r="AI87">
        <v>8.7899999999999991</v>
      </c>
      <c r="AJ87">
        <v>1</v>
      </c>
      <c r="AK87">
        <v>1</v>
      </c>
      <c r="AL87">
        <v>1</v>
      </c>
      <c r="AM87">
        <v>4</v>
      </c>
      <c r="AN87">
        <v>0</v>
      </c>
      <c r="AO87">
        <v>1</v>
      </c>
      <c r="AP87">
        <v>0</v>
      </c>
      <c r="AQ87">
        <v>0</v>
      </c>
      <c r="AR87">
        <v>0</v>
      </c>
      <c r="AS87" t="s">
        <v>3</v>
      </c>
      <c r="AT87">
        <v>0.02</v>
      </c>
      <c r="AU87" t="s">
        <v>3</v>
      </c>
      <c r="AV87">
        <v>0</v>
      </c>
      <c r="AW87">
        <v>2</v>
      </c>
      <c r="AX87">
        <v>53362728</v>
      </c>
      <c r="AY87">
        <v>1</v>
      </c>
      <c r="AZ87">
        <v>0</v>
      </c>
      <c r="BA87">
        <v>76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CV87">
        <v>0</v>
      </c>
      <c r="CW87">
        <v>0</v>
      </c>
      <c r="CX87">
        <f>ROUND(Y87*Source!I58,7)</f>
        <v>2.3999999999999998E-3</v>
      </c>
      <c r="CY87">
        <f>AA87</f>
        <v>468682.8</v>
      </c>
      <c r="CZ87">
        <f>AE87</f>
        <v>53320</v>
      </c>
      <c r="DA87">
        <f>AI87</f>
        <v>8.7899999999999991</v>
      </c>
      <c r="DB87">
        <f>ROUND(ROUND(AT87*CZ87,2),6)</f>
        <v>1066.4000000000001</v>
      </c>
      <c r="DC87">
        <f>ROUND(ROUND(AT87*AG87,2),6)</f>
        <v>0</v>
      </c>
      <c r="DD87" t="s">
        <v>3</v>
      </c>
      <c r="DE87" t="s">
        <v>3</v>
      </c>
      <c r="DF87">
        <f>ROUND(ROUND(AE87*AI87,2)*CX87,2)</f>
        <v>1124.8399999999999</v>
      </c>
      <c r="DG87">
        <f t="shared" si="53"/>
        <v>0</v>
      </c>
      <c r="DH87">
        <f t="shared" si="54"/>
        <v>0</v>
      </c>
      <c r="DI87">
        <f t="shared" si="52"/>
        <v>0</v>
      </c>
      <c r="DJ87">
        <f>DF87</f>
        <v>1124.8399999999999</v>
      </c>
      <c r="DK87">
        <v>0</v>
      </c>
      <c r="DL87" t="s">
        <v>3</v>
      </c>
      <c r="DM87">
        <v>0</v>
      </c>
      <c r="DN87" t="s">
        <v>3</v>
      </c>
      <c r="DO87">
        <v>0</v>
      </c>
    </row>
    <row r="88" spans="1:119" x14ac:dyDescent="0.2">
      <c r="A88">
        <f>ROW(Source!A58)</f>
        <v>58</v>
      </c>
      <c r="B88">
        <v>53360025</v>
      </c>
      <c r="C88">
        <v>53362710</v>
      </c>
      <c r="D88">
        <v>1090992472</v>
      </c>
      <c r="E88">
        <v>1</v>
      </c>
      <c r="F88">
        <v>1</v>
      </c>
      <c r="G88">
        <v>1</v>
      </c>
      <c r="H88">
        <v>3</v>
      </c>
      <c r="I88" t="s">
        <v>436</v>
      </c>
      <c r="J88" t="s">
        <v>437</v>
      </c>
      <c r="K88" t="s">
        <v>438</v>
      </c>
      <c r="L88">
        <v>1348</v>
      </c>
      <c r="N88">
        <v>1009</v>
      </c>
      <c r="O88" t="s">
        <v>32</v>
      </c>
      <c r="P88" t="s">
        <v>32</v>
      </c>
      <c r="Q88">
        <v>1000</v>
      </c>
      <c r="W88">
        <v>0</v>
      </c>
      <c r="X88">
        <v>-1709569930</v>
      </c>
      <c r="Y88">
        <f>AT88</f>
        <v>2E-3</v>
      </c>
      <c r="AA88">
        <v>596594.88</v>
      </c>
      <c r="AB88">
        <v>0</v>
      </c>
      <c r="AC88">
        <v>0</v>
      </c>
      <c r="AD88">
        <v>0</v>
      </c>
      <c r="AE88">
        <v>67872</v>
      </c>
      <c r="AF88">
        <v>0</v>
      </c>
      <c r="AG88">
        <v>0</v>
      </c>
      <c r="AH88">
        <v>0</v>
      </c>
      <c r="AI88">
        <v>8.7899999999999991</v>
      </c>
      <c r="AJ88">
        <v>1</v>
      </c>
      <c r="AK88">
        <v>1</v>
      </c>
      <c r="AL88">
        <v>1</v>
      </c>
      <c r="AM88">
        <v>4</v>
      </c>
      <c r="AN88">
        <v>0</v>
      </c>
      <c r="AO88">
        <v>1</v>
      </c>
      <c r="AP88">
        <v>0</v>
      </c>
      <c r="AQ88">
        <v>0</v>
      </c>
      <c r="AR88">
        <v>0</v>
      </c>
      <c r="AS88" t="s">
        <v>3</v>
      </c>
      <c r="AT88">
        <v>2E-3</v>
      </c>
      <c r="AU88" t="s">
        <v>3</v>
      </c>
      <c r="AV88">
        <v>0</v>
      </c>
      <c r="AW88">
        <v>2</v>
      </c>
      <c r="AX88">
        <v>53362729</v>
      </c>
      <c r="AY88">
        <v>1</v>
      </c>
      <c r="AZ88">
        <v>0</v>
      </c>
      <c r="BA88">
        <v>77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CV88">
        <v>0</v>
      </c>
      <c r="CW88">
        <v>0</v>
      </c>
      <c r="CX88">
        <f>ROUND(Y88*Source!I58,7)</f>
        <v>2.4000000000000001E-4</v>
      </c>
      <c r="CY88">
        <f>AA88</f>
        <v>596594.88</v>
      </c>
      <c r="CZ88">
        <f>AE88</f>
        <v>67872</v>
      </c>
      <c r="DA88">
        <f>AI88</f>
        <v>8.7899999999999991</v>
      </c>
      <c r="DB88">
        <f>ROUND(ROUND(AT88*CZ88,2),6)</f>
        <v>135.74</v>
      </c>
      <c r="DC88">
        <f>ROUND(ROUND(AT88*AG88,2),6)</f>
        <v>0</v>
      </c>
      <c r="DD88" t="s">
        <v>3</v>
      </c>
      <c r="DE88" t="s">
        <v>3</v>
      </c>
      <c r="DF88">
        <f>ROUND(ROUND(AE88*AI88,2)*CX88,2)</f>
        <v>143.18</v>
      </c>
      <c r="DG88">
        <f t="shared" si="53"/>
        <v>0</v>
      </c>
      <c r="DH88">
        <f t="shared" si="54"/>
        <v>0</v>
      </c>
      <c r="DI88">
        <f t="shared" si="52"/>
        <v>0</v>
      </c>
      <c r="DJ88">
        <f>DF88</f>
        <v>143.18</v>
      </c>
      <c r="DK88">
        <v>0</v>
      </c>
      <c r="DL88" t="s">
        <v>3</v>
      </c>
      <c r="DM88">
        <v>0</v>
      </c>
      <c r="DN88" t="s">
        <v>3</v>
      </c>
      <c r="DO88">
        <v>0</v>
      </c>
    </row>
    <row r="89" spans="1:119" x14ac:dyDescent="0.2">
      <c r="A89">
        <f>ROW(Source!A58)</f>
        <v>58</v>
      </c>
      <c r="B89">
        <v>53360025</v>
      </c>
      <c r="C89">
        <v>53362710</v>
      </c>
      <c r="D89">
        <v>1090992513</v>
      </c>
      <c r="E89">
        <v>1</v>
      </c>
      <c r="F89">
        <v>1</v>
      </c>
      <c r="G89">
        <v>1</v>
      </c>
      <c r="H89">
        <v>3</v>
      </c>
      <c r="I89" t="s">
        <v>439</v>
      </c>
      <c r="J89" t="s">
        <v>440</v>
      </c>
      <c r="K89" t="s">
        <v>441</v>
      </c>
      <c r="L89">
        <v>1348</v>
      </c>
      <c r="N89">
        <v>1009</v>
      </c>
      <c r="O89" t="s">
        <v>32</v>
      </c>
      <c r="P89" t="s">
        <v>32</v>
      </c>
      <c r="Q89">
        <v>1000</v>
      </c>
      <c r="W89">
        <v>0</v>
      </c>
      <c r="X89">
        <v>-1250693108</v>
      </c>
      <c r="Y89">
        <f>AT89</f>
        <v>3.0000000000000001E-3</v>
      </c>
      <c r="AA89">
        <v>91987.35</v>
      </c>
      <c r="AB89">
        <v>0</v>
      </c>
      <c r="AC89">
        <v>0</v>
      </c>
      <c r="AD89">
        <v>0</v>
      </c>
      <c r="AE89">
        <v>10465</v>
      </c>
      <c r="AF89">
        <v>0</v>
      </c>
      <c r="AG89">
        <v>0</v>
      </c>
      <c r="AH89">
        <v>0</v>
      </c>
      <c r="AI89">
        <v>8.7899999999999991</v>
      </c>
      <c r="AJ89">
        <v>1</v>
      </c>
      <c r="AK89">
        <v>1</v>
      </c>
      <c r="AL89">
        <v>1</v>
      </c>
      <c r="AM89">
        <v>4</v>
      </c>
      <c r="AN89">
        <v>0</v>
      </c>
      <c r="AO89">
        <v>1</v>
      </c>
      <c r="AP89">
        <v>0</v>
      </c>
      <c r="AQ89">
        <v>0</v>
      </c>
      <c r="AR89">
        <v>0</v>
      </c>
      <c r="AS89" t="s">
        <v>3</v>
      </c>
      <c r="AT89">
        <v>3.0000000000000001E-3</v>
      </c>
      <c r="AU89" t="s">
        <v>3</v>
      </c>
      <c r="AV89">
        <v>0</v>
      </c>
      <c r="AW89">
        <v>2</v>
      </c>
      <c r="AX89">
        <v>53362730</v>
      </c>
      <c r="AY89">
        <v>1</v>
      </c>
      <c r="AZ89">
        <v>0</v>
      </c>
      <c r="BA89">
        <v>78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CV89">
        <v>0</v>
      </c>
      <c r="CW89">
        <v>0</v>
      </c>
      <c r="CX89">
        <f>ROUND(Y89*Source!I58,7)</f>
        <v>3.6000000000000002E-4</v>
      </c>
      <c r="CY89">
        <f>AA89</f>
        <v>91987.35</v>
      </c>
      <c r="CZ89">
        <f>AE89</f>
        <v>10465</v>
      </c>
      <c r="DA89">
        <f>AI89</f>
        <v>8.7899999999999991</v>
      </c>
      <c r="DB89">
        <f>ROUND(ROUND(AT89*CZ89,2),6)</f>
        <v>31.4</v>
      </c>
      <c r="DC89">
        <f>ROUND(ROUND(AT89*AG89,2),6)</f>
        <v>0</v>
      </c>
      <c r="DD89" t="s">
        <v>3</v>
      </c>
      <c r="DE89" t="s">
        <v>3</v>
      </c>
      <c r="DF89">
        <f>ROUND(ROUND(AE89*AI89,2)*CX89,2)</f>
        <v>33.119999999999997</v>
      </c>
      <c r="DG89">
        <f t="shared" si="53"/>
        <v>0</v>
      </c>
      <c r="DH89">
        <f t="shared" si="54"/>
        <v>0</v>
      </c>
      <c r="DI89">
        <f t="shared" si="52"/>
        <v>0</v>
      </c>
      <c r="DJ89">
        <f>DF89</f>
        <v>33.119999999999997</v>
      </c>
      <c r="DK89">
        <v>0</v>
      </c>
      <c r="DL89" t="s">
        <v>3</v>
      </c>
      <c r="DM89">
        <v>0</v>
      </c>
      <c r="DN89" t="s">
        <v>3</v>
      </c>
      <c r="DO89">
        <v>0</v>
      </c>
    </row>
    <row r="90" spans="1:119" x14ac:dyDescent="0.2">
      <c r="A90">
        <f>ROW(Source!A61)</f>
        <v>61</v>
      </c>
      <c r="B90">
        <v>53360025</v>
      </c>
      <c r="C90">
        <v>53362733</v>
      </c>
      <c r="D90">
        <v>37064928</v>
      </c>
      <c r="E90">
        <v>70</v>
      </c>
      <c r="F90">
        <v>1</v>
      </c>
      <c r="G90">
        <v>1</v>
      </c>
      <c r="H90">
        <v>1</v>
      </c>
      <c r="I90" t="s">
        <v>442</v>
      </c>
      <c r="J90" t="s">
        <v>3</v>
      </c>
      <c r="K90" t="s">
        <v>443</v>
      </c>
      <c r="L90">
        <v>1191</v>
      </c>
      <c r="N90">
        <v>1013</v>
      </c>
      <c r="O90" t="s">
        <v>324</v>
      </c>
      <c r="P90" t="s">
        <v>324</v>
      </c>
      <c r="Q90">
        <v>1</v>
      </c>
      <c r="W90">
        <v>0</v>
      </c>
      <c r="X90">
        <v>1893946532</v>
      </c>
      <c r="Y90">
        <f>(AT90*ROUND(1.15,7))</f>
        <v>3.1969999999999996</v>
      </c>
      <c r="AA90">
        <v>0</v>
      </c>
      <c r="AB90">
        <v>0</v>
      </c>
      <c r="AC90">
        <v>0</v>
      </c>
      <c r="AD90">
        <v>356.72</v>
      </c>
      <c r="AE90">
        <v>0</v>
      </c>
      <c r="AF90">
        <v>0</v>
      </c>
      <c r="AG90">
        <v>0</v>
      </c>
      <c r="AH90">
        <v>9.07</v>
      </c>
      <c r="AI90">
        <v>1</v>
      </c>
      <c r="AJ90">
        <v>1</v>
      </c>
      <c r="AK90">
        <v>1</v>
      </c>
      <c r="AL90">
        <v>39.33</v>
      </c>
      <c r="AM90">
        <v>4</v>
      </c>
      <c r="AN90">
        <v>0</v>
      </c>
      <c r="AO90">
        <v>1</v>
      </c>
      <c r="AP90">
        <v>1</v>
      </c>
      <c r="AQ90">
        <v>0</v>
      </c>
      <c r="AR90">
        <v>0</v>
      </c>
      <c r="AS90" t="s">
        <v>3</v>
      </c>
      <c r="AT90">
        <v>2.78</v>
      </c>
      <c r="AU90" t="s">
        <v>73</v>
      </c>
      <c r="AV90">
        <v>1</v>
      </c>
      <c r="AW90">
        <v>2</v>
      </c>
      <c r="AX90">
        <v>53362744</v>
      </c>
      <c r="AY90">
        <v>1</v>
      </c>
      <c r="AZ90">
        <v>0</v>
      </c>
      <c r="BA90">
        <v>79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CU90">
        <f>ROUND(AT90*Source!I61*AH90*AL90,2)</f>
        <v>119</v>
      </c>
      <c r="CV90">
        <f>ROUND(Y90*Source!I61,7)</f>
        <v>0.38363999999999998</v>
      </c>
      <c r="CW90">
        <v>0</v>
      </c>
      <c r="CX90">
        <f>ROUND(Y90*Source!I61,7)</f>
        <v>0.38363999999999998</v>
      </c>
      <c r="CY90">
        <f>AD90</f>
        <v>356.72</v>
      </c>
      <c r="CZ90">
        <f>AH90</f>
        <v>9.07</v>
      </c>
      <c r="DA90">
        <f>AL90</f>
        <v>39.33</v>
      </c>
      <c r="DB90">
        <f>ROUND((ROUND(AT90*CZ90,2)*ROUND(1.15,7)),6)</f>
        <v>28.991499999999998</v>
      </c>
      <c r="DC90">
        <f>ROUND((ROUND(AT90*AG90,2)*ROUND(1.15,7)),6)</f>
        <v>0</v>
      </c>
      <c r="DD90" t="s">
        <v>3</v>
      </c>
      <c r="DE90" t="s">
        <v>3</v>
      </c>
      <c r="DF90">
        <f t="shared" ref="DF90:DF95" si="55">ROUND(ROUND(AE90,2)*CX90,2)</f>
        <v>0</v>
      </c>
      <c r="DG90">
        <f t="shared" si="53"/>
        <v>0</v>
      </c>
      <c r="DH90">
        <f t="shared" si="54"/>
        <v>0</v>
      </c>
      <c r="DI90">
        <f>ROUND(ROUND(AH90*AL90,2)*CX90,2)</f>
        <v>136.85</v>
      </c>
      <c r="DJ90">
        <f>DI90</f>
        <v>136.85</v>
      </c>
      <c r="DK90">
        <v>0</v>
      </c>
      <c r="DL90" t="s">
        <v>3</v>
      </c>
      <c r="DM90">
        <v>0</v>
      </c>
      <c r="DN90" t="s">
        <v>3</v>
      </c>
      <c r="DO90">
        <v>0</v>
      </c>
    </row>
    <row r="91" spans="1:119" x14ac:dyDescent="0.2">
      <c r="A91">
        <f>ROW(Source!A61)</f>
        <v>61</v>
      </c>
      <c r="B91">
        <v>53360025</v>
      </c>
      <c r="C91">
        <v>53362733</v>
      </c>
      <c r="D91">
        <v>37064876</v>
      </c>
      <c r="E91">
        <v>70</v>
      </c>
      <c r="F91">
        <v>1</v>
      </c>
      <c r="G91">
        <v>1</v>
      </c>
      <c r="H91">
        <v>1</v>
      </c>
      <c r="I91" t="s">
        <v>325</v>
      </c>
      <c r="J91" t="s">
        <v>3</v>
      </c>
      <c r="K91" t="s">
        <v>326</v>
      </c>
      <c r="L91">
        <v>1191</v>
      </c>
      <c r="N91">
        <v>1013</v>
      </c>
      <c r="O91" t="s">
        <v>324</v>
      </c>
      <c r="P91" t="s">
        <v>324</v>
      </c>
      <c r="Q91">
        <v>1</v>
      </c>
      <c r="W91">
        <v>0</v>
      </c>
      <c r="X91">
        <v>-1417349443</v>
      </c>
      <c r="Y91">
        <f>(AT91*ROUND(1.25,7))</f>
        <v>0.05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1</v>
      </c>
      <c r="AK91">
        <v>39.33</v>
      </c>
      <c r="AL91">
        <v>1</v>
      </c>
      <c r="AM91">
        <v>4</v>
      </c>
      <c r="AN91">
        <v>0</v>
      </c>
      <c r="AO91">
        <v>1</v>
      </c>
      <c r="AP91">
        <v>1</v>
      </c>
      <c r="AQ91">
        <v>0</v>
      </c>
      <c r="AR91">
        <v>0</v>
      </c>
      <c r="AS91" t="s">
        <v>3</v>
      </c>
      <c r="AT91">
        <v>0.04</v>
      </c>
      <c r="AU91" t="s">
        <v>72</v>
      </c>
      <c r="AV91">
        <v>2</v>
      </c>
      <c r="AW91">
        <v>2</v>
      </c>
      <c r="AX91">
        <v>53362745</v>
      </c>
      <c r="AY91">
        <v>1</v>
      </c>
      <c r="AZ91">
        <v>0</v>
      </c>
      <c r="BA91">
        <v>80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CV91">
        <v>0</v>
      </c>
      <c r="CW91">
        <v>0</v>
      </c>
      <c r="CX91">
        <f>ROUND(Y91*Source!I61,7)</f>
        <v>6.0000000000000001E-3</v>
      </c>
      <c r="CY91">
        <f>AD91</f>
        <v>0</v>
      </c>
      <c r="CZ91">
        <f>AH91</f>
        <v>0</v>
      </c>
      <c r="DA91">
        <f>AL91</f>
        <v>1</v>
      </c>
      <c r="DB91">
        <f>ROUND((ROUND(AT91*CZ91,2)*ROUND(1.25,7)),6)</f>
        <v>0</v>
      </c>
      <c r="DC91">
        <f>ROUND((ROUND(AT91*AG91,2)*ROUND(1.25,7)),6)</f>
        <v>0</v>
      </c>
      <c r="DD91" t="s">
        <v>3</v>
      </c>
      <c r="DE91" t="s">
        <v>3</v>
      </c>
      <c r="DF91">
        <f t="shared" si="55"/>
        <v>0</v>
      </c>
      <c r="DG91">
        <f t="shared" si="53"/>
        <v>0</v>
      </c>
      <c r="DH91">
        <f>ROUND(ROUND(AG91*AK91,2)*CX91,2)</f>
        <v>0</v>
      </c>
      <c r="DI91">
        <f t="shared" ref="DI91:DI99" si="56">ROUND(ROUND(AH91,2)*CX91,2)</f>
        <v>0</v>
      </c>
      <c r="DJ91">
        <f>DI91</f>
        <v>0</v>
      </c>
      <c r="DK91">
        <v>0</v>
      </c>
      <c r="DL91" t="s">
        <v>3</v>
      </c>
      <c r="DM91">
        <v>0</v>
      </c>
      <c r="DN91" t="s">
        <v>3</v>
      </c>
      <c r="DO91">
        <v>0</v>
      </c>
    </row>
    <row r="92" spans="1:119" x14ac:dyDescent="0.2">
      <c r="A92">
        <f>ROW(Source!A61)</f>
        <v>61</v>
      </c>
      <c r="B92">
        <v>53360025</v>
      </c>
      <c r="C92">
        <v>53362733</v>
      </c>
      <c r="D92">
        <v>1091150871</v>
      </c>
      <c r="E92">
        <v>1</v>
      </c>
      <c r="F92">
        <v>1</v>
      </c>
      <c r="G92">
        <v>1</v>
      </c>
      <c r="H92">
        <v>2</v>
      </c>
      <c r="I92" t="s">
        <v>427</v>
      </c>
      <c r="J92" t="s">
        <v>428</v>
      </c>
      <c r="K92" t="s">
        <v>429</v>
      </c>
      <c r="L92">
        <v>1367</v>
      </c>
      <c r="N92">
        <v>1011</v>
      </c>
      <c r="O92" t="s">
        <v>330</v>
      </c>
      <c r="P92" t="s">
        <v>330</v>
      </c>
      <c r="Q92">
        <v>1</v>
      </c>
      <c r="W92">
        <v>0</v>
      </c>
      <c r="X92">
        <v>208619310</v>
      </c>
      <c r="Y92">
        <f>(AT92*ROUND(1.25,7))</f>
        <v>1.2500000000000001E-2</v>
      </c>
      <c r="AA92">
        <v>0</v>
      </c>
      <c r="AB92">
        <v>24.51</v>
      </c>
      <c r="AC92">
        <v>0</v>
      </c>
      <c r="AD92">
        <v>0</v>
      </c>
      <c r="AE92">
        <v>0</v>
      </c>
      <c r="AF92">
        <v>1.7</v>
      </c>
      <c r="AG92">
        <v>0</v>
      </c>
      <c r="AH92">
        <v>0</v>
      </c>
      <c r="AI92">
        <v>1</v>
      </c>
      <c r="AJ92">
        <v>14.42</v>
      </c>
      <c r="AK92">
        <v>39.33</v>
      </c>
      <c r="AL92">
        <v>1</v>
      </c>
      <c r="AM92">
        <v>4</v>
      </c>
      <c r="AN92">
        <v>0</v>
      </c>
      <c r="AO92">
        <v>1</v>
      </c>
      <c r="AP92">
        <v>1</v>
      </c>
      <c r="AQ92">
        <v>0</v>
      </c>
      <c r="AR92">
        <v>0</v>
      </c>
      <c r="AS92" t="s">
        <v>3</v>
      </c>
      <c r="AT92">
        <v>0.01</v>
      </c>
      <c r="AU92" t="s">
        <v>72</v>
      </c>
      <c r="AV92">
        <v>0</v>
      </c>
      <c r="AW92">
        <v>2</v>
      </c>
      <c r="AX92">
        <v>53362746</v>
      </c>
      <c r="AY92">
        <v>1</v>
      </c>
      <c r="AZ92">
        <v>0</v>
      </c>
      <c r="BA92">
        <v>81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CV92">
        <v>0</v>
      </c>
      <c r="CW92">
        <f>ROUND(Y92*Source!I61*DO92,7)</f>
        <v>0</v>
      </c>
      <c r="CX92">
        <f>ROUND(Y92*Source!I61,7)</f>
        <v>1.5E-3</v>
      </c>
      <c r="CY92">
        <f>AB92</f>
        <v>24.51</v>
      </c>
      <c r="CZ92">
        <f>AF92</f>
        <v>1.7</v>
      </c>
      <c r="DA92">
        <f>AJ92</f>
        <v>14.42</v>
      </c>
      <c r="DB92">
        <f>ROUND((ROUND(AT92*CZ92,2)*ROUND(1.25,7)),6)</f>
        <v>2.5000000000000001E-2</v>
      </c>
      <c r="DC92">
        <f>ROUND((ROUND(AT92*AG92,2)*ROUND(1.25,7)),6)</f>
        <v>0</v>
      </c>
      <c r="DD92" t="s">
        <v>3</v>
      </c>
      <c r="DE92" t="s">
        <v>3</v>
      </c>
      <c r="DF92">
        <f t="shared" si="55"/>
        <v>0</v>
      </c>
      <c r="DG92">
        <f>ROUND(ROUND(AF92*AJ92,2)*CX92,2)</f>
        <v>0.04</v>
      </c>
      <c r="DH92">
        <f>ROUND(ROUND(AG92*AK92,2)*CX92,2)</f>
        <v>0</v>
      </c>
      <c r="DI92">
        <f t="shared" si="56"/>
        <v>0</v>
      </c>
      <c r="DJ92">
        <f>DG92</f>
        <v>0.04</v>
      </c>
      <c r="DK92">
        <v>0</v>
      </c>
      <c r="DL92" t="s">
        <v>3</v>
      </c>
      <c r="DM92">
        <v>0</v>
      </c>
      <c r="DN92" t="s">
        <v>3</v>
      </c>
      <c r="DO92">
        <v>0</v>
      </c>
    </row>
    <row r="93" spans="1:119" x14ac:dyDescent="0.2">
      <c r="A93">
        <f>ROW(Source!A61)</f>
        <v>61</v>
      </c>
      <c r="B93">
        <v>53360025</v>
      </c>
      <c r="C93">
        <v>53362733</v>
      </c>
      <c r="D93">
        <v>1091150891</v>
      </c>
      <c r="E93">
        <v>1</v>
      </c>
      <c r="F93">
        <v>1</v>
      </c>
      <c r="G93">
        <v>1</v>
      </c>
      <c r="H93">
        <v>2</v>
      </c>
      <c r="I93" t="s">
        <v>353</v>
      </c>
      <c r="J93" t="s">
        <v>354</v>
      </c>
      <c r="K93" t="s">
        <v>355</v>
      </c>
      <c r="L93">
        <v>1367</v>
      </c>
      <c r="N93">
        <v>1011</v>
      </c>
      <c r="O93" t="s">
        <v>330</v>
      </c>
      <c r="P93" t="s">
        <v>330</v>
      </c>
      <c r="Q93">
        <v>1</v>
      </c>
      <c r="W93">
        <v>0</v>
      </c>
      <c r="X93">
        <v>-896236776</v>
      </c>
      <c r="Y93">
        <f>(AT93*ROUND(1.25,7))</f>
        <v>1.2500000000000001E-2</v>
      </c>
      <c r="AA93">
        <v>0</v>
      </c>
      <c r="AB93">
        <v>1297.6600000000001</v>
      </c>
      <c r="AC93">
        <v>395.66</v>
      </c>
      <c r="AD93">
        <v>0</v>
      </c>
      <c r="AE93">
        <v>0</v>
      </c>
      <c r="AF93">
        <v>89.99</v>
      </c>
      <c r="AG93">
        <v>10.06</v>
      </c>
      <c r="AH93">
        <v>0</v>
      </c>
      <c r="AI93">
        <v>1</v>
      </c>
      <c r="AJ93">
        <v>14.42</v>
      </c>
      <c r="AK93">
        <v>39.33</v>
      </c>
      <c r="AL93">
        <v>1</v>
      </c>
      <c r="AM93">
        <v>4</v>
      </c>
      <c r="AN93">
        <v>0</v>
      </c>
      <c r="AO93">
        <v>1</v>
      </c>
      <c r="AP93">
        <v>1</v>
      </c>
      <c r="AQ93">
        <v>0</v>
      </c>
      <c r="AR93">
        <v>0</v>
      </c>
      <c r="AS93" t="s">
        <v>3</v>
      </c>
      <c r="AT93">
        <v>0.01</v>
      </c>
      <c r="AU93" t="s">
        <v>72</v>
      </c>
      <c r="AV93">
        <v>0</v>
      </c>
      <c r="AW93">
        <v>2</v>
      </c>
      <c r="AX93">
        <v>53362747</v>
      </c>
      <c r="AY93">
        <v>1</v>
      </c>
      <c r="AZ93">
        <v>0</v>
      </c>
      <c r="BA93">
        <v>82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CV93">
        <v>0</v>
      </c>
      <c r="CW93">
        <f>ROUND(Y93*Source!I61*DO93,7)</f>
        <v>0</v>
      </c>
      <c r="CX93">
        <f>ROUND(Y93*Source!I61,7)</f>
        <v>1.5E-3</v>
      </c>
      <c r="CY93">
        <f>AB93</f>
        <v>1297.6600000000001</v>
      </c>
      <c r="CZ93">
        <f>AF93</f>
        <v>89.99</v>
      </c>
      <c r="DA93">
        <f>AJ93</f>
        <v>14.42</v>
      </c>
      <c r="DB93">
        <f>ROUND((ROUND(AT93*CZ93,2)*ROUND(1.25,7)),6)</f>
        <v>1.125</v>
      </c>
      <c r="DC93">
        <f>ROUND((ROUND(AT93*AG93,2)*ROUND(1.25,7)),6)</f>
        <v>0.125</v>
      </c>
      <c r="DD93" t="s">
        <v>3</v>
      </c>
      <c r="DE93" t="s">
        <v>3</v>
      </c>
      <c r="DF93">
        <f t="shared" si="55"/>
        <v>0</v>
      </c>
      <c r="DG93">
        <f>ROUND(ROUND(AF93*AJ93,2)*CX93,2)</f>
        <v>1.95</v>
      </c>
      <c r="DH93">
        <f>ROUND(ROUND(AG93*AK93,2)*CX93,2)</f>
        <v>0.59</v>
      </c>
      <c r="DI93">
        <f t="shared" si="56"/>
        <v>0</v>
      </c>
      <c r="DJ93">
        <f>DG93</f>
        <v>1.95</v>
      </c>
      <c r="DK93">
        <v>0</v>
      </c>
      <c r="DL93" t="s">
        <v>3</v>
      </c>
      <c r="DM93">
        <v>0</v>
      </c>
      <c r="DN93" t="s">
        <v>3</v>
      </c>
      <c r="DO93">
        <v>0</v>
      </c>
    </row>
    <row r="94" spans="1:119" x14ac:dyDescent="0.2">
      <c r="A94">
        <f>ROW(Source!A61)</f>
        <v>61</v>
      </c>
      <c r="B94">
        <v>53360025</v>
      </c>
      <c r="C94">
        <v>53362733</v>
      </c>
      <c r="D94">
        <v>1091151703</v>
      </c>
      <c r="E94">
        <v>1</v>
      </c>
      <c r="F94">
        <v>1</v>
      </c>
      <c r="G94">
        <v>1</v>
      </c>
      <c r="H94">
        <v>2</v>
      </c>
      <c r="I94" t="s">
        <v>356</v>
      </c>
      <c r="J94" t="s">
        <v>357</v>
      </c>
      <c r="K94" t="s">
        <v>358</v>
      </c>
      <c r="L94">
        <v>1367</v>
      </c>
      <c r="N94">
        <v>1011</v>
      </c>
      <c r="O94" t="s">
        <v>330</v>
      </c>
      <c r="P94" t="s">
        <v>330</v>
      </c>
      <c r="Q94">
        <v>1</v>
      </c>
      <c r="W94">
        <v>0</v>
      </c>
      <c r="X94">
        <v>509054691</v>
      </c>
      <c r="Y94">
        <f>(AT94*ROUND(1.25,7))</f>
        <v>3.7499999999999999E-2</v>
      </c>
      <c r="AA94">
        <v>0</v>
      </c>
      <c r="AB94">
        <v>947.54</v>
      </c>
      <c r="AC94">
        <v>456.23</v>
      </c>
      <c r="AD94">
        <v>0</v>
      </c>
      <c r="AE94">
        <v>0</v>
      </c>
      <c r="AF94">
        <v>65.709999999999994</v>
      </c>
      <c r="AG94">
        <v>11.6</v>
      </c>
      <c r="AH94">
        <v>0</v>
      </c>
      <c r="AI94">
        <v>1</v>
      </c>
      <c r="AJ94">
        <v>14.42</v>
      </c>
      <c r="AK94">
        <v>39.33</v>
      </c>
      <c r="AL94">
        <v>1</v>
      </c>
      <c r="AM94">
        <v>4</v>
      </c>
      <c r="AN94">
        <v>0</v>
      </c>
      <c r="AO94">
        <v>1</v>
      </c>
      <c r="AP94">
        <v>1</v>
      </c>
      <c r="AQ94">
        <v>0</v>
      </c>
      <c r="AR94">
        <v>0</v>
      </c>
      <c r="AS94" t="s">
        <v>3</v>
      </c>
      <c r="AT94">
        <v>0.03</v>
      </c>
      <c r="AU94" t="s">
        <v>72</v>
      </c>
      <c r="AV94">
        <v>0</v>
      </c>
      <c r="AW94">
        <v>2</v>
      </c>
      <c r="AX94">
        <v>53362748</v>
      </c>
      <c r="AY94">
        <v>1</v>
      </c>
      <c r="AZ94">
        <v>0</v>
      </c>
      <c r="BA94">
        <v>83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CV94">
        <v>0</v>
      </c>
      <c r="CW94">
        <f>ROUND(Y94*Source!I61*DO94,7)</f>
        <v>0</v>
      </c>
      <c r="CX94">
        <f>ROUND(Y94*Source!I61,7)</f>
        <v>4.4999999999999997E-3</v>
      </c>
      <c r="CY94">
        <f>AB94</f>
        <v>947.54</v>
      </c>
      <c r="CZ94">
        <f>AF94</f>
        <v>65.709999999999994</v>
      </c>
      <c r="DA94">
        <f>AJ94</f>
        <v>14.42</v>
      </c>
      <c r="DB94">
        <f>ROUND((ROUND(AT94*CZ94,2)*ROUND(1.25,7)),6)</f>
        <v>2.4624999999999999</v>
      </c>
      <c r="DC94">
        <f>ROUND((ROUND(AT94*AG94,2)*ROUND(1.25,7)),6)</f>
        <v>0.4375</v>
      </c>
      <c r="DD94" t="s">
        <v>3</v>
      </c>
      <c r="DE94" t="s">
        <v>3</v>
      </c>
      <c r="DF94">
        <f t="shared" si="55"/>
        <v>0</v>
      </c>
      <c r="DG94">
        <f>ROUND(ROUND(AF94*AJ94,2)*CX94,2)</f>
        <v>4.26</v>
      </c>
      <c r="DH94">
        <f>ROUND(ROUND(AG94*AK94,2)*CX94,2)</f>
        <v>2.0499999999999998</v>
      </c>
      <c r="DI94">
        <f t="shared" si="56"/>
        <v>0</v>
      </c>
      <c r="DJ94">
        <f>DG94</f>
        <v>4.26</v>
      </c>
      <c r="DK94">
        <v>0</v>
      </c>
      <c r="DL94" t="s">
        <v>3</v>
      </c>
      <c r="DM94">
        <v>0</v>
      </c>
      <c r="DN94" t="s">
        <v>3</v>
      </c>
      <c r="DO94">
        <v>0</v>
      </c>
    </row>
    <row r="95" spans="1:119" x14ac:dyDescent="0.2">
      <c r="A95">
        <f>ROW(Source!A61)</f>
        <v>61</v>
      </c>
      <c r="B95">
        <v>53360025</v>
      </c>
      <c r="C95">
        <v>53362733</v>
      </c>
      <c r="D95">
        <v>1091152374</v>
      </c>
      <c r="E95">
        <v>1</v>
      </c>
      <c r="F95">
        <v>1</v>
      </c>
      <c r="G95">
        <v>1</v>
      </c>
      <c r="H95">
        <v>2</v>
      </c>
      <c r="I95" t="s">
        <v>430</v>
      </c>
      <c r="J95" t="s">
        <v>431</v>
      </c>
      <c r="K95" t="s">
        <v>432</v>
      </c>
      <c r="L95">
        <v>1367</v>
      </c>
      <c r="N95">
        <v>1011</v>
      </c>
      <c r="O95" t="s">
        <v>330</v>
      </c>
      <c r="P95" t="s">
        <v>330</v>
      </c>
      <c r="Q95">
        <v>1</v>
      </c>
      <c r="W95">
        <v>0</v>
      </c>
      <c r="X95">
        <v>-1745017968</v>
      </c>
      <c r="Y95">
        <f>(AT95*ROUND(1.25,7))</f>
        <v>2.4375</v>
      </c>
      <c r="AA95">
        <v>0</v>
      </c>
      <c r="AB95">
        <v>98.34</v>
      </c>
      <c r="AC95">
        <v>0</v>
      </c>
      <c r="AD95">
        <v>0</v>
      </c>
      <c r="AE95">
        <v>0</v>
      </c>
      <c r="AF95">
        <v>6.82</v>
      </c>
      <c r="AG95">
        <v>0</v>
      </c>
      <c r="AH95">
        <v>0</v>
      </c>
      <c r="AI95">
        <v>1</v>
      </c>
      <c r="AJ95">
        <v>14.42</v>
      </c>
      <c r="AK95">
        <v>39.33</v>
      </c>
      <c r="AL95">
        <v>1</v>
      </c>
      <c r="AM95">
        <v>4</v>
      </c>
      <c r="AN95">
        <v>0</v>
      </c>
      <c r="AO95">
        <v>1</v>
      </c>
      <c r="AP95">
        <v>1</v>
      </c>
      <c r="AQ95">
        <v>0</v>
      </c>
      <c r="AR95">
        <v>0</v>
      </c>
      <c r="AS95" t="s">
        <v>3</v>
      </c>
      <c r="AT95">
        <v>1.95</v>
      </c>
      <c r="AU95" t="s">
        <v>72</v>
      </c>
      <c r="AV95">
        <v>0</v>
      </c>
      <c r="AW95">
        <v>2</v>
      </c>
      <c r="AX95">
        <v>53362749</v>
      </c>
      <c r="AY95">
        <v>1</v>
      </c>
      <c r="AZ95">
        <v>0</v>
      </c>
      <c r="BA95">
        <v>84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CV95">
        <v>0</v>
      </c>
      <c r="CW95">
        <f>ROUND(Y95*Source!I61*DO95,7)</f>
        <v>0</v>
      </c>
      <c r="CX95">
        <f>ROUND(Y95*Source!I61,7)</f>
        <v>0.29249999999999998</v>
      </c>
      <c r="CY95">
        <f>AB95</f>
        <v>98.34</v>
      </c>
      <c r="CZ95">
        <f>AF95</f>
        <v>6.82</v>
      </c>
      <c r="DA95">
        <f>AJ95</f>
        <v>14.42</v>
      </c>
      <c r="DB95">
        <f>ROUND((ROUND(AT95*CZ95,2)*ROUND(1.25,7)),6)</f>
        <v>16.625</v>
      </c>
      <c r="DC95">
        <f>ROUND((ROUND(AT95*AG95,2)*ROUND(1.25,7)),6)</f>
        <v>0</v>
      </c>
      <c r="DD95" t="s">
        <v>3</v>
      </c>
      <c r="DE95" t="s">
        <v>3</v>
      </c>
      <c r="DF95">
        <f t="shared" si="55"/>
        <v>0</v>
      </c>
      <c r="DG95">
        <f>ROUND(ROUND(AF95*AJ95,2)*CX95,2)</f>
        <v>28.76</v>
      </c>
      <c r="DH95">
        <f>ROUND(ROUND(AG95*AK95,2)*CX95,2)</f>
        <v>0</v>
      </c>
      <c r="DI95">
        <f t="shared" si="56"/>
        <v>0</v>
      </c>
      <c r="DJ95">
        <f>DG95</f>
        <v>28.76</v>
      </c>
      <c r="DK95">
        <v>0</v>
      </c>
      <c r="DL95" t="s">
        <v>3</v>
      </c>
      <c r="DM95">
        <v>0</v>
      </c>
      <c r="DN95" t="s">
        <v>3</v>
      </c>
      <c r="DO95">
        <v>0</v>
      </c>
    </row>
    <row r="96" spans="1:119" x14ac:dyDescent="0.2">
      <c r="A96">
        <f>ROW(Source!A61)</f>
        <v>61</v>
      </c>
      <c r="B96">
        <v>53360025</v>
      </c>
      <c r="C96">
        <v>53362733</v>
      </c>
      <c r="D96">
        <v>1090991997</v>
      </c>
      <c r="E96">
        <v>1</v>
      </c>
      <c r="F96">
        <v>1</v>
      </c>
      <c r="G96">
        <v>1</v>
      </c>
      <c r="H96">
        <v>3</v>
      </c>
      <c r="I96" t="s">
        <v>444</v>
      </c>
      <c r="J96" t="s">
        <v>445</v>
      </c>
      <c r="K96" t="s">
        <v>446</v>
      </c>
      <c r="L96">
        <v>1348</v>
      </c>
      <c r="N96">
        <v>1009</v>
      </c>
      <c r="O96" t="s">
        <v>32</v>
      </c>
      <c r="P96" t="s">
        <v>32</v>
      </c>
      <c r="Q96">
        <v>1000</v>
      </c>
      <c r="W96">
        <v>0</v>
      </c>
      <c r="X96">
        <v>-1481682458</v>
      </c>
      <c r="Y96">
        <f>AT96</f>
        <v>2.7E-2</v>
      </c>
      <c r="AA96">
        <v>424618.53</v>
      </c>
      <c r="AB96">
        <v>0</v>
      </c>
      <c r="AC96">
        <v>0</v>
      </c>
      <c r="AD96">
        <v>0</v>
      </c>
      <c r="AE96">
        <v>48307</v>
      </c>
      <c r="AF96">
        <v>0</v>
      </c>
      <c r="AG96">
        <v>0</v>
      </c>
      <c r="AH96">
        <v>0</v>
      </c>
      <c r="AI96">
        <v>8.7899999999999991</v>
      </c>
      <c r="AJ96">
        <v>1</v>
      </c>
      <c r="AK96">
        <v>1</v>
      </c>
      <c r="AL96">
        <v>1</v>
      </c>
      <c r="AM96">
        <v>4</v>
      </c>
      <c r="AN96">
        <v>0</v>
      </c>
      <c r="AO96">
        <v>1</v>
      </c>
      <c r="AP96">
        <v>0</v>
      </c>
      <c r="AQ96">
        <v>0</v>
      </c>
      <c r="AR96">
        <v>0</v>
      </c>
      <c r="AS96" t="s">
        <v>3</v>
      </c>
      <c r="AT96">
        <v>2.7E-2</v>
      </c>
      <c r="AU96" t="s">
        <v>3</v>
      </c>
      <c r="AV96">
        <v>0</v>
      </c>
      <c r="AW96">
        <v>2</v>
      </c>
      <c r="AX96">
        <v>53362750</v>
      </c>
      <c r="AY96">
        <v>1</v>
      </c>
      <c r="AZ96">
        <v>0</v>
      </c>
      <c r="BA96">
        <v>85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CV96">
        <v>0</v>
      </c>
      <c r="CW96">
        <v>0</v>
      </c>
      <c r="CX96">
        <f>ROUND(Y96*Source!I61,7)</f>
        <v>3.2399999999999998E-3</v>
      </c>
      <c r="CY96">
        <f>AA96</f>
        <v>424618.53</v>
      </c>
      <c r="CZ96">
        <f>AE96</f>
        <v>48307</v>
      </c>
      <c r="DA96">
        <f>AI96</f>
        <v>8.7899999999999991</v>
      </c>
      <c r="DB96">
        <f>ROUND(ROUND(AT96*CZ96,2),6)</f>
        <v>1304.29</v>
      </c>
      <c r="DC96">
        <f>ROUND(ROUND(AT96*AG96,2),6)</f>
        <v>0</v>
      </c>
      <c r="DD96" t="s">
        <v>3</v>
      </c>
      <c r="DE96" t="s">
        <v>3</v>
      </c>
      <c r="DF96">
        <f>ROUND(ROUND(AE96*AI96,2)*CX96,2)</f>
        <v>1375.76</v>
      </c>
      <c r="DG96">
        <f>ROUND(ROUND(AF96,2)*CX96,2)</f>
        <v>0</v>
      </c>
      <c r="DH96">
        <f>ROUND(ROUND(AG96,2)*CX96,2)</f>
        <v>0</v>
      </c>
      <c r="DI96">
        <f t="shared" si="56"/>
        <v>0</v>
      </c>
      <c r="DJ96">
        <f>DF96</f>
        <v>1375.76</v>
      </c>
      <c r="DK96">
        <v>0</v>
      </c>
      <c r="DL96" t="s">
        <v>3</v>
      </c>
      <c r="DM96">
        <v>0</v>
      </c>
      <c r="DN96" t="s">
        <v>3</v>
      </c>
      <c r="DO96">
        <v>0</v>
      </c>
    </row>
    <row r="97" spans="1:119" x14ac:dyDescent="0.2">
      <c r="A97">
        <f>ROW(Source!A61)</f>
        <v>61</v>
      </c>
      <c r="B97">
        <v>53360025</v>
      </c>
      <c r="C97">
        <v>53362733</v>
      </c>
      <c r="D97">
        <v>1090992032</v>
      </c>
      <c r="E97">
        <v>1</v>
      </c>
      <c r="F97">
        <v>1</v>
      </c>
      <c r="G97">
        <v>1</v>
      </c>
      <c r="H97">
        <v>3</v>
      </c>
      <c r="I97" t="s">
        <v>193</v>
      </c>
      <c r="J97" t="s">
        <v>195</v>
      </c>
      <c r="K97" t="s">
        <v>194</v>
      </c>
      <c r="L97">
        <v>1346</v>
      </c>
      <c r="N97">
        <v>1009</v>
      </c>
      <c r="O97" t="s">
        <v>110</v>
      </c>
      <c r="P97" t="s">
        <v>110</v>
      </c>
      <c r="Q97">
        <v>1</v>
      </c>
      <c r="W97">
        <v>0</v>
      </c>
      <c r="X97">
        <v>801242479</v>
      </c>
      <c r="Y97">
        <f>AT97</f>
        <v>0</v>
      </c>
      <c r="AA97">
        <v>267.39</v>
      </c>
      <c r="AB97">
        <v>0</v>
      </c>
      <c r="AC97">
        <v>0</v>
      </c>
      <c r="AD97">
        <v>0</v>
      </c>
      <c r="AE97">
        <v>30.42</v>
      </c>
      <c r="AF97">
        <v>0</v>
      </c>
      <c r="AG97">
        <v>0</v>
      </c>
      <c r="AH97">
        <v>0</v>
      </c>
      <c r="AI97">
        <v>8.7899999999999991</v>
      </c>
      <c r="AJ97">
        <v>1</v>
      </c>
      <c r="AK97">
        <v>1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 t="s">
        <v>3</v>
      </c>
      <c r="AT97">
        <v>0</v>
      </c>
      <c r="AU97" t="s">
        <v>3</v>
      </c>
      <c r="AV97">
        <v>0</v>
      </c>
      <c r="AW97">
        <v>1</v>
      </c>
      <c r="AX97">
        <v>-1</v>
      </c>
      <c r="AY97">
        <v>0</v>
      </c>
      <c r="AZ97">
        <v>0</v>
      </c>
      <c r="BA97" t="s">
        <v>3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CV97">
        <v>0</v>
      </c>
      <c r="CW97">
        <v>0</v>
      </c>
      <c r="CX97">
        <f>ROUND(Y97*Source!I61,7)</f>
        <v>0</v>
      </c>
      <c r="CY97">
        <f>AA97</f>
        <v>267.39</v>
      </c>
      <c r="CZ97">
        <f>AE97</f>
        <v>30.42</v>
      </c>
      <c r="DA97">
        <f>AI97</f>
        <v>8.7899999999999991</v>
      </c>
      <c r="DB97">
        <f>ROUND(ROUND(AT97*CZ97,2),6)</f>
        <v>0</v>
      </c>
      <c r="DC97">
        <f>ROUND(ROUND(AT97*AG97,2),6)</f>
        <v>0</v>
      </c>
      <c r="DD97" t="s">
        <v>3</v>
      </c>
      <c r="DE97" t="s">
        <v>3</v>
      </c>
      <c r="DF97">
        <f>ROUND(ROUND(AE97*AI97,2)*CX97,2)</f>
        <v>0</v>
      </c>
      <c r="DG97">
        <f>ROUND(ROUND(AF97,2)*CX97,2)</f>
        <v>0</v>
      </c>
      <c r="DH97">
        <f>ROUND(ROUND(AG97,2)*CX97,2)</f>
        <v>0</v>
      </c>
      <c r="DI97">
        <f t="shared" si="56"/>
        <v>0</v>
      </c>
      <c r="DJ97">
        <f>DF97</f>
        <v>0</v>
      </c>
      <c r="DK97">
        <v>0</v>
      </c>
      <c r="DL97" t="s">
        <v>3</v>
      </c>
      <c r="DM97">
        <v>0</v>
      </c>
      <c r="DN97" t="s">
        <v>3</v>
      </c>
      <c r="DO97">
        <v>0</v>
      </c>
    </row>
    <row r="98" spans="1:119" x14ac:dyDescent="0.2">
      <c r="A98">
        <f>ROW(Source!A61)</f>
        <v>61</v>
      </c>
      <c r="B98">
        <v>53360025</v>
      </c>
      <c r="C98">
        <v>53362733</v>
      </c>
      <c r="D98">
        <v>1090992475</v>
      </c>
      <c r="E98">
        <v>1</v>
      </c>
      <c r="F98">
        <v>1</v>
      </c>
      <c r="G98">
        <v>1</v>
      </c>
      <c r="H98">
        <v>3</v>
      </c>
      <c r="I98" t="s">
        <v>447</v>
      </c>
      <c r="J98" t="s">
        <v>448</v>
      </c>
      <c r="K98" t="s">
        <v>449</v>
      </c>
      <c r="L98">
        <v>1346</v>
      </c>
      <c r="N98">
        <v>1009</v>
      </c>
      <c r="O98" t="s">
        <v>110</v>
      </c>
      <c r="P98" t="s">
        <v>110</v>
      </c>
      <c r="Q98">
        <v>1</v>
      </c>
      <c r="W98">
        <v>0</v>
      </c>
      <c r="X98">
        <v>-1936602384</v>
      </c>
      <c r="Y98">
        <f>AT98</f>
        <v>0.5</v>
      </c>
      <c r="AA98">
        <v>427.19</v>
      </c>
      <c r="AB98">
        <v>0</v>
      </c>
      <c r="AC98">
        <v>0</v>
      </c>
      <c r="AD98">
        <v>0</v>
      </c>
      <c r="AE98">
        <v>48.6</v>
      </c>
      <c r="AF98">
        <v>0</v>
      </c>
      <c r="AG98">
        <v>0</v>
      </c>
      <c r="AH98">
        <v>0</v>
      </c>
      <c r="AI98">
        <v>8.7899999999999991</v>
      </c>
      <c r="AJ98">
        <v>1</v>
      </c>
      <c r="AK98">
        <v>1</v>
      </c>
      <c r="AL98">
        <v>1</v>
      </c>
      <c r="AM98">
        <v>4</v>
      </c>
      <c r="AN98">
        <v>0</v>
      </c>
      <c r="AO98">
        <v>1</v>
      </c>
      <c r="AP98">
        <v>0</v>
      </c>
      <c r="AQ98">
        <v>0</v>
      </c>
      <c r="AR98">
        <v>0</v>
      </c>
      <c r="AS98" t="s">
        <v>3</v>
      </c>
      <c r="AT98">
        <v>0.5</v>
      </c>
      <c r="AU98" t="s">
        <v>3</v>
      </c>
      <c r="AV98">
        <v>0</v>
      </c>
      <c r="AW98">
        <v>2</v>
      </c>
      <c r="AX98">
        <v>53362751</v>
      </c>
      <c r="AY98">
        <v>1</v>
      </c>
      <c r="AZ98">
        <v>0</v>
      </c>
      <c r="BA98">
        <v>86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CV98">
        <v>0</v>
      </c>
      <c r="CW98">
        <v>0</v>
      </c>
      <c r="CX98">
        <f>ROUND(Y98*Source!I61,7)</f>
        <v>0.06</v>
      </c>
      <c r="CY98">
        <f>AA98</f>
        <v>427.19</v>
      </c>
      <c r="CZ98">
        <f>AE98</f>
        <v>48.6</v>
      </c>
      <c r="DA98">
        <f>AI98</f>
        <v>8.7899999999999991</v>
      </c>
      <c r="DB98">
        <f>ROUND(ROUND(AT98*CZ98,2),6)</f>
        <v>24.3</v>
      </c>
      <c r="DC98">
        <f>ROUND(ROUND(AT98*AG98,2),6)</f>
        <v>0</v>
      </c>
      <c r="DD98" t="s">
        <v>3</v>
      </c>
      <c r="DE98" t="s">
        <v>3</v>
      </c>
      <c r="DF98">
        <f>ROUND(ROUND(AE98*AI98,2)*CX98,2)</f>
        <v>25.63</v>
      </c>
      <c r="DG98">
        <f>ROUND(ROUND(AF98,2)*CX98,2)</f>
        <v>0</v>
      </c>
      <c r="DH98">
        <f>ROUND(ROUND(AG98,2)*CX98,2)</f>
        <v>0</v>
      </c>
      <c r="DI98">
        <f t="shared" si="56"/>
        <v>0</v>
      </c>
      <c r="DJ98">
        <f>DF98</f>
        <v>25.63</v>
      </c>
      <c r="DK98">
        <v>0</v>
      </c>
      <c r="DL98" t="s">
        <v>3</v>
      </c>
      <c r="DM98">
        <v>0</v>
      </c>
      <c r="DN98" t="s">
        <v>3</v>
      </c>
      <c r="DO98">
        <v>0</v>
      </c>
    </row>
    <row r="99" spans="1:119" x14ac:dyDescent="0.2">
      <c r="A99">
        <f>ROW(Source!A61)</f>
        <v>61</v>
      </c>
      <c r="B99">
        <v>53360025</v>
      </c>
      <c r="C99">
        <v>53362733</v>
      </c>
      <c r="D99">
        <v>1090992521</v>
      </c>
      <c r="E99">
        <v>1</v>
      </c>
      <c r="F99">
        <v>1</v>
      </c>
      <c r="G99">
        <v>1</v>
      </c>
      <c r="H99">
        <v>3</v>
      </c>
      <c r="I99" t="s">
        <v>450</v>
      </c>
      <c r="J99" t="s">
        <v>451</v>
      </c>
      <c r="K99" t="s">
        <v>452</v>
      </c>
      <c r="L99">
        <v>1346</v>
      </c>
      <c r="N99">
        <v>1009</v>
      </c>
      <c r="O99" t="s">
        <v>110</v>
      </c>
      <c r="P99" t="s">
        <v>110</v>
      </c>
      <c r="Q99">
        <v>1</v>
      </c>
      <c r="W99">
        <v>0</v>
      </c>
      <c r="X99">
        <v>-1449230318</v>
      </c>
      <c r="Y99">
        <f>AT99</f>
        <v>2.7</v>
      </c>
      <c r="AA99">
        <v>82.8</v>
      </c>
      <c r="AB99">
        <v>0</v>
      </c>
      <c r="AC99">
        <v>0</v>
      </c>
      <c r="AD99">
        <v>0</v>
      </c>
      <c r="AE99">
        <v>9.42</v>
      </c>
      <c r="AF99">
        <v>0</v>
      </c>
      <c r="AG99">
        <v>0</v>
      </c>
      <c r="AH99">
        <v>0</v>
      </c>
      <c r="AI99">
        <v>8.7899999999999991</v>
      </c>
      <c r="AJ99">
        <v>1</v>
      </c>
      <c r="AK99">
        <v>1</v>
      </c>
      <c r="AL99">
        <v>1</v>
      </c>
      <c r="AM99">
        <v>4</v>
      </c>
      <c r="AN99">
        <v>0</v>
      </c>
      <c r="AO99">
        <v>1</v>
      </c>
      <c r="AP99">
        <v>0</v>
      </c>
      <c r="AQ99">
        <v>0</v>
      </c>
      <c r="AR99">
        <v>0</v>
      </c>
      <c r="AS99" t="s">
        <v>3</v>
      </c>
      <c r="AT99">
        <v>2.7</v>
      </c>
      <c r="AU99" t="s">
        <v>3</v>
      </c>
      <c r="AV99">
        <v>0</v>
      </c>
      <c r="AW99">
        <v>2</v>
      </c>
      <c r="AX99">
        <v>53362752</v>
      </c>
      <c r="AY99">
        <v>1</v>
      </c>
      <c r="AZ99">
        <v>0</v>
      </c>
      <c r="BA99">
        <v>87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CV99">
        <v>0</v>
      </c>
      <c r="CW99">
        <v>0</v>
      </c>
      <c r="CX99">
        <f>ROUND(Y99*Source!I61,7)</f>
        <v>0.32400000000000001</v>
      </c>
      <c r="CY99">
        <f>AA99</f>
        <v>82.8</v>
      </c>
      <c r="CZ99">
        <f>AE99</f>
        <v>9.42</v>
      </c>
      <c r="DA99">
        <f>AI99</f>
        <v>8.7899999999999991</v>
      </c>
      <c r="DB99">
        <f>ROUND(ROUND(AT99*CZ99,2),6)</f>
        <v>25.43</v>
      </c>
      <c r="DC99">
        <f>ROUND(ROUND(AT99*AG99,2),6)</f>
        <v>0</v>
      </c>
      <c r="DD99" t="s">
        <v>3</v>
      </c>
      <c r="DE99" t="s">
        <v>3</v>
      </c>
      <c r="DF99">
        <f>ROUND(ROUND(AE99*AI99,2)*CX99,2)</f>
        <v>26.83</v>
      </c>
      <c r="DG99">
        <f>ROUND(ROUND(AF99,2)*CX99,2)</f>
        <v>0</v>
      </c>
      <c r="DH99">
        <f>ROUND(ROUND(AG99,2)*CX99,2)</f>
        <v>0</v>
      </c>
      <c r="DI99">
        <f t="shared" si="56"/>
        <v>0</v>
      </c>
      <c r="DJ99">
        <f>DF99</f>
        <v>26.83</v>
      </c>
      <c r="DK99">
        <v>0</v>
      </c>
      <c r="DL99" t="s">
        <v>3</v>
      </c>
      <c r="DM99">
        <v>0</v>
      </c>
      <c r="DN99" t="s">
        <v>3</v>
      </c>
      <c r="DO99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7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44" x14ac:dyDescent="0.2">
      <c r="A1">
        <f>ROW(Source!A28)</f>
        <v>28</v>
      </c>
      <c r="B1">
        <v>53362508</v>
      </c>
      <c r="C1">
        <v>53362503</v>
      </c>
      <c r="D1">
        <v>37065248</v>
      </c>
      <c r="E1">
        <v>70</v>
      </c>
      <c r="F1">
        <v>1</v>
      </c>
      <c r="G1">
        <v>1</v>
      </c>
      <c r="H1">
        <v>1</v>
      </c>
      <c r="I1" t="s">
        <v>322</v>
      </c>
      <c r="J1" t="s">
        <v>3</v>
      </c>
      <c r="K1" t="s">
        <v>323</v>
      </c>
      <c r="L1">
        <v>1191</v>
      </c>
      <c r="N1">
        <v>1013</v>
      </c>
      <c r="O1" t="s">
        <v>324</v>
      </c>
      <c r="P1" t="s">
        <v>324</v>
      </c>
      <c r="Q1">
        <v>1</v>
      </c>
      <c r="X1">
        <v>69.87</v>
      </c>
      <c r="Y1">
        <v>0</v>
      </c>
      <c r="Z1">
        <v>0</v>
      </c>
      <c r="AA1">
        <v>0</v>
      </c>
      <c r="AB1">
        <v>8.5299999999999994</v>
      </c>
      <c r="AC1">
        <v>0</v>
      </c>
      <c r="AD1">
        <v>1</v>
      </c>
      <c r="AE1">
        <v>1</v>
      </c>
      <c r="AF1" t="s">
        <v>3</v>
      </c>
      <c r="AG1">
        <v>69.87</v>
      </c>
      <c r="AH1">
        <v>2</v>
      </c>
      <c r="AI1">
        <v>53362504</v>
      </c>
      <c r="AJ1">
        <v>1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</row>
    <row r="2" spans="1:44" x14ac:dyDescent="0.2">
      <c r="A2">
        <f>ROW(Source!A28)</f>
        <v>28</v>
      </c>
      <c r="B2">
        <v>53362509</v>
      </c>
      <c r="C2">
        <v>53362503</v>
      </c>
      <c r="D2">
        <v>37064876</v>
      </c>
      <c r="E2">
        <v>70</v>
      </c>
      <c r="F2">
        <v>1</v>
      </c>
      <c r="G2">
        <v>1</v>
      </c>
      <c r="H2">
        <v>1</v>
      </c>
      <c r="I2" t="s">
        <v>325</v>
      </c>
      <c r="J2" t="s">
        <v>3</v>
      </c>
      <c r="K2" t="s">
        <v>326</v>
      </c>
      <c r="L2">
        <v>1191</v>
      </c>
      <c r="N2">
        <v>1013</v>
      </c>
      <c r="O2" t="s">
        <v>324</v>
      </c>
      <c r="P2" t="s">
        <v>324</v>
      </c>
      <c r="Q2">
        <v>1</v>
      </c>
      <c r="X2">
        <v>1.44</v>
      </c>
      <c r="Y2">
        <v>0</v>
      </c>
      <c r="Z2">
        <v>0</v>
      </c>
      <c r="AA2">
        <v>0</v>
      </c>
      <c r="AB2">
        <v>0</v>
      </c>
      <c r="AC2">
        <v>0</v>
      </c>
      <c r="AD2">
        <v>1</v>
      </c>
      <c r="AE2">
        <v>2</v>
      </c>
      <c r="AF2" t="s">
        <v>3</v>
      </c>
      <c r="AG2">
        <v>1.44</v>
      </c>
      <c r="AH2">
        <v>2</v>
      </c>
      <c r="AI2">
        <v>53362505</v>
      </c>
      <c r="AJ2">
        <v>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</row>
    <row r="3" spans="1:44" x14ac:dyDescent="0.2">
      <c r="A3">
        <f>ROW(Source!A28)</f>
        <v>28</v>
      </c>
      <c r="B3">
        <v>53362510</v>
      </c>
      <c r="C3">
        <v>53362503</v>
      </c>
      <c r="D3">
        <v>1091150933</v>
      </c>
      <c r="E3">
        <v>1</v>
      </c>
      <c r="F3">
        <v>1</v>
      </c>
      <c r="G3">
        <v>1</v>
      </c>
      <c r="H3">
        <v>2</v>
      </c>
      <c r="I3" t="s">
        <v>327</v>
      </c>
      <c r="J3" t="s">
        <v>328</v>
      </c>
      <c r="K3" t="s">
        <v>329</v>
      </c>
      <c r="L3">
        <v>1367</v>
      </c>
      <c r="N3">
        <v>1011</v>
      </c>
      <c r="O3" t="s">
        <v>330</v>
      </c>
      <c r="P3" t="s">
        <v>330</v>
      </c>
      <c r="Q3">
        <v>1</v>
      </c>
      <c r="X3">
        <v>1.44</v>
      </c>
      <c r="Y3">
        <v>0</v>
      </c>
      <c r="Z3">
        <v>31.26</v>
      </c>
      <c r="AA3">
        <v>13.5</v>
      </c>
      <c r="AB3">
        <v>0</v>
      </c>
      <c r="AC3">
        <v>0</v>
      </c>
      <c r="AD3">
        <v>1</v>
      </c>
      <c r="AE3">
        <v>0</v>
      </c>
      <c r="AF3" t="s">
        <v>3</v>
      </c>
      <c r="AG3">
        <v>1.44</v>
      </c>
      <c r="AH3">
        <v>2</v>
      </c>
      <c r="AI3">
        <v>53362506</v>
      </c>
      <c r="AJ3">
        <v>3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 x14ac:dyDescent="0.2">
      <c r="A4">
        <f>ROW(Source!A28)</f>
        <v>28</v>
      </c>
      <c r="B4">
        <v>53362511</v>
      </c>
      <c r="C4">
        <v>53362503</v>
      </c>
      <c r="D4">
        <v>1090935418</v>
      </c>
      <c r="E4">
        <v>70</v>
      </c>
      <c r="F4">
        <v>1</v>
      </c>
      <c r="G4">
        <v>1</v>
      </c>
      <c r="H4">
        <v>3</v>
      </c>
      <c r="I4" t="s">
        <v>30</v>
      </c>
      <c r="J4" t="s">
        <v>3</v>
      </c>
      <c r="K4" t="s">
        <v>31</v>
      </c>
      <c r="L4">
        <v>1348</v>
      </c>
      <c r="N4">
        <v>1009</v>
      </c>
      <c r="O4" t="s">
        <v>32</v>
      </c>
      <c r="P4" t="s">
        <v>32</v>
      </c>
      <c r="Q4">
        <v>1000</v>
      </c>
      <c r="X4">
        <v>5.2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 t="s">
        <v>3</v>
      </c>
      <c r="AG4">
        <v>5.2</v>
      </c>
      <c r="AH4">
        <v>2</v>
      </c>
      <c r="AI4">
        <v>53362507</v>
      </c>
      <c r="AJ4">
        <v>4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2">
      <c r="A5">
        <f>ROW(Source!A30)</f>
        <v>30</v>
      </c>
      <c r="B5">
        <v>53362516</v>
      </c>
      <c r="C5">
        <v>53362513</v>
      </c>
      <c r="D5">
        <v>37068110</v>
      </c>
      <c r="E5">
        <v>70</v>
      </c>
      <c r="F5">
        <v>1</v>
      </c>
      <c r="G5">
        <v>1</v>
      </c>
      <c r="H5">
        <v>1</v>
      </c>
      <c r="I5" t="s">
        <v>331</v>
      </c>
      <c r="J5" t="s">
        <v>3</v>
      </c>
      <c r="K5" t="s">
        <v>332</v>
      </c>
      <c r="L5">
        <v>1191</v>
      </c>
      <c r="N5">
        <v>1013</v>
      </c>
      <c r="O5" t="s">
        <v>324</v>
      </c>
      <c r="P5" t="s">
        <v>324</v>
      </c>
      <c r="Q5">
        <v>1</v>
      </c>
      <c r="X5">
        <v>1.03</v>
      </c>
      <c r="Y5">
        <v>0</v>
      </c>
      <c r="Z5">
        <v>0</v>
      </c>
      <c r="AA5">
        <v>0</v>
      </c>
      <c r="AB5">
        <v>7.19</v>
      </c>
      <c r="AC5">
        <v>0</v>
      </c>
      <c r="AD5">
        <v>1</v>
      </c>
      <c r="AE5">
        <v>1</v>
      </c>
      <c r="AF5" t="s">
        <v>3</v>
      </c>
      <c r="AG5">
        <v>1.03</v>
      </c>
      <c r="AH5">
        <v>2</v>
      </c>
      <c r="AI5">
        <v>53362514</v>
      </c>
      <c r="AJ5">
        <v>5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 x14ac:dyDescent="0.2">
      <c r="A6">
        <f>ROW(Source!A30)</f>
        <v>30</v>
      </c>
      <c r="B6">
        <v>53362517</v>
      </c>
      <c r="C6">
        <v>53362513</v>
      </c>
      <c r="D6">
        <v>1090952030</v>
      </c>
      <c r="E6">
        <v>1</v>
      </c>
      <c r="F6">
        <v>1</v>
      </c>
      <c r="G6">
        <v>1</v>
      </c>
      <c r="H6">
        <v>3</v>
      </c>
      <c r="I6" t="s">
        <v>333</v>
      </c>
      <c r="J6" t="s">
        <v>334</v>
      </c>
      <c r="K6" t="s">
        <v>335</v>
      </c>
      <c r="L6">
        <v>1425</v>
      </c>
      <c r="N6">
        <v>1013</v>
      </c>
      <c r="O6" t="s">
        <v>336</v>
      </c>
      <c r="P6" t="s">
        <v>336</v>
      </c>
      <c r="Q6">
        <v>1</v>
      </c>
      <c r="X6">
        <v>0.2</v>
      </c>
      <c r="Y6">
        <v>82</v>
      </c>
      <c r="Z6">
        <v>0</v>
      </c>
      <c r="AA6">
        <v>0</v>
      </c>
      <c r="AB6">
        <v>0</v>
      </c>
      <c r="AC6">
        <v>0</v>
      </c>
      <c r="AD6">
        <v>1</v>
      </c>
      <c r="AE6">
        <v>0</v>
      </c>
      <c r="AF6" t="s">
        <v>3</v>
      </c>
      <c r="AG6">
        <v>0.2</v>
      </c>
      <c r="AH6">
        <v>2</v>
      </c>
      <c r="AI6">
        <v>53362515</v>
      </c>
      <c r="AJ6">
        <v>6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 x14ac:dyDescent="0.2">
      <c r="A7">
        <f>ROW(Source!A31)</f>
        <v>31</v>
      </c>
      <c r="B7">
        <v>53362525</v>
      </c>
      <c r="C7">
        <v>53362518</v>
      </c>
      <c r="D7">
        <v>37068148</v>
      </c>
      <c r="E7">
        <v>70</v>
      </c>
      <c r="F7">
        <v>1</v>
      </c>
      <c r="G7">
        <v>1</v>
      </c>
      <c r="H7">
        <v>1</v>
      </c>
      <c r="I7" t="s">
        <v>337</v>
      </c>
      <c r="J7" t="s">
        <v>3</v>
      </c>
      <c r="K7" t="s">
        <v>338</v>
      </c>
      <c r="L7">
        <v>1191</v>
      </c>
      <c r="N7">
        <v>1013</v>
      </c>
      <c r="O7" t="s">
        <v>324</v>
      </c>
      <c r="P7" t="s">
        <v>324</v>
      </c>
      <c r="Q7">
        <v>1</v>
      </c>
      <c r="X7">
        <v>49.5</v>
      </c>
      <c r="Y7">
        <v>0</v>
      </c>
      <c r="Z7">
        <v>0</v>
      </c>
      <c r="AA7">
        <v>0</v>
      </c>
      <c r="AB7">
        <v>8.09</v>
      </c>
      <c r="AC7">
        <v>0</v>
      </c>
      <c r="AD7">
        <v>1</v>
      </c>
      <c r="AE7">
        <v>1</v>
      </c>
      <c r="AF7" t="s">
        <v>3</v>
      </c>
      <c r="AG7">
        <v>49.5</v>
      </c>
      <c r="AH7">
        <v>2</v>
      </c>
      <c r="AI7">
        <v>53362519</v>
      </c>
      <c r="AJ7">
        <v>7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2">
      <c r="A8">
        <f>ROW(Source!A31)</f>
        <v>31</v>
      </c>
      <c r="B8">
        <v>53362526</v>
      </c>
      <c r="C8">
        <v>53362518</v>
      </c>
      <c r="D8">
        <v>37064876</v>
      </c>
      <c r="E8">
        <v>70</v>
      </c>
      <c r="F8">
        <v>1</v>
      </c>
      <c r="G8">
        <v>1</v>
      </c>
      <c r="H8">
        <v>1</v>
      </c>
      <c r="I8" t="s">
        <v>325</v>
      </c>
      <c r="J8" t="s">
        <v>3</v>
      </c>
      <c r="K8" t="s">
        <v>326</v>
      </c>
      <c r="L8">
        <v>1191</v>
      </c>
      <c r="N8">
        <v>1013</v>
      </c>
      <c r="O8" t="s">
        <v>324</v>
      </c>
      <c r="P8" t="s">
        <v>324</v>
      </c>
      <c r="Q8">
        <v>1</v>
      </c>
      <c r="X8">
        <v>10.73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2</v>
      </c>
      <c r="AF8" t="s">
        <v>3</v>
      </c>
      <c r="AG8">
        <v>10.73</v>
      </c>
      <c r="AH8">
        <v>2</v>
      </c>
      <c r="AI8">
        <v>53362520</v>
      </c>
      <c r="AJ8">
        <v>8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 x14ac:dyDescent="0.2">
      <c r="A9">
        <f>ROW(Source!A31)</f>
        <v>31</v>
      </c>
      <c r="B9">
        <v>53362527</v>
      </c>
      <c r="C9">
        <v>53362518</v>
      </c>
      <c r="D9">
        <v>1091150125</v>
      </c>
      <c r="E9">
        <v>1</v>
      </c>
      <c r="F9">
        <v>1</v>
      </c>
      <c r="G9">
        <v>1</v>
      </c>
      <c r="H9">
        <v>2</v>
      </c>
      <c r="I9" t="s">
        <v>339</v>
      </c>
      <c r="J9" t="s">
        <v>340</v>
      </c>
      <c r="K9" t="s">
        <v>341</v>
      </c>
      <c r="L9">
        <v>1367</v>
      </c>
      <c r="N9">
        <v>1011</v>
      </c>
      <c r="O9" t="s">
        <v>330</v>
      </c>
      <c r="P9" t="s">
        <v>330</v>
      </c>
      <c r="Q9">
        <v>1</v>
      </c>
      <c r="X9">
        <v>2.87</v>
      </c>
      <c r="Y9">
        <v>0</v>
      </c>
      <c r="Z9">
        <v>79.069999999999993</v>
      </c>
      <c r="AA9">
        <v>13.5</v>
      </c>
      <c r="AB9">
        <v>0</v>
      </c>
      <c r="AC9">
        <v>0</v>
      </c>
      <c r="AD9">
        <v>1</v>
      </c>
      <c r="AE9">
        <v>0</v>
      </c>
      <c r="AF9" t="s">
        <v>3</v>
      </c>
      <c r="AG9">
        <v>2.87</v>
      </c>
      <c r="AH9">
        <v>2</v>
      </c>
      <c r="AI9">
        <v>53362521</v>
      </c>
      <c r="AJ9">
        <v>9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 x14ac:dyDescent="0.2">
      <c r="A10">
        <f>ROW(Source!A31)</f>
        <v>31</v>
      </c>
      <c r="B10">
        <v>53362528</v>
      </c>
      <c r="C10">
        <v>53362518</v>
      </c>
      <c r="D10">
        <v>1091150194</v>
      </c>
      <c r="E10">
        <v>1</v>
      </c>
      <c r="F10">
        <v>1</v>
      </c>
      <c r="G10">
        <v>1</v>
      </c>
      <c r="H10">
        <v>2</v>
      </c>
      <c r="I10" t="s">
        <v>342</v>
      </c>
      <c r="J10" t="s">
        <v>343</v>
      </c>
      <c r="K10" t="s">
        <v>344</v>
      </c>
      <c r="L10">
        <v>1367</v>
      </c>
      <c r="N10">
        <v>1011</v>
      </c>
      <c r="O10" t="s">
        <v>330</v>
      </c>
      <c r="P10" t="s">
        <v>330</v>
      </c>
      <c r="Q10">
        <v>1</v>
      </c>
      <c r="X10">
        <v>7.86</v>
      </c>
      <c r="Y10">
        <v>0</v>
      </c>
      <c r="Z10">
        <v>115.27</v>
      </c>
      <c r="AA10">
        <v>13.5</v>
      </c>
      <c r="AB10">
        <v>0</v>
      </c>
      <c r="AC10">
        <v>0</v>
      </c>
      <c r="AD10">
        <v>1</v>
      </c>
      <c r="AE10">
        <v>0</v>
      </c>
      <c r="AF10" t="s">
        <v>3</v>
      </c>
      <c r="AG10">
        <v>7.86</v>
      </c>
      <c r="AH10">
        <v>2</v>
      </c>
      <c r="AI10">
        <v>53362522</v>
      </c>
      <c r="AJ10">
        <v>10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 x14ac:dyDescent="0.2">
      <c r="A11">
        <f>ROW(Source!A31)</f>
        <v>31</v>
      </c>
      <c r="B11">
        <v>53362529</v>
      </c>
      <c r="C11">
        <v>53362518</v>
      </c>
      <c r="D11">
        <v>1091151593</v>
      </c>
      <c r="E11">
        <v>1</v>
      </c>
      <c r="F11">
        <v>1</v>
      </c>
      <c r="G11">
        <v>1</v>
      </c>
      <c r="H11">
        <v>2</v>
      </c>
      <c r="I11" t="s">
        <v>345</v>
      </c>
      <c r="J11" t="s">
        <v>346</v>
      </c>
      <c r="K11" t="s">
        <v>347</v>
      </c>
      <c r="L11">
        <v>1367</v>
      </c>
      <c r="N11">
        <v>1011</v>
      </c>
      <c r="O11" t="s">
        <v>330</v>
      </c>
      <c r="P11" t="s">
        <v>330</v>
      </c>
      <c r="Q11">
        <v>1</v>
      </c>
      <c r="X11">
        <v>1.98</v>
      </c>
      <c r="Y11">
        <v>0</v>
      </c>
      <c r="Z11">
        <v>8</v>
      </c>
      <c r="AA11">
        <v>0</v>
      </c>
      <c r="AB11">
        <v>0</v>
      </c>
      <c r="AC11">
        <v>0</v>
      </c>
      <c r="AD11">
        <v>1</v>
      </c>
      <c r="AE11">
        <v>0</v>
      </c>
      <c r="AF11" t="s">
        <v>3</v>
      </c>
      <c r="AG11">
        <v>1.98</v>
      </c>
      <c r="AH11">
        <v>2</v>
      </c>
      <c r="AI11">
        <v>53362523</v>
      </c>
      <c r="AJ11">
        <v>11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 x14ac:dyDescent="0.2">
      <c r="A12">
        <f>ROW(Source!A35)</f>
        <v>35</v>
      </c>
      <c r="B12">
        <v>53362545</v>
      </c>
      <c r="C12">
        <v>53362533</v>
      </c>
      <c r="D12">
        <v>37066739</v>
      </c>
      <c r="E12">
        <v>70</v>
      </c>
      <c r="F12">
        <v>1</v>
      </c>
      <c r="G12">
        <v>1</v>
      </c>
      <c r="H12">
        <v>1</v>
      </c>
      <c r="I12" t="s">
        <v>348</v>
      </c>
      <c r="J12" t="s">
        <v>3</v>
      </c>
      <c r="K12" t="s">
        <v>349</v>
      </c>
      <c r="L12">
        <v>1191</v>
      </c>
      <c r="N12">
        <v>1013</v>
      </c>
      <c r="O12" t="s">
        <v>324</v>
      </c>
      <c r="P12" t="s">
        <v>324</v>
      </c>
      <c r="Q12">
        <v>1</v>
      </c>
      <c r="X12">
        <v>88</v>
      </c>
      <c r="Y12">
        <v>0</v>
      </c>
      <c r="Z12">
        <v>0</v>
      </c>
      <c r="AA12">
        <v>0</v>
      </c>
      <c r="AB12">
        <v>8.4600000000000009</v>
      </c>
      <c r="AC12">
        <v>0</v>
      </c>
      <c r="AD12">
        <v>1</v>
      </c>
      <c r="AE12">
        <v>1</v>
      </c>
      <c r="AF12" t="s">
        <v>73</v>
      </c>
      <c r="AG12">
        <v>101.19999999999999</v>
      </c>
      <c r="AH12">
        <v>2</v>
      </c>
      <c r="AI12">
        <v>53362534</v>
      </c>
      <c r="AJ12">
        <v>13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2">
      <c r="A13">
        <f>ROW(Source!A35)</f>
        <v>35</v>
      </c>
      <c r="B13">
        <v>53362546</v>
      </c>
      <c r="C13">
        <v>53362533</v>
      </c>
      <c r="D13">
        <v>37064876</v>
      </c>
      <c r="E13">
        <v>70</v>
      </c>
      <c r="F13">
        <v>1</v>
      </c>
      <c r="G13">
        <v>1</v>
      </c>
      <c r="H13">
        <v>1</v>
      </c>
      <c r="I13" t="s">
        <v>325</v>
      </c>
      <c r="J13" t="s">
        <v>3</v>
      </c>
      <c r="K13" t="s">
        <v>326</v>
      </c>
      <c r="L13">
        <v>1191</v>
      </c>
      <c r="N13">
        <v>1013</v>
      </c>
      <c r="O13" t="s">
        <v>324</v>
      </c>
      <c r="P13" t="s">
        <v>324</v>
      </c>
      <c r="Q13">
        <v>1</v>
      </c>
      <c r="X13">
        <v>0.44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2</v>
      </c>
      <c r="AF13" t="s">
        <v>72</v>
      </c>
      <c r="AG13">
        <v>0.55000000000000004</v>
      </c>
      <c r="AH13">
        <v>2</v>
      </c>
      <c r="AI13">
        <v>53362535</v>
      </c>
      <c r="AJ13">
        <v>14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 x14ac:dyDescent="0.2">
      <c r="A14">
        <f>ROW(Source!A35)</f>
        <v>35</v>
      </c>
      <c r="B14">
        <v>53362547</v>
      </c>
      <c r="C14">
        <v>53362533</v>
      </c>
      <c r="D14">
        <v>1091150729</v>
      </c>
      <c r="E14">
        <v>1</v>
      </c>
      <c r="F14">
        <v>1</v>
      </c>
      <c r="G14">
        <v>1</v>
      </c>
      <c r="H14">
        <v>2</v>
      </c>
      <c r="I14" t="s">
        <v>350</v>
      </c>
      <c r="J14" t="s">
        <v>351</v>
      </c>
      <c r="K14" t="s">
        <v>352</v>
      </c>
      <c r="L14">
        <v>1367</v>
      </c>
      <c r="N14">
        <v>1011</v>
      </c>
      <c r="O14" t="s">
        <v>330</v>
      </c>
      <c r="P14" t="s">
        <v>330</v>
      </c>
      <c r="Q14">
        <v>1</v>
      </c>
      <c r="X14">
        <v>7.0000000000000007E-2</v>
      </c>
      <c r="Y14">
        <v>0</v>
      </c>
      <c r="Z14">
        <v>115.4</v>
      </c>
      <c r="AA14">
        <v>13.5</v>
      </c>
      <c r="AB14">
        <v>0</v>
      </c>
      <c r="AC14">
        <v>0</v>
      </c>
      <c r="AD14">
        <v>1</v>
      </c>
      <c r="AE14">
        <v>0</v>
      </c>
      <c r="AF14" t="s">
        <v>72</v>
      </c>
      <c r="AG14">
        <v>8.7500000000000008E-2</v>
      </c>
      <c r="AH14">
        <v>2</v>
      </c>
      <c r="AI14">
        <v>53362536</v>
      </c>
      <c r="AJ14">
        <v>15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2">
      <c r="A15">
        <f>ROW(Source!A35)</f>
        <v>35</v>
      </c>
      <c r="B15">
        <v>53362548</v>
      </c>
      <c r="C15">
        <v>53362533</v>
      </c>
      <c r="D15">
        <v>1091150891</v>
      </c>
      <c r="E15">
        <v>1</v>
      </c>
      <c r="F15">
        <v>1</v>
      </c>
      <c r="G15">
        <v>1</v>
      </c>
      <c r="H15">
        <v>2</v>
      </c>
      <c r="I15" t="s">
        <v>353</v>
      </c>
      <c r="J15" t="s">
        <v>354</v>
      </c>
      <c r="K15" t="s">
        <v>355</v>
      </c>
      <c r="L15">
        <v>1367</v>
      </c>
      <c r="N15">
        <v>1011</v>
      </c>
      <c r="O15" t="s">
        <v>330</v>
      </c>
      <c r="P15" t="s">
        <v>330</v>
      </c>
      <c r="Q15">
        <v>1</v>
      </c>
      <c r="X15">
        <v>0.27</v>
      </c>
      <c r="Y15">
        <v>0</v>
      </c>
      <c r="Z15">
        <v>89.99</v>
      </c>
      <c r="AA15">
        <v>10.06</v>
      </c>
      <c r="AB15">
        <v>0</v>
      </c>
      <c r="AC15">
        <v>0</v>
      </c>
      <c r="AD15">
        <v>1</v>
      </c>
      <c r="AE15">
        <v>0</v>
      </c>
      <c r="AF15" t="s">
        <v>72</v>
      </c>
      <c r="AG15">
        <v>0.33750000000000002</v>
      </c>
      <c r="AH15">
        <v>2</v>
      </c>
      <c r="AI15">
        <v>53362537</v>
      </c>
      <c r="AJ15">
        <v>16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 x14ac:dyDescent="0.2">
      <c r="A16">
        <f>ROW(Source!A35)</f>
        <v>35</v>
      </c>
      <c r="B16">
        <v>53362549</v>
      </c>
      <c r="C16">
        <v>53362533</v>
      </c>
      <c r="D16">
        <v>1091151703</v>
      </c>
      <c r="E16">
        <v>1</v>
      </c>
      <c r="F16">
        <v>1</v>
      </c>
      <c r="G16">
        <v>1</v>
      </c>
      <c r="H16">
        <v>2</v>
      </c>
      <c r="I16" t="s">
        <v>356</v>
      </c>
      <c r="J16" t="s">
        <v>357</v>
      </c>
      <c r="K16" t="s">
        <v>358</v>
      </c>
      <c r="L16">
        <v>1367</v>
      </c>
      <c r="N16">
        <v>1011</v>
      </c>
      <c r="O16" t="s">
        <v>330</v>
      </c>
      <c r="P16" t="s">
        <v>330</v>
      </c>
      <c r="Q16">
        <v>1</v>
      </c>
      <c r="X16">
        <v>0.1</v>
      </c>
      <c r="Y16">
        <v>0</v>
      </c>
      <c r="Z16">
        <v>65.709999999999994</v>
      </c>
      <c r="AA16">
        <v>11.6</v>
      </c>
      <c r="AB16">
        <v>0</v>
      </c>
      <c r="AC16">
        <v>0</v>
      </c>
      <c r="AD16">
        <v>1</v>
      </c>
      <c r="AE16">
        <v>0</v>
      </c>
      <c r="AF16" t="s">
        <v>72</v>
      </c>
      <c r="AG16">
        <v>0.125</v>
      </c>
      <c r="AH16">
        <v>2</v>
      </c>
      <c r="AI16">
        <v>53362538</v>
      </c>
      <c r="AJ16">
        <v>17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">
      <c r="A17">
        <f>ROW(Source!A35)</f>
        <v>35</v>
      </c>
      <c r="B17">
        <v>53362550</v>
      </c>
      <c r="C17">
        <v>53362533</v>
      </c>
      <c r="D17">
        <v>1090945058</v>
      </c>
      <c r="E17">
        <v>1</v>
      </c>
      <c r="F17">
        <v>1</v>
      </c>
      <c r="G17">
        <v>1</v>
      </c>
      <c r="H17">
        <v>3</v>
      </c>
      <c r="I17" t="s">
        <v>359</v>
      </c>
      <c r="J17" t="s">
        <v>360</v>
      </c>
      <c r="K17" t="s">
        <v>361</v>
      </c>
      <c r="L17">
        <v>1339</v>
      </c>
      <c r="N17">
        <v>1007</v>
      </c>
      <c r="O17" t="s">
        <v>89</v>
      </c>
      <c r="P17" t="s">
        <v>89</v>
      </c>
      <c r="Q17">
        <v>1</v>
      </c>
      <c r="X17">
        <v>6.0999999999999999E-2</v>
      </c>
      <c r="Y17">
        <v>2.44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 t="s">
        <v>3</v>
      </c>
      <c r="AG17">
        <v>6.0999999999999999E-2</v>
      </c>
      <c r="AH17">
        <v>2</v>
      </c>
      <c r="AI17">
        <v>53362539</v>
      </c>
      <c r="AJ17">
        <v>18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">
      <c r="A18">
        <f>ROW(Source!A35)</f>
        <v>35</v>
      </c>
      <c r="B18">
        <v>53362551</v>
      </c>
      <c r="C18">
        <v>53362533</v>
      </c>
      <c r="D18">
        <v>1090950364</v>
      </c>
      <c r="E18">
        <v>1</v>
      </c>
      <c r="F18">
        <v>1</v>
      </c>
      <c r="G18">
        <v>1</v>
      </c>
      <c r="H18">
        <v>3</v>
      </c>
      <c r="I18" t="s">
        <v>362</v>
      </c>
      <c r="J18" t="s">
        <v>363</v>
      </c>
      <c r="K18" t="s">
        <v>364</v>
      </c>
      <c r="L18">
        <v>1348</v>
      </c>
      <c r="N18">
        <v>1009</v>
      </c>
      <c r="O18" t="s">
        <v>32</v>
      </c>
      <c r="P18" t="s">
        <v>32</v>
      </c>
      <c r="Q18">
        <v>1000</v>
      </c>
      <c r="X18">
        <v>1.47E-2</v>
      </c>
      <c r="Y18">
        <v>11978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 t="s">
        <v>3</v>
      </c>
      <c r="AG18">
        <v>1.47E-2</v>
      </c>
      <c r="AH18">
        <v>2</v>
      </c>
      <c r="AI18">
        <v>53362540</v>
      </c>
      <c r="AJ18">
        <v>19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">
      <c r="A19">
        <f>ROW(Source!A35)</f>
        <v>35</v>
      </c>
      <c r="B19">
        <v>53362552</v>
      </c>
      <c r="C19">
        <v>53362533</v>
      </c>
      <c r="D19">
        <v>1090953109</v>
      </c>
      <c r="E19">
        <v>1</v>
      </c>
      <c r="F19">
        <v>1</v>
      </c>
      <c r="G19">
        <v>1</v>
      </c>
      <c r="H19">
        <v>3</v>
      </c>
      <c r="I19" t="s">
        <v>365</v>
      </c>
      <c r="J19" t="s">
        <v>366</v>
      </c>
      <c r="K19" t="s">
        <v>367</v>
      </c>
      <c r="L19">
        <v>1348</v>
      </c>
      <c r="N19">
        <v>1009</v>
      </c>
      <c r="O19" t="s">
        <v>32</v>
      </c>
      <c r="P19" t="s">
        <v>32</v>
      </c>
      <c r="Q19">
        <v>1000</v>
      </c>
      <c r="X19">
        <v>2.1000000000000001E-2</v>
      </c>
      <c r="Y19">
        <v>734.5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 t="s">
        <v>3</v>
      </c>
      <c r="AG19">
        <v>2.1000000000000001E-2</v>
      </c>
      <c r="AH19">
        <v>2</v>
      </c>
      <c r="AI19">
        <v>53362541</v>
      </c>
      <c r="AJ19">
        <v>20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">
      <c r="A20">
        <f>ROW(Source!A35)</f>
        <v>35</v>
      </c>
      <c r="B20">
        <v>53362553</v>
      </c>
      <c r="C20">
        <v>53362533</v>
      </c>
      <c r="D20">
        <v>1090983437</v>
      </c>
      <c r="E20">
        <v>1</v>
      </c>
      <c r="F20">
        <v>1</v>
      </c>
      <c r="G20">
        <v>1</v>
      </c>
      <c r="H20">
        <v>3</v>
      </c>
      <c r="I20" t="s">
        <v>368</v>
      </c>
      <c r="J20" t="s">
        <v>369</v>
      </c>
      <c r="K20" t="s">
        <v>370</v>
      </c>
      <c r="L20">
        <v>1339</v>
      </c>
      <c r="N20">
        <v>1007</v>
      </c>
      <c r="O20" t="s">
        <v>89</v>
      </c>
      <c r="P20" t="s">
        <v>89</v>
      </c>
      <c r="Q20">
        <v>1</v>
      </c>
      <c r="X20">
        <v>0.32</v>
      </c>
      <c r="Y20">
        <v>1100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 t="s">
        <v>3</v>
      </c>
      <c r="AG20">
        <v>0.32</v>
      </c>
      <c r="AH20">
        <v>2</v>
      </c>
      <c r="AI20">
        <v>53362542</v>
      </c>
      <c r="AJ20">
        <v>21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">
      <c r="A21">
        <f>ROW(Source!A35)</f>
        <v>35</v>
      </c>
      <c r="B21">
        <v>53362554</v>
      </c>
      <c r="C21">
        <v>53362533</v>
      </c>
      <c r="D21">
        <v>1090983445</v>
      </c>
      <c r="E21">
        <v>1</v>
      </c>
      <c r="F21">
        <v>1</v>
      </c>
      <c r="G21">
        <v>1</v>
      </c>
      <c r="H21">
        <v>3</v>
      </c>
      <c r="I21" t="s">
        <v>371</v>
      </c>
      <c r="J21" t="s">
        <v>372</v>
      </c>
      <c r="K21" t="s">
        <v>373</v>
      </c>
      <c r="L21">
        <v>1339</v>
      </c>
      <c r="N21">
        <v>1007</v>
      </c>
      <c r="O21" t="s">
        <v>89</v>
      </c>
      <c r="P21" t="s">
        <v>89</v>
      </c>
      <c r="Q21">
        <v>1</v>
      </c>
      <c r="X21">
        <v>0.42</v>
      </c>
      <c r="Y21">
        <v>1056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 t="s">
        <v>3</v>
      </c>
      <c r="AG21">
        <v>0.42</v>
      </c>
      <c r="AH21">
        <v>2</v>
      </c>
      <c r="AI21">
        <v>53362543</v>
      </c>
      <c r="AJ21">
        <v>22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">
      <c r="A22">
        <f>ROW(Source!A35)</f>
        <v>35</v>
      </c>
      <c r="B22">
        <v>53362555</v>
      </c>
      <c r="C22">
        <v>53362533</v>
      </c>
      <c r="D22">
        <v>1090984638</v>
      </c>
      <c r="E22">
        <v>1</v>
      </c>
      <c r="F22">
        <v>1</v>
      </c>
      <c r="G22">
        <v>1</v>
      </c>
      <c r="H22">
        <v>3</v>
      </c>
      <c r="I22" t="s">
        <v>374</v>
      </c>
      <c r="J22" t="s">
        <v>375</v>
      </c>
      <c r="K22" t="s">
        <v>376</v>
      </c>
      <c r="L22">
        <v>1327</v>
      </c>
      <c r="N22">
        <v>1005</v>
      </c>
      <c r="O22" t="s">
        <v>101</v>
      </c>
      <c r="P22" t="s">
        <v>101</v>
      </c>
      <c r="Q22">
        <v>1</v>
      </c>
      <c r="X22">
        <v>5.44</v>
      </c>
      <c r="Y22">
        <v>57.63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 t="s">
        <v>3</v>
      </c>
      <c r="AG22">
        <v>5.44</v>
      </c>
      <c r="AH22">
        <v>2</v>
      </c>
      <c r="AI22">
        <v>53362544</v>
      </c>
      <c r="AJ22">
        <v>23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">
      <c r="A23">
        <f>ROW(Source!A36)</f>
        <v>36</v>
      </c>
      <c r="B23">
        <v>53362565</v>
      </c>
      <c r="C23">
        <v>53362556</v>
      </c>
      <c r="D23">
        <v>37064998</v>
      </c>
      <c r="E23">
        <v>70</v>
      </c>
      <c r="F23">
        <v>1</v>
      </c>
      <c r="G23">
        <v>1</v>
      </c>
      <c r="H23">
        <v>1</v>
      </c>
      <c r="I23" t="s">
        <v>377</v>
      </c>
      <c r="J23" t="s">
        <v>3</v>
      </c>
      <c r="K23" t="s">
        <v>378</v>
      </c>
      <c r="L23">
        <v>1191</v>
      </c>
      <c r="N23">
        <v>1013</v>
      </c>
      <c r="O23" t="s">
        <v>324</v>
      </c>
      <c r="P23" t="s">
        <v>324</v>
      </c>
      <c r="Q23">
        <v>1</v>
      </c>
      <c r="X23">
        <v>135</v>
      </c>
      <c r="Y23">
        <v>0</v>
      </c>
      <c r="Z23">
        <v>0</v>
      </c>
      <c r="AA23">
        <v>0</v>
      </c>
      <c r="AB23">
        <v>7.8</v>
      </c>
      <c r="AC23">
        <v>0</v>
      </c>
      <c r="AD23">
        <v>1</v>
      </c>
      <c r="AE23">
        <v>1</v>
      </c>
      <c r="AF23" t="s">
        <v>73</v>
      </c>
      <c r="AG23">
        <v>155.25</v>
      </c>
      <c r="AH23">
        <v>2</v>
      </c>
      <c r="AI23">
        <v>53362557</v>
      </c>
      <c r="AJ23">
        <v>24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">
      <c r="A24">
        <f>ROW(Source!A36)</f>
        <v>36</v>
      </c>
      <c r="B24">
        <v>53362566</v>
      </c>
      <c r="C24">
        <v>53362556</v>
      </c>
      <c r="D24">
        <v>37064876</v>
      </c>
      <c r="E24">
        <v>70</v>
      </c>
      <c r="F24">
        <v>1</v>
      </c>
      <c r="G24">
        <v>1</v>
      </c>
      <c r="H24">
        <v>1</v>
      </c>
      <c r="I24" t="s">
        <v>325</v>
      </c>
      <c r="J24" t="s">
        <v>3</v>
      </c>
      <c r="K24" t="s">
        <v>326</v>
      </c>
      <c r="L24">
        <v>1191</v>
      </c>
      <c r="N24">
        <v>1013</v>
      </c>
      <c r="O24" t="s">
        <v>324</v>
      </c>
      <c r="P24" t="s">
        <v>324</v>
      </c>
      <c r="Q24">
        <v>1</v>
      </c>
      <c r="X24">
        <v>18.12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2</v>
      </c>
      <c r="AF24" t="s">
        <v>72</v>
      </c>
      <c r="AG24">
        <v>22.650000000000002</v>
      </c>
      <c r="AH24">
        <v>2</v>
      </c>
      <c r="AI24">
        <v>53362558</v>
      </c>
      <c r="AJ24">
        <v>25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">
      <c r="A25">
        <f>ROW(Source!A36)</f>
        <v>36</v>
      </c>
      <c r="B25">
        <v>53362567</v>
      </c>
      <c r="C25">
        <v>53362556</v>
      </c>
      <c r="D25">
        <v>1091150666</v>
      </c>
      <c r="E25">
        <v>1</v>
      </c>
      <c r="F25">
        <v>1</v>
      </c>
      <c r="G25">
        <v>1</v>
      </c>
      <c r="H25">
        <v>2</v>
      </c>
      <c r="I25" t="s">
        <v>379</v>
      </c>
      <c r="J25" t="s">
        <v>380</v>
      </c>
      <c r="K25" t="s">
        <v>381</v>
      </c>
      <c r="L25">
        <v>1367</v>
      </c>
      <c r="N25">
        <v>1011</v>
      </c>
      <c r="O25" t="s">
        <v>330</v>
      </c>
      <c r="P25" t="s">
        <v>330</v>
      </c>
      <c r="Q25">
        <v>1</v>
      </c>
      <c r="X25">
        <v>18</v>
      </c>
      <c r="Y25">
        <v>0</v>
      </c>
      <c r="Z25">
        <v>86.4</v>
      </c>
      <c r="AA25">
        <v>13.5</v>
      </c>
      <c r="AB25">
        <v>0</v>
      </c>
      <c r="AC25">
        <v>0</v>
      </c>
      <c r="AD25">
        <v>1</v>
      </c>
      <c r="AE25">
        <v>0</v>
      </c>
      <c r="AF25" t="s">
        <v>72</v>
      </c>
      <c r="AG25">
        <v>22.5</v>
      </c>
      <c r="AH25">
        <v>2</v>
      </c>
      <c r="AI25">
        <v>53362559</v>
      </c>
      <c r="AJ25">
        <v>26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2">
      <c r="A26">
        <f>ROW(Source!A36)</f>
        <v>36</v>
      </c>
      <c r="B26">
        <v>53362568</v>
      </c>
      <c r="C26">
        <v>53362556</v>
      </c>
      <c r="D26">
        <v>1091151021</v>
      </c>
      <c r="E26">
        <v>1</v>
      </c>
      <c r="F26">
        <v>1</v>
      </c>
      <c r="G26">
        <v>1</v>
      </c>
      <c r="H26">
        <v>2</v>
      </c>
      <c r="I26" t="s">
        <v>382</v>
      </c>
      <c r="J26" t="s">
        <v>383</v>
      </c>
      <c r="K26" t="s">
        <v>384</v>
      </c>
      <c r="L26">
        <v>1367</v>
      </c>
      <c r="N26">
        <v>1011</v>
      </c>
      <c r="O26" t="s">
        <v>330</v>
      </c>
      <c r="P26" t="s">
        <v>330</v>
      </c>
      <c r="Q26">
        <v>1</v>
      </c>
      <c r="X26">
        <v>5.93</v>
      </c>
      <c r="Y26">
        <v>0</v>
      </c>
      <c r="Z26">
        <v>0.5</v>
      </c>
      <c r="AA26">
        <v>0</v>
      </c>
      <c r="AB26">
        <v>0</v>
      </c>
      <c r="AC26">
        <v>0</v>
      </c>
      <c r="AD26">
        <v>1</v>
      </c>
      <c r="AE26">
        <v>0</v>
      </c>
      <c r="AF26" t="s">
        <v>72</v>
      </c>
      <c r="AG26">
        <v>7.4124999999999996</v>
      </c>
      <c r="AH26">
        <v>2</v>
      </c>
      <c r="AI26">
        <v>53362560</v>
      </c>
      <c r="AJ26">
        <v>27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 x14ac:dyDescent="0.2">
      <c r="A27">
        <f>ROW(Source!A36)</f>
        <v>36</v>
      </c>
      <c r="B27">
        <v>53362569</v>
      </c>
      <c r="C27">
        <v>53362556</v>
      </c>
      <c r="D27">
        <v>1091151703</v>
      </c>
      <c r="E27">
        <v>1</v>
      </c>
      <c r="F27">
        <v>1</v>
      </c>
      <c r="G27">
        <v>1</v>
      </c>
      <c r="H27">
        <v>2</v>
      </c>
      <c r="I27" t="s">
        <v>356</v>
      </c>
      <c r="J27" t="s">
        <v>357</v>
      </c>
      <c r="K27" t="s">
        <v>358</v>
      </c>
      <c r="L27">
        <v>1367</v>
      </c>
      <c r="N27">
        <v>1011</v>
      </c>
      <c r="O27" t="s">
        <v>330</v>
      </c>
      <c r="P27" t="s">
        <v>330</v>
      </c>
      <c r="Q27">
        <v>1</v>
      </c>
      <c r="X27">
        <v>0.12</v>
      </c>
      <c r="Y27">
        <v>0</v>
      </c>
      <c r="Z27">
        <v>65.709999999999994</v>
      </c>
      <c r="AA27">
        <v>11.6</v>
      </c>
      <c r="AB27">
        <v>0</v>
      </c>
      <c r="AC27">
        <v>0</v>
      </c>
      <c r="AD27">
        <v>1</v>
      </c>
      <c r="AE27">
        <v>0</v>
      </c>
      <c r="AF27" t="s">
        <v>72</v>
      </c>
      <c r="AG27">
        <v>0.15</v>
      </c>
      <c r="AH27">
        <v>2</v>
      </c>
      <c r="AI27">
        <v>53362561</v>
      </c>
      <c r="AJ27">
        <v>28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2">
      <c r="A28">
        <f>ROW(Source!A36)</f>
        <v>36</v>
      </c>
      <c r="B28">
        <v>53362570</v>
      </c>
      <c r="C28">
        <v>53362556</v>
      </c>
      <c r="D28">
        <v>1090945058</v>
      </c>
      <c r="E28">
        <v>1</v>
      </c>
      <c r="F28">
        <v>1</v>
      </c>
      <c r="G28">
        <v>1</v>
      </c>
      <c r="H28">
        <v>3</v>
      </c>
      <c r="I28" t="s">
        <v>359</v>
      </c>
      <c r="J28" t="s">
        <v>360</v>
      </c>
      <c r="K28" t="s">
        <v>361</v>
      </c>
      <c r="L28">
        <v>1339</v>
      </c>
      <c r="N28">
        <v>1007</v>
      </c>
      <c r="O28" t="s">
        <v>89</v>
      </c>
      <c r="P28" t="s">
        <v>89</v>
      </c>
      <c r="Q28">
        <v>1</v>
      </c>
      <c r="X28">
        <v>1.75</v>
      </c>
      <c r="Y28">
        <v>2.44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0</v>
      </c>
      <c r="AF28" t="s">
        <v>3</v>
      </c>
      <c r="AG28">
        <v>1.75</v>
      </c>
      <c r="AH28">
        <v>2</v>
      </c>
      <c r="AI28">
        <v>53362562</v>
      </c>
      <c r="AJ28">
        <v>29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2">
      <c r="A29">
        <f>ROW(Source!A36)</f>
        <v>36</v>
      </c>
      <c r="B29">
        <v>53362571</v>
      </c>
      <c r="C29">
        <v>53362556</v>
      </c>
      <c r="D29">
        <v>1090945912</v>
      </c>
      <c r="E29">
        <v>1</v>
      </c>
      <c r="F29">
        <v>1</v>
      </c>
      <c r="G29">
        <v>1</v>
      </c>
      <c r="H29">
        <v>3</v>
      </c>
      <c r="I29" t="s">
        <v>385</v>
      </c>
      <c r="J29" t="s">
        <v>386</v>
      </c>
      <c r="K29" t="s">
        <v>387</v>
      </c>
      <c r="L29">
        <v>1327</v>
      </c>
      <c r="N29">
        <v>1005</v>
      </c>
      <c r="O29" t="s">
        <v>101</v>
      </c>
      <c r="P29" t="s">
        <v>101</v>
      </c>
      <c r="Q29">
        <v>1</v>
      </c>
      <c r="X29">
        <v>250</v>
      </c>
      <c r="Y29">
        <v>3.62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 t="s">
        <v>3</v>
      </c>
      <c r="AG29">
        <v>250</v>
      </c>
      <c r="AH29">
        <v>2</v>
      </c>
      <c r="AI29">
        <v>53362563</v>
      </c>
      <c r="AJ29">
        <v>30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 x14ac:dyDescent="0.2">
      <c r="A30">
        <f>ROW(Source!A36)</f>
        <v>36</v>
      </c>
      <c r="B30">
        <v>53362572</v>
      </c>
      <c r="C30">
        <v>53362556</v>
      </c>
      <c r="D30">
        <v>1090929029</v>
      </c>
      <c r="E30">
        <v>70</v>
      </c>
      <c r="F30">
        <v>1</v>
      </c>
      <c r="G30">
        <v>1</v>
      </c>
      <c r="H30">
        <v>3</v>
      </c>
      <c r="I30" t="s">
        <v>453</v>
      </c>
      <c r="J30" t="s">
        <v>3</v>
      </c>
      <c r="K30" t="s">
        <v>454</v>
      </c>
      <c r="L30">
        <v>1339</v>
      </c>
      <c r="N30">
        <v>1007</v>
      </c>
      <c r="O30" t="s">
        <v>89</v>
      </c>
      <c r="P30" t="s">
        <v>89</v>
      </c>
      <c r="Q30">
        <v>1</v>
      </c>
      <c r="X30">
        <v>102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 t="s">
        <v>3</v>
      </c>
      <c r="AG30">
        <v>102</v>
      </c>
      <c r="AH30">
        <v>3</v>
      </c>
      <c r="AI30">
        <v>-1</v>
      </c>
      <c r="AJ30" t="s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 x14ac:dyDescent="0.2">
      <c r="A31">
        <f>ROW(Source!A38)</f>
        <v>38</v>
      </c>
      <c r="B31">
        <v>53362587</v>
      </c>
      <c r="C31">
        <v>53362574</v>
      </c>
      <c r="D31">
        <v>37070495</v>
      </c>
      <c r="E31">
        <v>70</v>
      </c>
      <c r="F31">
        <v>1</v>
      </c>
      <c r="G31">
        <v>1</v>
      </c>
      <c r="H31">
        <v>1</v>
      </c>
      <c r="I31" t="s">
        <v>388</v>
      </c>
      <c r="J31" t="s">
        <v>3</v>
      </c>
      <c r="K31" t="s">
        <v>389</v>
      </c>
      <c r="L31">
        <v>1191</v>
      </c>
      <c r="N31">
        <v>1013</v>
      </c>
      <c r="O31" t="s">
        <v>324</v>
      </c>
      <c r="P31" t="s">
        <v>324</v>
      </c>
      <c r="Q31">
        <v>1</v>
      </c>
      <c r="X31">
        <v>106</v>
      </c>
      <c r="Y31">
        <v>0</v>
      </c>
      <c r="Z31">
        <v>0</v>
      </c>
      <c r="AA31">
        <v>0</v>
      </c>
      <c r="AB31">
        <v>8.74</v>
      </c>
      <c r="AC31">
        <v>0</v>
      </c>
      <c r="AD31">
        <v>1</v>
      </c>
      <c r="AE31">
        <v>1</v>
      </c>
      <c r="AF31" t="s">
        <v>73</v>
      </c>
      <c r="AG31">
        <v>121.89999999999999</v>
      </c>
      <c r="AH31">
        <v>2</v>
      </c>
      <c r="AI31">
        <v>53362575</v>
      </c>
      <c r="AJ31">
        <v>32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 x14ac:dyDescent="0.2">
      <c r="A32">
        <f>ROW(Source!A38)</f>
        <v>38</v>
      </c>
      <c r="B32">
        <v>53362588</v>
      </c>
      <c r="C32">
        <v>53362574</v>
      </c>
      <c r="D32">
        <v>37064876</v>
      </c>
      <c r="E32">
        <v>70</v>
      </c>
      <c r="F32">
        <v>1</v>
      </c>
      <c r="G32">
        <v>1</v>
      </c>
      <c r="H32">
        <v>1</v>
      </c>
      <c r="I32" t="s">
        <v>325</v>
      </c>
      <c r="J32" t="s">
        <v>3</v>
      </c>
      <c r="K32" t="s">
        <v>326</v>
      </c>
      <c r="L32">
        <v>1191</v>
      </c>
      <c r="N32">
        <v>1013</v>
      </c>
      <c r="O32" t="s">
        <v>324</v>
      </c>
      <c r="P32" t="s">
        <v>324</v>
      </c>
      <c r="Q32">
        <v>1</v>
      </c>
      <c r="X32">
        <v>2.94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2</v>
      </c>
      <c r="AF32" t="s">
        <v>72</v>
      </c>
      <c r="AG32">
        <v>3.6749999999999998</v>
      </c>
      <c r="AH32">
        <v>2</v>
      </c>
      <c r="AI32">
        <v>53362576</v>
      </c>
      <c r="AJ32">
        <v>33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 x14ac:dyDescent="0.2">
      <c r="A33">
        <f>ROW(Source!A38)</f>
        <v>38</v>
      </c>
      <c r="B33">
        <v>53362589</v>
      </c>
      <c r="C33">
        <v>53362574</v>
      </c>
      <c r="D33">
        <v>1091150891</v>
      </c>
      <c r="E33">
        <v>1</v>
      </c>
      <c r="F33">
        <v>1</v>
      </c>
      <c r="G33">
        <v>1</v>
      </c>
      <c r="H33">
        <v>2</v>
      </c>
      <c r="I33" t="s">
        <v>353</v>
      </c>
      <c r="J33" t="s">
        <v>354</v>
      </c>
      <c r="K33" t="s">
        <v>355</v>
      </c>
      <c r="L33">
        <v>1367</v>
      </c>
      <c r="N33">
        <v>1011</v>
      </c>
      <c r="O33" t="s">
        <v>330</v>
      </c>
      <c r="P33" t="s">
        <v>330</v>
      </c>
      <c r="Q33">
        <v>1</v>
      </c>
      <c r="X33">
        <v>0.36</v>
      </c>
      <c r="Y33">
        <v>0</v>
      </c>
      <c r="Z33">
        <v>89.99</v>
      </c>
      <c r="AA33">
        <v>10.06</v>
      </c>
      <c r="AB33">
        <v>0</v>
      </c>
      <c r="AC33">
        <v>0</v>
      </c>
      <c r="AD33">
        <v>1</v>
      </c>
      <c r="AE33">
        <v>0</v>
      </c>
      <c r="AF33" t="s">
        <v>72</v>
      </c>
      <c r="AG33">
        <v>0.44999999999999996</v>
      </c>
      <c r="AH33">
        <v>2</v>
      </c>
      <c r="AI33">
        <v>53362577</v>
      </c>
      <c r="AJ33">
        <v>34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2">
      <c r="A34">
        <f>ROW(Source!A38)</f>
        <v>38</v>
      </c>
      <c r="B34">
        <v>53362590</v>
      </c>
      <c r="C34">
        <v>53362574</v>
      </c>
      <c r="D34">
        <v>1091150933</v>
      </c>
      <c r="E34">
        <v>1</v>
      </c>
      <c r="F34">
        <v>1</v>
      </c>
      <c r="G34">
        <v>1</v>
      </c>
      <c r="H34">
        <v>2</v>
      </c>
      <c r="I34" t="s">
        <v>327</v>
      </c>
      <c r="J34" t="s">
        <v>328</v>
      </c>
      <c r="K34" t="s">
        <v>329</v>
      </c>
      <c r="L34">
        <v>1367</v>
      </c>
      <c r="N34">
        <v>1011</v>
      </c>
      <c r="O34" t="s">
        <v>330</v>
      </c>
      <c r="P34" t="s">
        <v>330</v>
      </c>
      <c r="Q34">
        <v>1</v>
      </c>
      <c r="X34">
        <v>2.2999999999999998</v>
      </c>
      <c r="Y34">
        <v>0</v>
      </c>
      <c r="Z34">
        <v>31.26</v>
      </c>
      <c r="AA34">
        <v>13.5</v>
      </c>
      <c r="AB34">
        <v>0</v>
      </c>
      <c r="AC34">
        <v>0</v>
      </c>
      <c r="AD34">
        <v>1</v>
      </c>
      <c r="AE34">
        <v>0</v>
      </c>
      <c r="AF34" t="s">
        <v>72</v>
      </c>
      <c r="AG34">
        <v>2.875</v>
      </c>
      <c r="AH34">
        <v>2</v>
      </c>
      <c r="AI34">
        <v>53362578</v>
      </c>
      <c r="AJ34">
        <v>35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2">
      <c r="A35">
        <f>ROW(Source!A38)</f>
        <v>38</v>
      </c>
      <c r="B35">
        <v>53362591</v>
      </c>
      <c r="C35">
        <v>53362574</v>
      </c>
      <c r="D35">
        <v>1091151703</v>
      </c>
      <c r="E35">
        <v>1</v>
      </c>
      <c r="F35">
        <v>1</v>
      </c>
      <c r="G35">
        <v>1</v>
      </c>
      <c r="H35">
        <v>2</v>
      </c>
      <c r="I35" t="s">
        <v>356</v>
      </c>
      <c r="J35" t="s">
        <v>357</v>
      </c>
      <c r="K35" t="s">
        <v>358</v>
      </c>
      <c r="L35">
        <v>1367</v>
      </c>
      <c r="N35">
        <v>1011</v>
      </c>
      <c r="O35" t="s">
        <v>330</v>
      </c>
      <c r="P35" t="s">
        <v>330</v>
      </c>
      <c r="Q35">
        <v>1</v>
      </c>
      <c r="X35">
        <v>0.28000000000000003</v>
      </c>
      <c r="Y35">
        <v>0</v>
      </c>
      <c r="Z35">
        <v>65.709999999999994</v>
      </c>
      <c r="AA35">
        <v>11.6</v>
      </c>
      <c r="AB35">
        <v>0</v>
      </c>
      <c r="AC35">
        <v>0</v>
      </c>
      <c r="AD35">
        <v>1</v>
      </c>
      <c r="AE35">
        <v>0</v>
      </c>
      <c r="AF35" t="s">
        <v>72</v>
      </c>
      <c r="AG35">
        <v>0.35000000000000003</v>
      </c>
      <c r="AH35">
        <v>2</v>
      </c>
      <c r="AI35">
        <v>53362579</v>
      </c>
      <c r="AJ35">
        <v>36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2">
      <c r="A36">
        <f>ROW(Source!A38)</f>
        <v>38</v>
      </c>
      <c r="B36">
        <v>53362592</v>
      </c>
      <c r="C36">
        <v>53362574</v>
      </c>
      <c r="D36">
        <v>1090945058</v>
      </c>
      <c r="E36">
        <v>1</v>
      </c>
      <c r="F36">
        <v>1</v>
      </c>
      <c r="G36">
        <v>1</v>
      </c>
      <c r="H36">
        <v>3</v>
      </c>
      <c r="I36" t="s">
        <v>359</v>
      </c>
      <c r="J36" t="s">
        <v>360</v>
      </c>
      <c r="K36" t="s">
        <v>361</v>
      </c>
      <c r="L36">
        <v>1339</v>
      </c>
      <c r="N36">
        <v>1007</v>
      </c>
      <c r="O36" t="s">
        <v>89</v>
      </c>
      <c r="P36" t="s">
        <v>89</v>
      </c>
      <c r="Q36">
        <v>1</v>
      </c>
      <c r="X36">
        <v>3.85</v>
      </c>
      <c r="Y36">
        <v>2.44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 t="s">
        <v>3</v>
      </c>
      <c r="AG36">
        <v>3.85</v>
      </c>
      <c r="AH36">
        <v>2</v>
      </c>
      <c r="AI36">
        <v>53362580</v>
      </c>
      <c r="AJ36">
        <v>37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2">
      <c r="A37">
        <f>ROW(Source!A38)</f>
        <v>38</v>
      </c>
      <c r="B37">
        <v>53362593</v>
      </c>
      <c r="C37">
        <v>53362574</v>
      </c>
      <c r="D37">
        <v>1090946337</v>
      </c>
      <c r="E37">
        <v>1</v>
      </c>
      <c r="F37">
        <v>1</v>
      </c>
      <c r="G37">
        <v>1</v>
      </c>
      <c r="H37">
        <v>3</v>
      </c>
      <c r="I37" t="s">
        <v>390</v>
      </c>
      <c r="J37" t="s">
        <v>391</v>
      </c>
      <c r="K37" t="s">
        <v>392</v>
      </c>
      <c r="L37">
        <v>1339</v>
      </c>
      <c r="N37">
        <v>1007</v>
      </c>
      <c r="O37" t="s">
        <v>89</v>
      </c>
      <c r="P37" t="s">
        <v>89</v>
      </c>
      <c r="Q37">
        <v>1</v>
      </c>
      <c r="X37">
        <v>3.06</v>
      </c>
      <c r="Y37">
        <v>34.92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 t="s">
        <v>3</v>
      </c>
      <c r="AG37">
        <v>3.06</v>
      </c>
      <c r="AH37">
        <v>2</v>
      </c>
      <c r="AI37">
        <v>53362581</v>
      </c>
      <c r="AJ37">
        <v>38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2">
      <c r="A38">
        <f>ROW(Source!A38)</f>
        <v>38</v>
      </c>
      <c r="B38">
        <v>53362594</v>
      </c>
      <c r="C38">
        <v>53362574</v>
      </c>
      <c r="D38">
        <v>1090953912</v>
      </c>
      <c r="E38">
        <v>1</v>
      </c>
      <c r="F38">
        <v>1</v>
      </c>
      <c r="G38">
        <v>1</v>
      </c>
      <c r="H38">
        <v>3</v>
      </c>
      <c r="I38" t="s">
        <v>104</v>
      </c>
      <c r="J38" t="s">
        <v>106</v>
      </c>
      <c r="K38" t="s">
        <v>105</v>
      </c>
      <c r="L38">
        <v>1339</v>
      </c>
      <c r="N38">
        <v>1007</v>
      </c>
      <c r="O38" t="s">
        <v>89</v>
      </c>
      <c r="P38" t="s">
        <v>89</v>
      </c>
      <c r="Q38">
        <v>1</v>
      </c>
      <c r="X38">
        <v>1.3</v>
      </c>
      <c r="Y38">
        <v>600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0</v>
      </c>
      <c r="AF38" t="s">
        <v>3</v>
      </c>
      <c r="AG38">
        <v>1.3</v>
      </c>
      <c r="AH38">
        <v>2</v>
      </c>
      <c r="AI38">
        <v>53362602</v>
      </c>
      <c r="AJ38">
        <v>39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 x14ac:dyDescent="0.2">
      <c r="A39">
        <f>ROW(Source!A38)</f>
        <v>38</v>
      </c>
      <c r="B39">
        <v>53362595</v>
      </c>
      <c r="C39">
        <v>53362574</v>
      </c>
      <c r="D39">
        <v>1090969540</v>
      </c>
      <c r="E39">
        <v>1</v>
      </c>
      <c r="F39">
        <v>1</v>
      </c>
      <c r="G39">
        <v>1</v>
      </c>
      <c r="H39">
        <v>3</v>
      </c>
      <c r="I39" t="s">
        <v>99</v>
      </c>
      <c r="J39" t="s">
        <v>102</v>
      </c>
      <c r="K39" t="s">
        <v>100</v>
      </c>
      <c r="L39">
        <v>1327</v>
      </c>
      <c r="N39">
        <v>1005</v>
      </c>
      <c r="O39" t="s">
        <v>101</v>
      </c>
      <c r="P39" t="s">
        <v>101</v>
      </c>
      <c r="Q39">
        <v>1</v>
      </c>
      <c r="X39">
        <v>102</v>
      </c>
      <c r="Y39">
        <v>67.8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0</v>
      </c>
      <c r="AF39" t="s">
        <v>3</v>
      </c>
      <c r="AG39">
        <v>102</v>
      </c>
      <c r="AH39">
        <v>2</v>
      </c>
      <c r="AI39">
        <v>53362583</v>
      </c>
      <c r="AJ39">
        <v>40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2">
      <c r="A40">
        <f>ROW(Source!A43)</f>
        <v>43</v>
      </c>
      <c r="B40">
        <v>53362641</v>
      </c>
      <c r="C40">
        <v>53362640</v>
      </c>
      <c r="D40">
        <v>47607792</v>
      </c>
      <c r="E40">
        <v>58</v>
      </c>
      <c r="F40">
        <v>1</v>
      </c>
      <c r="G40">
        <v>1</v>
      </c>
      <c r="H40">
        <v>1</v>
      </c>
      <c r="I40" t="s">
        <v>393</v>
      </c>
      <c r="J40" t="s">
        <v>3</v>
      </c>
      <c r="K40" t="s">
        <v>394</v>
      </c>
      <c r="L40">
        <v>1191</v>
      </c>
      <c r="N40">
        <v>1013</v>
      </c>
      <c r="O40" t="s">
        <v>324</v>
      </c>
      <c r="P40" t="s">
        <v>324</v>
      </c>
      <c r="Q40">
        <v>1</v>
      </c>
      <c r="X40">
        <v>550</v>
      </c>
      <c r="Y40">
        <v>0</v>
      </c>
      <c r="Z40">
        <v>0</v>
      </c>
      <c r="AA40">
        <v>0</v>
      </c>
      <c r="AB40">
        <v>10.65</v>
      </c>
      <c r="AC40">
        <v>0</v>
      </c>
      <c r="AD40">
        <v>1</v>
      </c>
      <c r="AE40">
        <v>1</v>
      </c>
      <c r="AF40" t="s">
        <v>73</v>
      </c>
      <c r="AG40">
        <v>632.5</v>
      </c>
      <c r="AH40">
        <v>2</v>
      </c>
      <c r="AI40">
        <v>53362641</v>
      </c>
      <c r="AJ40">
        <v>43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2">
      <c r="A41">
        <f>ROW(Source!A43)</f>
        <v>43</v>
      </c>
      <c r="B41">
        <v>53362642</v>
      </c>
      <c r="C41">
        <v>53362640</v>
      </c>
      <c r="D41">
        <v>47607910</v>
      </c>
      <c r="E41">
        <v>58</v>
      </c>
      <c r="F41">
        <v>1</v>
      </c>
      <c r="G41">
        <v>1</v>
      </c>
      <c r="H41">
        <v>1</v>
      </c>
      <c r="I41" t="s">
        <v>395</v>
      </c>
      <c r="J41" t="s">
        <v>3</v>
      </c>
      <c r="K41" t="s">
        <v>326</v>
      </c>
      <c r="L41">
        <v>1191</v>
      </c>
      <c r="N41">
        <v>1013</v>
      </c>
      <c r="O41" t="s">
        <v>324</v>
      </c>
      <c r="P41" t="s">
        <v>324</v>
      </c>
      <c r="Q41">
        <v>1</v>
      </c>
      <c r="X41">
        <v>2.56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2</v>
      </c>
      <c r="AF41" t="s">
        <v>72</v>
      </c>
      <c r="AG41">
        <v>3.2</v>
      </c>
      <c r="AH41">
        <v>2</v>
      </c>
      <c r="AI41">
        <v>53362642</v>
      </c>
      <c r="AJ41">
        <v>44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2">
      <c r="A42">
        <f>ROW(Source!A43)</f>
        <v>43</v>
      </c>
      <c r="B42">
        <v>53362643</v>
      </c>
      <c r="C42">
        <v>53362640</v>
      </c>
      <c r="D42">
        <v>47784519</v>
      </c>
      <c r="E42">
        <v>1</v>
      </c>
      <c r="F42">
        <v>1</v>
      </c>
      <c r="G42">
        <v>1</v>
      </c>
      <c r="H42">
        <v>2</v>
      </c>
      <c r="I42" t="s">
        <v>353</v>
      </c>
      <c r="J42" t="s">
        <v>354</v>
      </c>
      <c r="K42" t="s">
        <v>355</v>
      </c>
      <c r="L42">
        <v>1368</v>
      </c>
      <c r="N42">
        <v>1011</v>
      </c>
      <c r="O42" t="s">
        <v>396</v>
      </c>
      <c r="P42" t="s">
        <v>396</v>
      </c>
      <c r="Q42">
        <v>1</v>
      </c>
      <c r="X42">
        <v>0.39</v>
      </c>
      <c r="Y42">
        <v>0</v>
      </c>
      <c r="Z42">
        <v>89.99</v>
      </c>
      <c r="AA42">
        <v>10.06</v>
      </c>
      <c r="AB42">
        <v>0</v>
      </c>
      <c r="AC42">
        <v>0</v>
      </c>
      <c r="AD42">
        <v>1</v>
      </c>
      <c r="AE42">
        <v>0</v>
      </c>
      <c r="AF42" t="s">
        <v>72</v>
      </c>
      <c r="AG42">
        <v>0.48750000000000004</v>
      </c>
      <c r="AH42">
        <v>2</v>
      </c>
      <c r="AI42">
        <v>53362643</v>
      </c>
      <c r="AJ42">
        <v>45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 x14ac:dyDescent="0.2">
      <c r="A43">
        <f>ROW(Source!A43)</f>
        <v>43</v>
      </c>
      <c r="B43">
        <v>53362644</v>
      </c>
      <c r="C43">
        <v>53362640</v>
      </c>
      <c r="D43">
        <v>47784561</v>
      </c>
      <c r="E43">
        <v>1</v>
      </c>
      <c r="F43">
        <v>1</v>
      </c>
      <c r="G43">
        <v>1</v>
      </c>
      <c r="H43">
        <v>2</v>
      </c>
      <c r="I43" t="s">
        <v>327</v>
      </c>
      <c r="J43" t="s">
        <v>328</v>
      </c>
      <c r="K43" t="s">
        <v>329</v>
      </c>
      <c r="L43">
        <v>1368</v>
      </c>
      <c r="N43">
        <v>1011</v>
      </c>
      <c r="O43" t="s">
        <v>396</v>
      </c>
      <c r="P43" t="s">
        <v>396</v>
      </c>
      <c r="Q43">
        <v>1</v>
      </c>
      <c r="X43">
        <v>2.17</v>
      </c>
      <c r="Y43">
        <v>0</v>
      </c>
      <c r="Z43">
        <v>31.26</v>
      </c>
      <c r="AA43">
        <v>13.5</v>
      </c>
      <c r="AB43">
        <v>0</v>
      </c>
      <c r="AC43">
        <v>0</v>
      </c>
      <c r="AD43">
        <v>1</v>
      </c>
      <c r="AE43">
        <v>0</v>
      </c>
      <c r="AF43" t="s">
        <v>72</v>
      </c>
      <c r="AG43">
        <v>2.7124999999999999</v>
      </c>
      <c r="AH43">
        <v>2</v>
      </c>
      <c r="AI43">
        <v>53362644</v>
      </c>
      <c r="AJ43">
        <v>46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2">
      <c r="A44">
        <f>ROW(Source!A43)</f>
        <v>43</v>
      </c>
      <c r="B44">
        <v>53362645</v>
      </c>
      <c r="C44">
        <v>53362640</v>
      </c>
      <c r="D44">
        <v>47620019</v>
      </c>
      <c r="E44">
        <v>1</v>
      </c>
      <c r="F44">
        <v>1</v>
      </c>
      <c r="G44">
        <v>1</v>
      </c>
      <c r="H44">
        <v>3</v>
      </c>
      <c r="I44" t="s">
        <v>397</v>
      </c>
      <c r="J44" t="s">
        <v>398</v>
      </c>
      <c r="K44" t="s">
        <v>399</v>
      </c>
      <c r="L44">
        <v>1348</v>
      </c>
      <c r="N44">
        <v>1009</v>
      </c>
      <c r="O44" t="s">
        <v>32</v>
      </c>
      <c r="P44" t="s">
        <v>32</v>
      </c>
      <c r="Q44">
        <v>1000</v>
      </c>
      <c r="X44">
        <v>7.0000000000000001E-3</v>
      </c>
      <c r="Y44">
        <v>5650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0</v>
      </c>
      <c r="AF44" t="s">
        <v>3</v>
      </c>
      <c r="AG44">
        <v>7.0000000000000001E-3</v>
      </c>
      <c r="AH44">
        <v>2</v>
      </c>
      <c r="AI44">
        <v>53362645</v>
      </c>
      <c r="AJ44">
        <v>47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2">
      <c r="A45">
        <f>ROW(Source!A43)</f>
        <v>43</v>
      </c>
      <c r="B45">
        <v>53362646</v>
      </c>
      <c r="C45">
        <v>53362640</v>
      </c>
      <c r="D45">
        <v>47620028</v>
      </c>
      <c r="E45">
        <v>1</v>
      </c>
      <c r="F45">
        <v>1</v>
      </c>
      <c r="G45">
        <v>1</v>
      </c>
      <c r="H45">
        <v>3</v>
      </c>
      <c r="I45" t="s">
        <v>359</v>
      </c>
      <c r="J45" t="s">
        <v>360</v>
      </c>
      <c r="K45" t="s">
        <v>361</v>
      </c>
      <c r="L45">
        <v>1339</v>
      </c>
      <c r="N45">
        <v>1007</v>
      </c>
      <c r="O45" t="s">
        <v>89</v>
      </c>
      <c r="P45" t="s">
        <v>89</v>
      </c>
      <c r="Q45">
        <v>1</v>
      </c>
      <c r="X45">
        <v>1.61</v>
      </c>
      <c r="Y45">
        <v>2.44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 t="s">
        <v>3</v>
      </c>
      <c r="AG45">
        <v>1.61</v>
      </c>
      <c r="AH45">
        <v>2</v>
      </c>
      <c r="AI45">
        <v>53362646</v>
      </c>
      <c r="AJ45">
        <v>48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2">
      <c r="A46">
        <f>ROW(Source!A43)</f>
        <v>43</v>
      </c>
      <c r="B46">
        <v>53362647</v>
      </c>
      <c r="C46">
        <v>53362640</v>
      </c>
      <c r="D46">
        <v>47620550</v>
      </c>
      <c r="E46">
        <v>1</v>
      </c>
      <c r="F46">
        <v>1</v>
      </c>
      <c r="G46">
        <v>1</v>
      </c>
      <c r="H46">
        <v>3</v>
      </c>
      <c r="I46" t="s">
        <v>400</v>
      </c>
      <c r="J46" t="s">
        <v>401</v>
      </c>
      <c r="K46" t="s">
        <v>402</v>
      </c>
      <c r="L46">
        <v>1348</v>
      </c>
      <c r="N46">
        <v>1009</v>
      </c>
      <c r="O46" t="s">
        <v>32</v>
      </c>
      <c r="P46" t="s">
        <v>32</v>
      </c>
      <c r="Q46">
        <v>1000</v>
      </c>
      <c r="X46">
        <v>4.4999999999999997E-3</v>
      </c>
      <c r="Y46">
        <v>688.8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 t="s">
        <v>3</v>
      </c>
      <c r="AG46">
        <v>4.4999999999999997E-3</v>
      </c>
      <c r="AH46">
        <v>2</v>
      </c>
      <c r="AI46">
        <v>53362647</v>
      </c>
      <c r="AJ46">
        <v>49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">
      <c r="A47">
        <f>ROW(Source!A43)</f>
        <v>43</v>
      </c>
      <c r="B47">
        <v>53362648</v>
      </c>
      <c r="C47">
        <v>53362640</v>
      </c>
      <c r="D47">
        <v>47623421</v>
      </c>
      <c r="E47">
        <v>1</v>
      </c>
      <c r="F47">
        <v>1</v>
      </c>
      <c r="G47">
        <v>1</v>
      </c>
      <c r="H47">
        <v>3</v>
      </c>
      <c r="I47" t="s">
        <v>403</v>
      </c>
      <c r="J47" t="s">
        <v>404</v>
      </c>
      <c r="K47" t="s">
        <v>405</v>
      </c>
      <c r="L47">
        <v>1346</v>
      </c>
      <c r="N47">
        <v>1009</v>
      </c>
      <c r="O47" t="s">
        <v>110</v>
      </c>
      <c r="P47" t="s">
        <v>110</v>
      </c>
      <c r="Q47">
        <v>1</v>
      </c>
      <c r="X47">
        <v>7.44</v>
      </c>
      <c r="Y47">
        <v>5.71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 t="s">
        <v>3</v>
      </c>
      <c r="AG47">
        <v>7.44</v>
      </c>
      <c r="AH47">
        <v>2</v>
      </c>
      <c r="AI47">
        <v>53362648</v>
      </c>
      <c r="AJ47">
        <v>50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2">
      <c r="A48">
        <f>ROW(Source!A43)</f>
        <v>43</v>
      </c>
      <c r="B48">
        <v>53362649</v>
      </c>
      <c r="C48">
        <v>53362640</v>
      </c>
      <c r="D48">
        <v>47624028</v>
      </c>
      <c r="E48">
        <v>1</v>
      </c>
      <c r="F48">
        <v>1</v>
      </c>
      <c r="G48">
        <v>1</v>
      </c>
      <c r="H48">
        <v>3</v>
      </c>
      <c r="I48" t="s">
        <v>406</v>
      </c>
      <c r="J48" t="s">
        <v>407</v>
      </c>
      <c r="K48" t="s">
        <v>408</v>
      </c>
      <c r="L48">
        <v>1346</v>
      </c>
      <c r="N48">
        <v>1009</v>
      </c>
      <c r="O48" t="s">
        <v>110</v>
      </c>
      <c r="P48" t="s">
        <v>110</v>
      </c>
      <c r="Q48">
        <v>1</v>
      </c>
      <c r="X48">
        <v>5</v>
      </c>
      <c r="Y48">
        <v>1.82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0</v>
      </c>
      <c r="AF48" t="s">
        <v>3</v>
      </c>
      <c r="AG48">
        <v>5</v>
      </c>
      <c r="AH48">
        <v>2</v>
      </c>
      <c r="AI48">
        <v>53362649</v>
      </c>
      <c r="AJ48">
        <v>51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">
      <c r="A49">
        <f>ROW(Source!A43)</f>
        <v>43</v>
      </c>
      <c r="B49">
        <v>53362650</v>
      </c>
      <c r="C49">
        <v>53362640</v>
      </c>
      <c r="D49">
        <v>47625209</v>
      </c>
      <c r="E49">
        <v>1</v>
      </c>
      <c r="F49">
        <v>1</v>
      </c>
      <c r="G49">
        <v>1</v>
      </c>
      <c r="H49">
        <v>3</v>
      </c>
      <c r="I49" t="s">
        <v>409</v>
      </c>
      <c r="J49" t="s">
        <v>410</v>
      </c>
      <c r="K49" t="s">
        <v>411</v>
      </c>
      <c r="L49">
        <v>1339</v>
      </c>
      <c r="N49">
        <v>1007</v>
      </c>
      <c r="O49" t="s">
        <v>89</v>
      </c>
      <c r="P49" t="s">
        <v>89</v>
      </c>
      <c r="Q49">
        <v>1</v>
      </c>
      <c r="X49">
        <v>7.0000000000000001E-3</v>
      </c>
      <c r="Y49">
        <v>74.58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 t="s">
        <v>3</v>
      </c>
      <c r="AG49">
        <v>7.0000000000000001E-3</v>
      </c>
      <c r="AH49">
        <v>2</v>
      </c>
      <c r="AI49">
        <v>53362650</v>
      </c>
      <c r="AJ49">
        <v>52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">
      <c r="A50">
        <f>ROW(Source!A43)</f>
        <v>43</v>
      </c>
      <c r="B50">
        <v>53362651</v>
      </c>
      <c r="C50">
        <v>53362640</v>
      </c>
      <c r="D50">
        <v>47626343</v>
      </c>
      <c r="E50">
        <v>1</v>
      </c>
      <c r="F50">
        <v>1</v>
      </c>
      <c r="G50">
        <v>1</v>
      </c>
      <c r="H50">
        <v>3</v>
      </c>
      <c r="I50" t="s">
        <v>412</v>
      </c>
      <c r="J50" t="s">
        <v>413</v>
      </c>
      <c r="K50" t="s">
        <v>414</v>
      </c>
      <c r="L50">
        <v>1339</v>
      </c>
      <c r="N50">
        <v>1007</v>
      </c>
      <c r="O50" t="s">
        <v>89</v>
      </c>
      <c r="P50" t="s">
        <v>89</v>
      </c>
      <c r="Q50">
        <v>1</v>
      </c>
      <c r="X50">
        <v>2</v>
      </c>
      <c r="Y50">
        <v>517.91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 t="s">
        <v>3</v>
      </c>
      <c r="AG50">
        <v>2</v>
      </c>
      <c r="AH50">
        <v>2</v>
      </c>
      <c r="AI50">
        <v>53362651</v>
      </c>
      <c r="AJ50">
        <v>53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2">
      <c r="A51">
        <f>ROW(Source!A43)</f>
        <v>43</v>
      </c>
      <c r="B51">
        <v>53362652</v>
      </c>
      <c r="C51">
        <v>53362640</v>
      </c>
      <c r="D51">
        <v>47641640</v>
      </c>
      <c r="E51">
        <v>1</v>
      </c>
      <c r="F51">
        <v>1</v>
      </c>
      <c r="G51">
        <v>1</v>
      </c>
      <c r="H51">
        <v>3</v>
      </c>
      <c r="I51" t="s">
        <v>415</v>
      </c>
      <c r="J51" t="s">
        <v>416</v>
      </c>
      <c r="K51" t="s">
        <v>417</v>
      </c>
      <c r="L51">
        <v>1348</v>
      </c>
      <c r="N51">
        <v>1009</v>
      </c>
      <c r="O51" t="s">
        <v>32</v>
      </c>
      <c r="P51" t="s">
        <v>32</v>
      </c>
      <c r="Q51">
        <v>1000</v>
      </c>
      <c r="X51">
        <v>0.02</v>
      </c>
      <c r="Y51">
        <v>12242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0</v>
      </c>
      <c r="AF51" t="s">
        <v>3</v>
      </c>
      <c r="AG51">
        <v>0.02</v>
      </c>
      <c r="AH51">
        <v>2</v>
      </c>
      <c r="AI51">
        <v>53362652</v>
      </c>
      <c r="AJ51">
        <v>55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2">
      <c r="A52">
        <f>ROW(Source!A43)</f>
        <v>43</v>
      </c>
      <c r="B52">
        <v>53362653</v>
      </c>
      <c r="C52">
        <v>53362640</v>
      </c>
      <c r="D52">
        <v>47610530</v>
      </c>
      <c r="E52">
        <v>58</v>
      </c>
      <c r="F52">
        <v>1</v>
      </c>
      <c r="G52">
        <v>1</v>
      </c>
      <c r="H52">
        <v>3</v>
      </c>
      <c r="I52" t="s">
        <v>125</v>
      </c>
      <c r="J52" t="s">
        <v>3</v>
      </c>
      <c r="K52" t="s">
        <v>126</v>
      </c>
      <c r="L52">
        <v>1327</v>
      </c>
      <c r="N52">
        <v>1005</v>
      </c>
      <c r="O52" t="s">
        <v>101</v>
      </c>
      <c r="P52" t="s">
        <v>101</v>
      </c>
      <c r="Q52">
        <v>1</v>
      </c>
      <c r="X52">
        <v>20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 t="s">
        <v>3</v>
      </c>
      <c r="AG52">
        <v>20</v>
      </c>
      <c r="AH52">
        <v>2</v>
      </c>
      <c r="AI52">
        <v>53362653</v>
      </c>
      <c r="AJ52">
        <v>56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2">
      <c r="A53">
        <f>ROW(Source!A43)</f>
        <v>43</v>
      </c>
      <c r="B53">
        <v>53362654</v>
      </c>
      <c r="C53">
        <v>53362640</v>
      </c>
      <c r="D53">
        <v>47610531</v>
      </c>
      <c r="E53">
        <v>58</v>
      </c>
      <c r="F53">
        <v>1</v>
      </c>
      <c r="G53">
        <v>1</v>
      </c>
      <c r="H53">
        <v>3</v>
      </c>
      <c r="I53" t="s">
        <v>125</v>
      </c>
      <c r="J53" t="s">
        <v>3</v>
      </c>
      <c r="K53" t="s">
        <v>128</v>
      </c>
      <c r="L53">
        <v>1327</v>
      </c>
      <c r="N53">
        <v>1005</v>
      </c>
      <c r="O53" t="s">
        <v>101</v>
      </c>
      <c r="P53" t="s">
        <v>101</v>
      </c>
      <c r="Q53">
        <v>1</v>
      </c>
      <c r="X53">
        <v>81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 t="s">
        <v>3</v>
      </c>
      <c r="AG53">
        <v>81</v>
      </c>
      <c r="AH53">
        <v>2</v>
      </c>
      <c r="AI53">
        <v>53362654</v>
      </c>
      <c r="AJ53">
        <v>57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2">
      <c r="A54">
        <f>ROW(Source!A47)</f>
        <v>47</v>
      </c>
      <c r="B54">
        <v>53362676</v>
      </c>
      <c r="C54">
        <v>53362662</v>
      </c>
      <c r="D54">
        <v>37064878</v>
      </c>
      <c r="E54">
        <v>70</v>
      </c>
      <c r="F54">
        <v>1</v>
      </c>
      <c r="G54">
        <v>1</v>
      </c>
      <c r="H54">
        <v>1</v>
      </c>
      <c r="I54" t="s">
        <v>418</v>
      </c>
      <c r="J54" t="s">
        <v>3</v>
      </c>
      <c r="K54" t="s">
        <v>419</v>
      </c>
      <c r="L54">
        <v>1191</v>
      </c>
      <c r="N54">
        <v>1013</v>
      </c>
      <c r="O54" t="s">
        <v>324</v>
      </c>
      <c r="P54" t="s">
        <v>324</v>
      </c>
      <c r="Q54">
        <v>1</v>
      </c>
      <c r="X54">
        <v>270</v>
      </c>
      <c r="Y54">
        <v>0</v>
      </c>
      <c r="Z54">
        <v>0</v>
      </c>
      <c r="AA54">
        <v>0</v>
      </c>
      <c r="AB54">
        <v>9.4</v>
      </c>
      <c r="AC54">
        <v>0</v>
      </c>
      <c r="AD54">
        <v>1</v>
      </c>
      <c r="AE54">
        <v>1</v>
      </c>
      <c r="AF54" t="s">
        <v>73</v>
      </c>
      <c r="AG54">
        <v>310.5</v>
      </c>
      <c r="AH54">
        <v>2</v>
      </c>
      <c r="AI54">
        <v>53362663</v>
      </c>
      <c r="AJ54">
        <v>58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 x14ac:dyDescent="0.2">
      <c r="A55">
        <f>ROW(Source!A47)</f>
        <v>47</v>
      </c>
      <c r="B55">
        <v>53362677</v>
      </c>
      <c r="C55">
        <v>53362662</v>
      </c>
      <c r="D55">
        <v>37064876</v>
      </c>
      <c r="E55">
        <v>70</v>
      </c>
      <c r="F55">
        <v>1</v>
      </c>
      <c r="G55">
        <v>1</v>
      </c>
      <c r="H55">
        <v>1</v>
      </c>
      <c r="I55" t="s">
        <v>325</v>
      </c>
      <c r="J55" t="s">
        <v>3</v>
      </c>
      <c r="K55" t="s">
        <v>326</v>
      </c>
      <c r="L55">
        <v>1191</v>
      </c>
      <c r="N55">
        <v>1013</v>
      </c>
      <c r="O55" t="s">
        <v>324</v>
      </c>
      <c r="P55" t="s">
        <v>324</v>
      </c>
      <c r="Q55">
        <v>1</v>
      </c>
      <c r="X55">
        <v>1.32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2</v>
      </c>
      <c r="AF55" t="s">
        <v>72</v>
      </c>
      <c r="AG55">
        <v>1.6500000000000001</v>
      </c>
      <c r="AH55">
        <v>2</v>
      </c>
      <c r="AI55">
        <v>53362664</v>
      </c>
      <c r="AJ55">
        <v>59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 x14ac:dyDescent="0.2">
      <c r="A56">
        <f>ROW(Source!A47)</f>
        <v>47</v>
      </c>
      <c r="B56">
        <v>53362678</v>
      </c>
      <c r="C56">
        <v>53362662</v>
      </c>
      <c r="D56">
        <v>1091150891</v>
      </c>
      <c r="E56">
        <v>1</v>
      </c>
      <c r="F56">
        <v>1</v>
      </c>
      <c r="G56">
        <v>1</v>
      </c>
      <c r="H56">
        <v>2</v>
      </c>
      <c r="I56" t="s">
        <v>353</v>
      </c>
      <c r="J56" t="s">
        <v>354</v>
      </c>
      <c r="K56" t="s">
        <v>355</v>
      </c>
      <c r="L56">
        <v>1367</v>
      </c>
      <c r="N56">
        <v>1011</v>
      </c>
      <c r="O56" t="s">
        <v>330</v>
      </c>
      <c r="P56" t="s">
        <v>330</v>
      </c>
      <c r="Q56">
        <v>1</v>
      </c>
      <c r="X56">
        <v>0.11</v>
      </c>
      <c r="Y56">
        <v>0</v>
      </c>
      <c r="Z56">
        <v>89.99</v>
      </c>
      <c r="AA56">
        <v>10.06</v>
      </c>
      <c r="AB56">
        <v>0</v>
      </c>
      <c r="AC56">
        <v>0</v>
      </c>
      <c r="AD56">
        <v>1</v>
      </c>
      <c r="AE56">
        <v>0</v>
      </c>
      <c r="AF56" t="s">
        <v>72</v>
      </c>
      <c r="AG56">
        <v>0.13750000000000001</v>
      </c>
      <c r="AH56">
        <v>2</v>
      </c>
      <c r="AI56">
        <v>53362665</v>
      </c>
      <c r="AJ56">
        <v>60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 x14ac:dyDescent="0.2">
      <c r="A57">
        <f>ROW(Source!A47)</f>
        <v>47</v>
      </c>
      <c r="B57">
        <v>53362679</v>
      </c>
      <c r="C57">
        <v>53362662</v>
      </c>
      <c r="D57">
        <v>1091150933</v>
      </c>
      <c r="E57">
        <v>1</v>
      </c>
      <c r="F57">
        <v>1</v>
      </c>
      <c r="G57">
        <v>1</v>
      </c>
      <c r="H57">
        <v>2</v>
      </c>
      <c r="I57" t="s">
        <v>327</v>
      </c>
      <c r="J57" t="s">
        <v>328</v>
      </c>
      <c r="K57" t="s">
        <v>329</v>
      </c>
      <c r="L57">
        <v>1367</v>
      </c>
      <c r="N57">
        <v>1011</v>
      </c>
      <c r="O57" t="s">
        <v>330</v>
      </c>
      <c r="P57" t="s">
        <v>330</v>
      </c>
      <c r="Q57">
        <v>1</v>
      </c>
      <c r="X57">
        <v>1.21</v>
      </c>
      <c r="Y57">
        <v>0</v>
      </c>
      <c r="Z57">
        <v>31.26</v>
      </c>
      <c r="AA57">
        <v>13.5</v>
      </c>
      <c r="AB57">
        <v>0</v>
      </c>
      <c r="AC57">
        <v>0</v>
      </c>
      <c r="AD57">
        <v>1</v>
      </c>
      <c r="AE57">
        <v>0</v>
      </c>
      <c r="AF57" t="s">
        <v>72</v>
      </c>
      <c r="AG57">
        <v>1.5125</v>
      </c>
      <c r="AH57">
        <v>2</v>
      </c>
      <c r="AI57">
        <v>53362666</v>
      </c>
      <c r="AJ57">
        <v>61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2">
      <c r="A58">
        <f>ROW(Source!A47)</f>
        <v>47</v>
      </c>
      <c r="B58">
        <v>53362680</v>
      </c>
      <c r="C58">
        <v>53362662</v>
      </c>
      <c r="D58">
        <v>1090945058</v>
      </c>
      <c r="E58">
        <v>1</v>
      </c>
      <c r="F58">
        <v>1</v>
      </c>
      <c r="G58">
        <v>1</v>
      </c>
      <c r="H58">
        <v>3</v>
      </c>
      <c r="I58" t="s">
        <v>359</v>
      </c>
      <c r="J58" t="s">
        <v>360</v>
      </c>
      <c r="K58" t="s">
        <v>361</v>
      </c>
      <c r="L58">
        <v>1339</v>
      </c>
      <c r="N58">
        <v>1007</v>
      </c>
      <c r="O58" t="s">
        <v>89</v>
      </c>
      <c r="P58" t="s">
        <v>89</v>
      </c>
      <c r="Q58">
        <v>1</v>
      </c>
      <c r="X58">
        <v>0.5</v>
      </c>
      <c r="Y58">
        <v>2.44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 t="s">
        <v>3</v>
      </c>
      <c r="AG58">
        <v>0.5</v>
      </c>
      <c r="AH58">
        <v>2</v>
      </c>
      <c r="AI58">
        <v>53362667</v>
      </c>
      <c r="AJ58">
        <v>62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2">
      <c r="A59">
        <f>ROW(Source!A47)</f>
        <v>47</v>
      </c>
      <c r="B59">
        <v>53362681</v>
      </c>
      <c r="C59">
        <v>53362662</v>
      </c>
      <c r="D59">
        <v>1090952063</v>
      </c>
      <c r="E59">
        <v>1</v>
      </c>
      <c r="F59">
        <v>1</v>
      </c>
      <c r="G59">
        <v>1</v>
      </c>
      <c r="H59">
        <v>3</v>
      </c>
      <c r="I59" t="s">
        <v>406</v>
      </c>
      <c r="J59" t="s">
        <v>407</v>
      </c>
      <c r="K59" t="s">
        <v>408</v>
      </c>
      <c r="L59">
        <v>1346</v>
      </c>
      <c r="N59">
        <v>1009</v>
      </c>
      <c r="O59" t="s">
        <v>110</v>
      </c>
      <c r="P59" t="s">
        <v>110</v>
      </c>
      <c r="Q59">
        <v>1</v>
      </c>
      <c r="X59">
        <v>0.5</v>
      </c>
      <c r="Y59">
        <v>1.82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0</v>
      </c>
      <c r="AF59" t="s">
        <v>3</v>
      </c>
      <c r="AG59">
        <v>0.5</v>
      </c>
      <c r="AH59">
        <v>2</v>
      </c>
      <c r="AI59">
        <v>53362668</v>
      </c>
      <c r="AJ59">
        <v>63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 x14ac:dyDescent="0.2">
      <c r="A60">
        <f>ROW(Source!A47)</f>
        <v>47</v>
      </c>
      <c r="B60">
        <v>53362682</v>
      </c>
      <c r="C60">
        <v>53362662</v>
      </c>
      <c r="D60">
        <v>1090953152</v>
      </c>
      <c r="E60">
        <v>1</v>
      </c>
      <c r="F60">
        <v>1</v>
      </c>
      <c r="G60">
        <v>1</v>
      </c>
      <c r="H60">
        <v>3</v>
      </c>
      <c r="I60" t="s">
        <v>143</v>
      </c>
      <c r="J60" t="s">
        <v>145</v>
      </c>
      <c r="K60" t="s">
        <v>144</v>
      </c>
      <c r="L60">
        <v>1348</v>
      </c>
      <c r="N60">
        <v>1009</v>
      </c>
      <c r="O60" t="s">
        <v>32</v>
      </c>
      <c r="P60" t="s">
        <v>32</v>
      </c>
      <c r="Q60">
        <v>1000</v>
      </c>
      <c r="X60">
        <v>0.04</v>
      </c>
      <c r="Y60">
        <v>412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 t="s">
        <v>3</v>
      </c>
      <c r="AG60">
        <v>0.04</v>
      </c>
      <c r="AH60">
        <v>2</v>
      </c>
      <c r="AI60">
        <v>53362669</v>
      </c>
      <c r="AJ60">
        <v>64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 x14ac:dyDescent="0.2">
      <c r="A61">
        <f>ROW(Source!A47)</f>
        <v>47</v>
      </c>
      <c r="B61">
        <v>53362683</v>
      </c>
      <c r="C61">
        <v>53362662</v>
      </c>
      <c r="D61">
        <v>1090953918</v>
      </c>
      <c r="E61">
        <v>1</v>
      </c>
      <c r="F61">
        <v>1</v>
      </c>
      <c r="G61">
        <v>1</v>
      </c>
      <c r="H61">
        <v>3</v>
      </c>
      <c r="I61" t="s">
        <v>139</v>
      </c>
      <c r="J61" t="s">
        <v>141</v>
      </c>
      <c r="K61" t="s">
        <v>140</v>
      </c>
      <c r="L61">
        <v>1339</v>
      </c>
      <c r="N61">
        <v>1007</v>
      </c>
      <c r="O61" t="s">
        <v>89</v>
      </c>
      <c r="P61" t="s">
        <v>89</v>
      </c>
      <c r="Q61">
        <v>1</v>
      </c>
      <c r="X61">
        <v>2</v>
      </c>
      <c r="Y61">
        <v>497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 t="s">
        <v>3</v>
      </c>
      <c r="AG61">
        <v>2</v>
      </c>
      <c r="AH61">
        <v>2</v>
      </c>
      <c r="AI61">
        <v>53362671</v>
      </c>
      <c r="AJ61">
        <v>66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2">
      <c r="A62">
        <f>ROW(Source!A47)</f>
        <v>47</v>
      </c>
      <c r="B62">
        <v>53362684</v>
      </c>
      <c r="C62">
        <v>53362662</v>
      </c>
      <c r="D62">
        <v>1090930340</v>
      </c>
      <c r="E62">
        <v>70</v>
      </c>
      <c r="F62">
        <v>1</v>
      </c>
      <c r="G62">
        <v>1</v>
      </c>
      <c r="H62">
        <v>3</v>
      </c>
      <c r="I62" t="s">
        <v>136</v>
      </c>
      <c r="J62" t="s">
        <v>3</v>
      </c>
      <c r="K62" t="s">
        <v>137</v>
      </c>
      <c r="L62">
        <v>1327</v>
      </c>
      <c r="N62">
        <v>1005</v>
      </c>
      <c r="O62" t="s">
        <v>101</v>
      </c>
      <c r="P62" t="s">
        <v>101</v>
      </c>
      <c r="Q62">
        <v>1</v>
      </c>
      <c r="X62">
        <v>100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 t="s">
        <v>3</v>
      </c>
      <c r="AG62">
        <v>100</v>
      </c>
      <c r="AH62">
        <v>2</v>
      </c>
      <c r="AI62">
        <v>53362673</v>
      </c>
      <c r="AJ62">
        <v>68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 x14ac:dyDescent="0.2">
      <c r="A63">
        <f>ROW(Source!A53)</f>
        <v>53</v>
      </c>
      <c r="B63">
        <v>53362698</v>
      </c>
      <c r="C63">
        <v>53362690</v>
      </c>
      <c r="D63">
        <v>37070164</v>
      </c>
      <c r="E63">
        <v>70</v>
      </c>
      <c r="F63">
        <v>1</v>
      </c>
      <c r="G63">
        <v>1</v>
      </c>
      <c r="H63">
        <v>1</v>
      </c>
      <c r="I63" t="s">
        <v>420</v>
      </c>
      <c r="J63" t="s">
        <v>3</v>
      </c>
      <c r="K63" t="s">
        <v>421</v>
      </c>
      <c r="L63">
        <v>1191</v>
      </c>
      <c r="N63">
        <v>1013</v>
      </c>
      <c r="O63" t="s">
        <v>324</v>
      </c>
      <c r="P63" t="s">
        <v>324</v>
      </c>
      <c r="Q63">
        <v>1</v>
      </c>
      <c r="X63">
        <v>12.62</v>
      </c>
      <c r="Y63">
        <v>0</v>
      </c>
      <c r="Z63">
        <v>0</v>
      </c>
      <c r="AA63">
        <v>0</v>
      </c>
      <c r="AB63">
        <v>9.2899999999999991</v>
      </c>
      <c r="AC63">
        <v>0</v>
      </c>
      <c r="AD63">
        <v>1</v>
      </c>
      <c r="AE63">
        <v>1</v>
      </c>
      <c r="AF63" t="s">
        <v>73</v>
      </c>
      <c r="AG63">
        <v>14.512999999999998</v>
      </c>
      <c r="AH63">
        <v>2</v>
      </c>
      <c r="AI63">
        <v>53362691</v>
      </c>
      <c r="AJ63">
        <v>71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 x14ac:dyDescent="0.2">
      <c r="A64">
        <f>ROW(Source!A53)</f>
        <v>53</v>
      </c>
      <c r="B64">
        <v>53362699</v>
      </c>
      <c r="C64">
        <v>53362690</v>
      </c>
      <c r="D64">
        <v>37064876</v>
      </c>
      <c r="E64">
        <v>70</v>
      </c>
      <c r="F64">
        <v>1</v>
      </c>
      <c r="G64">
        <v>1</v>
      </c>
      <c r="H64">
        <v>1</v>
      </c>
      <c r="I64" t="s">
        <v>325</v>
      </c>
      <c r="J64" t="s">
        <v>3</v>
      </c>
      <c r="K64" t="s">
        <v>326</v>
      </c>
      <c r="L64">
        <v>1191</v>
      </c>
      <c r="N64">
        <v>1013</v>
      </c>
      <c r="O64" t="s">
        <v>324</v>
      </c>
      <c r="P64" t="s">
        <v>324</v>
      </c>
      <c r="Q64">
        <v>1</v>
      </c>
      <c r="X64">
        <v>0.05</v>
      </c>
      <c r="Y64">
        <v>0</v>
      </c>
      <c r="Z64">
        <v>0</v>
      </c>
      <c r="AA64">
        <v>0</v>
      </c>
      <c r="AB64">
        <v>0</v>
      </c>
      <c r="AC64">
        <v>0</v>
      </c>
      <c r="AD64">
        <v>1</v>
      </c>
      <c r="AE64">
        <v>2</v>
      </c>
      <c r="AF64" t="s">
        <v>72</v>
      </c>
      <c r="AG64">
        <v>6.25E-2</v>
      </c>
      <c r="AH64">
        <v>2</v>
      </c>
      <c r="AI64">
        <v>53362692</v>
      </c>
      <c r="AJ64">
        <v>72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2">
      <c r="A65">
        <f>ROW(Source!A53)</f>
        <v>53</v>
      </c>
      <c r="B65">
        <v>53362700</v>
      </c>
      <c r="C65">
        <v>53362690</v>
      </c>
      <c r="D65">
        <v>1091151703</v>
      </c>
      <c r="E65">
        <v>1</v>
      </c>
      <c r="F65">
        <v>1</v>
      </c>
      <c r="G65">
        <v>1</v>
      </c>
      <c r="H65">
        <v>2</v>
      </c>
      <c r="I65" t="s">
        <v>356</v>
      </c>
      <c r="J65" t="s">
        <v>357</v>
      </c>
      <c r="K65" t="s">
        <v>358</v>
      </c>
      <c r="L65">
        <v>1367</v>
      </c>
      <c r="N65">
        <v>1011</v>
      </c>
      <c r="O65" t="s">
        <v>330</v>
      </c>
      <c r="P65" t="s">
        <v>330</v>
      </c>
      <c r="Q65">
        <v>1</v>
      </c>
      <c r="X65">
        <v>0.05</v>
      </c>
      <c r="Y65">
        <v>0</v>
      </c>
      <c r="Z65">
        <v>65.709999999999994</v>
      </c>
      <c r="AA65">
        <v>11.6</v>
      </c>
      <c r="AB65">
        <v>0</v>
      </c>
      <c r="AC65">
        <v>0</v>
      </c>
      <c r="AD65">
        <v>1</v>
      </c>
      <c r="AE65">
        <v>0</v>
      </c>
      <c r="AF65" t="s">
        <v>72</v>
      </c>
      <c r="AG65">
        <v>6.25E-2</v>
      </c>
      <c r="AH65">
        <v>2</v>
      </c>
      <c r="AI65">
        <v>53362693</v>
      </c>
      <c r="AJ65">
        <v>73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 x14ac:dyDescent="0.2">
      <c r="A66">
        <f>ROW(Source!A53)</f>
        <v>53</v>
      </c>
      <c r="B66">
        <v>53362701</v>
      </c>
      <c r="C66">
        <v>53362690</v>
      </c>
      <c r="D66">
        <v>1090951379</v>
      </c>
      <c r="E66">
        <v>1</v>
      </c>
      <c r="F66">
        <v>1</v>
      </c>
      <c r="G66">
        <v>1</v>
      </c>
      <c r="H66">
        <v>3</v>
      </c>
      <c r="I66" t="s">
        <v>422</v>
      </c>
      <c r="J66" t="s">
        <v>423</v>
      </c>
      <c r="K66" t="s">
        <v>424</v>
      </c>
      <c r="L66">
        <v>1348</v>
      </c>
      <c r="N66">
        <v>1009</v>
      </c>
      <c r="O66" t="s">
        <v>32</v>
      </c>
      <c r="P66" t="s">
        <v>32</v>
      </c>
      <c r="Q66">
        <v>1000</v>
      </c>
      <c r="X66">
        <v>7.5000000000000002E-4</v>
      </c>
      <c r="Y66">
        <v>12430</v>
      </c>
      <c r="Z66">
        <v>0</v>
      </c>
      <c r="AA66">
        <v>0</v>
      </c>
      <c r="AB66">
        <v>0</v>
      </c>
      <c r="AC66">
        <v>0</v>
      </c>
      <c r="AD66">
        <v>1</v>
      </c>
      <c r="AE66">
        <v>0</v>
      </c>
      <c r="AF66" t="s">
        <v>3</v>
      </c>
      <c r="AG66">
        <v>7.5000000000000002E-4</v>
      </c>
      <c r="AH66">
        <v>2</v>
      </c>
      <c r="AI66">
        <v>53362694</v>
      </c>
      <c r="AJ66">
        <v>74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2">
      <c r="A67">
        <f>ROW(Source!A53)</f>
        <v>53</v>
      </c>
      <c r="B67">
        <v>53362702</v>
      </c>
      <c r="C67">
        <v>53362690</v>
      </c>
      <c r="D67">
        <v>1090930739</v>
      </c>
      <c r="E67">
        <v>70</v>
      </c>
      <c r="F67">
        <v>1</v>
      </c>
      <c r="G67">
        <v>1</v>
      </c>
      <c r="H67">
        <v>3</v>
      </c>
      <c r="I67" t="s">
        <v>157</v>
      </c>
      <c r="J67" t="s">
        <v>3</v>
      </c>
      <c r="K67" t="s">
        <v>158</v>
      </c>
      <c r="L67">
        <v>1348</v>
      </c>
      <c r="N67">
        <v>1009</v>
      </c>
      <c r="O67" t="s">
        <v>32</v>
      </c>
      <c r="P67" t="s">
        <v>32</v>
      </c>
      <c r="Q67">
        <v>1000</v>
      </c>
      <c r="X67">
        <v>4.0000000000000001E-3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 t="s">
        <v>3</v>
      </c>
      <c r="AG67">
        <v>4.0000000000000001E-3</v>
      </c>
      <c r="AH67">
        <v>2</v>
      </c>
      <c r="AI67">
        <v>53362696</v>
      </c>
      <c r="AJ67">
        <v>76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2">
      <c r="A68">
        <f>ROW(Source!A53)</f>
        <v>53</v>
      </c>
      <c r="B68">
        <v>53362703</v>
      </c>
      <c r="C68">
        <v>53362690</v>
      </c>
      <c r="D68">
        <v>1090931353</v>
      </c>
      <c r="E68">
        <v>70</v>
      </c>
      <c r="F68">
        <v>1</v>
      </c>
      <c r="G68">
        <v>1</v>
      </c>
      <c r="H68">
        <v>3</v>
      </c>
      <c r="I68" t="s">
        <v>160</v>
      </c>
      <c r="J68" t="s">
        <v>3</v>
      </c>
      <c r="K68" t="s">
        <v>161</v>
      </c>
      <c r="L68">
        <v>1348</v>
      </c>
      <c r="N68">
        <v>1009</v>
      </c>
      <c r="O68" t="s">
        <v>32</v>
      </c>
      <c r="P68" t="s">
        <v>32</v>
      </c>
      <c r="Q68">
        <v>1000</v>
      </c>
      <c r="X68">
        <v>0</v>
      </c>
      <c r="Y68">
        <v>0</v>
      </c>
      <c r="Z68">
        <v>0</v>
      </c>
      <c r="AA68">
        <v>0</v>
      </c>
      <c r="AB68">
        <v>0</v>
      </c>
      <c r="AC68">
        <v>1</v>
      </c>
      <c r="AD68">
        <v>0</v>
      </c>
      <c r="AE68">
        <v>0</v>
      </c>
      <c r="AF68" t="s">
        <v>3</v>
      </c>
      <c r="AG68">
        <v>0</v>
      </c>
      <c r="AH68">
        <v>2</v>
      </c>
      <c r="AI68">
        <v>53362697</v>
      </c>
      <c r="AJ68">
        <v>77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2">
      <c r="A69">
        <f>ROW(Source!A57)</f>
        <v>57</v>
      </c>
      <c r="B69">
        <v>53362709</v>
      </c>
      <c r="C69">
        <v>53362707</v>
      </c>
      <c r="D69">
        <v>37065248</v>
      </c>
      <c r="E69">
        <v>70</v>
      </c>
      <c r="F69">
        <v>1</v>
      </c>
      <c r="G69">
        <v>1</v>
      </c>
      <c r="H69">
        <v>1</v>
      </c>
      <c r="I69" t="s">
        <v>322</v>
      </c>
      <c r="J69" t="s">
        <v>3</v>
      </c>
      <c r="K69" t="s">
        <v>323</v>
      </c>
      <c r="L69">
        <v>1191</v>
      </c>
      <c r="N69">
        <v>1013</v>
      </c>
      <c r="O69" t="s">
        <v>324</v>
      </c>
      <c r="P69" t="s">
        <v>324</v>
      </c>
      <c r="Q69">
        <v>1</v>
      </c>
      <c r="X69">
        <v>0.9</v>
      </c>
      <c r="Y69">
        <v>0</v>
      </c>
      <c r="Z69">
        <v>0</v>
      </c>
      <c r="AA69">
        <v>0</v>
      </c>
      <c r="AB69">
        <v>8.5299999999999994</v>
      </c>
      <c r="AC69">
        <v>0</v>
      </c>
      <c r="AD69">
        <v>1</v>
      </c>
      <c r="AE69">
        <v>1</v>
      </c>
      <c r="AF69" t="s">
        <v>73</v>
      </c>
      <c r="AG69">
        <v>1.0349999999999999</v>
      </c>
      <c r="AH69">
        <v>2</v>
      </c>
      <c r="AI69">
        <v>53362708</v>
      </c>
      <c r="AJ69">
        <v>78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 x14ac:dyDescent="0.2">
      <c r="A70">
        <f>ROW(Source!A58)</f>
        <v>58</v>
      </c>
      <c r="B70">
        <v>53362722</v>
      </c>
      <c r="C70">
        <v>53362710</v>
      </c>
      <c r="D70">
        <v>37070176</v>
      </c>
      <c r="E70">
        <v>70</v>
      </c>
      <c r="F70">
        <v>1</v>
      </c>
      <c r="G70">
        <v>1</v>
      </c>
      <c r="H70">
        <v>1</v>
      </c>
      <c r="I70" t="s">
        <v>425</v>
      </c>
      <c r="J70" t="s">
        <v>3</v>
      </c>
      <c r="K70" t="s">
        <v>426</v>
      </c>
      <c r="L70">
        <v>1191</v>
      </c>
      <c r="N70">
        <v>1013</v>
      </c>
      <c r="O70" t="s">
        <v>324</v>
      </c>
      <c r="P70" t="s">
        <v>324</v>
      </c>
      <c r="Q70">
        <v>1</v>
      </c>
      <c r="X70">
        <v>4.6399999999999997</v>
      </c>
      <c r="Y70">
        <v>0</v>
      </c>
      <c r="Z70">
        <v>0</v>
      </c>
      <c r="AA70">
        <v>0</v>
      </c>
      <c r="AB70">
        <v>10.94</v>
      </c>
      <c r="AC70">
        <v>0</v>
      </c>
      <c r="AD70">
        <v>1</v>
      </c>
      <c r="AE70">
        <v>1</v>
      </c>
      <c r="AF70" t="s">
        <v>73</v>
      </c>
      <c r="AG70">
        <v>5.3359999999999994</v>
      </c>
      <c r="AH70">
        <v>2</v>
      </c>
      <c r="AI70">
        <v>53362711</v>
      </c>
      <c r="AJ70">
        <v>79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2">
      <c r="A71">
        <f>ROW(Source!A58)</f>
        <v>58</v>
      </c>
      <c r="B71">
        <v>53362723</v>
      </c>
      <c r="C71">
        <v>53362710</v>
      </c>
      <c r="D71">
        <v>37064876</v>
      </c>
      <c r="E71">
        <v>70</v>
      </c>
      <c r="F71">
        <v>1</v>
      </c>
      <c r="G71">
        <v>1</v>
      </c>
      <c r="H71">
        <v>1</v>
      </c>
      <c r="I71" t="s">
        <v>325</v>
      </c>
      <c r="J71" t="s">
        <v>3</v>
      </c>
      <c r="K71" t="s">
        <v>326</v>
      </c>
      <c r="L71">
        <v>1191</v>
      </c>
      <c r="N71">
        <v>1013</v>
      </c>
      <c r="O71" t="s">
        <v>324</v>
      </c>
      <c r="P71" t="s">
        <v>324</v>
      </c>
      <c r="Q71">
        <v>1</v>
      </c>
      <c r="X71">
        <v>0.02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2</v>
      </c>
      <c r="AF71" t="s">
        <v>72</v>
      </c>
      <c r="AG71">
        <v>2.5000000000000001E-2</v>
      </c>
      <c r="AH71">
        <v>2</v>
      </c>
      <c r="AI71">
        <v>53362712</v>
      </c>
      <c r="AJ71">
        <v>80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2">
      <c r="A72">
        <f>ROW(Source!A58)</f>
        <v>58</v>
      </c>
      <c r="B72">
        <v>53362724</v>
      </c>
      <c r="C72">
        <v>53362710</v>
      </c>
      <c r="D72">
        <v>1091150871</v>
      </c>
      <c r="E72">
        <v>1</v>
      </c>
      <c r="F72">
        <v>1</v>
      </c>
      <c r="G72">
        <v>1</v>
      </c>
      <c r="H72">
        <v>2</v>
      </c>
      <c r="I72" t="s">
        <v>427</v>
      </c>
      <c r="J72" t="s">
        <v>428</v>
      </c>
      <c r="K72" t="s">
        <v>429</v>
      </c>
      <c r="L72">
        <v>1367</v>
      </c>
      <c r="N72">
        <v>1011</v>
      </c>
      <c r="O72" t="s">
        <v>330</v>
      </c>
      <c r="P72" t="s">
        <v>330</v>
      </c>
      <c r="Q72">
        <v>1</v>
      </c>
      <c r="X72">
        <v>0.01</v>
      </c>
      <c r="Y72">
        <v>0</v>
      </c>
      <c r="Z72">
        <v>1.7</v>
      </c>
      <c r="AA72">
        <v>0</v>
      </c>
      <c r="AB72">
        <v>0</v>
      </c>
      <c r="AC72">
        <v>0</v>
      </c>
      <c r="AD72">
        <v>1</v>
      </c>
      <c r="AE72">
        <v>0</v>
      </c>
      <c r="AF72" t="s">
        <v>72</v>
      </c>
      <c r="AG72">
        <v>1.2500000000000001E-2</v>
      </c>
      <c r="AH72">
        <v>2</v>
      </c>
      <c r="AI72">
        <v>53362713</v>
      </c>
      <c r="AJ72">
        <v>81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2">
      <c r="A73">
        <f>ROW(Source!A58)</f>
        <v>58</v>
      </c>
      <c r="B73">
        <v>53362725</v>
      </c>
      <c r="C73">
        <v>53362710</v>
      </c>
      <c r="D73">
        <v>1091150891</v>
      </c>
      <c r="E73">
        <v>1</v>
      </c>
      <c r="F73">
        <v>1</v>
      </c>
      <c r="G73">
        <v>1</v>
      </c>
      <c r="H73">
        <v>2</v>
      </c>
      <c r="I73" t="s">
        <v>353</v>
      </c>
      <c r="J73" t="s">
        <v>354</v>
      </c>
      <c r="K73" t="s">
        <v>355</v>
      </c>
      <c r="L73">
        <v>1367</v>
      </c>
      <c r="N73">
        <v>1011</v>
      </c>
      <c r="O73" t="s">
        <v>330</v>
      </c>
      <c r="P73" t="s">
        <v>330</v>
      </c>
      <c r="Q73">
        <v>1</v>
      </c>
      <c r="X73">
        <v>0.01</v>
      </c>
      <c r="Y73">
        <v>0</v>
      </c>
      <c r="Z73">
        <v>89.99</v>
      </c>
      <c r="AA73">
        <v>10.06</v>
      </c>
      <c r="AB73">
        <v>0</v>
      </c>
      <c r="AC73">
        <v>0</v>
      </c>
      <c r="AD73">
        <v>1</v>
      </c>
      <c r="AE73">
        <v>0</v>
      </c>
      <c r="AF73" t="s">
        <v>72</v>
      </c>
      <c r="AG73">
        <v>1.2500000000000001E-2</v>
      </c>
      <c r="AH73">
        <v>2</v>
      </c>
      <c r="AI73">
        <v>53362714</v>
      </c>
      <c r="AJ73">
        <v>82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2">
      <c r="A74">
        <f>ROW(Source!A58)</f>
        <v>58</v>
      </c>
      <c r="B74">
        <v>53362726</v>
      </c>
      <c r="C74">
        <v>53362710</v>
      </c>
      <c r="D74">
        <v>1091151703</v>
      </c>
      <c r="E74">
        <v>1</v>
      </c>
      <c r="F74">
        <v>1</v>
      </c>
      <c r="G74">
        <v>1</v>
      </c>
      <c r="H74">
        <v>2</v>
      </c>
      <c r="I74" t="s">
        <v>356</v>
      </c>
      <c r="J74" t="s">
        <v>357</v>
      </c>
      <c r="K74" t="s">
        <v>358</v>
      </c>
      <c r="L74">
        <v>1367</v>
      </c>
      <c r="N74">
        <v>1011</v>
      </c>
      <c r="O74" t="s">
        <v>330</v>
      </c>
      <c r="P74" t="s">
        <v>330</v>
      </c>
      <c r="Q74">
        <v>1</v>
      </c>
      <c r="X74">
        <v>0.01</v>
      </c>
      <c r="Y74">
        <v>0</v>
      </c>
      <c r="Z74">
        <v>65.709999999999994</v>
      </c>
      <c r="AA74">
        <v>11.6</v>
      </c>
      <c r="AB74">
        <v>0</v>
      </c>
      <c r="AC74">
        <v>0</v>
      </c>
      <c r="AD74">
        <v>1</v>
      </c>
      <c r="AE74">
        <v>0</v>
      </c>
      <c r="AF74" t="s">
        <v>72</v>
      </c>
      <c r="AG74">
        <v>1.2500000000000001E-2</v>
      </c>
      <c r="AH74">
        <v>2</v>
      </c>
      <c r="AI74">
        <v>53362715</v>
      </c>
      <c r="AJ74">
        <v>83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 x14ac:dyDescent="0.2">
      <c r="A75">
        <f>ROW(Source!A58)</f>
        <v>58</v>
      </c>
      <c r="B75">
        <v>53362727</v>
      </c>
      <c r="C75">
        <v>53362710</v>
      </c>
      <c r="D75">
        <v>1091152374</v>
      </c>
      <c r="E75">
        <v>1</v>
      </c>
      <c r="F75">
        <v>1</v>
      </c>
      <c r="G75">
        <v>1</v>
      </c>
      <c r="H75">
        <v>2</v>
      </c>
      <c r="I75" t="s">
        <v>430</v>
      </c>
      <c r="J75" t="s">
        <v>431</v>
      </c>
      <c r="K75" t="s">
        <v>432</v>
      </c>
      <c r="L75">
        <v>1367</v>
      </c>
      <c r="N75">
        <v>1011</v>
      </c>
      <c r="O75" t="s">
        <v>330</v>
      </c>
      <c r="P75" t="s">
        <v>330</v>
      </c>
      <c r="Q75">
        <v>1</v>
      </c>
      <c r="X75">
        <v>1.1200000000000001</v>
      </c>
      <c r="Y75">
        <v>0</v>
      </c>
      <c r="Z75">
        <v>6.82</v>
      </c>
      <c r="AA75">
        <v>0</v>
      </c>
      <c r="AB75">
        <v>0</v>
      </c>
      <c r="AC75">
        <v>0</v>
      </c>
      <c r="AD75">
        <v>1</v>
      </c>
      <c r="AE75">
        <v>0</v>
      </c>
      <c r="AF75" t="s">
        <v>72</v>
      </c>
      <c r="AG75">
        <v>1.4000000000000001</v>
      </c>
      <c r="AH75">
        <v>2</v>
      </c>
      <c r="AI75">
        <v>53362716</v>
      </c>
      <c r="AJ75">
        <v>84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 x14ac:dyDescent="0.2">
      <c r="A76">
        <f>ROW(Source!A58)</f>
        <v>58</v>
      </c>
      <c r="B76">
        <v>53362728</v>
      </c>
      <c r="C76">
        <v>53362710</v>
      </c>
      <c r="D76">
        <v>1090991463</v>
      </c>
      <c r="E76">
        <v>1</v>
      </c>
      <c r="F76">
        <v>1</v>
      </c>
      <c r="G76">
        <v>1</v>
      </c>
      <c r="H76">
        <v>3</v>
      </c>
      <c r="I76" t="s">
        <v>433</v>
      </c>
      <c r="J76" t="s">
        <v>434</v>
      </c>
      <c r="K76" t="s">
        <v>435</v>
      </c>
      <c r="L76">
        <v>1348</v>
      </c>
      <c r="N76">
        <v>1009</v>
      </c>
      <c r="O76" t="s">
        <v>32</v>
      </c>
      <c r="P76" t="s">
        <v>32</v>
      </c>
      <c r="Q76">
        <v>1000</v>
      </c>
      <c r="X76">
        <v>0.02</v>
      </c>
      <c r="Y76">
        <v>53320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 t="s">
        <v>3</v>
      </c>
      <c r="AG76">
        <v>0.02</v>
      </c>
      <c r="AH76">
        <v>2</v>
      </c>
      <c r="AI76">
        <v>53362719</v>
      </c>
      <c r="AJ76">
        <v>87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2">
      <c r="A77">
        <f>ROW(Source!A58)</f>
        <v>58</v>
      </c>
      <c r="B77">
        <v>53362729</v>
      </c>
      <c r="C77">
        <v>53362710</v>
      </c>
      <c r="D77">
        <v>1090992472</v>
      </c>
      <c r="E77">
        <v>1</v>
      </c>
      <c r="F77">
        <v>1</v>
      </c>
      <c r="G77">
        <v>1</v>
      </c>
      <c r="H77">
        <v>3</v>
      </c>
      <c r="I77" t="s">
        <v>436</v>
      </c>
      <c r="J77" t="s">
        <v>437</v>
      </c>
      <c r="K77" t="s">
        <v>438</v>
      </c>
      <c r="L77">
        <v>1348</v>
      </c>
      <c r="N77">
        <v>1009</v>
      </c>
      <c r="O77" t="s">
        <v>32</v>
      </c>
      <c r="P77" t="s">
        <v>32</v>
      </c>
      <c r="Q77">
        <v>1000</v>
      </c>
      <c r="X77">
        <v>2E-3</v>
      </c>
      <c r="Y77">
        <v>67872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 t="s">
        <v>3</v>
      </c>
      <c r="AG77">
        <v>2E-3</v>
      </c>
      <c r="AH77">
        <v>2</v>
      </c>
      <c r="AI77">
        <v>53362720</v>
      </c>
      <c r="AJ77">
        <v>88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2">
      <c r="A78">
        <f>ROW(Source!A58)</f>
        <v>58</v>
      </c>
      <c r="B78">
        <v>53362730</v>
      </c>
      <c r="C78">
        <v>53362710</v>
      </c>
      <c r="D78">
        <v>1090992513</v>
      </c>
      <c r="E78">
        <v>1</v>
      </c>
      <c r="F78">
        <v>1</v>
      </c>
      <c r="G78">
        <v>1</v>
      </c>
      <c r="H78">
        <v>3</v>
      </c>
      <c r="I78" t="s">
        <v>439</v>
      </c>
      <c r="J78" t="s">
        <v>440</v>
      </c>
      <c r="K78" t="s">
        <v>441</v>
      </c>
      <c r="L78">
        <v>1348</v>
      </c>
      <c r="N78">
        <v>1009</v>
      </c>
      <c r="O78" t="s">
        <v>32</v>
      </c>
      <c r="P78" t="s">
        <v>32</v>
      </c>
      <c r="Q78">
        <v>1000</v>
      </c>
      <c r="X78">
        <v>3.0000000000000001E-3</v>
      </c>
      <c r="Y78">
        <v>10465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0</v>
      </c>
      <c r="AF78" t="s">
        <v>3</v>
      </c>
      <c r="AG78">
        <v>3.0000000000000001E-3</v>
      </c>
      <c r="AH78">
        <v>2</v>
      </c>
      <c r="AI78">
        <v>53362721</v>
      </c>
      <c r="AJ78">
        <v>89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2">
      <c r="A79">
        <f>ROW(Source!A61)</f>
        <v>61</v>
      </c>
      <c r="B79">
        <v>53362744</v>
      </c>
      <c r="C79">
        <v>53362733</v>
      </c>
      <c r="D79">
        <v>37064928</v>
      </c>
      <c r="E79">
        <v>70</v>
      </c>
      <c r="F79">
        <v>1</v>
      </c>
      <c r="G79">
        <v>1</v>
      </c>
      <c r="H79">
        <v>1</v>
      </c>
      <c r="I79" t="s">
        <v>442</v>
      </c>
      <c r="J79" t="s">
        <v>3</v>
      </c>
      <c r="K79" t="s">
        <v>443</v>
      </c>
      <c r="L79">
        <v>1191</v>
      </c>
      <c r="N79">
        <v>1013</v>
      </c>
      <c r="O79" t="s">
        <v>324</v>
      </c>
      <c r="P79" t="s">
        <v>324</v>
      </c>
      <c r="Q79">
        <v>1</v>
      </c>
      <c r="X79">
        <v>2.78</v>
      </c>
      <c r="Y79">
        <v>0</v>
      </c>
      <c r="Z79">
        <v>0</v>
      </c>
      <c r="AA79">
        <v>0</v>
      </c>
      <c r="AB79">
        <v>9.07</v>
      </c>
      <c r="AC79">
        <v>0</v>
      </c>
      <c r="AD79">
        <v>1</v>
      </c>
      <c r="AE79">
        <v>1</v>
      </c>
      <c r="AF79" t="s">
        <v>73</v>
      </c>
      <c r="AG79">
        <v>3.1969999999999996</v>
      </c>
      <c r="AH79">
        <v>2</v>
      </c>
      <c r="AI79">
        <v>53362734</v>
      </c>
      <c r="AJ79">
        <v>90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2">
      <c r="A80">
        <f>ROW(Source!A61)</f>
        <v>61</v>
      </c>
      <c r="B80">
        <v>53362745</v>
      </c>
      <c r="C80">
        <v>53362733</v>
      </c>
      <c r="D80">
        <v>37064876</v>
      </c>
      <c r="E80">
        <v>70</v>
      </c>
      <c r="F80">
        <v>1</v>
      </c>
      <c r="G80">
        <v>1</v>
      </c>
      <c r="H80">
        <v>1</v>
      </c>
      <c r="I80" t="s">
        <v>325</v>
      </c>
      <c r="J80" t="s">
        <v>3</v>
      </c>
      <c r="K80" t="s">
        <v>326</v>
      </c>
      <c r="L80">
        <v>1191</v>
      </c>
      <c r="N80">
        <v>1013</v>
      </c>
      <c r="O80" t="s">
        <v>324</v>
      </c>
      <c r="P80" t="s">
        <v>324</v>
      </c>
      <c r="Q80">
        <v>1</v>
      </c>
      <c r="X80">
        <v>0.04</v>
      </c>
      <c r="Y80">
        <v>0</v>
      </c>
      <c r="Z80">
        <v>0</v>
      </c>
      <c r="AA80">
        <v>0</v>
      </c>
      <c r="AB80">
        <v>0</v>
      </c>
      <c r="AC80">
        <v>0</v>
      </c>
      <c r="AD80">
        <v>1</v>
      </c>
      <c r="AE80">
        <v>2</v>
      </c>
      <c r="AF80" t="s">
        <v>72</v>
      </c>
      <c r="AG80">
        <v>0.05</v>
      </c>
      <c r="AH80">
        <v>2</v>
      </c>
      <c r="AI80">
        <v>53362735</v>
      </c>
      <c r="AJ80">
        <v>91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2">
      <c r="A81">
        <f>ROW(Source!A61)</f>
        <v>61</v>
      </c>
      <c r="B81">
        <v>53362746</v>
      </c>
      <c r="C81">
        <v>53362733</v>
      </c>
      <c r="D81">
        <v>1091150871</v>
      </c>
      <c r="E81">
        <v>1</v>
      </c>
      <c r="F81">
        <v>1</v>
      </c>
      <c r="G81">
        <v>1</v>
      </c>
      <c r="H81">
        <v>2</v>
      </c>
      <c r="I81" t="s">
        <v>427</v>
      </c>
      <c r="J81" t="s">
        <v>428</v>
      </c>
      <c r="K81" t="s">
        <v>429</v>
      </c>
      <c r="L81">
        <v>1367</v>
      </c>
      <c r="N81">
        <v>1011</v>
      </c>
      <c r="O81" t="s">
        <v>330</v>
      </c>
      <c r="P81" t="s">
        <v>330</v>
      </c>
      <c r="Q81">
        <v>1</v>
      </c>
      <c r="X81">
        <v>0.01</v>
      </c>
      <c r="Y81">
        <v>0</v>
      </c>
      <c r="Z81">
        <v>1.7</v>
      </c>
      <c r="AA81">
        <v>0</v>
      </c>
      <c r="AB81">
        <v>0</v>
      </c>
      <c r="AC81">
        <v>0</v>
      </c>
      <c r="AD81">
        <v>1</v>
      </c>
      <c r="AE81">
        <v>0</v>
      </c>
      <c r="AF81" t="s">
        <v>72</v>
      </c>
      <c r="AG81">
        <v>1.2500000000000001E-2</v>
      </c>
      <c r="AH81">
        <v>2</v>
      </c>
      <c r="AI81">
        <v>53362736</v>
      </c>
      <c r="AJ81">
        <v>92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2">
      <c r="A82">
        <f>ROW(Source!A61)</f>
        <v>61</v>
      </c>
      <c r="B82">
        <v>53362747</v>
      </c>
      <c r="C82">
        <v>53362733</v>
      </c>
      <c r="D82">
        <v>1091150891</v>
      </c>
      <c r="E82">
        <v>1</v>
      </c>
      <c r="F82">
        <v>1</v>
      </c>
      <c r="G82">
        <v>1</v>
      </c>
      <c r="H82">
        <v>2</v>
      </c>
      <c r="I82" t="s">
        <v>353</v>
      </c>
      <c r="J82" t="s">
        <v>354</v>
      </c>
      <c r="K82" t="s">
        <v>355</v>
      </c>
      <c r="L82">
        <v>1367</v>
      </c>
      <c r="N82">
        <v>1011</v>
      </c>
      <c r="O82" t="s">
        <v>330</v>
      </c>
      <c r="P82" t="s">
        <v>330</v>
      </c>
      <c r="Q82">
        <v>1</v>
      </c>
      <c r="X82">
        <v>0.01</v>
      </c>
      <c r="Y82">
        <v>0</v>
      </c>
      <c r="Z82">
        <v>89.99</v>
      </c>
      <c r="AA82">
        <v>10.06</v>
      </c>
      <c r="AB82">
        <v>0</v>
      </c>
      <c r="AC82">
        <v>0</v>
      </c>
      <c r="AD82">
        <v>1</v>
      </c>
      <c r="AE82">
        <v>0</v>
      </c>
      <c r="AF82" t="s">
        <v>72</v>
      </c>
      <c r="AG82">
        <v>1.2500000000000001E-2</v>
      </c>
      <c r="AH82">
        <v>2</v>
      </c>
      <c r="AI82">
        <v>53362737</v>
      </c>
      <c r="AJ82">
        <v>93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2">
      <c r="A83">
        <f>ROW(Source!A61)</f>
        <v>61</v>
      </c>
      <c r="B83">
        <v>53362748</v>
      </c>
      <c r="C83">
        <v>53362733</v>
      </c>
      <c r="D83">
        <v>1091151703</v>
      </c>
      <c r="E83">
        <v>1</v>
      </c>
      <c r="F83">
        <v>1</v>
      </c>
      <c r="G83">
        <v>1</v>
      </c>
      <c r="H83">
        <v>2</v>
      </c>
      <c r="I83" t="s">
        <v>356</v>
      </c>
      <c r="J83" t="s">
        <v>357</v>
      </c>
      <c r="K83" t="s">
        <v>358</v>
      </c>
      <c r="L83">
        <v>1367</v>
      </c>
      <c r="N83">
        <v>1011</v>
      </c>
      <c r="O83" t="s">
        <v>330</v>
      </c>
      <c r="P83" t="s">
        <v>330</v>
      </c>
      <c r="Q83">
        <v>1</v>
      </c>
      <c r="X83">
        <v>0.03</v>
      </c>
      <c r="Y83">
        <v>0</v>
      </c>
      <c r="Z83">
        <v>65.709999999999994</v>
      </c>
      <c r="AA83">
        <v>11.6</v>
      </c>
      <c r="AB83">
        <v>0</v>
      </c>
      <c r="AC83">
        <v>0</v>
      </c>
      <c r="AD83">
        <v>1</v>
      </c>
      <c r="AE83">
        <v>0</v>
      </c>
      <c r="AF83" t="s">
        <v>72</v>
      </c>
      <c r="AG83">
        <v>3.7499999999999999E-2</v>
      </c>
      <c r="AH83">
        <v>2</v>
      </c>
      <c r="AI83">
        <v>53362738</v>
      </c>
      <c r="AJ83">
        <v>94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 x14ac:dyDescent="0.2">
      <c r="A84">
        <f>ROW(Source!A61)</f>
        <v>61</v>
      </c>
      <c r="B84">
        <v>53362749</v>
      </c>
      <c r="C84">
        <v>53362733</v>
      </c>
      <c r="D84">
        <v>1091152374</v>
      </c>
      <c r="E84">
        <v>1</v>
      </c>
      <c r="F84">
        <v>1</v>
      </c>
      <c r="G84">
        <v>1</v>
      </c>
      <c r="H84">
        <v>2</v>
      </c>
      <c r="I84" t="s">
        <v>430</v>
      </c>
      <c r="J84" t="s">
        <v>431</v>
      </c>
      <c r="K84" t="s">
        <v>432</v>
      </c>
      <c r="L84">
        <v>1367</v>
      </c>
      <c r="N84">
        <v>1011</v>
      </c>
      <c r="O84" t="s">
        <v>330</v>
      </c>
      <c r="P84" t="s">
        <v>330</v>
      </c>
      <c r="Q84">
        <v>1</v>
      </c>
      <c r="X84">
        <v>1.95</v>
      </c>
      <c r="Y84">
        <v>0</v>
      </c>
      <c r="Z84">
        <v>6.82</v>
      </c>
      <c r="AA84">
        <v>0</v>
      </c>
      <c r="AB84">
        <v>0</v>
      </c>
      <c r="AC84">
        <v>0</v>
      </c>
      <c r="AD84">
        <v>1</v>
      </c>
      <c r="AE84">
        <v>0</v>
      </c>
      <c r="AF84" t="s">
        <v>72</v>
      </c>
      <c r="AG84">
        <v>2.4375</v>
      </c>
      <c r="AH84">
        <v>2</v>
      </c>
      <c r="AI84">
        <v>53362739</v>
      </c>
      <c r="AJ84">
        <v>95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2">
      <c r="A85">
        <f>ROW(Source!A61)</f>
        <v>61</v>
      </c>
      <c r="B85">
        <v>53362750</v>
      </c>
      <c r="C85">
        <v>53362733</v>
      </c>
      <c r="D85">
        <v>1090991997</v>
      </c>
      <c r="E85">
        <v>1</v>
      </c>
      <c r="F85">
        <v>1</v>
      </c>
      <c r="G85">
        <v>1</v>
      </c>
      <c r="H85">
        <v>3</v>
      </c>
      <c r="I85" t="s">
        <v>444</v>
      </c>
      <c r="J85" t="s">
        <v>445</v>
      </c>
      <c r="K85" t="s">
        <v>446</v>
      </c>
      <c r="L85">
        <v>1348</v>
      </c>
      <c r="N85">
        <v>1009</v>
      </c>
      <c r="O85" t="s">
        <v>32</v>
      </c>
      <c r="P85" t="s">
        <v>32</v>
      </c>
      <c r="Q85">
        <v>1000</v>
      </c>
      <c r="X85">
        <v>2.7E-2</v>
      </c>
      <c r="Y85">
        <v>48307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0</v>
      </c>
      <c r="AF85" t="s">
        <v>3</v>
      </c>
      <c r="AG85">
        <v>2.7E-2</v>
      </c>
      <c r="AH85">
        <v>2</v>
      </c>
      <c r="AI85">
        <v>53362740</v>
      </c>
      <c r="AJ85">
        <v>96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 x14ac:dyDescent="0.2">
      <c r="A86">
        <f>ROW(Source!A61)</f>
        <v>61</v>
      </c>
      <c r="B86">
        <v>53362751</v>
      </c>
      <c r="C86">
        <v>53362733</v>
      </c>
      <c r="D86">
        <v>1090992475</v>
      </c>
      <c r="E86">
        <v>1</v>
      </c>
      <c r="F86">
        <v>1</v>
      </c>
      <c r="G86">
        <v>1</v>
      </c>
      <c r="H86">
        <v>3</v>
      </c>
      <c r="I86" t="s">
        <v>447</v>
      </c>
      <c r="J86" t="s">
        <v>448</v>
      </c>
      <c r="K86" t="s">
        <v>449</v>
      </c>
      <c r="L86">
        <v>1346</v>
      </c>
      <c r="N86">
        <v>1009</v>
      </c>
      <c r="O86" t="s">
        <v>110</v>
      </c>
      <c r="P86" t="s">
        <v>110</v>
      </c>
      <c r="Q86">
        <v>1</v>
      </c>
      <c r="X86">
        <v>0.5</v>
      </c>
      <c r="Y86">
        <v>48.6</v>
      </c>
      <c r="Z86">
        <v>0</v>
      </c>
      <c r="AA86">
        <v>0</v>
      </c>
      <c r="AB86">
        <v>0</v>
      </c>
      <c r="AC86">
        <v>0</v>
      </c>
      <c r="AD86">
        <v>1</v>
      </c>
      <c r="AE86">
        <v>0</v>
      </c>
      <c r="AF86" t="s">
        <v>3</v>
      </c>
      <c r="AG86">
        <v>0.5</v>
      </c>
      <c r="AH86">
        <v>2</v>
      </c>
      <c r="AI86">
        <v>53362742</v>
      </c>
      <c r="AJ86">
        <v>98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2">
      <c r="A87">
        <f>ROW(Source!A61)</f>
        <v>61</v>
      </c>
      <c r="B87">
        <v>53362752</v>
      </c>
      <c r="C87">
        <v>53362733</v>
      </c>
      <c r="D87">
        <v>1090992521</v>
      </c>
      <c r="E87">
        <v>1</v>
      </c>
      <c r="F87">
        <v>1</v>
      </c>
      <c r="G87">
        <v>1</v>
      </c>
      <c r="H87">
        <v>3</v>
      </c>
      <c r="I87" t="s">
        <v>450</v>
      </c>
      <c r="J87" t="s">
        <v>451</v>
      </c>
      <c r="K87" t="s">
        <v>452</v>
      </c>
      <c r="L87">
        <v>1346</v>
      </c>
      <c r="N87">
        <v>1009</v>
      </c>
      <c r="O87" t="s">
        <v>110</v>
      </c>
      <c r="P87" t="s">
        <v>110</v>
      </c>
      <c r="Q87">
        <v>1</v>
      </c>
      <c r="X87">
        <v>2.7</v>
      </c>
      <c r="Y87">
        <v>9.42</v>
      </c>
      <c r="Z87">
        <v>0</v>
      </c>
      <c r="AA87">
        <v>0</v>
      </c>
      <c r="AB87">
        <v>0</v>
      </c>
      <c r="AC87">
        <v>0</v>
      </c>
      <c r="AD87">
        <v>1</v>
      </c>
      <c r="AE87">
        <v>0</v>
      </c>
      <c r="AF87" t="s">
        <v>3</v>
      </c>
      <c r="AG87">
        <v>2.7</v>
      </c>
      <c r="AH87">
        <v>2</v>
      </c>
      <c r="AI87">
        <v>53362743</v>
      </c>
      <c r="AJ87">
        <v>99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21" x14ac:dyDescent="0.2">
      <c r="A1">
        <v>35</v>
      </c>
      <c r="B1">
        <v>1</v>
      </c>
      <c r="C1" t="s">
        <v>3</v>
      </c>
      <c r="D1" t="s">
        <v>3</v>
      </c>
      <c r="E1" t="s">
        <v>72</v>
      </c>
      <c r="F1" t="s">
        <v>72</v>
      </c>
      <c r="G1" t="s">
        <v>73</v>
      </c>
      <c r="H1" t="s">
        <v>3</v>
      </c>
      <c r="I1" t="s">
        <v>73</v>
      </c>
      <c r="J1" t="s">
        <v>72</v>
      </c>
      <c r="K1" t="s">
        <v>3</v>
      </c>
      <c r="L1" t="s">
        <v>74</v>
      </c>
      <c r="M1" t="s">
        <v>75</v>
      </c>
      <c r="N1" t="s">
        <v>3</v>
      </c>
      <c r="O1" t="s">
        <v>72</v>
      </c>
      <c r="P1" t="s">
        <v>3</v>
      </c>
      <c r="Q1" t="s">
        <v>3</v>
      </c>
      <c r="R1" t="s">
        <v>3</v>
      </c>
      <c r="S1" t="s">
        <v>455</v>
      </c>
      <c r="T1" t="s">
        <v>458</v>
      </c>
      <c r="U1" t="s">
        <v>456</v>
      </c>
    </row>
    <row r="2" spans="1:21" x14ac:dyDescent="0.2">
      <c r="A2">
        <v>36</v>
      </c>
      <c r="B2">
        <v>1</v>
      </c>
      <c r="C2" t="s">
        <v>3</v>
      </c>
      <c r="D2" t="s">
        <v>3</v>
      </c>
      <c r="E2" t="s">
        <v>72</v>
      </c>
      <c r="F2" t="s">
        <v>72</v>
      </c>
      <c r="G2" t="s">
        <v>73</v>
      </c>
      <c r="H2" t="s">
        <v>3</v>
      </c>
      <c r="I2" t="s">
        <v>73</v>
      </c>
      <c r="J2" t="s">
        <v>72</v>
      </c>
      <c r="K2" t="s">
        <v>3</v>
      </c>
      <c r="L2" t="s">
        <v>74</v>
      </c>
      <c r="M2" t="s">
        <v>75</v>
      </c>
      <c r="N2" t="s">
        <v>3</v>
      </c>
      <c r="O2" t="s">
        <v>72</v>
      </c>
      <c r="P2" t="s">
        <v>3</v>
      </c>
      <c r="Q2" t="s">
        <v>3</v>
      </c>
      <c r="R2" t="s">
        <v>3</v>
      </c>
      <c r="S2" t="s">
        <v>455</v>
      </c>
      <c r="T2" t="s">
        <v>458</v>
      </c>
      <c r="U2" t="s">
        <v>456</v>
      </c>
    </row>
    <row r="3" spans="1:21" x14ac:dyDescent="0.2">
      <c r="A3">
        <v>38</v>
      </c>
      <c r="B3">
        <v>1</v>
      </c>
      <c r="C3" t="s">
        <v>3</v>
      </c>
      <c r="D3" t="s">
        <v>3</v>
      </c>
      <c r="E3" t="s">
        <v>72</v>
      </c>
      <c r="F3" t="s">
        <v>72</v>
      </c>
      <c r="G3" t="s">
        <v>73</v>
      </c>
      <c r="H3" t="s">
        <v>3</v>
      </c>
      <c r="I3" t="s">
        <v>73</v>
      </c>
      <c r="J3" t="s">
        <v>72</v>
      </c>
      <c r="K3" t="s">
        <v>3</v>
      </c>
      <c r="L3" t="s">
        <v>74</v>
      </c>
      <c r="M3" t="s">
        <v>75</v>
      </c>
      <c r="N3" t="s">
        <v>3</v>
      </c>
      <c r="O3" t="s">
        <v>72</v>
      </c>
      <c r="P3" t="s">
        <v>3</v>
      </c>
      <c r="Q3" t="s">
        <v>3</v>
      </c>
      <c r="R3" t="s">
        <v>3</v>
      </c>
      <c r="S3" t="s">
        <v>455</v>
      </c>
      <c r="T3" t="s">
        <v>458</v>
      </c>
      <c r="U3" t="s">
        <v>456</v>
      </c>
    </row>
    <row r="4" spans="1:21" x14ac:dyDescent="0.2">
      <c r="A4">
        <v>47</v>
      </c>
      <c r="B4">
        <v>1</v>
      </c>
      <c r="C4" t="s">
        <v>3</v>
      </c>
      <c r="D4" t="s">
        <v>3</v>
      </c>
      <c r="E4" t="s">
        <v>72</v>
      </c>
      <c r="F4" t="s">
        <v>72</v>
      </c>
      <c r="G4" t="s">
        <v>73</v>
      </c>
      <c r="H4" t="s">
        <v>3</v>
      </c>
      <c r="I4" t="s">
        <v>73</v>
      </c>
      <c r="J4" t="s">
        <v>72</v>
      </c>
      <c r="K4" t="s">
        <v>3</v>
      </c>
      <c r="L4" t="s">
        <v>74</v>
      </c>
      <c r="M4" t="s">
        <v>75</v>
      </c>
      <c r="N4" t="s">
        <v>3</v>
      </c>
      <c r="O4" t="s">
        <v>72</v>
      </c>
      <c r="P4" t="s">
        <v>3</v>
      </c>
      <c r="Q4" t="s">
        <v>3</v>
      </c>
      <c r="R4" t="s">
        <v>3</v>
      </c>
      <c r="S4" t="s">
        <v>455</v>
      </c>
      <c r="T4" t="s">
        <v>458</v>
      </c>
      <c r="U4" t="s">
        <v>456</v>
      </c>
    </row>
    <row r="5" spans="1:21" x14ac:dyDescent="0.2">
      <c r="A5">
        <v>53</v>
      </c>
      <c r="B5">
        <v>1</v>
      </c>
      <c r="C5" t="s">
        <v>3</v>
      </c>
      <c r="D5" t="s">
        <v>3</v>
      </c>
      <c r="E5" t="s">
        <v>72</v>
      </c>
      <c r="F5" t="s">
        <v>72</v>
      </c>
      <c r="G5" t="s">
        <v>73</v>
      </c>
      <c r="H5" t="s">
        <v>3</v>
      </c>
      <c r="I5" t="s">
        <v>73</v>
      </c>
      <c r="J5" t="s">
        <v>72</v>
      </c>
      <c r="K5" t="s">
        <v>3</v>
      </c>
      <c r="L5" t="s">
        <v>74</v>
      </c>
      <c r="M5" t="s">
        <v>75</v>
      </c>
      <c r="N5" t="s">
        <v>3</v>
      </c>
      <c r="O5" t="s">
        <v>72</v>
      </c>
      <c r="P5" t="s">
        <v>3</v>
      </c>
      <c r="Q5" t="s">
        <v>3</v>
      </c>
      <c r="R5" t="s">
        <v>3</v>
      </c>
      <c r="S5" t="s">
        <v>455</v>
      </c>
      <c r="T5" t="s">
        <v>458</v>
      </c>
      <c r="U5" t="s">
        <v>456</v>
      </c>
    </row>
    <row r="6" spans="1:21" x14ac:dyDescent="0.2">
      <c r="A6">
        <v>57</v>
      </c>
      <c r="B6">
        <v>1</v>
      </c>
      <c r="C6" t="s">
        <v>3</v>
      </c>
      <c r="D6" t="s">
        <v>3</v>
      </c>
      <c r="E6" t="s">
        <v>72</v>
      </c>
      <c r="F6" t="s">
        <v>72</v>
      </c>
      <c r="G6" t="s">
        <v>73</v>
      </c>
      <c r="H6" t="s">
        <v>3</v>
      </c>
      <c r="I6" t="s">
        <v>73</v>
      </c>
      <c r="J6" t="s">
        <v>72</v>
      </c>
      <c r="K6" t="s">
        <v>3</v>
      </c>
      <c r="L6" t="s">
        <v>74</v>
      </c>
      <c r="M6" t="s">
        <v>75</v>
      </c>
      <c r="N6" t="s">
        <v>3</v>
      </c>
      <c r="O6" t="s">
        <v>72</v>
      </c>
      <c r="P6" t="s">
        <v>3</v>
      </c>
      <c r="Q6" t="s">
        <v>3</v>
      </c>
      <c r="R6" t="s">
        <v>3</v>
      </c>
      <c r="S6" t="s">
        <v>455</v>
      </c>
      <c r="T6" t="s">
        <v>458</v>
      </c>
      <c r="U6" t="s">
        <v>456</v>
      </c>
    </row>
    <row r="7" spans="1:21" x14ac:dyDescent="0.2">
      <c r="A7">
        <v>58</v>
      </c>
      <c r="B7">
        <v>1</v>
      </c>
      <c r="C7" t="s">
        <v>3</v>
      </c>
      <c r="D7" t="s">
        <v>3</v>
      </c>
      <c r="E7" t="s">
        <v>72</v>
      </c>
      <c r="F7" t="s">
        <v>72</v>
      </c>
      <c r="G7" t="s">
        <v>73</v>
      </c>
      <c r="H7" t="s">
        <v>3</v>
      </c>
      <c r="I7" t="s">
        <v>73</v>
      </c>
      <c r="J7" t="s">
        <v>72</v>
      </c>
      <c r="K7" t="s">
        <v>3</v>
      </c>
      <c r="L7" t="s">
        <v>74</v>
      </c>
      <c r="M7" t="s">
        <v>75</v>
      </c>
      <c r="N7" t="s">
        <v>3</v>
      </c>
      <c r="O7" t="s">
        <v>72</v>
      </c>
      <c r="P7" t="s">
        <v>3</v>
      </c>
      <c r="Q7" t="s">
        <v>3</v>
      </c>
      <c r="R7" t="s">
        <v>3</v>
      </c>
      <c r="S7" t="s">
        <v>455</v>
      </c>
      <c r="T7" t="s">
        <v>458</v>
      </c>
      <c r="U7" t="s">
        <v>456</v>
      </c>
    </row>
    <row r="8" spans="1:21" x14ac:dyDescent="0.2">
      <c r="A8">
        <v>61</v>
      </c>
      <c r="B8">
        <v>1</v>
      </c>
      <c r="C8" t="s">
        <v>3</v>
      </c>
      <c r="D8" t="s">
        <v>3</v>
      </c>
      <c r="E8" t="s">
        <v>72</v>
      </c>
      <c r="F8" t="s">
        <v>72</v>
      </c>
      <c r="G8" t="s">
        <v>73</v>
      </c>
      <c r="H8" t="s">
        <v>3</v>
      </c>
      <c r="I8" t="s">
        <v>73</v>
      </c>
      <c r="J8" t="s">
        <v>72</v>
      </c>
      <c r="K8" t="s">
        <v>3</v>
      </c>
      <c r="L8" t="s">
        <v>74</v>
      </c>
      <c r="M8" t="s">
        <v>75</v>
      </c>
      <c r="N8" t="s">
        <v>3</v>
      </c>
      <c r="O8" t="s">
        <v>72</v>
      </c>
      <c r="P8" t="s">
        <v>3</v>
      </c>
      <c r="Q8" t="s">
        <v>3</v>
      </c>
      <c r="R8" t="s">
        <v>3</v>
      </c>
      <c r="S8" t="s">
        <v>455</v>
      </c>
      <c r="T8" t="s">
        <v>458</v>
      </c>
      <c r="U8" t="s">
        <v>456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2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0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37979</v>
      </c>
      <c r="M1">
        <v>10</v>
      </c>
      <c r="N1">
        <v>11</v>
      </c>
      <c r="O1">
        <v>11</v>
      </c>
      <c r="P1">
        <v>0</v>
      </c>
      <c r="Q1">
        <v>3</v>
      </c>
    </row>
    <row r="12" spans="1:103" x14ac:dyDescent="0.2">
      <c r="F12" t="str">
        <f>Source!F12</f>
        <v>Новый объект</v>
      </c>
      <c r="G12" t="str">
        <f>Source!G12</f>
        <v>Ремонт крыльца у здания Костромской межрайонной природоохранной прокуратуры</v>
      </c>
      <c r="AB12" t="s">
        <v>3</v>
      </c>
      <c r="AC12" t="s">
        <v>3</v>
      </c>
      <c r="AD12" t="s">
        <v>3</v>
      </c>
      <c r="AE12" t="s">
        <v>3</v>
      </c>
      <c r="AH12" t="s">
        <v>3</v>
      </c>
      <c r="AI12" t="s">
        <v>3</v>
      </c>
      <c r="CY12">
        <f>Source!CY12</f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RV_DATA</vt:lpstr>
      <vt:lpstr>Смета по ФЕР 421+557пр (12</vt:lpstr>
      <vt:lpstr>Source</vt:lpstr>
      <vt:lpstr>SourceObSm</vt:lpstr>
      <vt:lpstr>SmtRes</vt:lpstr>
      <vt:lpstr>EtalonRes</vt:lpstr>
      <vt:lpstr>SrcPoprs</vt:lpstr>
      <vt:lpstr>SrcKA</vt:lpstr>
      <vt:lpstr>'Смета по ФЕР 421+557пр (12'!Заголовки_для_печати</vt:lpstr>
      <vt:lpstr>'Смета по ФЕР 421+557пр (12'!Область_печати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Проскурин</dc:creator>
  <cp:lastModifiedBy>Евгений Проскурин</cp:lastModifiedBy>
  <dcterms:created xsi:type="dcterms:W3CDTF">2026-10-10T08:02:31Z</dcterms:created>
  <dcterms:modified xsi:type="dcterms:W3CDTF">2026-10-14T15:02:18Z</dcterms:modified>
</cp:coreProperties>
</file>